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spreadsheetml.comments+xml" PartName="/xl/comments1.xml"/>
  <Override ContentType="application/vnd.openxmlformats-officedocument.spreadsheetml.comments+xml" PartName="/xl/comments10.xml"/>
  <Override ContentType="application/vnd.openxmlformats-officedocument.spreadsheetml.comments+xml" PartName="/xl/comments1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openxmlformats-officedocument.spreadsheetml.comments+xml" PartName="/xl/comments6.xml"/>
  <Override ContentType="application/vnd.openxmlformats-officedocument.spreadsheetml.comments+xml" PartName="/xl/comments7.xml"/>
  <Override ContentType="application/vnd.openxmlformats-officedocument.spreadsheetml.comments+xml" PartName="/xl/comments8.xml"/>
  <Override ContentType="application/vnd.openxmlformats-officedocument.spreadsheetml.comments+xml" PartName="/xl/comments9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externalLink+xml" PartName="/xl/externalLinks/externalLink1.xml"/>
  <Override ContentType="application/vnd.openxmlformats-officedocument.spreadsheetml.pivotCacheDefinition+xml" PartName="/xl/pivotCache/pivotCacheDefinition1.xml"/>
  <Override ContentType="application/vnd.openxmlformats-officedocument.spreadsheetml.pivotCacheRecords+xml" PartName="/xl/pivotCache/pivotCacheRecords1.xml"/>
  <Override ContentType="application/vnd.openxmlformats-officedocument.spreadsheetml.pivotTable+xml" PartName="/xl/pivotTables/pivotTable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spreadsheetml.table+xml" PartName="/xl/tables/table1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-15" yWindow="45" windowWidth="22950" windowHeight="10860" tabRatio="807" firstSheet="1" activeTab="1"/>
  </bookViews>
  <sheets>
    <sheet name="MW-Cache" sheetId="12" state="veryHidden" r:id="rId1"/>
    <sheet name="ImportantDisclosures" sheetId="50" r:id="rId2"/>
    <sheet name="Overview" sheetId="26" r:id="rId3"/>
    <sheet name="APA" sheetId="3" r:id="rId4"/>
    <sheet name="Qld" sheetId="21" r:id="rId5"/>
    <sheet name="NSW" sheetId="23" r:id="rId6"/>
    <sheet name="VIC&amp;SA" sheetId="27" r:id="rId7"/>
    <sheet name="WA&amp;NT" sheetId="25" r:id="rId8"/>
    <sheet name="Debt" sheetId="17" r:id="rId9"/>
    <sheet name="Valuation" sheetId="15" r:id="rId10"/>
    <sheet name="Financials" sheetId="16" r:id="rId11"/>
    <sheet name="Assets" sheetId="43" r:id="rId12"/>
    <sheet name="EBITDA by Asset" sheetId="45" r:id="rId13"/>
    <sheet name="IndexInformation" sheetId="51" r:id="rId14"/>
    <sheet name="ModPubIndex" sheetId="52" r:id="rId15"/>
  </sheets>
  <externalReferences>
    <externalReference r:id="rId16"/>
  </externalReferences>
  <definedNames>
    <definedName name="__FDS_HYPERLINK_TOGGLE_STATE__" hidden="1">"ON"</definedName>
    <definedName name="__FDS_UNIQUE_RANGE_ID_GENERATOR_COUNTER" hidden="1">1</definedName>
    <definedName name="_1H_96">"assumpt"</definedName>
    <definedName name="_Order1" hidden="1">0</definedName>
    <definedName name="AdditionalInstructions">IndexInformation!$B$42</definedName>
    <definedName name="Address" localSheetId="1">ImportantDisclosures!$A$2:$A$2</definedName>
    <definedName name="ANA" localSheetId="14">ModPubIndex!$A$7</definedName>
    <definedName name="anscount" hidden="1">1</definedName>
    <definedName name="Authors" localSheetId="1">ImportantDisclosures!$A$7</definedName>
    <definedName name="Authors" localSheetId="13">IndexInformation!$B$18</definedName>
    <definedName name="BRO" localSheetId="14">ModPubIndex!$A$1</definedName>
    <definedName name="Calendar_Year">APA!$6:$6</definedName>
    <definedName name="CF_OP_GR">"'=BackSheet!$D$239:$AG$239"</definedName>
    <definedName name="CF_PR_DV">"'=BackSheet!$D$241:$AG$241"</definedName>
    <definedName name="CIQWBGuid" hidden="1">"dee65ffb-e4cf-40f2-a013-55909d5b26a5"</definedName>
    <definedName name="CopyrightStamp">ImportantDisclosures!$A$27</definedName>
    <definedName name="COU" localSheetId="14">ModPubIndex!$A$5</definedName>
    <definedName name="CQEnd" localSheetId="13">IndexInformation!$B$31</definedName>
    <definedName name="Currency" localSheetId="13">IndexInformation!$B$24</definedName>
    <definedName name="CurrentStockPrice" localSheetId="13">IndexInformation!$B$23</definedName>
    <definedName name="CurrQtrEPS" localSheetId="13">IndexInformation!$B$29</definedName>
    <definedName name="CurrYearEPS" localSheetId="13">IndexInformation!$B$11</definedName>
    <definedName name="CurrYearTotalRevenue" localSheetId="13">IndexInformation!$B$10</definedName>
    <definedName name="CurrYearTotalRevenueActual" localSheetId="13">IndexInformation!$B$32</definedName>
    <definedName name="CUSIP" localSheetId="13">IndexInformation!$B$20</definedName>
    <definedName name="CYEnd" localSheetId="13">IndexInformation!$B$30</definedName>
    <definedName name="Dash">"v3.54"</definedName>
    <definedName name="Date" localSheetId="1">ImportantDisclosures!$A$8</definedName>
    <definedName name="DB">"WIREUK"</definedName>
    <definedName name="Deleted" localSheetId="13">IndexInformation!$B$27</definedName>
    <definedName name="Description" localSheetId="13">IndexInformation!$B$7</definedName>
    <definedName name="Discipline" localSheetId="13">IndexInformation!$B$3</definedName>
    <definedName name="DISCIPLINE" localSheetId="14">ModPubIndex!$A$12</definedName>
    <definedName name="DisclosuresText">ImportantDisclosures!$A$22</definedName>
    <definedName name="Distribution" localSheetId="13">IndexInformation!$B$26</definedName>
    <definedName name="DistTable" localSheetId="1">ImportantDisclosures!#REF!</definedName>
    <definedName name="DistTablePreamble" localSheetId="1">ImportantDisclosures!#REF!</definedName>
    <definedName name="DOCDAT" localSheetId="14">ModPubIndex!$A$2</definedName>
    <definedName name="DOCTIME" localSheetId="14">ModPubIndex!$A$3</definedName>
    <definedName name="DocType" localSheetId="13">IndexInformation!$B$5</definedName>
    <definedName name="EMAIL_ALERT" localSheetId="14">ModPubIndex!$A$10</definedName>
    <definedName name="EmailAlert" localSheetId="13">IndexInformation!$B$28</definedName>
    <definedName name="Fiscal_Year">APA!$3:$3</definedName>
    <definedName name="FiveYearGrowthRate" localSheetId="13">IndexInformation!$B$16</definedName>
    <definedName name="FollowingYearEPS" localSheetId="13">IndexInformation!$B$15</definedName>
    <definedName name="FollowingYearTotalRevenue" localSheetId="13">IndexInformation!$B$14</definedName>
    <definedName name="FollowingYearTotalRevenueActual" localSheetId="13">IndexInformation!$B$34</definedName>
    <definedName name="FR_CODE_COPY_LINK">" "</definedName>
    <definedName name="FR_CODE_DOWNLOAD_START">" "</definedName>
    <definedName name="FR_CODE_STOCK_LINK">" "</definedName>
    <definedName name="FR_COM_ABBR">"APPB"</definedName>
    <definedName name="FR_COM_AGG">0</definedName>
    <definedName name="FR_COU_ABBR">"usa"</definedName>
    <definedName name="FR_DATABOX_DOWNLOAD">"Y"</definedName>
    <definedName name="FR_DISP_HIDDEN">FALSE</definedName>
    <definedName name="FR_END_DATE">"'"</definedName>
    <definedName name="FR_LINKS_OVERRUN">TRUE</definedName>
    <definedName name="FR_LOG_END_DATE">"'"</definedName>
    <definedName name="FR_LOG_START_DATE">"'"</definedName>
    <definedName name="FR_REPORT_TYPE">""</definedName>
    <definedName name="FR_RPT_AREA_LINK">" "</definedName>
    <definedName name="FR_RPT_FOOTER_LINK">" "</definedName>
    <definedName name="FR_RPT_HEADER_LINK">" "</definedName>
    <definedName name="FR_RPT_LINE_SPACING">1</definedName>
    <definedName name="FR_RPT_PAGE_BREAK">0</definedName>
    <definedName name="FR_SDS_KEY">1</definedName>
    <definedName name="FR_SHOW_LINK_MARKER">FALSE</definedName>
    <definedName name="FR_START_DATE">"'"</definedName>
    <definedName name="FR_SYBASE_SERVER">"PNYEQFRD01"</definedName>
    <definedName name="FR_TEMPLATE_KEY">"45051|1"</definedName>
    <definedName name="FR_USE_BILLIONS">FALSE</definedName>
    <definedName name="FR_USE_DIMFAC">TRUE</definedName>
    <definedName name="FR_USE_LOCAL_CCY">FALSE</definedName>
    <definedName name="FR_USE_PRICEFACTORING">FALSE</definedName>
    <definedName name="HL" localSheetId="14">ModPubIndex!$A$8</definedName>
    <definedName name="Implied_Enterprise_Value__A_m">Valuation!$B$116:$G$138</definedName>
    <definedName name="IND" localSheetId="14">ModPubIndex!$A$9</definedName>
    <definedName name="Industry" localSheetId="1">ImportantDisclosures!$A$12</definedName>
    <definedName name="IndustryId">IndexInformation!$B$40</definedName>
    <definedName name="IndustryRating" localSheetId="1">ImportantDisclosures!$A$13</definedName>
    <definedName name="IQ_ADDIN" hidden="1">"AUTO"</definedName>
    <definedName name="IQ_NAMES_REVISION_DATE_" hidden="1">41855.3793287037</definedName>
    <definedName name="KeepVersions" localSheetId="13">IndexInformation!$B$8</definedName>
    <definedName name="KPIs">[1]Data_List!$B$2:$B$22</definedName>
    <definedName name="LanguageCode">IndexInformation!$B$38</definedName>
    <definedName name="LastCell" localSheetId="1">ImportantDisclosures!$A$22</definedName>
    <definedName name="Linking_1">APA!$O$359:$R$363</definedName>
    <definedName name="Linking_2">Financials!$B$5:$AT$63</definedName>
    <definedName name="Linking_3">Valuation!$B$141:$F$141</definedName>
    <definedName name="Linking_4">Valuation!$B$116:$G$138</definedName>
    <definedName name="Linking_Range_558">Financials!$Z$71</definedName>
    <definedName name="Linking_Range_600">Financials!$B$5:$AU$63</definedName>
    <definedName name="MacroVersion" localSheetId="13">IndexInformation!$B$1</definedName>
    <definedName name="ModelPrice" localSheetId="1">ImportantDisclosures!$A$14</definedName>
    <definedName name="Multiplier" localSheetId="13">IndexInformation!$B$35</definedName>
    <definedName name="NextYearEPS" localSheetId="13">IndexInformation!$B$13</definedName>
    <definedName name="NextYearTotalRevenue" localSheetId="13">IndexInformation!$B$12</definedName>
    <definedName name="NextYearTotalRevenueActual" localSheetId="13">IndexInformation!$B$33</definedName>
    <definedName name="ObjectType">IndexInformation!$B$37</definedName>
    <definedName name="PANA" localSheetId="14">ModPubIndex!$A$11</definedName>
    <definedName name="PathName" localSheetId="13">IndexInformation!$B$25</definedName>
    <definedName name="_xlnm.Print_Area" localSheetId="3">APA!$A$1:$CQ$341</definedName>
    <definedName name="_xlnm.Print_Area" localSheetId="10">Financials!$A$1:$AS$125</definedName>
    <definedName name="_xlnm.Print_Area">"Formula removed, name can be deleted."</definedName>
    <definedName name="_xlnm.Print_Titles">"Formula removed, name can be deleted."</definedName>
    <definedName name="process_flow">"Picture 13"</definedName>
    <definedName name="PRODUCT" localSheetId="14">ModPubIndex!$A$6</definedName>
    <definedName name="ProjectName">{"Client Name or Project Name"}</definedName>
    <definedName name="PSYM" localSheetId="14">ModPubIndex!$A$4</definedName>
    <definedName name="PublishDate" localSheetId="13">IndexInformation!$B$2</definedName>
    <definedName name="Rating" localSheetId="13">IndexInformation!$B$9</definedName>
    <definedName name="RatingsDefined" localSheetId="1">ImportantDisclosures!$A$21</definedName>
    <definedName name="RatingsDefs" localSheetId="1">ImportantDisclosures!#REF!</definedName>
    <definedName name="RegACDisclosure" localSheetId="1">ImportantDisclosures!#REF!</definedName>
    <definedName name="ResearchTopic" localSheetId="13">IndexInformation!$B$4</definedName>
    <definedName name="RIC" localSheetId="13">IndexInformation!$B$21</definedName>
    <definedName name="RiskAutoStopPercChange">1.5</definedName>
    <definedName name="RiskCollectDistributionSamples">2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FALSE</definedName>
    <definedName name="RiskNumIterations">100</definedName>
    <definedName name="RiskNumSimulations">1</definedName>
    <definedName name="RiskPauseOnError">FALSE</definedName>
    <definedName name="RiskRealTimeResults">FALSE</definedName>
    <definedName name="RiskReportGraphFormat">0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3</definedName>
    <definedName name="RiskShowRiskWindowAtEndOfSimulation">TRUE</definedName>
    <definedName name="RiskStandardRecalc">2</definedName>
    <definedName name="RiskTemplateSheetName">"myTemplate"</definedName>
    <definedName name="RiskUpdateDisplay">FALSE</definedName>
    <definedName name="RiskUseDifferentSeedForEachSim">FALSE</definedName>
    <definedName name="RiskUseFixedSeed">FALSE</definedName>
    <definedName name="RiskUseMultipleCPUs">FALSE</definedName>
    <definedName name="rmcAccount">"STINVGES"</definedName>
    <definedName name="rmcApplication">"QB"</definedName>
    <definedName name="rmcCategory">"AVOR2"</definedName>
    <definedName name="rmcFrequency">"YTD"</definedName>
    <definedName name="rmcName">"VAI"</definedName>
    <definedName name="RMCOptions">"*000000000000000"</definedName>
    <definedName name="SECSettlement" localSheetId="1">ImportantDisclosures!#REF!</definedName>
    <definedName name="SEDOL" localSheetId="13">IndexInformation!$B$22</definedName>
    <definedName name="SourceDefined" localSheetId="1">ImportantDisclosures!$A$19</definedName>
    <definedName name="StockRating" localSheetId="1">ImportantDisclosures!$A$11</definedName>
    <definedName name="SubjectCode" localSheetId="13">IndexInformation!$B$6</definedName>
    <definedName name="SubmitterUserId">IndexInformation!$B$39</definedName>
    <definedName name="SUPPRESSED" localSheetId="14">ModPubIndex!$A$13</definedName>
    <definedName name="TargetPrice" localSheetId="1">ImportantDisclosures!$A$15</definedName>
    <definedName name="Template.WIRE">"DBACCESS"</definedName>
    <definedName name="TemplateRegion">IndexInformation!$B$36</definedName>
    <definedName name="Ticker" localSheetId="1">ImportantDisclosures!$A$10</definedName>
    <definedName name="TickerRegion">IndexInformation!$B$41</definedName>
    <definedName name="Tickers" localSheetId="13">IndexInformation!$B$19</definedName>
    <definedName name="Trace">FALSE</definedName>
    <definedName name="TRNR_be6d863b19944c6c9e9f385128bac345_0_48" hidden="1">Assets!$N$5</definedName>
    <definedName name="UpdateReason" localSheetId="13">IndexInformation!$B$17</definedName>
    <definedName name="UpgradeVersion">"v3.54"</definedName>
    <definedName name="USRegDisclosures" localSheetId="1">ImportantDisclosures!#REF!</definedName>
    <definedName name="Val_Table">Valuation!$B$116:$G$138</definedName>
    <definedName name="Version.WIRE">1</definedName>
  </definedNames>
  <calcPr calcId="145621" iterate="1"/>
  <pivotCaches>
    <pivotCache cacheId="2" r:id="rId17"/>
  </pivotCaches>
  <fileRecoveryPr autoRecover="0"/>
</workbook>
</file>

<file path=xl/calcChain.xml><?xml version="1.0" encoding="utf-8"?>
<calcChain xmlns="http://schemas.openxmlformats.org/spreadsheetml/2006/main">
  <c r="X92" i="3" l="1"/>
  <c r="Y92" i="3" s="1"/>
  <c r="Z92" i="3" s="1"/>
  <c r="AA92" i="3" s="1"/>
  <c r="AB92" i="3" s="1"/>
  <c r="AC92" i="3" s="1"/>
  <c r="AD92" i="3" s="1"/>
  <c r="AE92" i="3" s="1"/>
  <c r="AF92" i="3" s="1"/>
  <c r="AG92" i="3" s="1"/>
  <c r="AH92" i="3" s="1"/>
  <c r="AI92" i="3" s="1"/>
  <c r="AJ92" i="3" s="1"/>
  <c r="AK92" i="3" s="1"/>
  <c r="AL92" i="3" s="1"/>
  <c r="AM92" i="3" s="1"/>
  <c r="AN92" i="3" s="1"/>
  <c r="AO92" i="3" s="1"/>
  <c r="AP92" i="3" s="1"/>
  <c r="AQ92" i="3" s="1"/>
  <c r="AR92" i="3" s="1"/>
  <c r="AS92" i="3" s="1"/>
  <c r="AT92" i="3" s="1"/>
  <c r="AU92" i="3" s="1"/>
  <c r="AV92" i="3" s="1"/>
  <c r="AW92" i="3" s="1"/>
  <c r="AX92" i="3" s="1"/>
  <c r="AY92" i="3" s="1"/>
  <c r="AZ92" i="3" s="1"/>
  <c r="BA92" i="3" s="1"/>
  <c r="BB92" i="3" s="1"/>
  <c r="BC92" i="3" s="1"/>
  <c r="BD92" i="3" s="1"/>
  <c r="BE92" i="3" s="1"/>
  <c r="BF92" i="3" s="1"/>
  <c r="BG92" i="3" s="1"/>
  <c r="BH92" i="3" s="1"/>
  <c r="BI92" i="3" s="1"/>
  <c r="BJ92" i="3" s="1"/>
  <c r="BK92" i="3" s="1"/>
  <c r="BL92" i="3" s="1"/>
  <c r="BM92" i="3" s="1"/>
  <c r="BN92" i="3" s="1"/>
  <c r="BO92" i="3" s="1"/>
  <c r="BP92" i="3" s="1"/>
  <c r="BQ92" i="3" s="1"/>
  <c r="BR92" i="3" s="1"/>
  <c r="BS92" i="3" s="1"/>
  <c r="BT92" i="3" s="1"/>
  <c r="BU92" i="3" s="1"/>
  <c r="BV92" i="3" s="1"/>
  <c r="BW92" i="3" s="1"/>
  <c r="BX92" i="3" s="1"/>
  <c r="BY92" i="3" s="1"/>
  <c r="BZ92" i="3" s="1"/>
  <c r="CA92" i="3" s="1"/>
  <c r="CB92" i="3" s="1"/>
  <c r="CC92" i="3" s="1"/>
  <c r="CD92" i="3" s="1"/>
  <c r="CE92" i="3" s="1"/>
  <c r="CF92" i="3" s="1"/>
  <c r="CG92" i="3" s="1"/>
  <c r="CH92" i="3" s="1"/>
  <c r="CI92" i="3" s="1"/>
  <c r="CJ92" i="3" s="1"/>
  <c r="CK92" i="3" s="1"/>
  <c r="CL92" i="3" s="1"/>
  <c r="CM92" i="3" s="1"/>
  <c r="CN92" i="3" s="1"/>
  <c r="CO92" i="3" s="1"/>
  <c r="CP92" i="3" s="1"/>
  <c r="X32" i="3"/>
  <c r="X52" i="3" s="1"/>
  <c r="X35" i="3"/>
  <c r="V148" i="25" l="1"/>
  <c r="U148" i="25"/>
  <c r="U146" i="25"/>
  <c r="V146" i="25"/>
  <c r="X93" i="27" l="1"/>
  <c r="X233" i="3" l="1"/>
  <c r="DQ233" i="3" s="1"/>
  <c r="DQ236" i="3"/>
  <c r="DQ235" i="3"/>
  <c r="DQ232" i="3"/>
  <c r="DQ227" i="3"/>
  <c r="DQ224" i="3"/>
  <c r="DQ219" i="3"/>
  <c r="DP276" i="3"/>
  <c r="DP290" i="3"/>
  <c r="DP288" i="3"/>
  <c r="DP292" i="3" s="1"/>
  <c r="DP284" i="3"/>
  <c r="DP269" i="3"/>
  <c r="DP260" i="3"/>
  <c r="DP234" i="3"/>
  <c r="DP237" i="3" s="1"/>
  <c r="DP229" i="3"/>
  <c r="DQ229" i="3" s="1"/>
  <c r="DP228" i="3"/>
  <c r="DP215" i="3"/>
  <c r="DP216" i="3" s="1"/>
  <c r="DP212" i="3"/>
  <c r="DP211" i="3"/>
  <c r="DP118" i="3"/>
  <c r="DP105" i="3"/>
  <c r="DP79" i="3"/>
  <c r="DP78" i="3"/>
  <c r="DP76" i="3"/>
  <c r="DP75" i="3"/>
  <c r="DP74" i="3"/>
  <c r="DP73" i="3"/>
  <c r="DP72" i="3"/>
  <c r="DP71" i="3"/>
  <c r="DQ33" i="3"/>
  <c r="DQ58" i="3"/>
  <c r="DQ57" i="3"/>
  <c r="DP50" i="3"/>
  <c r="DP43" i="3"/>
  <c r="DP34" i="3"/>
  <c r="DP89" i="3" s="1"/>
  <c r="DP30" i="3"/>
  <c r="DP88" i="3" s="1"/>
  <c r="DP23" i="3"/>
  <c r="DP87" i="3" s="1"/>
  <c r="DP230" i="3" l="1"/>
  <c r="DP90" i="3"/>
  <c r="DP70" i="3"/>
  <c r="DP39" i="3"/>
  <c r="DP77" i="3"/>
  <c r="DQ228" i="3"/>
  <c r="DP286" i="3"/>
  <c r="DP293" i="3" s="1"/>
  <c r="DP56" i="3"/>
  <c r="D119" i="15"/>
  <c r="K137" i="15"/>
  <c r="DI113" i="3"/>
  <c r="DH113" i="3"/>
  <c r="DG113" i="3"/>
  <c r="DF113" i="3"/>
  <c r="DE113" i="3"/>
  <c r="DD113" i="3"/>
  <c r="X39" i="45"/>
  <c r="V39" i="45"/>
  <c r="U39" i="45"/>
  <c r="T39" i="45"/>
  <c r="S39" i="45"/>
  <c r="R39" i="45"/>
  <c r="P39" i="45"/>
  <c r="O39" i="45"/>
  <c r="M39" i="45"/>
  <c r="L39" i="45"/>
  <c r="J39" i="45"/>
  <c r="I39" i="45"/>
  <c r="G39" i="45"/>
  <c r="F39" i="45"/>
  <c r="X38" i="45"/>
  <c r="V38" i="45"/>
  <c r="U38" i="45"/>
  <c r="T38" i="45"/>
  <c r="S38" i="45"/>
  <c r="X37" i="45"/>
  <c r="V37" i="45"/>
  <c r="U37" i="45"/>
  <c r="T37" i="45"/>
  <c r="S37" i="45"/>
  <c r="R37" i="45"/>
  <c r="P37" i="45"/>
  <c r="O37" i="45"/>
  <c r="M37" i="45"/>
  <c r="L37" i="45"/>
  <c r="J37" i="45"/>
  <c r="I37" i="45"/>
  <c r="G37" i="45"/>
  <c r="F37" i="45"/>
  <c r="X36" i="45"/>
  <c r="V36" i="45"/>
  <c r="U36" i="45"/>
  <c r="T36" i="45"/>
  <c r="S36" i="45"/>
  <c r="R36" i="45"/>
  <c r="P36" i="45"/>
  <c r="O36" i="45"/>
  <c r="M36" i="45"/>
  <c r="L36" i="45"/>
  <c r="J36" i="45"/>
  <c r="I36" i="45"/>
  <c r="G36" i="45"/>
  <c r="F36" i="45"/>
  <c r="D33" i="45"/>
  <c r="D34" i="45" s="1"/>
  <c r="X31" i="45"/>
  <c r="V31" i="45"/>
  <c r="U31" i="45"/>
  <c r="T31" i="45"/>
  <c r="S31" i="45"/>
  <c r="AP30" i="45"/>
  <c r="AP29" i="45"/>
  <c r="AP28" i="45"/>
  <c r="AP27" i="45"/>
  <c r="AP26" i="45"/>
  <c r="AP25" i="45"/>
  <c r="AP24" i="45"/>
  <c r="AP23" i="45"/>
  <c r="AP22" i="45"/>
  <c r="AP21" i="45"/>
  <c r="AP20" i="45"/>
  <c r="AP19" i="45"/>
  <c r="AP18" i="45"/>
  <c r="AP17" i="45"/>
  <c r="AP16" i="45"/>
  <c r="AP15" i="45"/>
  <c r="AP14" i="45"/>
  <c r="AP13" i="45"/>
  <c r="AP12" i="45"/>
  <c r="AP11" i="45"/>
  <c r="AP10" i="45"/>
  <c r="AP9" i="45"/>
  <c r="AP8" i="45"/>
  <c r="AP7" i="45"/>
  <c r="AP6" i="45"/>
  <c r="AP5" i="45"/>
  <c r="W30" i="45"/>
  <c r="W29" i="45"/>
  <c r="W28" i="45"/>
  <c r="W27" i="45"/>
  <c r="W26" i="45"/>
  <c r="W25" i="45"/>
  <c r="R30" i="45"/>
  <c r="R31" i="45" s="1"/>
  <c r="P30" i="45"/>
  <c r="O30" i="45"/>
  <c r="O31" i="45" s="1"/>
  <c r="M30" i="45"/>
  <c r="L30" i="45"/>
  <c r="J30" i="45"/>
  <c r="J31" i="45" s="1"/>
  <c r="I30" i="45"/>
  <c r="G30" i="45"/>
  <c r="G31" i="45" s="1"/>
  <c r="F30" i="45"/>
  <c r="F31" i="45" s="1"/>
  <c r="E31" i="45" s="1"/>
  <c r="Q29" i="45"/>
  <c r="Q28" i="45"/>
  <c r="Q27" i="45"/>
  <c r="Q26" i="45"/>
  <c r="Q25" i="45"/>
  <c r="N29" i="45"/>
  <c r="N28" i="45"/>
  <c r="N27" i="45"/>
  <c r="N26" i="45"/>
  <c r="N25" i="45"/>
  <c r="K29" i="45"/>
  <c r="K28" i="45"/>
  <c r="K27" i="45"/>
  <c r="K26" i="45"/>
  <c r="K25" i="45"/>
  <c r="H29" i="45"/>
  <c r="H28" i="45"/>
  <c r="H27" i="45"/>
  <c r="H26" i="45"/>
  <c r="H25" i="45"/>
  <c r="X23" i="45"/>
  <c r="V23" i="45"/>
  <c r="U23" i="45"/>
  <c r="T23" i="45"/>
  <c r="S23" i="45"/>
  <c r="R23" i="45"/>
  <c r="P23" i="45"/>
  <c r="O23" i="45"/>
  <c r="M23" i="45"/>
  <c r="L23" i="45"/>
  <c r="J23" i="45"/>
  <c r="I23" i="45"/>
  <c r="G23" i="45"/>
  <c r="F23" i="45"/>
  <c r="E23" i="45" s="1"/>
  <c r="E22" i="45" s="1"/>
  <c r="W22" i="45"/>
  <c r="W23" i="45" s="1"/>
  <c r="Q22" i="45"/>
  <c r="Q23" i="45" s="1"/>
  <c r="N22" i="45"/>
  <c r="N23" i="45" s="1"/>
  <c r="K22" i="45"/>
  <c r="K23" i="45" s="1"/>
  <c r="H22" i="45"/>
  <c r="H23" i="45" s="1"/>
  <c r="D22" i="45"/>
  <c r="X20" i="45"/>
  <c r="V20" i="45"/>
  <c r="U20" i="45"/>
  <c r="T20" i="45"/>
  <c r="S20" i="45"/>
  <c r="R20" i="45"/>
  <c r="P20" i="45"/>
  <c r="M20" i="45"/>
  <c r="I20" i="45"/>
  <c r="W19" i="45"/>
  <c r="W20" i="45" s="1"/>
  <c r="Q19" i="45"/>
  <c r="Q20" i="45" s="1"/>
  <c r="O19" i="45"/>
  <c r="N19" i="45" s="1"/>
  <c r="N20" i="45" s="1"/>
  <c r="J19" i="45"/>
  <c r="G19" i="45"/>
  <c r="G20" i="45" s="1"/>
  <c r="F19" i="45"/>
  <c r="D19" i="45"/>
  <c r="X17" i="45"/>
  <c r="V17" i="45"/>
  <c r="U17" i="45"/>
  <c r="T17" i="45"/>
  <c r="S17" i="45"/>
  <c r="R17" i="45"/>
  <c r="P17" i="45"/>
  <c r="O17" i="45"/>
  <c r="M17" i="45"/>
  <c r="L17" i="45"/>
  <c r="J17" i="45"/>
  <c r="I17" i="45"/>
  <c r="G17" i="45"/>
  <c r="F17" i="45"/>
  <c r="E17" i="45" s="1"/>
  <c r="E16" i="45" s="1"/>
  <c r="W16" i="45"/>
  <c r="W17" i="45" s="1"/>
  <c r="Q16" i="45"/>
  <c r="Q17" i="45" s="1"/>
  <c r="N16" i="45"/>
  <c r="N17" i="45" s="1"/>
  <c r="K16" i="45"/>
  <c r="K17" i="45" s="1"/>
  <c r="H16" i="45"/>
  <c r="H17" i="45" s="1"/>
  <c r="D16" i="45"/>
  <c r="X14" i="45"/>
  <c r="V14" i="45"/>
  <c r="U14" i="45"/>
  <c r="T14" i="45"/>
  <c r="S14" i="45"/>
  <c r="R14" i="45"/>
  <c r="P14" i="45"/>
  <c r="O14" i="45"/>
  <c r="M14" i="45"/>
  <c r="L14" i="45"/>
  <c r="J14" i="45"/>
  <c r="I14" i="45"/>
  <c r="G14" i="45"/>
  <c r="F14" i="45"/>
  <c r="E14" i="45" s="1"/>
  <c r="E13" i="45" s="1"/>
  <c r="W13" i="45"/>
  <c r="W14" i="45" s="1"/>
  <c r="Q13" i="45"/>
  <c r="Q14" i="45" s="1"/>
  <c r="N13" i="45"/>
  <c r="N14" i="45" s="1"/>
  <c r="K13" i="45"/>
  <c r="K14" i="45" s="1"/>
  <c r="H13" i="45"/>
  <c r="H14" i="45" s="1"/>
  <c r="D13" i="45"/>
  <c r="X11" i="45"/>
  <c r="V11" i="45"/>
  <c r="U11" i="45"/>
  <c r="T11" i="45"/>
  <c r="T33" i="45" s="1"/>
  <c r="S11" i="45"/>
  <c r="W10" i="45"/>
  <c r="W9" i="45"/>
  <c r="W8" i="45"/>
  <c r="W7" i="45"/>
  <c r="W6" i="45"/>
  <c r="W5" i="45"/>
  <c r="R10" i="45"/>
  <c r="P10" i="45"/>
  <c r="O10" i="45"/>
  <c r="O11" i="45" s="1"/>
  <c r="M10" i="45"/>
  <c r="M11" i="45" s="1"/>
  <c r="L10" i="45"/>
  <c r="L38" i="45" s="1"/>
  <c r="J10" i="45"/>
  <c r="I10" i="45"/>
  <c r="G10" i="45"/>
  <c r="F10" i="45"/>
  <c r="F11" i="45" s="1"/>
  <c r="E11" i="45" s="1"/>
  <c r="Q9" i="45"/>
  <c r="Q8" i="45"/>
  <c r="Q37" i="45" s="1"/>
  <c r="Q7" i="45"/>
  <c r="Q6" i="45"/>
  <c r="Q5" i="45"/>
  <c r="N9" i="45"/>
  <c r="N8" i="45"/>
  <c r="N37" i="45" s="1"/>
  <c r="N7" i="45"/>
  <c r="N6" i="45"/>
  <c r="N5" i="45"/>
  <c r="K9" i="45"/>
  <c r="K8" i="45"/>
  <c r="K37" i="45" s="1"/>
  <c r="K7" i="45"/>
  <c r="K6" i="45"/>
  <c r="K5" i="45"/>
  <c r="H9" i="45"/>
  <c r="H8" i="45"/>
  <c r="H37" i="45" s="1"/>
  <c r="H7" i="45"/>
  <c r="H6" i="45"/>
  <c r="H5" i="45"/>
  <c r="L119" i="43"/>
  <c r="L118" i="43"/>
  <c r="L117" i="43"/>
  <c r="L116" i="43"/>
  <c r="L115" i="43"/>
  <c r="L114" i="43"/>
  <c r="L113" i="43"/>
  <c r="L112" i="43"/>
  <c r="L111" i="43"/>
  <c r="L110" i="43"/>
  <c r="L109" i="43"/>
  <c r="L108" i="43"/>
  <c r="L107" i="43"/>
  <c r="L106" i="43"/>
  <c r="L105" i="43"/>
  <c r="L104" i="43"/>
  <c r="L103" i="43"/>
  <c r="L102" i="43"/>
  <c r="L101" i="43"/>
  <c r="L100" i="43"/>
  <c r="L99" i="43"/>
  <c r="L98" i="43"/>
  <c r="L97" i="43"/>
  <c r="L96" i="43"/>
  <c r="L95" i="43"/>
  <c r="L94" i="43"/>
  <c r="L93" i="43"/>
  <c r="L92" i="43"/>
  <c r="L91" i="43"/>
  <c r="L90" i="43"/>
  <c r="L89" i="43"/>
  <c r="L88" i="43"/>
  <c r="L87" i="43"/>
  <c r="L86" i="43"/>
  <c r="L85" i="43"/>
  <c r="L84" i="43"/>
  <c r="L82" i="43"/>
  <c r="L81" i="43"/>
  <c r="L74" i="43"/>
  <c r="L73" i="43"/>
  <c r="L72" i="43"/>
  <c r="L71" i="43"/>
  <c r="L70" i="43"/>
  <c r="L69" i="43"/>
  <c r="L68" i="43"/>
  <c r="L67" i="43"/>
  <c r="L59" i="43"/>
  <c r="L58" i="43"/>
  <c r="L47" i="43"/>
  <c r="L45" i="43"/>
  <c r="L32" i="43"/>
  <c r="L25" i="43"/>
  <c r="L22" i="43"/>
  <c r="L18" i="43"/>
  <c r="CU119" i="43"/>
  <c r="CT119" i="43"/>
  <c r="CS119" i="43"/>
  <c r="CR119" i="43"/>
  <c r="CQ119" i="43"/>
  <c r="CP119" i="43"/>
  <c r="CO119" i="43"/>
  <c r="CN119" i="43"/>
  <c r="CM119" i="43"/>
  <c r="CL119" i="43"/>
  <c r="CK119" i="43"/>
  <c r="CJ119" i="43"/>
  <c r="CI119" i="43"/>
  <c r="CH119" i="43"/>
  <c r="CG119" i="43"/>
  <c r="CF119" i="43"/>
  <c r="CE119" i="43"/>
  <c r="CD119" i="43"/>
  <c r="CC119" i="43"/>
  <c r="CB119" i="43"/>
  <c r="CA119" i="43"/>
  <c r="BZ119" i="43"/>
  <c r="BY119" i="43"/>
  <c r="BX119" i="43"/>
  <c r="BW119" i="43"/>
  <c r="BV119" i="43"/>
  <c r="BU119" i="43"/>
  <c r="BT119" i="43"/>
  <c r="BS119" i="43"/>
  <c r="BR119" i="43"/>
  <c r="BQ119" i="43"/>
  <c r="BP119" i="43"/>
  <c r="BO119" i="43"/>
  <c r="BN119" i="43"/>
  <c r="BM119" i="43"/>
  <c r="BL119" i="43"/>
  <c r="BK119" i="43"/>
  <c r="BJ119" i="43"/>
  <c r="BI119" i="43"/>
  <c r="BH119" i="43"/>
  <c r="BG119" i="43"/>
  <c r="BF119" i="43"/>
  <c r="BE119" i="43"/>
  <c r="BD119" i="43"/>
  <c r="BC119" i="43"/>
  <c r="BB119" i="43"/>
  <c r="BA119" i="43"/>
  <c r="AZ119" i="43"/>
  <c r="AY119" i="43"/>
  <c r="AX119" i="43"/>
  <c r="AW119" i="43"/>
  <c r="AV119" i="43"/>
  <c r="AU119" i="43"/>
  <c r="AT119" i="43"/>
  <c r="AS119" i="43"/>
  <c r="AR119" i="43"/>
  <c r="AQ119" i="43"/>
  <c r="AP119" i="43"/>
  <c r="AO119" i="43"/>
  <c r="AN119" i="43"/>
  <c r="AM119" i="43"/>
  <c r="AL119" i="43"/>
  <c r="AK119" i="43"/>
  <c r="AJ119" i="43"/>
  <c r="AI119" i="43"/>
  <c r="AH119" i="43"/>
  <c r="AG119" i="43"/>
  <c r="AF119" i="43"/>
  <c r="AE119" i="43"/>
  <c r="AD119" i="43"/>
  <c r="AC119" i="43"/>
  <c r="AB119" i="43"/>
  <c r="AA119" i="43"/>
  <c r="Z119" i="43"/>
  <c r="Y119" i="43"/>
  <c r="X119" i="43"/>
  <c r="W119" i="43"/>
  <c r="V119" i="43"/>
  <c r="U119" i="43"/>
  <c r="T119" i="43"/>
  <c r="S119" i="43"/>
  <c r="R119" i="43"/>
  <c r="Q119" i="43"/>
  <c r="P119" i="43"/>
  <c r="O119" i="43"/>
  <c r="N119" i="43"/>
  <c r="CU118" i="43"/>
  <c r="CT118" i="43"/>
  <c r="CS118" i="43"/>
  <c r="CR118" i="43"/>
  <c r="CQ118" i="43"/>
  <c r="CP118" i="43"/>
  <c r="CO118" i="43"/>
  <c r="CN118" i="43"/>
  <c r="CM118" i="43"/>
  <c r="CL118" i="43"/>
  <c r="CK118" i="43"/>
  <c r="CJ118" i="43"/>
  <c r="CI118" i="43"/>
  <c r="CH118" i="43"/>
  <c r="CG118" i="43"/>
  <c r="CF118" i="43"/>
  <c r="CE118" i="43"/>
  <c r="CD118" i="43"/>
  <c r="CC118" i="43"/>
  <c r="CB118" i="43"/>
  <c r="CA118" i="43"/>
  <c r="BZ118" i="43"/>
  <c r="BY118" i="43"/>
  <c r="BX118" i="43"/>
  <c r="BW118" i="43"/>
  <c r="BV118" i="43"/>
  <c r="BU118" i="43"/>
  <c r="BT118" i="43"/>
  <c r="BS118" i="43"/>
  <c r="BR118" i="43"/>
  <c r="BQ118" i="43"/>
  <c r="BP118" i="43"/>
  <c r="BO118" i="43"/>
  <c r="BN118" i="43"/>
  <c r="BM118" i="43"/>
  <c r="BL118" i="43"/>
  <c r="BK118" i="43"/>
  <c r="BJ118" i="43"/>
  <c r="BI118" i="43"/>
  <c r="BH118" i="43"/>
  <c r="BG118" i="43"/>
  <c r="BF118" i="43"/>
  <c r="BE118" i="43"/>
  <c r="BD118" i="43"/>
  <c r="BC118" i="43"/>
  <c r="BB118" i="43"/>
  <c r="BA118" i="43"/>
  <c r="AZ118" i="43"/>
  <c r="AY118" i="43"/>
  <c r="AX118" i="43"/>
  <c r="AW118" i="43"/>
  <c r="AV118" i="43"/>
  <c r="AU118" i="43"/>
  <c r="AT118" i="43"/>
  <c r="AS118" i="43"/>
  <c r="AR118" i="43"/>
  <c r="AQ118" i="43"/>
  <c r="AP118" i="43"/>
  <c r="AO118" i="43"/>
  <c r="AN118" i="43"/>
  <c r="AM118" i="43"/>
  <c r="AL118" i="43"/>
  <c r="AK118" i="43"/>
  <c r="AJ118" i="43"/>
  <c r="AI118" i="43"/>
  <c r="AH118" i="43"/>
  <c r="AG118" i="43"/>
  <c r="AF118" i="43"/>
  <c r="AE118" i="43"/>
  <c r="AD118" i="43"/>
  <c r="AC118" i="43"/>
  <c r="AB118" i="43"/>
  <c r="AA118" i="43"/>
  <c r="Z118" i="43"/>
  <c r="Y118" i="43"/>
  <c r="X118" i="43"/>
  <c r="W118" i="43"/>
  <c r="V118" i="43"/>
  <c r="U118" i="43"/>
  <c r="T118" i="43"/>
  <c r="S118" i="43"/>
  <c r="R118" i="43"/>
  <c r="Q118" i="43"/>
  <c r="P118" i="43"/>
  <c r="O118" i="43"/>
  <c r="N118" i="43"/>
  <c r="CU117" i="43"/>
  <c r="CT117" i="43"/>
  <c r="CS117" i="43"/>
  <c r="CR117" i="43"/>
  <c r="CQ117" i="43"/>
  <c r="CP117" i="43"/>
  <c r="CO117" i="43"/>
  <c r="CN117" i="43"/>
  <c r="CM117" i="43"/>
  <c r="CL117" i="43"/>
  <c r="CK117" i="43"/>
  <c r="CJ117" i="43"/>
  <c r="CI117" i="43"/>
  <c r="CH117" i="43"/>
  <c r="CG117" i="43"/>
  <c r="CF117" i="43"/>
  <c r="CE117" i="43"/>
  <c r="CD117" i="43"/>
  <c r="CC117" i="43"/>
  <c r="CB117" i="43"/>
  <c r="CA117" i="43"/>
  <c r="BZ117" i="43"/>
  <c r="BY117" i="43"/>
  <c r="BX117" i="43"/>
  <c r="BW117" i="43"/>
  <c r="BV117" i="43"/>
  <c r="BU117" i="43"/>
  <c r="BT117" i="43"/>
  <c r="BS117" i="43"/>
  <c r="BR117" i="43"/>
  <c r="BQ117" i="43"/>
  <c r="BP117" i="43"/>
  <c r="BO117" i="43"/>
  <c r="BN117" i="43"/>
  <c r="BM117" i="43"/>
  <c r="BL117" i="43"/>
  <c r="BK117" i="43"/>
  <c r="BJ117" i="43"/>
  <c r="BI117" i="43"/>
  <c r="BH117" i="43"/>
  <c r="BG117" i="43"/>
  <c r="BF117" i="43"/>
  <c r="BE117" i="43"/>
  <c r="BD117" i="43"/>
  <c r="BC117" i="43"/>
  <c r="BB117" i="43"/>
  <c r="BA117" i="43"/>
  <c r="AZ117" i="43"/>
  <c r="AY117" i="43"/>
  <c r="AX117" i="43"/>
  <c r="AW117" i="43"/>
  <c r="AV117" i="43"/>
  <c r="AU117" i="43"/>
  <c r="AT117" i="43"/>
  <c r="AS117" i="43"/>
  <c r="AR117" i="43"/>
  <c r="AQ117" i="43"/>
  <c r="AP117" i="43"/>
  <c r="AO117" i="43"/>
  <c r="AN117" i="43"/>
  <c r="AM117" i="43"/>
  <c r="AL117" i="43"/>
  <c r="AK117" i="43"/>
  <c r="AJ117" i="43"/>
  <c r="AI117" i="43"/>
  <c r="AH117" i="43"/>
  <c r="AG117" i="43"/>
  <c r="AF117" i="43"/>
  <c r="AE117" i="43"/>
  <c r="AD117" i="43"/>
  <c r="AC117" i="43"/>
  <c r="AB117" i="43"/>
  <c r="AA117" i="43"/>
  <c r="Z117" i="43"/>
  <c r="Y117" i="43"/>
  <c r="X117" i="43"/>
  <c r="W117" i="43"/>
  <c r="V117" i="43"/>
  <c r="U117" i="43"/>
  <c r="T117" i="43"/>
  <c r="S117" i="43"/>
  <c r="R117" i="43"/>
  <c r="Q117" i="43"/>
  <c r="P117" i="43"/>
  <c r="O117" i="43"/>
  <c r="N117" i="43"/>
  <c r="CU116" i="43"/>
  <c r="CT116" i="43"/>
  <c r="CS116" i="43"/>
  <c r="CR116" i="43"/>
  <c r="CQ116" i="43"/>
  <c r="CP116" i="43"/>
  <c r="CO116" i="43"/>
  <c r="CN116" i="43"/>
  <c r="CM116" i="43"/>
  <c r="CL116" i="43"/>
  <c r="CK116" i="43"/>
  <c r="CJ116" i="43"/>
  <c r="CI116" i="43"/>
  <c r="CH116" i="43"/>
  <c r="CG116" i="43"/>
  <c r="CF116" i="43"/>
  <c r="CE116" i="43"/>
  <c r="CD116" i="43"/>
  <c r="CC116" i="43"/>
  <c r="CB116" i="43"/>
  <c r="CA116" i="43"/>
  <c r="BZ116" i="43"/>
  <c r="BY116" i="43"/>
  <c r="BX116" i="43"/>
  <c r="BW116" i="43"/>
  <c r="BV116" i="43"/>
  <c r="BU116" i="43"/>
  <c r="BT116" i="43"/>
  <c r="BS116" i="43"/>
  <c r="BR116" i="43"/>
  <c r="BQ116" i="43"/>
  <c r="BP116" i="43"/>
  <c r="BO116" i="43"/>
  <c r="BN116" i="43"/>
  <c r="BM116" i="43"/>
  <c r="BL116" i="43"/>
  <c r="BK116" i="43"/>
  <c r="BJ116" i="43"/>
  <c r="BI116" i="43"/>
  <c r="BH116" i="43"/>
  <c r="BG116" i="43"/>
  <c r="BF116" i="43"/>
  <c r="BE116" i="43"/>
  <c r="BD116" i="43"/>
  <c r="BC116" i="43"/>
  <c r="BB116" i="43"/>
  <c r="BA116" i="43"/>
  <c r="AZ116" i="43"/>
  <c r="AY116" i="43"/>
  <c r="AX116" i="43"/>
  <c r="AW116" i="43"/>
  <c r="AV116" i="43"/>
  <c r="AU116" i="43"/>
  <c r="AT116" i="43"/>
  <c r="AS116" i="43"/>
  <c r="AR116" i="43"/>
  <c r="AQ116" i="43"/>
  <c r="AP116" i="43"/>
  <c r="AO116" i="43"/>
  <c r="AN116" i="43"/>
  <c r="AM116" i="43"/>
  <c r="AL116" i="43"/>
  <c r="AK116" i="43"/>
  <c r="AJ116" i="43"/>
  <c r="AI116" i="43"/>
  <c r="AH116" i="43"/>
  <c r="AG116" i="43"/>
  <c r="AF116" i="43"/>
  <c r="AE116" i="43"/>
  <c r="AD116" i="43"/>
  <c r="AC116" i="43"/>
  <c r="AB116" i="43"/>
  <c r="AA116" i="43"/>
  <c r="Z116" i="43"/>
  <c r="Y116" i="43"/>
  <c r="X116" i="43"/>
  <c r="W116" i="43"/>
  <c r="V116" i="43"/>
  <c r="U116" i="43"/>
  <c r="T116" i="43"/>
  <c r="S116" i="43"/>
  <c r="R116" i="43"/>
  <c r="Q116" i="43"/>
  <c r="P116" i="43"/>
  <c r="O116" i="43"/>
  <c r="N116" i="43"/>
  <c r="CU115" i="43"/>
  <c r="CT115" i="43"/>
  <c r="CS115" i="43"/>
  <c r="CR115" i="43"/>
  <c r="CQ115" i="43"/>
  <c r="CP115" i="43"/>
  <c r="CO115" i="43"/>
  <c r="CN115" i="43"/>
  <c r="CM115" i="43"/>
  <c r="CL115" i="43"/>
  <c r="CK115" i="43"/>
  <c r="CJ115" i="43"/>
  <c r="CI115" i="43"/>
  <c r="CH115" i="43"/>
  <c r="CG115" i="43"/>
  <c r="CF115" i="43"/>
  <c r="CE115" i="43"/>
  <c r="CD115" i="43"/>
  <c r="CC115" i="43"/>
  <c r="CB115" i="43"/>
  <c r="CA115" i="43"/>
  <c r="BZ115" i="43"/>
  <c r="BY115" i="43"/>
  <c r="BX115" i="43"/>
  <c r="BW115" i="43"/>
  <c r="BV115" i="43"/>
  <c r="BU115" i="43"/>
  <c r="BT115" i="43"/>
  <c r="BS115" i="43"/>
  <c r="BR115" i="43"/>
  <c r="BQ115" i="43"/>
  <c r="BP115" i="43"/>
  <c r="BO115" i="43"/>
  <c r="BN115" i="43"/>
  <c r="BM115" i="43"/>
  <c r="BL115" i="43"/>
  <c r="BK115" i="43"/>
  <c r="BJ115" i="43"/>
  <c r="BI115" i="43"/>
  <c r="BH115" i="43"/>
  <c r="BG115" i="43"/>
  <c r="BF115" i="43"/>
  <c r="BE115" i="43"/>
  <c r="BD115" i="43"/>
  <c r="BC115" i="43"/>
  <c r="BB115" i="43"/>
  <c r="BA115" i="43"/>
  <c r="AZ115" i="43"/>
  <c r="AY115" i="43"/>
  <c r="AX115" i="43"/>
  <c r="AW115" i="43"/>
  <c r="AV115" i="43"/>
  <c r="AU115" i="43"/>
  <c r="AT115" i="43"/>
  <c r="AS115" i="43"/>
  <c r="AR115" i="43"/>
  <c r="AQ115" i="43"/>
  <c r="AP115" i="43"/>
  <c r="AO115" i="43"/>
  <c r="AN115" i="43"/>
  <c r="AM115" i="43"/>
  <c r="AL115" i="43"/>
  <c r="AK115" i="43"/>
  <c r="AJ115" i="43"/>
  <c r="AI115" i="43"/>
  <c r="AH115" i="43"/>
  <c r="AG115" i="43"/>
  <c r="AF115" i="43"/>
  <c r="AE115" i="43"/>
  <c r="AD115" i="43"/>
  <c r="AC115" i="43"/>
  <c r="AB115" i="43"/>
  <c r="AA115" i="43"/>
  <c r="Z115" i="43"/>
  <c r="Y115" i="43"/>
  <c r="X115" i="43"/>
  <c r="W115" i="43"/>
  <c r="V115" i="43"/>
  <c r="U115" i="43"/>
  <c r="T115" i="43"/>
  <c r="S115" i="43"/>
  <c r="R115" i="43"/>
  <c r="Q115" i="43"/>
  <c r="P115" i="43"/>
  <c r="O115" i="43"/>
  <c r="N115" i="43"/>
  <c r="CU114" i="43"/>
  <c r="CT114" i="43"/>
  <c r="CS114" i="43"/>
  <c r="CR114" i="43"/>
  <c r="CQ114" i="43"/>
  <c r="CP114" i="43"/>
  <c r="CO114" i="43"/>
  <c r="CN114" i="43"/>
  <c r="CM114" i="43"/>
  <c r="CL114" i="43"/>
  <c r="CK114" i="43"/>
  <c r="CJ114" i="43"/>
  <c r="CI114" i="43"/>
  <c r="CH114" i="43"/>
  <c r="CG114" i="43"/>
  <c r="CF114" i="43"/>
  <c r="CE114" i="43"/>
  <c r="CD114" i="43"/>
  <c r="CC114" i="43"/>
  <c r="CB114" i="43"/>
  <c r="CA114" i="43"/>
  <c r="BZ114" i="43"/>
  <c r="BY114" i="43"/>
  <c r="BX114" i="43"/>
  <c r="BW114" i="43"/>
  <c r="BV114" i="43"/>
  <c r="BU114" i="43"/>
  <c r="BT114" i="43"/>
  <c r="BS114" i="43"/>
  <c r="BR114" i="43"/>
  <c r="BQ114" i="43"/>
  <c r="BP114" i="43"/>
  <c r="BO114" i="43"/>
  <c r="BN114" i="43"/>
  <c r="BM114" i="43"/>
  <c r="BL114" i="43"/>
  <c r="BK114" i="43"/>
  <c r="BJ114" i="43"/>
  <c r="BI114" i="43"/>
  <c r="BH114" i="43"/>
  <c r="BG114" i="43"/>
  <c r="BF114" i="43"/>
  <c r="BE114" i="43"/>
  <c r="BD114" i="43"/>
  <c r="BC114" i="43"/>
  <c r="BB114" i="43"/>
  <c r="BA114" i="43"/>
  <c r="AZ114" i="43"/>
  <c r="AY114" i="43"/>
  <c r="AX114" i="43"/>
  <c r="AW114" i="43"/>
  <c r="AV114" i="43"/>
  <c r="AU114" i="43"/>
  <c r="AT114" i="43"/>
  <c r="AS114" i="43"/>
  <c r="AR114" i="43"/>
  <c r="AQ114" i="43"/>
  <c r="AP114" i="43"/>
  <c r="AO114" i="43"/>
  <c r="AN114" i="43"/>
  <c r="AM114" i="43"/>
  <c r="AL114" i="43"/>
  <c r="AK114" i="43"/>
  <c r="AJ114" i="43"/>
  <c r="AI114" i="43"/>
  <c r="AH114" i="43"/>
  <c r="AG114" i="43"/>
  <c r="AF114" i="43"/>
  <c r="AE114" i="43"/>
  <c r="AD114" i="43"/>
  <c r="AC114" i="43"/>
  <c r="AB114" i="43"/>
  <c r="AA114" i="43"/>
  <c r="Z114" i="43"/>
  <c r="Y114" i="43"/>
  <c r="X114" i="43"/>
  <c r="W114" i="43"/>
  <c r="V114" i="43"/>
  <c r="U114" i="43"/>
  <c r="T114" i="43"/>
  <c r="S114" i="43"/>
  <c r="R114" i="43"/>
  <c r="Q114" i="43"/>
  <c r="P114" i="43"/>
  <c r="O114" i="43"/>
  <c r="N114" i="43"/>
  <c r="DK113" i="43"/>
  <c r="DJ113" i="43"/>
  <c r="DI113" i="43"/>
  <c r="DH113" i="43"/>
  <c r="DG113" i="43"/>
  <c r="DF113" i="43"/>
  <c r="DE113" i="43"/>
  <c r="DD113" i="43"/>
  <c r="DC113" i="43"/>
  <c r="DB113" i="43"/>
  <c r="DA113" i="43"/>
  <c r="CZ113" i="43"/>
  <c r="CY113" i="43"/>
  <c r="CX113" i="43"/>
  <c r="CW113" i="43"/>
  <c r="CV113" i="43"/>
  <c r="CU113" i="43"/>
  <c r="CT113" i="43"/>
  <c r="CS113" i="43"/>
  <c r="CR113" i="43"/>
  <c r="CQ113" i="43"/>
  <c r="CP113" i="43"/>
  <c r="CO113" i="43"/>
  <c r="CN113" i="43"/>
  <c r="CM113" i="43"/>
  <c r="CL113" i="43"/>
  <c r="CK113" i="43"/>
  <c r="CJ113" i="43"/>
  <c r="CI113" i="43"/>
  <c r="CH113" i="43"/>
  <c r="CG113" i="43"/>
  <c r="CF113" i="43"/>
  <c r="CE113" i="43"/>
  <c r="CD113" i="43"/>
  <c r="CC113" i="43"/>
  <c r="CB113" i="43"/>
  <c r="CA113" i="43"/>
  <c r="BZ113" i="43"/>
  <c r="BY113" i="43"/>
  <c r="BX113" i="43"/>
  <c r="BW113" i="43"/>
  <c r="BV113" i="43"/>
  <c r="BU113" i="43"/>
  <c r="BT113" i="43"/>
  <c r="BS113" i="43"/>
  <c r="BR113" i="43"/>
  <c r="BQ113" i="43"/>
  <c r="BP113" i="43"/>
  <c r="BO113" i="43"/>
  <c r="BN113" i="43"/>
  <c r="BM113" i="43"/>
  <c r="BL113" i="43"/>
  <c r="BK113" i="43"/>
  <c r="BJ113" i="43"/>
  <c r="BI113" i="43"/>
  <c r="BH113" i="43"/>
  <c r="BG113" i="43"/>
  <c r="BF113" i="43"/>
  <c r="BE113" i="43"/>
  <c r="BD113" i="43"/>
  <c r="BC113" i="43"/>
  <c r="BB113" i="43"/>
  <c r="BA113" i="43"/>
  <c r="AZ113" i="43"/>
  <c r="AY113" i="43"/>
  <c r="AX113" i="43"/>
  <c r="AW113" i="43"/>
  <c r="AV113" i="43"/>
  <c r="AU113" i="43"/>
  <c r="AT113" i="43"/>
  <c r="AS113" i="43"/>
  <c r="AR113" i="43"/>
  <c r="AQ113" i="43"/>
  <c r="AP113" i="43"/>
  <c r="AO113" i="43"/>
  <c r="AN113" i="43"/>
  <c r="AM113" i="43"/>
  <c r="AL113" i="43"/>
  <c r="AK113" i="43"/>
  <c r="AJ113" i="43"/>
  <c r="AI113" i="43"/>
  <c r="AH113" i="43"/>
  <c r="AG113" i="43"/>
  <c r="AF113" i="43"/>
  <c r="AE113" i="43"/>
  <c r="AD113" i="43"/>
  <c r="AC113" i="43"/>
  <c r="AB113" i="43"/>
  <c r="AA113" i="43"/>
  <c r="Z113" i="43"/>
  <c r="Y113" i="43"/>
  <c r="X113" i="43"/>
  <c r="W113" i="43"/>
  <c r="V113" i="43"/>
  <c r="U113" i="43"/>
  <c r="T113" i="43"/>
  <c r="S113" i="43"/>
  <c r="R113" i="43"/>
  <c r="Q113" i="43"/>
  <c r="P113" i="43"/>
  <c r="O113" i="43"/>
  <c r="N113" i="43"/>
  <c r="DK112" i="43"/>
  <c r="DJ112" i="43"/>
  <c r="DI112" i="43"/>
  <c r="DH112" i="43"/>
  <c r="DG112" i="43"/>
  <c r="DF112" i="43"/>
  <c r="DE112" i="43"/>
  <c r="DD112" i="43"/>
  <c r="DC112" i="43"/>
  <c r="DB112" i="43"/>
  <c r="DA112" i="43"/>
  <c r="CZ112" i="43"/>
  <c r="CY112" i="43"/>
  <c r="CX112" i="43"/>
  <c r="CW112" i="43"/>
  <c r="CV112" i="43"/>
  <c r="CU112" i="43"/>
  <c r="CT112" i="43"/>
  <c r="CS112" i="43"/>
  <c r="CR112" i="43"/>
  <c r="CQ112" i="43"/>
  <c r="CP112" i="43"/>
  <c r="CO112" i="43"/>
  <c r="CN112" i="43"/>
  <c r="CM112" i="43"/>
  <c r="CL112" i="43"/>
  <c r="CK112" i="43"/>
  <c r="CJ112" i="43"/>
  <c r="CI112" i="43"/>
  <c r="CH112" i="43"/>
  <c r="CG112" i="43"/>
  <c r="CF112" i="43"/>
  <c r="CE112" i="43"/>
  <c r="CD112" i="43"/>
  <c r="CC112" i="43"/>
  <c r="CB112" i="43"/>
  <c r="CA112" i="43"/>
  <c r="BZ112" i="43"/>
  <c r="BY112" i="43"/>
  <c r="BX112" i="43"/>
  <c r="BW112" i="43"/>
  <c r="BV112" i="43"/>
  <c r="BU112" i="43"/>
  <c r="BT112" i="43"/>
  <c r="BS112" i="43"/>
  <c r="BR112" i="43"/>
  <c r="BQ112" i="43"/>
  <c r="BP112" i="43"/>
  <c r="BO112" i="43"/>
  <c r="BN112" i="43"/>
  <c r="BM112" i="43"/>
  <c r="BL112" i="43"/>
  <c r="BK112" i="43"/>
  <c r="BJ112" i="43"/>
  <c r="BI112" i="43"/>
  <c r="BH112" i="43"/>
  <c r="BG112" i="43"/>
  <c r="BF112" i="43"/>
  <c r="BE112" i="43"/>
  <c r="BD112" i="43"/>
  <c r="BC112" i="43"/>
  <c r="BB112" i="43"/>
  <c r="BA112" i="43"/>
  <c r="AZ112" i="43"/>
  <c r="AY112" i="43"/>
  <c r="AX112" i="43"/>
  <c r="AW112" i="43"/>
  <c r="AV112" i="43"/>
  <c r="AU112" i="43"/>
  <c r="AT112" i="43"/>
  <c r="AS112" i="43"/>
  <c r="AR112" i="43"/>
  <c r="AQ112" i="43"/>
  <c r="AP112" i="43"/>
  <c r="AO112" i="43"/>
  <c r="AN112" i="43"/>
  <c r="AM112" i="43"/>
  <c r="AL112" i="43"/>
  <c r="AK112" i="43"/>
  <c r="AJ112" i="43"/>
  <c r="AI112" i="43"/>
  <c r="AH112" i="43"/>
  <c r="AG112" i="43"/>
  <c r="AF112" i="43"/>
  <c r="AE112" i="43"/>
  <c r="AD112" i="43"/>
  <c r="AC112" i="43"/>
  <c r="AB112" i="43"/>
  <c r="AA112" i="43"/>
  <c r="Z112" i="43"/>
  <c r="Y112" i="43"/>
  <c r="X112" i="43"/>
  <c r="W112" i="43"/>
  <c r="V112" i="43"/>
  <c r="U112" i="43"/>
  <c r="T112" i="43"/>
  <c r="S112" i="43"/>
  <c r="R112" i="43"/>
  <c r="Q112" i="43"/>
  <c r="P112" i="43"/>
  <c r="O112" i="43"/>
  <c r="N112" i="43"/>
  <c r="DK111" i="43"/>
  <c r="DJ111" i="43"/>
  <c r="DI111" i="43"/>
  <c r="DH111" i="43"/>
  <c r="DG111" i="43"/>
  <c r="DF111" i="43"/>
  <c r="DE111" i="43"/>
  <c r="DD111" i="43"/>
  <c r="DC111" i="43"/>
  <c r="DB111" i="43"/>
  <c r="DA111" i="43"/>
  <c r="CZ111" i="43"/>
  <c r="CY111" i="43"/>
  <c r="CX111" i="43"/>
  <c r="CW111" i="43"/>
  <c r="CV111" i="43"/>
  <c r="CU111" i="43"/>
  <c r="CT111" i="43"/>
  <c r="CS111" i="43"/>
  <c r="CR111" i="43"/>
  <c r="CQ111" i="43"/>
  <c r="CP111" i="43"/>
  <c r="CO111" i="43"/>
  <c r="CN111" i="43"/>
  <c r="CM111" i="43"/>
  <c r="CL111" i="43"/>
  <c r="CK111" i="43"/>
  <c r="CJ111" i="43"/>
  <c r="CI111" i="43"/>
  <c r="CH111" i="43"/>
  <c r="CG111" i="43"/>
  <c r="CF111" i="43"/>
  <c r="CE111" i="43"/>
  <c r="CD111" i="43"/>
  <c r="CC111" i="43"/>
  <c r="CB111" i="43"/>
  <c r="CA111" i="43"/>
  <c r="BZ111" i="43"/>
  <c r="BY111" i="43"/>
  <c r="BX111" i="43"/>
  <c r="BW111" i="43"/>
  <c r="BV111" i="43"/>
  <c r="BU111" i="43"/>
  <c r="BT111" i="43"/>
  <c r="BS111" i="43"/>
  <c r="BR111" i="43"/>
  <c r="BQ111" i="43"/>
  <c r="BP111" i="43"/>
  <c r="BO111" i="43"/>
  <c r="BN111" i="43"/>
  <c r="BM111" i="43"/>
  <c r="BL111" i="43"/>
  <c r="BK111" i="43"/>
  <c r="BJ111" i="43"/>
  <c r="BI111" i="43"/>
  <c r="BH111" i="43"/>
  <c r="BG111" i="43"/>
  <c r="BF111" i="43"/>
  <c r="BE111" i="43"/>
  <c r="BD111" i="43"/>
  <c r="BC111" i="43"/>
  <c r="BB111" i="43"/>
  <c r="BA111" i="43"/>
  <c r="AZ111" i="43"/>
  <c r="AY111" i="43"/>
  <c r="AX111" i="43"/>
  <c r="AW111" i="43"/>
  <c r="AV111" i="43"/>
  <c r="AU111" i="43"/>
  <c r="AT111" i="43"/>
  <c r="AS111" i="43"/>
  <c r="AR111" i="43"/>
  <c r="AQ111" i="43"/>
  <c r="AP111" i="43"/>
  <c r="AO111" i="43"/>
  <c r="AN111" i="43"/>
  <c r="AM111" i="43"/>
  <c r="AL111" i="43"/>
  <c r="AK111" i="43"/>
  <c r="AJ111" i="43"/>
  <c r="AI111" i="43"/>
  <c r="AH111" i="43"/>
  <c r="AG111" i="43"/>
  <c r="AF111" i="43"/>
  <c r="AE111" i="43"/>
  <c r="AD111" i="43"/>
  <c r="AC111" i="43"/>
  <c r="AB111" i="43"/>
  <c r="AA111" i="43"/>
  <c r="Z111" i="43"/>
  <c r="Y111" i="43"/>
  <c r="X111" i="43"/>
  <c r="W111" i="43"/>
  <c r="V111" i="43"/>
  <c r="U111" i="43"/>
  <c r="T111" i="43"/>
  <c r="S111" i="43"/>
  <c r="R111" i="43"/>
  <c r="Q111" i="43"/>
  <c r="P111" i="43"/>
  <c r="O111" i="43"/>
  <c r="N111" i="43"/>
  <c r="DK110" i="43"/>
  <c r="DJ110" i="43"/>
  <c r="DI110" i="43"/>
  <c r="DH110" i="43"/>
  <c r="DG110" i="43"/>
  <c r="DF110" i="43"/>
  <c r="DE110" i="43"/>
  <c r="DD110" i="43"/>
  <c r="DC110" i="43"/>
  <c r="DB110" i="43"/>
  <c r="DA110" i="43"/>
  <c r="CZ110" i="43"/>
  <c r="CY110" i="43"/>
  <c r="CX110" i="43"/>
  <c r="CW110" i="43"/>
  <c r="CV110" i="43"/>
  <c r="CU110" i="43"/>
  <c r="CT110" i="43"/>
  <c r="CS110" i="43"/>
  <c r="CR110" i="43"/>
  <c r="CQ110" i="43"/>
  <c r="CP110" i="43"/>
  <c r="CO110" i="43"/>
  <c r="CN110" i="43"/>
  <c r="CM110" i="43"/>
  <c r="CL110" i="43"/>
  <c r="CK110" i="43"/>
  <c r="CJ110" i="43"/>
  <c r="CI110" i="43"/>
  <c r="CH110" i="43"/>
  <c r="CG110" i="43"/>
  <c r="CF110" i="43"/>
  <c r="CE110" i="43"/>
  <c r="CD110" i="43"/>
  <c r="CC110" i="43"/>
  <c r="CB110" i="43"/>
  <c r="CA110" i="43"/>
  <c r="BZ110" i="43"/>
  <c r="BY110" i="43"/>
  <c r="BX110" i="43"/>
  <c r="BW110" i="43"/>
  <c r="BV110" i="43"/>
  <c r="BU110" i="43"/>
  <c r="BT110" i="43"/>
  <c r="BS110" i="43"/>
  <c r="BR110" i="43"/>
  <c r="BQ110" i="43"/>
  <c r="BP110" i="43"/>
  <c r="BO110" i="43"/>
  <c r="BN110" i="43"/>
  <c r="BM110" i="43"/>
  <c r="BL110" i="43"/>
  <c r="BK110" i="43"/>
  <c r="BJ110" i="43"/>
  <c r="BI110" i="43"/>
  <c r="BH110" i="43"/>
  <c r="BG110" i="43"/>
  <c r="BF110" i="43"/>
  <c r="BE110" i="43"/>
  <c r="BD110" i="43"/>
  <c r="BC110" i="43"/>
  <c r="BB110" i="43"/>
  <c r="BA110" i="43"/>
  <c r="AZ110" i="43"/>
  <c r="AY110" i="43"/>
  <c r="AX110" i="43"/>
  <c r="AW110" i="43"/>
  <c r="AV110" i="43"/>
  <c r="AU110" i="43"/>
  <c r="AT110" i="43"/>
  <c r="AS110" i="43"/>
  <c r="AR110" i="43"/>
  <c r="AQ110" i="43"/>
  <c r="AP110" i="43"/>
  <c r="AO110" i="43"/>
  <c r="AN110" i="43"/>
  <c r="AM110" i="43"/>
  <c r="AL110" i="43"/>
  <c r="AK110" i="43"/>
  <c r="AJ110" i="43"/>
  <c r="AI110" i="43"/>
  <c r="AH110" i="43"/>
  <c r="AG110" i="43"/>
  <c r="AF110" i="43"/>
  <c r="AE110" i="43"/>
  <c r="AD110" i="43"/>
  <c r="AC110" i="43"/>
  <c r="AB110" i="43"/>
  <c r="AA110" i="43"/>
  <c r="Z110" i="43"/>
  <c r="Y110" i="43"/>
  <c r="X110" i="43"/>
  <c r="W110" i="43"/>
  <c r="V110" i="43"/>
  <c r="U110" i="43"/>
  <c r="T110" i="43"/>
  <c r="S110" i="43"/>
  <c r="R110" i="43"/>
  <c r="Q110" i="43"/>
  <c r="P110" i="43"/>
  <c r="O110" i="43"/>
  <c r="N110" i="43"/>
  <c r="DK109" i="43"/>
  <c r="DJ109" i="43"/>
  <c r="DI109" i="43"/>
  <c r="DH109" i="43"/>
  <c r="DG109" i="43"/>
  <c r="DF109" i="43"/>
  <c r="DE109" i="43"/>
  <c r="DD109" i="43"/>
  <c r="DC109" i="43"/>
  <c r="DB109" i="43"/>
  <c r="DA109" i="43"/>
  <c r="CZ109" i="43"/>
  <c r="CY109" i="43"/>
  <c r="CX109" i="43"/>
  <c r="CW109" i="43"/>
  <c r="CV109" i="43"/>
  <c r="CU109" i="43"/>
  <c r="CT109" i="43"/>
  <c r="CS109" i="43"/>
  <c r="CR109" i="43"/>
  <c r="CQ109" i="43"/>
  <c r="CP109" i="43"/>
  <c r="CO109" i="43"/>
  <c r="CN109" i="43"/>
  <c r="CM109" i="43"/>
  <c r="CL109" i="43"/>
  <c r="CK109" i="43"/>
  <c r="CJ109" i="43"/>
  <c r="CI109" i="43"/>
  <c r="CH109" i="43"/>
  <c r="CG109" i="43"/>
  <c r="CF109" i="43"/>
  <c r="CE109" i="43"/>
  <c r="CD109" i="43"/>
  <c r="CC109" i="43"/>
  <c r="CB109" i="43"/>
  <c r="CA109" i="43"/>
  <c r="BZ109" i="43"/>
  <c r="BY109" i="43"/>
  <c r="BX109" i="43"/>
  <c r="BW109" i="43"/>
  <c r="BV109" i="43"/>
  <c r="BU109" i="43"/>
  <c r="BT109" i="43"/>
  <c r="BS109" i="43"/>
  <c r="BR109" i="43"/>
  <c r="BQ109" i="43"/>
  <c r="BP109" i="43"/>
  <c r="BO109" i="43"/>
  <c r="BN109" i="43"/>
  <c r="BM109" i="43"/>
  <c r="BL109" i="43"/>
  <c r="BK109" i="43"/>
  <c r="BJ109" i="43"/>
  <c r="BI109" i="43"/>
  <c r="BH109" i="43"/>
  <c r="BG109" i="43"/>
  <c r="BF109" i="43"/>
  <c r="BE109" i="43"/>
  <c r="BD109" i="43"/>
  <c r="BC109" i="43"/>
  <c r="BB109" i="43"/>
  <c r="BA109" i="43"/>
  <c r="AZ109" i="43"/>
  <c r="AY109" i="43"/>
  <c r="AX109" i="43"/>
  <c r="AW109" i="43"/>
  <c r="AV109" i="43"/>
  <c r="AU109" i="43"/>
  <c r="AT109" i="43"/>
  <c r="AS109" i="43"/>
  <c r="AR109" i="43"/>
  <c r="AQ109" i="43"/>
  <c r="AP109" i="43"/>
  <c r="AO109" i="43"/>
  <c r="AN109" i="43"/>
  <c r="AM109" i="43"/>
  <c r="AL109" i="43"/>
  <c r="AK109" i="43"/>
  <c r="AJ109" i="43"/>
  <c r="AI109" i="43"/>
  <c r="AH109" i="43"/>
  <c r="AG109" i="43"/>
  <c r="AF109" i="43"/>
  <c r="AE109" i="43"/>
  <c r="AD109" i="43"/>
  <c r="AC109" i="43"/>
  <c r="AB109" i="43"/>
  <c r="AA109" i="43"/>
  <c r="Z109" i="43"/>
  <c r="Y109" i="43"/>
  <c r="X109" i="43"/>
  <c r="W109" i="43"/>
  <c r="V109" i="43"/>
  <c r="U109" i="43"/>
  <c r="T109" i="43"/>
  <c r="S109" i="43"/>
  <c r="R109" i="43"/>
  <c r="Q109" i="43"/>
  <c r="P109" i="43"/>
  <c r="O109" i="43"/>
  <c r="N109" i="43"/>
  <c r="DK108" i="43"/>
  <c r="DJ108" i="43"/>
  <c r="DI108" i="43"/>
  <c r="DH108" i="43"/>
  <c r="DG108" i="43"/>
  <c r="DF108" i="43"/>
  <c r="DE108" i="43"/>
  <c r="DD108" i="43"/>
  <c r="DC108" i="43"/>
  <c r="DB108" i="43"/>
  <c r="DA108" i="43"/>
  <c r="CZ108" i="43"/>
  <c r="CY108" i="43"/>
  <c r="CX108" i="43"/>
  <c r="CW108" i="43"/>
  <c r="CV108" i="43"/>
  <c r="CU108" i="43"/>
  <c r="CT108" i="43"/>
  <c r="CS108" i="43"/>
  <c r="CR108" i="43"/>
  <c r="CQ108" i="43"/>
  <c r="CP108" i="43"/>
  <c r="CO108" i="43"/>
  <c r="CN108" i="43"/>
  <c r="CM108" i="43"/>
  <c r="CL108" i="43"/>
  <c r="CK108" i="43"/>
  <c r="CJ108" i="43"/>
  <c r="CI108" i="43"/>
  <c r="CH108" i="43"/>
  <c r="CG108" i="43"/>
  <c r="CF108" i="43"/>
  <c r="CE108" i="43"/>
  <c r="CD108" i="43"/>
  <c r="CC108" i="43"/>
  <c r="CB108" i="43"/>
  <c r="CA108" i="43"/>
  <c r="BZ108" i="43"/>
  <c r="BY108" i="43"/>
  <c r="BX108" i="43"/>
  <c r="BW108" i="43"/>
  <c r="BV108" i="43"/>
  <c r="BU108" i="43"/>
  <c r="BT108" i="43"/>
  <c r="BS108" i="43"/>
  <c r="BR108" i="43"/>
  <c r="BQ108" i="43"/>
  <c r="BP108" i="43"/>
  <c r="BO108" i="43"/>
  <c r="BN108" i="43"/>
  <c r="BM108" i="43"/>
  <c r="BL108" i="43"/>
  <c r="BK108" i="43"/>
  <c r="BJ108" i="43"/>
  <c r="BI108" i="43"/>
  <c r="BH108" i="43"/>
  <c r="BG108" i="43"/>
  <c r="BF108" i="43"/>
  <c r="BE108" i="43"/>
  <c r="BD108" i="43"/>
  <c r="BC108" i="43"/>
  <c r="BB108" i="43"/>
  <c r="BA108" i="43"/>
  <c r="AZ108" i="43"/>
  <c r="AY108" i="43"/>
  <c r="AX108" i="43"/>
  <c r="AW108" i="43"/>
  <c r="AV108" i="43"/>
  <c r="AU108" i="43"/>
  <c r="AT108" i="43"/>
  <c r="AS108" i="43"/>
  <c r="AR108" i="43"/>
  <c r="AQ108" i="43"/>
  <c r="AP108" i="43"/>
  <c r="AO108" i="43"/>
  <c r="AN108" i="43"/>
  <c r="AM108" i="43"/>
  <c r="AL108" i="43"/>
  <c r="AK108" i="43"/>
  <c r="AJ108" i="43"/>
  <c r="AI108" i="43"/>
  <c r="AH108" i="43"/>
  <c r="AG108" i="43"/>
  <c r="AF108" i="43"/>
  <c r="AE108" i="43"/>
  <c r="AD108" i="43"/>
  <c r="AC108" i="43"/>
  <c r="AB108" i="43"/>
  <c r="AA108" i="43"/>
  <c r="Z108" i="43"/>
  <c r="Y108" i="43"/>
  <c r="X108" i="43"/>
  <c r="W108" i="43"/>
  <c r="V108" i="43"/>
  <c r="U108" i="43"/>
  <c r="T108" i="43"/>
  <c r="S108" i="43"/>
  <c r="R108" i="43"/>
  <c r="Q108" i="43"/>
  <c r="P108" i="43"/>
  <c r="O108" i="43"/>
  <c r="N108" i="43"/>
  <c r="DK107" i="43"/>
  <c r="DJ107" i="43"/>
  <c r="DI107" i="43"/>
  <c r="DH107" i="43"/>
  <c r="DG107" i="43"/>
  <c r="DF107" i="43"/>
  <c r="DE107" i="43"/>
  <c r="DD107" i="43"/>
  <c r="DC107" i="43"/>
  <c r="DB107" i="43"/>
  <c r="DA107" i="43"/>
  <c r="CZ107" i="43"/>
  <c r="CY107" i="43"/>
  <c r="CX107" i="43"/>
  <c r="CW107" i="43"/>
  <c r="CV107" i="43"/>
  <c r="CU107" i="43"/>
  <c r="CT107" i="43"/>
  <c r="CS107" i="43"/>
  <c r="CR107" i="43"/>
  <c r="CQ107" i="43"/>
  <c r="CP107" i="43"/>
  <c r="CO107" i="43"/>
  <c r="CN107" i="43"/>
  <c r="CM107" i="43"/>
  <c r="CL107" i="43"/>
  <c r="CK107" i="43"/>
  <c r="CJ107" i="43"/>
  <c r="CI107" i="43"/>
  <c r="CH107" i="43"/>
  <c r="CG107" i="43"/>
  <c r="CF107" i="43"/>
  <c r="CE107" i="43"/>
  <c r="CD107" i="43"/>
  <c r="CC107" i="43"/>
  <c r="CB107" i="43"/>
  <c r="CA107" i="43"/>
  <c r="BZ107" i="43"/>
  <c r="BY107" i="43"/>
  <c r="BX107" i="43"/>
  <c r="BW107" i="43"/>
  <c r="BV107" i="43"/>
  <c r="BU107" i="43"/>
  <c r="BT107" i="43"/>
  <c r="BS107" i="43"/>
  <c r="BR107" i="43"/>
  <c r="BQ107" i="43"/>
  <c r="BP107" i="43"/>
  <c r="BO107" i="43"/>
  <c r="BN107" i="43"/>
  <c r="BM107" i="43"/>
  <c r="BL107" i="43"/>
  <c r="BK107" i="43"/>
  <c r="BJ107" i="43"/>
  <c r="BI107" i="43"/>
  <c r="BH107" i="43"/>
  <c r="BG107" i="43"/>
  <c r="BF107" i="43"/>
  <c r="BE107" i="43"/>
  <c r="BD107" i="43"/>
  <c r="BC107" i="43"/>
  <c r="BB107" i="43"/>
  <c r="BA107" i="43"/>
  <c r="AZ107" i="43"/>
  <c r="AY107" i="43"/>
  <c r="AX107" i="43"/>
  <c r="AW107" i="43"/>
  <c r="AV107" i="43"/>
  <c r="AU107" i="43"/>
  <c r="AT107" i="43"/>
  <c r="AS107" i="43"/>
  <c r="AR107" i="43"/>
  <c r="AQ107" i="43"/>
  <c r="AP107" i="43"/>
  <c r="AO107" i="43"/>
  <c r="AN107" i="43"/>
  <c r="AM107" i="43"/>
  <c r="AL107" i="43"/>
  <c r="AK107" i="43"/>
  <c r="AJ107" i="43"/>
  <c r="AI107" i="43"/>
  <c r="AH107" i="43"/>
  <c r="AG107" i="43"/>
  <c r="AF107" i="43"/>
  <c r="AE107" i="43"/>
  <c r="AD107" i="43"/>
  <c r="AC107" i="43"/>
  <c r="AB107" i="43"/>
  <c r="AA107" i="43"/>
  <c r="Z107" i="43"/>
  <c r="Y107" i="43"/>
  <c r="X107" i="43"/>
  <c r="W107" i="43"/>
  <c r="V107" i="43"/>
  <c r="U107" i="43"/>
  <c r="T107" i="43"/>
  <c r="S107" i="43"/>
  <c r="R107" i="43"/>
  <c r="Q107" i="43"/>
  <c r="P107" i="43"/>
  <c r="O107" i="43"/>
  <c r="N107" i="43"/>
  <c r="DK106" i="43"/>
  <c r="DJ106" i="43"/>
  <c r="DI106" i="43"/>
  <c r="DH106" i="43"/>
  <c r="DG106" i="43"/>
  <c r="DF106" i="43"/>
  <c r="DE106" i="43"/>
  <c r="DD106" i="43"/>
  <c r="DC106" i="43"/>
  <c r="DB106" i="43"/>
  <c r="DA106" i="43"/>
  <c r="CZ106" i="43"/>
  <c r="CY106" i="43"/>
  <c r="CX106" i="43"/>
  <c r="CW106" i="43"/>
  <c r="CV106" i="43"/>
  <c r="CU106" i="43"/>
  <c r="CT106" i="43"/>
  <c r="CS106" i="43"/>
  <c r="CR106" i="43"/>
  <c r="CQ106" i="43"/>
  <c r="CP106" i="43"/>
  <c r="CO106" i="43"/>
  <c r="CN106" i="43"/>
  <c r="CM106" i="43"/>
  <c r="CL106" i="43"/>
  <c r="CK106" i="43"/>
  <c r="CJ106" i="43"/>
  <c r="CI106" i="43"/>
  <c r="CH106" i="43"/>
  <c r="CG106" i="43"/>
  <c r="CF106" i="43"/>
  <c r="CE106" i="43"/>
  <c r="CD106" i="43"/>
  <c r="CC106" i="43"/>
  <c r="CB106" i="43"/>
  <c r="CA106" i="43"/>
  <c r="BZ106" i="43"/>
  <c r="BY106" i="43"/>
  <c r="BX106" i="43"/>
  <c r="BW106" i="43"/>
  <c r="BV106" i="43"/>
  <c r="BU106" i="43"/>
  <c r="BT106" i="43"/>
  <c r="BS106" i="43"/>
  <c r="BR106" i="43"/>
  <c r="BQ106" i="43"/>
  <c r="BP106" i="43"/>
  <c r="BO106" i="43"/>
  <c r="BN106" i="43"/>
  <c r="BM106" i="43"/>
  <c r="BL106" i="43"/>
  <c r="BK106" i="43"/>
  <c r="BJ106" i="43"/>
  <c r="BI106" i="43"/>
  <c r="BH106" i="43"/>
  <c r="BG106" i="43"/>
  <c r="BF106" i="43"/>
  <c r="BE106" i="43"/>
  <c r="BD106" i="43"/>
  <c r="BC106" i="43"/>
  <c r="BB106" i="43"/>
  <c r="BA106" i="43"/>
  <c r="AZ106" i="43"/>
  <c r="AY106" i="43"/>
  <c r="AX106" i="43"/>
  <c r="AW106" i="43"/>
  <c r="AV106" i="43"/>
  <c r="AU106" i="43"/>
  <c r="AT106" i="43"/>
  <c r="AS106" i="43"/>
  <c r="AR106" i="43"/>
  <c r="AQ106" i="43"/>
  <c r="AP106" i="43"/>
  <c r="AO106" i="43"/>
  <c r="AN106" i="43"/>
  <c r="AM106" i="43"/>
  <c r="AL106" i="43"/>
  <c r="AK106" i="43"/>
  <c r="AJ106" i="43"/>
  <c r="AI106" i="43"/>
  <c r="AH106" i="43"/>
  <c r="AG106" i="43"/>
  <c r="AF106" i="43"/>
  <c r="AE106" i="43"/>
  <c r="AD106" i="43"/>
  <c r="AC106" i="43"/>
  <c r="AB106" i="43"/>
  <c r="AA106" i="43"/>
  <c r="Z106" i="43"/>
  <c r="Y106" i="43"/>
  <c r="X106" i="43"/>
  <c r="W106" i="43"/>
  <c r="V106" i="43"/>
  <c r="U106" i="43"/>
  <c r="T106" i="43"/>
  <c r="S106" i="43"/>
  <c r="R106" i="43"/>
  <c r="Q106" i="43"/>
  <c r="P106" i="43"/>
  <c r="O106" i="43"/>
  <c r="N106" i="43"/>
  <c r="DK105" i="43"/>
  <c r="DJ105" i="43"/>
  <c r="DI105" i="43"/>
  <c r="DH105" i="43"/>
  <c r="DG105" i="43"/>
  <c r="DF105" i="43"/>
  <c r="DE105" i="43"/>
  <c r="DD105" i="43"/>
  <c r="DC105" i="43"/>
  <c r="DB105" i="43"/>
  <c r="DA105" i="43"/>
  <c r="CZ105" i="43"/>
  <c r="CY105" i="43"/>
  <c r="CX105" i="43"/>
  <c r="CW105" i="43"/>
  <c r="CV105" i="43"/>
  <c r="CU105" i="43"/>
  <c r="CT105" i="43"/>
  <c r="CS105" i="43"/>
  <c r="CR105" i="43"/>
  <c r="CQ105" i="43"/>
  <c r="CP105" i="43"/>
  <c r="CO105" i="43"/>
  <c r="CN105" i="43"/>
  <c r="CM105" i="43"/>
  <c r="CL105" i="43"/>
  <c r="CK105" i="43"/>
  <c r="CJ105" i="43"/>
  <c r="CI105" i="43"/>
  <c r="CH105" i="43"/>
  <c r="CG105" i="43"/>
  <c r="CF105" i="43"/>
  <c r="CE105" i="43"/>
  <c r="CD105" i="43"/>
  <c r="CC105" i="43"/>
  <c r="CB105" i="43"/>
  <c r="CA105" i="43"/>
  <c r="BZ105" i="43"/>
  <c r="BY105" i="43"/>
  <c r="BX105" i="43"/>
  <c r="BW105" i="43"/>
  <c r="BV105" i="43"/>
  <c r="BU105" i="43"/>
  <c r="BT105" i="43"/>
  <c r="BS105" i="43"/>
  <c r="BR105" i="43"/>
  <c r="BQ105" i="43"/>
  <c r="BP105" i="43"/>
  <c r="BO105" i="43"/>
  <c r="BN105" i="43"/>
  <c r="BM105" i="43"/>
  <c r="BL105" i="43"/>
  <c r="BK105" i="43"/>
  <c r="BJ105" i="43"/>
  <c r="BI105" i="43"/>
  <c r="BH105" i="43"/>
  <c r="BG105" i="43"/>
  <c r="BF105" i="43"/>
  <c r="BE105" i="43"/>
  <c r="BD105" i="43"/>
  <c r="BC105" i="43"/>
  <c r="BB105" i="43"/>
  <c r="BA105" i="43"/>
  <c r="AZ105" i="43"/>
  <c r="AY105" i="43"/>
  <c r="AX105" i="43"/>
  <c r="AW105" i="43"/>
  <c r="AV105" i="43"/>
  <c r="AU105" i="43"/>
  <c r="AT105" i="43"/>
  <c r="AS105" i="43"/>
  <c r="AR105" i="43"/>
  <c r="AQ105" i="43"/>
  <c r="AP105" i="43"/>
  <c r="AO105" i="43"/>
  <c r="AN105" i="43"/>
  <c r="AM105" i="43"/>
  <c r="AL105" i="43"/>
  <c r="AK105" i="43"/>
  <c r="AJ105" i="43"/>
  <c r="AI105" i="43"/>
  <c r="AH105" i="43"/>
  <c r="AG105" i="43"/>
  <c r="AF105" i="43"/>
  <c r="AE105" i="43"/>
  <c r="AD105" i="43"/>
  <c r="AC105" i="43"/>
  <c r="AB105" i="43"/>
  <c r="AA105" i="43"/>
  <c r="Z105" i="43"/>
  <c r="Y105" i="43"/>
  <c r="X105" i="43"/>
  <c r="W105" i="43"/>
  <c r="V105" i="43"/>
  <c r="U105" i="43"/>
  <c r="T105" i="43"/>
  <c r="S105" i="43"/>
  <c r="R105" i="43"/>
  <c r="Q105" i="43"/>
  <c r="P105" i="43"/>
  <c r="O105" i="43"/>
  <c r="N105" i="43"/>
  <c r="DK104" i="43"/>
  <c r="DJ104" i="43"/>
  <c r="DI104" i="43"/>
  <c r="DH104" i="43"/>
  <c r="DG104" i="43"/>
  <c r="DF104" i="43"/>
  <c r="DE104" i="43"/>
  <c r="DD104" i="43"/>
  <c r="DC104" i="43"/>
  <c r="DB104" i="43"/>
  <c r="DA104" i="43"/>
  <c r="CZ104" i="43"/>
  <c r="CY104" i="43"/>
  <c r="CX104" i="43"/>
  <c r="CW104" i="43"/>
  <c r="CV104" i="43"/>
  <c r="CU104" i="43"/>
  <c r="CT104" i="43"/>
  <c r="CS104" i="43"/>
  <c r="CR104" i="43"/>
  <c r="CQ104" i="43"/>
  <c r="CP104" i="43"/>
  <c r="CO104" i="43"/>
  <c r="CN104" i="43"/>
  <c r="CM104" i="43"/>
  <c r="CL104" i="43"/>
  <c r="CK104" i="43"/>
  <c r="CJ104" i="43"/>
  <c r="CI104" i="43"/>
  <c r="CH104" i="43"/>
  <c r="CG104" i="43"/>
  <c r="CF104" i="43"/>
  <c r="CE104" i="43"/>
  <c r="CD104" i="43"/>
  <c r="CC104" i="43"/>
  <c r="CB104" i="43"/>
  <c r="CA104" i="43"/>
  <c r="BZ104" i="43"/>
  <c r="BY104" i="43"/>
  <c r="BX104" i="43"/>
  <c r="BW104" i="43"/>
  <c r="BV104" i="43"/>
  <c r="BU104" i="43"/>
  <c r="BT104" i="43"/>
  <c r="BS104" i="43"/>
  <c r="BR104" i="43"/>
  <c r="BQ104" i="43"/>
  <c r="BP104" i="43"/>
  <c r="BO104" i="43"/>
  <c r="BN104" i="43"/>
  <c r="BM104" i="43"/>
  <c r="BL104" i="43"/>
  <c r="BK104" i="43"/>
  <c r="BJ104" i="43"/>
  <c r="BI104" i="43"/>
  <c r="BH104" i="43"/>
  <c r="BG104" i="43"/>
  <c r="BF104" i="43"/>
  <c r="BE104" i="43"/>
  <c r="BD104" i="43"/>
  <c r="BC104" i="43"/>
  <c r="BB104" i="43"/>
  <c r="BA104" i="43"/>
  <c r="AZ104" i="43"/>
  <c r="AY104" i="43"/>
  <c r="AX104" i="43"/>
  <c r="AW104" i="43"/>
  <c r="AV104" i="43"/>
  <c r="AU104" i="43"/>
  <c r="AT104" i="43"/>
  <c r="AS104" i="43"/>
  <c r="AR104" i="43"/>
  <c r="AQ104" i="43"/>
  <c r="AP104" i="43"/>
  <c r="AO104" i="43"/>
  <c r="AN104" i="43"/>
  <c r="AM104" i="43"/>
  <c r="AL104" i="43"/>
  <c r="AK104" i="43"/>
  <c r="AJ104" i="43"/>
  <c r="AI104" i="43"/>
  <c r="AH104" i="43"/>
  <c r="AG104" i="43"/>
  <c r="AF104" i="43"/>
  <c r="AE104" i="43"/>
  <c r="AD104" i="43"/>
  <c r="AC104" i="43"/>
  <c r="AB104" i="43"/>
  <c r="AA104" i="43"/>
  <c r="Z104" i="43"/>
  <c r="Y104" i="43"/>
  <c r="X104" i="43"/>
  <c r="W104" i="43"/>
  <c r="V104" i="43"/>
  <c r="U104" i="43"/>
  <c r="T104" i="43"/>
  <c r="S104" i="43"/>
  <c r="R104" i="43"/>
  <c r="Q104" i="43"/>
  <c r="P104" i="43"/>
  <c r="O104" i="43"/>
  <c r="N104" i="43"/>
  <c r="DK103" i="43"/>
  <c r="DJ103" i="43"/>
  <c r="DI103" i="43"/>
  <c r="DH103" i="43"/>
  <c r="DG103" i="43"/>
  <c r="DF103" i="43"/>
  <c r="DE103" i="43"/>
  <c r="DD103" i="43"/>
  <c r="DC103" i="43"/>
  <c r="DB103" i="43"/>
  <c r="DA103" i="43"/>
  <c r="CZ103" i="43"/>
  <c r="CY103" i="43"/>
  <c r="CX103" i="43"/>
  <c r="CW103" i="43"/>
  <c r="CV103" i="43"/>
  <c r="CU103" i="43"/>
  <c r="CT103" i="43"/>
  <c r="CS103" i="43"/>
  <c r="CR103" i="43"/>
  <c r="CQ103" i="43"/>
  <c r="CP103" i="43"/>
  <c r="CO103" i="43"/>
  <c r="CN103" i="43"/>
  <c r="CM103" i="43"/>
  <c r="CL103" i="43"/>
  <c r="CK103" i="43"/>
  <c r="CJ103" i="43"/>
  <c r="CI103" i="43"/>
  <c r="CH103" i="43"/>
  <c r="CG103" i="43"/>
  <c r="CF103" i="43"/>
  <c r="CE103" i="43"/>
  <c r="CD103" i="43"/>
  <c r="CC103" i="43"/>
  <c r="CB103" i="43"/>
  <c r="CA103" i="43"/>
  <c r="BZ103" i="43"/>
  <c r="BY103" i="43"/>
  <c r="BX103" i="43"/>
  <c r="BW103" i="43"/>
  <c r="BV103" i="43"/>
  <c r="BU103" i="43"/>
  <c r="BT103" i="43"/>
  <c r="BS103" i="43"/>
  <c r="BR103" i="43"/>
  <c r="BQ103" i="43"/>
  <c r="BP103" i="43"/>
  <c r="BO103" i="43"/>
  <c r="BN103" i="43"/>
  <c r="BM103" i="43"/>
  <c r="BL103" i="43"/>
  <c r="BK103" i="43"/>
  <c r="BJ103" i="43"/>
  <c r="BI103" i="43"/>
  <c r="BH103" i="43"/>
  <c r="BG103" i="43"/>
  <c r="BF103" i="43"/>
  <c r="BE103" i="43"/>
  <c r="BD103" i="43"/>
  <c r="BC103" i="43"/>
  <c r="BB103" i="43"/>
  <c r="BA103" i="43"/>
  <c r="AZ103" i="43"/>
  <c r="AY103" i="43"/>
  <c r="AX103" i="43"/>
  <c r="AW103" i="43"/>
  <c r="AV103" i="43"/>
  <c r="AU103" i="43"/>
  <c r="AT103" i="43"/>
  <c r="AS103" i="43"/>
  <c r="AR103" i="43"/>
  <c r="AQ103" i="43"/>
  <c r="AP103" i="43"/>
  <c r="AO103" i="43"/>
  <c r="AN103" i="43"/>
  <c r="AM103" i="43"/>
  <c r="AL103" i="43"/>
  <c r="AK103" i="43"/>
  <c r="AJ103" i="43"/>
  <c r="AI103" i="43"/>
  <c r="AH103" i="43"/>
  <c r="AG103" i="43"/>
  <c r="AF103" i="43"/>
  <c r="AE103" i="43"/>
  <c r="AD103" i="43"/>
  <c r="AC103" i="43"/>
  <c r="AB103" i="43"/>
  <c r="AA103" i="43"/>
  <c r="Z103" i="43"/>
  <c r="Y103" i="43"/>
  <c r="X103" i="43"/>
  <c r="W103" i="43"/>
  <c r="V103" i="43"/>
  <c r="U103" i="43"/>
  <c r="T103" i="43"/>
  <c r="S103" i="43"/>
  <c r="R103" i="43"/>
  <c r="Q103" i="43"/>
  <c r="P103" i="43"/>
  <c r="O103" i="43"/>
  <c r="N103" i="43"/>
  <c r="DK102" i="43"/>
  <c r="DJ102" i="43"/>
  <c r="DI102" i="43"/>
  <c r="DH102" i="43"/>
  <c r="DG102" i="43"/>
  <c r="DF102" i="43"/>
  <c r="DE102" i="43"/>
  <c r="DD102" i="43"/>
  <c r="DC102" i="43"/>
  <c r="DB102" i="43"/>
  <c r="DA102" i="43"/>
  <c r="CZ102" i="43"/>
  <c r="CY102" i="43"/>
  <c r="CX102" i="43"/>
  <c r="CW102" i="43"/>
  <c r="CV102" i="43"/>
  <c r="CU102" i="43"/>
  <c r="CT102" i="43"/>
  <c r="CS102" i="43"/>
  <c r="CR102" i="43"/>
  <c r="CQ102" i="43"/>
  <c r="CP102" i="43"/>
  <c r="CO102" i="43"/>
  <c r="CN102" i="43"/>
  <c r="CM102" i="43"/>
  <c r="CL102" i="43"/>
  <c r="CK102" i="43"/>
  <c r="CJ102" i="43"/>
  <c r="CI102" i="43"/>
  <c r="CH102" i="43"/>
  <c r="CG102" i="43"/>
  <c r="CF102" i="43"/>
  <c r="CE102" i="43"/>
  <c r="CD102" i="43"/>
  <c r="CC102" i="43"/>
  <c r="CB102" i="43"/>
  <c r="CA102" i="43"/>
  <c r="BZ102" i="43"/>
  <c r="BY102" i="43"/>
  <c r="BX102" i="43"/>
  <c r="BW102" i="43"/>
  <c r="BV102" i="43"/>
  <c r="BU102" i="43"/>
  <c r="BT102" i="43"/>
  <c r="BS102" i="43"/>
  <c r="BR102" i="43"/>
  <c r="BQ102" i="43"/>
  <c r="BP102" i="43"/>
  <c r="BO102" i="43"/>
  <c r="BN102" i="43"/>
  <c r="BM102" i="43"/>
  <c r="BL102" i="43"/>
  <c r="BK102" i="43"/>
  <c r="BJ102" i="43"/>
  <c r="BI102" i="43"/>
  <c r="BH102" i="43"/>
  <c r="BG102" i="43"/>
  <c r="BF102" i="43"/>
  <c r="BE102" i="43"/>
  <c r="BD102" i="43"/>
  <c r="BC102" i="43"/>
  <c r="BB102" i="43"/>
  <c r="BA102" i="43"/>
  <c r="AZ102" i="43"/>
  <c r="AY102" i="43"/>
  <c r="AX102" i="43"/>
  <c r="AW102" i="43"/>
  <c r="AV102" i="43"/>
  <c r="AU102" i="43"/>
  <c r="AT102" i="43"/>
  <c r="AS102" i="43"/>
  <c r="AR102" i="43"/>
  <c r="AQ102" i="43"/>
  <c r="AP102" i="43"/>
  <c r="AO102" i="43"/>
  <c r="AN102" i="43"/>
  <c r="AM102" i="43"/>
  <c r="AL102" i="43"/>
  <c r="AK102" i="43"/>
  <c r="AJ102" i="43"/>
  <c r="AI102" i="43"/>
  <c r="AH102" i="43"/>
  <c r="AG102" i="43"/>
  <c r="AF102" i="43"/>
  <c r="AE102" i="43"/>
  <c r="AD102" i="43"/>
  <c r="AC102" i="43"/>
  <c r="AB102" i="43"/>
  <c r="AA102" i="43"/>
  <c r="Z102" i="43"/>
  <c r="Y102" i="43"/>
  <c r="X102" i="43"/>
  <c r="W102" i="43"/>
  <c r="V102" i="43"/>
  <c r="U102" i="43"/>
  <c r="T102" i="43"/>
  <c r="S102" i="43"/>
  <c r="R102" i="43"/>
  <c r="Q102" i="43"/>
  <c r="P102" i="43"/>
  <c r="O102" i="43"/>
  <c r="N102" i="43"/>
  <c r="DK101" i="43"/>
  <c r="DJ101" i="43"/>
  <c r="DI101" i="43"/>
  <c r="DH101" i="43"/>
  <c r="DG101" i="43"/>
  <c r="DF101" i="43"/>
  <c r="DE101" i="43"/>
  <c r="DD101" i="43"/>
  <c r="DC101" i="43"/>
  <c r="DB101" i="43"/>
  <c r="DA101" i="43"/>
  <c r="CZ101" i="43"/>
  <c r="CY101" i="43"/>
  <c r="CX101" i="43"/>
  <c r="CW101" i="43"/>
  <c r="CV101" i="43"/>
  <c r="CU101" i="43"/>
  <c r="CT101" i="43"/>
  <c r="CS101" i="43"/>
  <c r="CR101" i="43"/>
  <c r="CQ101" i="43"/>
  <c r="CP101" i="43"/>
  <c r="CO101" i="43"/>
  <c r="CN101" i="43"/>
  <c r="CM101" i="43"/>
  <c r="CL101" i="43"/>
  <c r="CK101" i="43"/>
  <c r="CJ101" i="43"/>
  <c r="CI101" i="43"/>
  <c r="CH101" i="43"/>
  <c r="CG101" i="43"/>
  <c r="CF101" i="43"/>
  <c r="CE101" i="43"/>
  <c r="CD101" i="43"/>
  <c r="CC101" i="43"/>
  <c r="CB101" i="43"/>
  <c r="CA101" i="43"/>
  <c r="BZ101" i="43"/>
  <c r="BY101" i="43"/>
  <c r="BX101" i="43"/>
  <c r="BW101" i="43"/>
  <c r="BV101" i="43"/>
  <c r="BU101" i="43"/>
  <c r="BT101" i="43"/>
  <c r="BS101" i="43"/>
  <c r="BR101" i="43"/>
  <c r="BQ101" i="43"/>
  <c r="BP101" i="43"/>
  <c r="BO101" i="43"/>
  <c r="BN101" i="43"/>
  <c r="BM101" i="43"/>
  <c r="BL101" i="43"/>
  <c r="BK101" i="43"/>
  <c r="BJ101" i="43"/>
  <c r="BI101" i="43"/>
  <c r="BH101" i="43"/>
  <c r="BG101" i="43"/>
  <c r="BF101" i="43"/>
  <c r="BE101" i="43"/>
  <c r="BD101" i="43"/>
  <c r="BC101" i="43"/>
  <c r="BB101" i="43"/>
  <c r="BA101" i="43"/>
  <c r="AZ101" i="43"/>
  <c r="AY101" i="43"/>
  <c r="AX101" i="43"/>
  <c r="AW101" i="43"/>
  <c r="AV101" i="43"/>
  <c r="AU101" i="43"/>
  <c r="AT101" i="43"/>
  <c r="AS101" i="43"/>
  <c r="AR101" i="43"/>
  <c r="AQ101" i="43"/>
  <c r="AP101" i="43"/>
  <c r="AO101" i="43"/>
  <c r="AN101" i="43"/>
  <c r="AM101" i="43"/>
  <c r="AL101" i="43"/>
  <c r="AK101" i="43"/>
  <c r="AJ101" i="43"/>
  <c r="AI101" i="43"/>
  <c r="AH101" i="43"/>
  <c r="AG101" i="43"/>
  <c r="AF101" i="43"/>
  <c r="AE101" i="43"/>
  <c r="AD101" i="43"/>
  <c r="AC101" i="43"/>
  <c r="AB101" i="43"/>
  <c r="AA101" i="43"/>
  <c r="Z101" i="43"/>
  <c r="Y101" i="43"/>
  <c r="X101" i="43"/>
  <c r="W101" i="43"/>
  <c r="V101" i="43"/>
  <c r="U101" i="43"/>
  <c r="T101" i="43"/>
  <c r="S101" i="43"/>
  <c r="R101" i="43"/>
  <c r="Q101" i="43"/>
  <c r="P101" i="43"/>
  <c r="O101" i="43"/>
  <c r="N101" i="43"/>
  <c r="DK100" i="43"/>
  <c r="DJ100" i="43"/>
  <c r="DI100" i="43"/>
  <c r="DH100" i="43"/>
  <c r="DG100" i="43"/>
  <c r="DF100" i="43"/>
  <c r="DE100" i="43"/>
  <c r="DD100" i="43"/>
  <c r="DC100" i="43"/>
  <c r="DB100" i="43"/>
  <c r="DA100" i="43"/>
  <c r="CZ100" i="43"/>
  <c r="CY100" i="43"/>
  <c r="CX100" i="43"/>
  <c r="CW100" i="43"/>
  <c r="CV100" i="43"/>
  <c r="CU100" i="43"/>
  <c r="CT100" i="43"/>
  <c r="CS100" i="43"/>
  <c r="CR100" i="43"/>
  <c r="CQ100" i="43"/>
  <c r="CP100" i="43"/>
  <c r="CO100" i="43"/>
  <c r="CN100" i="43"/>
  <c r="CM100" i="43"/>
  <c r="CL100" i="43"/>
  <c r="CK100" i="43"/>
  <c r="CJ100" i="43"/>
  <c r="CI100" i="43"/>
  <c r="CH100" i="43"/>
  <c r="CG100" i="43"/>
  <c r="CF100" i="43"/>
  <c r="CE100" i="43"/>
  <c r="CD100" i="43"/>
  <c r="CC100" i="43"/>
  <c r="CB100" i="43"/>
  <c r="CA100" i="43"/>
  <c r="BZ100" i="43"/>
  <c r="BY100" i="43"/>
  <c r="BX100" i="43"/>
  <c r="BW100" i="43"/>
  <c r="BV100" i="43"/>
  <c r="BU100" i="43"/>
  <c r="BT100" i="43"/>
  <c r="BS100" i="43"/>
  <c r="BR100" i="43"/>
  <c r="BQ100" i="43"/>
  <c r="BP100" i="43"/>
  <c r="BO100" i="43"/>
  <c r="BN100" i="43"/>
  <c r="BM100" i="43"/>
  <c r="BL100" i="43"/>
  <c r="BK100" i="43"/>
  <c r="BJ100" i="43"/>
  <c r="BI100" i="43"/>
  <c r="BH100" i="43"/>
  <c r="BG100" i="43"/>
  <c r="BF100" i="43"/>
  <c r="BE100" i="43"/>
  <c r="BD100" i="43"/>
  <c r="BC100" i="43"/>
  <c r="BB100" i="43"/>
  <c r="BA100" i="43"/>
  <c r="AZ100" i="43"/>
  <c r="AY100" i="43"/>
  <c r="AX100" i="43"/>
  <c r="AW100" i="43"/>
  <c r="AV100" i="43"/>
  <c r="AU100" i="43"/>
  <c r="AT100" i="43"/>
  <c r="AS100" i="43"/>
  <c r="AR100" i="43"/>
  <c r="AQ100" i="43"/>
  <c r="AP100" i="43"/>
  <c r="AO100" i="43"/>
  <c r="AN100" i="43"/>
  <c r="AM100" i="43"/>
  <c r="AL100" i="43"/>
  <c r="AK100" i="43"/>
  <c r="AJ100" i="43"/>
  <c r="AI100" i="43"/>
  <c r="AH100" i="43"/>
  <c r="AG100" i="43"/>
  <c r="AF100" i="43"/>
  <c r="AE100" i="43"/>
  <c r="AD100" i="43"/>
  <c r="AC100" i="43"/>
  <c r="AB100" i="43"/>
  <c r="AA100" i="43"/>
  <c r="Z100" i="43"/>
  <c r="Y100" i="43"/>
  <c r="X100" i="43"/>
  <c r="W100" i="43"/>
  <c r="V100" i="43"/>
  <c r="U100" i="43"/>
  <c r="T100" i="43"/>
  <c r="S100" i="43"/>
  <c r="R100" i="43"/>
  <c r="Q100" i="43"/>
  <c r="P100" i="43"/>
  <c r="O100" i="43"/>
  <c r="N100" i="43"/>
  <c r="DK99" i="43"/>
  <c r="DJ99" i="43"/>
  <c r="DI99" i="43"/>
  <c r="DH99" i="43"/>
  <c r="DG99" i="43"/>
  <c r="DF99" i="43"/>
  <c r="DE99" i="43"/>
  <c r="DD99" i="43"/>
  <c r="DC99" i="43"/>
  <c r="DB99" i="43"/>
  <c r="DA99" i="43"/>
  <c r="CZ99" i="43"/>
  <c r="CY99" i="43"/>
  <c r="CX99" i="43"/>
  <c r="CW99" i="43"/>
  <c r="CV99" i="43"/>
  <c r="CU99" i="43"/>
  <c r="CT99" i="43"/>
  <c r="CS99" i="43"/>
  <c r="CR99" i="43"/>
  <c r="CQ99" i="43"/>
  <c r="CP99" i="43"/>
  <c r="CO99" i="43"/>
  <c r="CN99" i="43"/>
  <c r="CM99" i="43"/>
  <c r="CL99" i="43"/>
  <c r="CK99" i="43"/>
  <c r="CJ99" i="43"/>
  <c r="CI99" i="43"/>
  <c r="CH99" i="43"/>
  <c r="CG99" i="43"/>
  <c r="CF99" i="43"/>
  <c r="CE99" i="43"/>
  <c r="CD99" i="43"/>
  <c r="CC99" i="43"/>
  <c r="CB99" i="43"/>
  <c r="CA99" i="43"/>
  <c r="BZ99" i="43"/>
  <c r="BY99" i="43"/>
  <c r="BX99" i="43"/>
  <c r="BW99" i="43"/>
  <c r="BV99" i="43"/>
  <c r="BU99" i="43"/>
  <c r="BT99" i="43"/>
  <c r="BS99" i="43"/>
  <c r="BR99" i="43"/>
  <c r="BQ99" i="43"/>
  <c r="BP99" i="43"/>
  <c r="BO99" i="43"/>
  <c r="BN99" i="43"/>
  <c r="BM99" i="43"/>
  <c r="BL99" i="43"/>
  <c r="BK99" i="43"/>
  <c r="BJ99" i="43"/>
  <c r="BI99" i="43"/>
  <c r="BH99" i="43"/>
  <c r="BG99" i="43"/>
  <c r="BF99" i="43"/>
  <c r="BE99" i="43"/>
  <c r="BD99" i="43"/>
  <c r="BC99" i="43"/>
  <c r="BB99" i="43"/>
  <c r="BA99" i="43"/>
  <c r="AZ99" i="43"/>
  <c r="AY99" i="43"/>
  <c r="AX99" i="43"/>
  <c r="AW99" i="43"/>
  <c r="AV99" i="43"/>
  <c r="AU99" i="43"/>
  <c r="AT99" i="43"/>
  <c r="AS99" i="43"/>
  <c r="AR99" i="43"/>
  <c r="AQ99" i="43"/>
  <c r="AP99" i="43"/>
  <c r="AO99" i="43"/>
  <c r="AN99" i="43"/>
  <c r="AM99" i="43"/>
  <c r="AL99" i="43"/>
  <c r="AK99" i="43"/>
  <c r="AJ99" i="43"/>
  <c r="AI99" i="43"/>
  <c r="AH99" i="43"/>
  <c r="AG99" i="43"/>
  <c r="AF99" i="43"/>
  <c r="AE99" i="43"/>
  <c r="AD99" i="43"/>
  <c r="AC99" i="43"/>
  <c r="AB99" i="43"/>
  <c r="AA99" i="43"/>
  <c r="Z99" i="43"/>
  <c r="Y99" i="43"/>
  <c r="X99" i="43"/>
  <c r="W99" i="43"/>
  <c r="V99" i="43"/>
  <c r="U99" i="43"/>
  <c r="T99" i="43"/>
  <c r="S99" i="43"/>
  <c r="R99" i="43"/>
  <c r="Q99" i="43"/>
  <c r="P99" i="43"/>
  <c r="O99" i="43"/>
  <c r="N99" i="43"/>
  <c r="DK98" i="43"/>
  <c r="DJ98" i="43"/>
  <c r="DI98" i="43"/>
  <c r="DH98" i="43"/>
  <c r="DG98" i="43"/>
  <c r="DF98" i="43"/>
  <c r="DE98" i="43"/>
  <c r="DD98" i="43"/>
  <c r="DC98" i="43"/>
  <c r="DB98" i="43"/>
  <c r="DA98" i="43"/>
  <c r="CZ98" i="43"/>
  <c r="CY98" i="43"/>
  <c r="CX98" i="43"/>
  <c r="CW98" i="43"/>
  <c r="CV98" i="43"/>
  <c r="CU98" i="43"/>
  <c r="CT98" i="43"/>
  <c r="CS98" i="43"/>
  <c r="CR98" i="43"/>
  <c r="CQ98" i="43"/>
  <c r="CP98" i="43"/>
  <c r="CO98" i="43"/>
  <c r="CN98" i="43"/>
  <c r="CM98" i="43"/>
  <c r="CL98" i="43"/>
  <c r="CK98" i="43"/>
  <c r="CJ98" i="43"/>
  <c r="CI98" i="43"/>
  <c r="CH98" i="43"/>
  <c r="CG98" i="43"/>
  <c r="CF98" i="43"/>
  <c r="CE98" i="43"/>
  <c r="CD98" i="43"/>
  <c r="CC98" i="43"/>
  <c r="CB98" i="43"/>
  <c r="CA98" i="43"/>
  <c r="BZ98" i="43"/>
  <c r="BY98" i="43"/>
  <c r="BX98" i="43"/>
  <c r="BW98" i="43"/>
  <c r="BV98" i="43"/>
  <c r="BU98" i="43"/>
  <c r="BT98" i="43"/>
  <c r="BS98" i="43"/>
  <c r="BR98" i="43"/>
  <c r="BQ98" i="43"/>
  <c r="BP98" i="43"/>
  <c r="BO98" i="43"/>
  <c r="BN98" i="43"/>
  <c r="BM98" i="43"/>
  <c r="BL98" i="43"/>
  <c r="BK98" i="43"/>
  <c r="BJ98" i="43"/>
  <c r="BI98" i="43"/>
  <c r="BH98" i="43"/>
  <c r="BG98" i="43"/>
  <c r="BF98" i="43"/>
  <c r="BE98" i="43"/>
  <c r="BD98" i="43"/>
  <c r="BC98" i="43"/>
  <c r="BB98" i="43"/>
  <c r="BA98" i="43"/>
  <c r="AZ98" i="43"/>
  <c r="AY98" i="43"/>
  <c r="AX98" i="43"/>
  <c r="AW98" i="43"/>
  <c r="AV98" i="43"/>
  <c r="AU98" i="43"/>
  <c r="AT98" i="43"/>
  <c r="AS98" i="43"/>
  <c r="AR98" i="43"/>
  <c r="AQ98" i="43"/>
  <c r="AP98" i="43"/>
  <c r="AO98" i="43"/>
  <c r="AN98" i="43"/>
  <c r="AM98" i="43"/>
  <c r="AL98" i="43"/>
  <c r="AK98" i="43"/>
  <c r="AJ98" i="43"/>
  <c r="AI98" i="43"/>
  <c r="AH98" i="43"/>
  <c r="AG98" i="43"/>
  <c r="AF98" i="43"/>
  <c r="AE98" i="43"/>
  <c r="AD98" i="43"/>
  <c r="AC98" i="43"/>
  <c r="AB98" i="43"/>
  <c r="AA98" i="43"/>
  <c r="Z98" i="43"/>
  <c r="Y98" i="43"/>
  <c r="X98" i="43"/>
  <c r="W98" i="43"/>
  <c r="V98" i="43"/>
  <c r="U98" i="43"/>
  <c r="T98" i="43"/>
  <c r="S98" i="43"/>
  <c r="R98" i="43"/>
  <c r="Q98" i="43"/>
  <c r="P98" i="43"/>
  <c r="O98" i="43"/>
  <c r="N98" i="43"/>
  <c r="DK97" i="43"/>
  <c r="DJ97" i="43"/>
  <c r="DI97" i="43"/>
  <c r="DH97" i="43"/>
  <c r="DG97" i="43"/>
  <c r="DF97" i="43"/>
  <c r="DE97" i="43"/>
  <c r="DD97" i="43"/>
  <c r="DC97" i="43"/>
  <c r="DB97" i="43"/>
  <c r="DA97" i="43"/>
  <c r="CZ97" i="43"/>
  <c r="CY97" i="43"/>
  <c r="CX97" i="43"/>
  <c r="CW97" i="43"/>
  <c r="CV97" i="43"/>
  <c r="CU97" i="43"/>
  <c r="CT97" i="43"/>
  <c r="CS97" i="43"/>
  <c r="CR97" i="43"/>
  <c r="CQ97" i="43"/>
  <c r="CP97" i="43"/>
  <c r="CO97" i="43"/>
  <c r="CN97" i="43"/>
  <c r="CM97" i="43"/>
  <c r="CL97" i="43"/>
  <c r="CK97" i="43"/>
  <c r="CJ97" i="43"/>
  <c r="CI97" i="43"/>
  <c r="CH97" i="43"/>
  <c r="CG97" i="43"/>
  <c r="CF97" i="43"/>
  <c r="CE97" i="43"/>
  <c r="CD97" i="43"/>
  <c r="CC97" i="43"/>
  <c r="CB97" i="43"/>
  <c r="CA97" i="43"/>
  <c r="BZ97" i="43"/>
  <c r="BY97" i="43"/>
  <c r="BX97" i="43"/>
  <c r="BW97" i="43"/>
  <c r="BV97" i="43"/>
  <c r="BU97" i="43"/>
  <c r="BT97" i="43"/>
  <c r="BS97" i="43"/>
  <c r="BR97" i="43"/>
  <c r="BQ97" i="43"/>
  <c r="BP97" i="43"/>
  <c r="BO97" i="43"/>
  <c r="BN97" i="43"/>
  <c r="BM97" i="43"/>
  <c r="BL97" i="43"/>
  <c r="BK97" i="43"/>
  <c r="BJ97" i="43"/>
  <c r="BI97" i="43"/>
  <c r="BH97" i="43"/>
  <c r="BG97" i="43"/>
  <c r="BF97" i="43"/>
  <c r="BE97" i="43"/>
  <c r="BD97" i="43"/>
  <c r="BC97" i="43"/>
  <c r="BB97" i="43"/>
  <c r="BA97" i="43"/>
  <c r="AZ97" i="43"/>
  <c r="AY97" i="43"/>
  <c r="AX97" i="43"/>
  <c r="AW97" i="43"/>
  <c r="AV97" i="43"/>
  <c r="AU97" i="43"/>
  <c r="AT97" i="43"/>
  <c r="AS97" i="43"/>
  <c r="AR97" i="43"/>
  <c r="AQ97" i="43"/>
  <c r="AP97" i="43"/>
  <c r="AO97" i="43"/>
  <c r="AN97" i="43"/>
  <c r="AM97" i="43"/>
  <c r="AL97" i="43"/>
  <c r="AK97" i="43"/>
  <c r="AJ97" i="43"/>
  <c r="AI97" i="43"/>
  <c r="AH97" i="43"/>
  <c r="AG97" i="43"/>
  <c r="AF97" i="43"/>
  <c r="AE97" i="43"/>
  <c r="AD97" i="43"/>
  <c r="AC97" i="43"/>
  <c r="AB97" i="43"/>
  <c r="AA97" i="43"/>
  <c r="Z97" i="43"/>
  <c r="Y97" i="43"/>
  <c r="X97" i="43"/>
  <c r="W97" i="43"/>
  <c r="V97" i="43"/>
  <c r="U97" i="43"/>
  <c r="T97" i="43"/>
  <c r="S97" i="43"/>
  <c r="R97" i="43"/>
  <c r="Q97" i="43"/>
  <c r="P97" i="43"/>
  <c r="O97" i="43"/>
  <c r="N97" i="43"/>
  <c r="DK96" i="43"/>
  <c r="DJ96" i="43"/>
  <c r="DI96" i="43"/>
  <c r="DH96" i="43"/>
  <c r="DG96" i="43"/>
  <c r="DF96" i="43"/>
  <c r="DE96" i="43"/>
  <c r="DD96" i="43"/>
  <c r="DC96" i="43"/>
  <c r="DB96" i="43"/>
  <c r="DA96" i="43"/>
  <c r="CZ96" i="43"/>
  <c r="CY96" i="43"/>
  <c r="CX96" i="43"/>
  <c r="CW96" i="43"/>
  <c r="CV96" i="43"/>
  <c r="CU96" i="43"/>
  <c r="CT96" i="43"/>
  <c r="CS96" i="43"/>
  <c r="CR96" i="43"/>
  <c r="CQ96" i="43"/>
  <c r="CP96" i="43"/>
  <c r="CO96" i="43"/>
  <c r="CN96" i="43"/>
  <c r="CM96" i="43"/>
  <c r="CL96" i="43"/>
  <c r="CK96" i="43"/>
  <c r="CJ96" i="43"/>
  <c r="CI96" i="43"/>
  <c r="CH96" i="43"/>
  <c r="CG96" i="43"/>
  <c r="CF96" i="43"/>
  <c r="CE96" i="43"/>
  <c r="CD96" i="43"/>
  <c r="CC96" i="43"/>
  <c r="CB96" i="43"/>
  <c r="CA96" i="43"/>
  <c r="BZ96" i="43"/>
  <c r="BY96" i="43"/>
  <c r="BX96" i="43"/>
  <c r="BW96" i="43"/>
  <c r="BV96" i="43"/>
  <c r="BU96" i="43"/>
  <c r="BT96" i="43"/>
  <c r="BS96" i="43"/>
  <c r="BR96" i="43"/>
  <c r="BQ96" i="43"/>
  <c r="BP96" i="43"/>
  <c r="BO96" i="43"/>
  <c r="BN96" i="43"/>
  <c r="BM96" i="43"/>
  <c r="BL96" i="43"/>
  <c r="BK96" i="43"/>
  <c r="BJ96" i="43"/>
  <c r="BI96" i="43"/>
  <c r="BH96" i="43"/>
  <c r="BG96" i="43"/>
  <c r="BF96" i="43"/>
  <c r="BE96" i="43"/>
  <c r="BD96" i="43"/>
  <c r="BC96" i="43"/>
  <c r="BB96" i="43"/>
  <c r="BA96" i="43"/>
  <c r="AZ96" i="43"/>
  <c r="AY96" i="43"/>
  <c r="AX96" i="43"/>
  <c r="AW96" i="43"/>
  <c r="AV96" i="43"/>
  <c r="AU96" i="43"/>
  <c r="AT96" i="43"/>
  <c r="AS96" i="43"/>
  <c r="AR96" i="43"/>
  <c r="AQ96" i="43"/>
  <c r="AP96" i="43"/>
  <c r="AO96" i="43"/>
  <c r="AN96" i="43"/>
  <c r="AM96" i="43"/>
  <c r="AL96" i="43"/>
  <c r="AK96" i="43"/>
  <c r="AJ96" i="43"/>
  <c r="AI96" i="43"/>
  <c r="AH96" i="43"/>
  <c r="AG96" i="43"/>
  <c r="AF96" i="43"/>
  <c r="AE96" i="43"/>
  <c r="AD96" i="43"/>
  <c r="AC96" i="43"/>
  <c r="AB96" i="43"/>
  <c r="AA96" i="43"/>
  <c r="Z96" i="43"/>
  <c r="Y96" i="43"/>
  <c r="X96" i="43"/>
  <c r="W96" i="43"/>
  <c r="V96" i="43"/>
  <c r="U96" i="43"/>
  <c r="T96" i="43"/>
  <c r="S96" i="43"/>
  <c r="R96" i="43"/>
  <c r="Q96" i="43"/>
  <c r="P96" i="43"/>
  <c r="O96" i="43"/>
  <c r="N96" i="43"/>
  <c r="DK95" i="43"/>
  <c r="DJ95" i="43"/>
  <c r="DI95" i="43"/>
  <c r="DH95" i="43"/>
  <c r="DG95" i="43"/>
  <c r="DF95" i="43"/>
  <c r="DE95" i="43"/>
  <c r="DD95" i="43"/>
  <c r="DC95" i="43"/>
  <c r="DB95" i="43"/>
  <c r="DA95" i="43"/>
  <c r="CZ95" i="43"/>
  <c r="CY95" i="43"/>
  <c r="CX95" i="43"/>
  <c r="CW95" i="43"/>
  <c r="CV95" i="43"/>
  <c r="CU95" i="43"/>
  <c r="CT95" i="43"/>
  <c r="CS95" i="43"/>
  <c r="CR95" i="43"/>
  <c r="CQ95" i="43"/>
  <c r="CP95" i="43"/>
  <c r="CO95" i="43"/>
  <c r="CN95" i="43"/>
  <c r="CM95" i="43"/>
  <c r="CL95" i="43"/>
  <c r="CK95" i="43"/>
  <c r="CJ95" i="43"/>
  <c r="CI95" i="43"/>
  <c r="CH95" i="43"/>
  <c r="CG95" i="43"/>
  <c r="CF95" i="43"/>
  <c r="CE95" i="43"/>
  <c r="CD95" i="43"/>
  <c r="CC95" i="43"/>
  <c r="CB95" i="43"/>
  <c r="CA95" i="43"/>
  <c r="BZ95" i="43"/>
  <c r="BY95" i="43"/>
  <c r="BX95" i="43"/>
  <c r="BW95" i="43"/>
  <c r="BV95" i="43"/>
  <c r="BU95" i="43"/>
  <c r="BT95" i="43"/>
  <c r="BS95" i="43"/>
  <c r="BR95" i="43"/>
  <c r="BQ95" i="43"/>
  <c r="BP95" i="43"/>
  <c r="BO95" i="43"/>
  <c r="BN95" i="43"/>
  <c r="BM95" i="43"/>
  <c r="BL95" i="43"/>
  <c r="BK95" i="43"/>
  <c r="BJ95" i="43"/>
  <c r="BI95" i="43"/>
  <c r="BH95" i="43"/>
  <c r="BG95" i="43"/>
  <c r="BF95" i="43"/>
  <c r="BE95" i="43"/>
  <c r="BD95" i="43"/>
  <c r="BC95" i="43"/>
  <c r="BB95" i="43"/>
  <c r="BA95" i="43"/>
  <c r="AZ95" i="43"/>
  <c r="AY95" i="43"/>
  <c r="AX95" i="43"/>
  <c r="AW95" i="43"/>
  <c r="AV95" i="43"/>
  <c r="AU95" i="43"/>
  <c r="AT95" i="43"/>
  <c r="AS95" i="43"/>
  <c r="AR95" i="43"/>
  <c r="AQ95" i="43"/>
  <c r="AP95" i="43"/>
  <c r="AO95" i="43"/>
  <c r="AN95" i="43"/>
  <c r="AM95" i="43"/>
  <c r="AL95" i="43"/>
  <c r="AK95" i="43"/>
  <c r="AJ95" i="43"/>
  <c r="AI95" i="43"/>
  <c r="AH95" i="43"/>
  <c r="AG95" i="43"/>
  <c r="AF95" i="43"/>
  <c r="AE95" i="43"/>
  <c r="AD95" i="43"/>
  <c r="AC95" i="43"/>
  <c r="AB95" i="43"/>
  <c r="AA95" i="43"/>
  <c r="Z95" i="43"/>
  <c r="Y95" i="43"/>
  <c r="X95" i="43"/>
  <c r="W95" i="43"/>
  <c r="V95" i="43"/>
  <c r="U95" i="43"/>
  <c r="T95" i="43"/>
  <c r="S95" i="43"/>
  <c r="R95" i="43"/>
  <c r="Q95" i="43"/>
  <c r="P95" i="43"/>
  <c r="O95" i="43"/>
  <c r="N95" i="43"/>
  <c r="DK94" i="43"/>
  <c r="DJ94" i="43"/>
  <c r="DI94" i="43"/>
  <c r="DH94" i="43"/>
  <c r="DG94" i="43"/>
  <c r="DF94" i="43"/>
  <c r="DE94" i="43"/>
  <c r="DD94" i="43"/>
  <c r="DC94" i="43"/>
  <c r="DB94" i="43"/>
  <c r="DA94" i="43"/>
  <c r="CZ94" i="43"/>
  <c r="CY94" i="43"/>
  <c r="CX94" i="43"/>
  <c r="CW94" i="43"/>
  <c r="CV94" i="43"/>
  <c r="CU94" i="43"/>
  <c r="CT94" i="43"/>
  <c r="CS94" i="43"/>
  <c r="CR94" i="43"/>
  <c r="CQ94" i="43"/>
  <c r="CP94" i="43"/>
  <c r="CO94" i="43"/>
  <c r="CN94" i="43"/>
  <c r="CM94" i="43"/>
  <c r="CL94" i="43"/>
  <c r="CK94" i="43"/>
  <c r="CJ94" i="43"/>
  <c r="CI94" i="43"/>
  <c r="CH94" i="43"/>
  <c r="CG94" i="43"/>
  <c r="CF94" i="43"/>
  <c r="CE94" i="43"/>
  <c r="CD94" i="43"/>
  <c r="CC94" i="43"/>
  <c r="CB94" i="43"/>
  <c r="CA94" i="43"/>
  <c r="BZ94" i="43"/>
  <c r="BY94" i="43"/>
  <c r="BX94" i="43"/>
  <c r="BW94" i="43"/>
  <c r="BV94" i="43"/>
  <c r="BU94" i="43"/>
  <c r="BT94" i="43"/>
  <c r="BS94" i="43"/>
  <c r="BR94" i="43"/>
  <c r="BQ94" i="43"/>
  <c r="BP94" i="43"/>
  <c r="BO94" i="43"/>
  <c r="BN94" i="43"/>
  <c r="BM94" i="43"/>
  <c r="BL94" i="43"/>
  <c r="BK94" i="43"/>
  <c r="BJ94" i="43"/>
  <c r="BI94" i="43"/>
  <c r="BH94" i="43"/>
  <c r="BG94" i="43"/>
  <c r="BF94" i="43"/>
  <c r="BE94" i="43"/>
  <c r="BD94" i="43"/>
  <c r="BC94" i="43"/>
  <c r="BB94" i="43"/>
  <c r="BA94" i="43"/>
  <c r="AZ94" i="43"/>
  <c r="AY94" i="43"/>
  <c r="AX94" i="43"/>
  <c r="AW94" i="43"/>
  <c r="AV94" i="43"/>
  <c r="AU94" i="43"/>
  <c r="AT94" i="43"/>
  <c r="AS94" i="43"/>
  <c r="AR94" i="43"/>
  <c r="AQ94" i="43"/>
  <c r="AP94" i="43"/>
  <c r="AO94" i="43"/>
  <c r="AN94" i="43"/>
  <c r="AM94" i="43"/>
  <c r="AL94" i="43"/>
  <c r="AK94" i="43"/>
  <c r="AJ94" i="43"/>
  <c r="AI94" i="43"/>
  <c r="AH94" i="43"/>
  <c r="AG94" i="43"/>
  <c r="AF94" i="43"/>
  <c r="AE94" i="43"/>
  <c r="AD94" i="43"/>
  <c r="AC94" i="43"/>
  <c r="AB94" i="43"/>
  <c r="AA94" i="43"/>
  <c r="Z94" i="43"/>
  <c r="Y94" i="43"/>
  <c r="X94" i="43"/>
  <c r="W94" i="43"/>
  <c r="V94" i="43"/>
  <c r="U94" i="43"/>
  <c r="T94" i="43"/>
  <c r="S94" i="43"/>
  <c r="R94" i="43"/>
  <c r="Q94" i="43"/>
  <c r="P94" i="43"/>
  <c r="O94" i="43"/>
  <c r="N94" i="43"/>
  <c r="DK93" i="43"/>
  <c r="DJ93" i="43"/>
  <c r="DI93" i="43"/>
  <c r="DH93" i="43"/>
  <c r="DG93" i="43"/>
  <c r="DF93" i="43"/>
  <c r="DE93" i="43"/>
  <c r="DD93" i="43"/>
  <c r="DC93" i="43"/>
  <c r="DB93" i="43"/>
  <c r="DA93" i="43"/>
  <c r="CZ93" i="43"/>
  <c r="CY93" i="43"/>
  <c r="CX93" i="43"/>
  <c r="CW93" i="43"/>
  <c r="CV93" i="43"/>
  <c r="CU93" i="43"/>
  <c r="CT93" i="43"/>
  <c r="CS93" i="43"/>
  <c r="CR93" i="43"/>
  <c r="CQ93" i="43"/>
  <c r="CP93" i="43"/>
  <c r="CO93" i="43"/>
  <c r="CN93" i="43"/>
  <c r="CM93" i="43"/>
  <c r="CL93" i="43"/>
  <c r="CK93" i="43"/>
  <c r="CJ93" i="43"/>
  <c r="CI93" i="43"/>
  <c r="CH93" i="43"/>
  <c r="CG93" i="43"/>
  <c r="CF93" i="43"/>
  <c r="CE93" i="43"/>
  <c r="CD93" i="43"/>
  <c r="CC93" i="43"/>
  <c r="CB93" i="43"/>
  <c r="CA93" i="43"/>
  <c r="BZ93" i="43"/>
  <c r="BY93" i="43"/>
  <c r="BX93" i="43"/>
  <c r="BW93" i="43"/>
  <c r="BV93" i="43"/>
  <c r="BU93" i="43"/>
  <c r="BT93" i="43"/>
  <c r="BS93" i="43"/>
  <c r="BR93" i="43"/>
  <c r="BQ93" i="43"/>
  <c r="BP93" i="43"/>
  <c r="BO93" i="43"/>
  <c r="BN93" i="43"/>
  <c r="BM93" i="43"/>
  <c r="BL93" i="43"/>
  <c r="BK93" i="43"/>
  <c r="BJ93" i="43"/>
  <c r="BI93" i="43"/>
  <c r="BH93" i="43"/>
  <c r="BG93" i="43"/>
  <c r="BF93" i="43"/>
  <c r="BE93" i="43"/>
  <c r="BD93" i="43"/>
  <c r="BC93" i="43"/>
  <c r="BB93" i="43"/>
  <c r="BA93" i="43"/>
  <c r="AZ93" i="43"/>
  <c r="AY93" i="43"/>
  <c r="AX93" i="43"/>
  <c r="AW93" i="43"/>
  <c r="AV93" i="43"/>
  <c r="AU93" i="43"/>
  <c r="AT93" i="43"/>
  <c r="AS93" i="43"/>
  <c r="AR93" i="43"/>
  <c r="AQ93" i="43"/>
  <c r="AP93" i="43"/>
  <c r="AO93" i="43"/>
  <c r="AN93" i="43"/>
  <c r="AM93" i="43"/>
  <c r="AL93" i="43"/>
  <c r="AK93" i="43"/>
  <c r="AJ93" i="43"/>
  <c r="AI93" i="43"/>
  <c r="AH93" i="43"/>
  <c r="AG93" i="43"/>
  <c r="AF93" i="43"/>
  <c r="AE93" i="43"/>
  <c r="AD93" i="43"/>
  <c r="AC93" i="43"/>
  <c r="AB93" i="43"/>
  <c r="AA93" i="43"/>
  <c r="Z93" i="43"/>
  <c r="Y93" i="43"/>
  <c r="X93" i="43"/>
  <c r="W93" i="43"/>
  <c r="V93" i="43"/>
  <c r="U93" i="43"/>
  <c r="T93" i="43"/>
  <c r="S93" i="43"/>
  <c r="R93" i="43"/>
  <c r="Q93" i="43"/>
  <c r="P93" i="43"/>
  <c r="O93" i="43"/>
  <c r="N93" i="43"/>
  <c r="DK92" i="43"/>
  <c r="DJ92" i="43"/>
  <c r="DI92" i="43"/>
  <c r="DH92" i="43"/>
  <c r="DG92" i="43"/>
  <c r="DF92" i="43"/>
  <c r="DE92" i="43"/>
  <c r="DD92" i="43"/>
  <c r="DC92" i="43"/>
  <c r="DB92" i="43"/>
  <c r="DA92" i="43"/>
  <c r="CZ92" i="43"/>
  <c r="CY92" i="43"/>
  <c r="CX92" i="43"/>
  <c r="CW92" i="43"/>
  <c r="CV92" i="43"/>
  <c r="CU92" i="43"/>
  <c r="CT92" i="43"/>
  <c r="CS92" i="43"/>
  <c r="CR92" i="43"/>
  <c r="CQ92" i="43"/>
  <c r="CP92" i="43"/>
  <c r="CO92" i="43"/>
  <c r="CN92" i="43"/>
  <c r="CM92" i="43"/>
  <c r="CL92" i="43"/>
  <c r="CK92" i="43"/>
  <c r="CJ92" i="43"/>
  <c r="CI92" i="43"/>
  <c r="CH92" i="43"/>
  <c r="CG92" i="43"/>
  <c r="CF92" i="43"/>
  <c r="CE92" i="43"/>
  <c r="CD92" i="43"/>
  <c r="CC92" i="43"/>
  <c r="CB92" i="43"/>
  <c r="CA92" i="43"/>
  <c r="BZ92" i="43"/>
  <c r="BY92" i="43"/>
  <c r="BX92" i="43"/>
  <c r="BW92" i="43"/>
  <c r="BV92" i="43"/>
  <c r="BU92" i="43"/>
  <c r="BT92" i="43"/>
  <c r="BS92" i="43"/>
  <c r="BR92" i="43"/>
  <c r="BQ92" i="43"/>
  <c r="BP92" i="43"/>
  <c r="BO92" i="43"/>
  <c r="BN92" i="43"/>
  <c r="BM92" i="43"/>
  <c r="BL92" i="43"/>
  <c r="BK92" i="43"/>
  <c r="BJ92" i="43"/>
  <c r="BI92" i="43"/>
  <c r="BH92" i="43"/>
  <c r="BG92" i="43"/>
  <c r="BF92" i="43"/>
  <c r="BE92" i="43"/>
  <c r="BD92" i="43"/>
  <c r="BC92" i="43"/>
  <c r="BB92" i="43"/>
  <c r="BA92" i="43"/>
  <c r="AZ92" i="43"/>
  <c r="AY92" i="43"/>
  <c r="AX92" i="43"/>
  <c r="AW92" i="43"/>
  <c r="AV92" i="43"/>
  <c r="AU92" i="43"/>
  <c r="AT92" i="43"/>
  <c r="AS92" i="43"/>
  <c r="AR92" i="43"/>
  <c r="AQ92" i="43"/>
  <c r="AP92" i="43"/>
  <c r="AO92" i="43"/>
  <c r="AN92" i="43"/>
  <c r="AM92" i="43"/>
  <c r="AL92" i="43"/>
  <c r="AK92" i="43"/>
  <c r="AJ92" i="43"/>
  <c r="AI92" i="43"/>
  <c r="AH92" i="43"/>
  <c r="AG92" i="43"/>
  <c r="AF92" i="43"/>
  <c r="AE92" i="43"/>
  <c r="AD92" i="43"/>
  <c r="AC92" i="43"/>
  <c r="AB92" i="43"/>
  <c r="AA92" i="43"/>
  <c r="Z92" i="43"/>
  <c r="Y92" i="43"/>
  <c r="X92" i="43"/>
  <c r="W92" i="43"/>
  <c r="V92" i="43"/>
  <c r="U92" i="43"/>
  <c r="T92" i="43"/>
  <c r="S92" i="43"/>
  <c r="R92" i="43"/>
  <c r="Q92" i="43"/>
  <c r="P92" i="43"/>
  <c r="O92" i="43"/>
  <c r="N92" i="43"/>
  <c r="DK91" i="43"/>
  <c r="DJ91" i="43"/>
  <c r="DI91" i="43"/>
  <c r="DH91" i="43"/>
  <c r="DG91" i="43"/>
  <c r="DF91" i="43"/>
  <c r="DE91" i="43"/>
  <c r="DD91" i="43"/>
  <c r="DC91" i="43"/>
  <c r="DB91" i="43"/>
  <c r="DA91" i="43"/>
  <c r="CZ91" i="43"/>
  <c r="CY91" i="43"/>
  <c r="CX91" i="43"/>
  <c r="CW91" i="43"/>
  <c r="CV91" i="43"/>
  <c r="CU91" i="43"/>
  <c r="CT91" i="43"/>
  <c r="CS91" i="43"/>
  <c r="CR91" i="43"/>
  <c r="CQ91" i="43"/>
  <c r="CP91" i="43"/>
  <c r="CO91" i="43"/>
  <c r="CN91" i="43"/>
  <c r="CM91" i="43"/>
  <c r="CL91" i="43"/>
  <c r="CK91" i="43"/>
  <c r="CJ91" i="43"/>
  <c r="CI91" i="43"/>
  <c r="CH91" i="43"/>
  <c r="CG91" i="43"/>
  <c r="CF91" i="43"/>
  <c r="CE91" i="43"/>
  <c r="CD91" i="43"/>
  <c r="CC91" i="43"/>
  <c r="CB91" i="43"/>
  <c r="CA91" i="43"/>
  <c r="BZ91" i="43"/>
  <c r="BY91" i="43"/>
  <c r="BX91" i="43"/>
  <c r="BW91" i="43"/>
  <c r="BV91" i="43"/>
  <c r="BU91" i="43"/>
  <c r="BT91" i="43"/>
  <c r="BS91" i="43"/>
  <c r="BR91" i="43"/>
  <c r="BQ91" i="43"/>
  <c r="BP91" i="43"/>
  <c r="BO91" i="43"/>
  <c r="BN91" i="43"/>
  <c r="BM91" i="43"/>
  <c r="BL91" i="43"/>
  <c r="BK91" i="43"/>
  <c r="BJ91" i="43"/>
  <c r="BI91" i="43"/>
  <c r="BH91" i="43"/>
  <c r="BG91" i="43"/>
  <c r="BF91" i="43"/>
  <c r="BE91" i="43"/>
  <c r="BD91" i="43"/>
  <c r="BC91" i="43"/>
  <c r="BB91" i="43"/>
  <c r="BA91" i="43"/>
  <c r="AZ91" i="43"/>
  <c r="AY91" i="43"/>
  <c r="AX91" i="43"/>
  <c r="AW91" i="43"/>
  <c r="AV91" i="43"/>
  <c r="AU91" i="43"/>
  <c r="AT91" i="43"/>
  <c r="AS91" i="43"/>
  <c r="AR91" i="43"/>
  <c r="AQ91" i="43"/>
  <c r="AP91" i="43"/>
  <c r="AO91" i="43"/>
  <c r="AN91" i="43"/>
  <c r="AM91" i="43"/>
  <c r="AL91" i="43"/>
  <c r="AK91" i="43"/>
  <c r="AJ91" i="43"/>
  <c r="AI91" i="43"/>
  <c r="AH91" i="43"/>
  <c r="AG91" i="43"/>
  <c r="AF91" i="43"/>
  <c r="AE91" i="43"/>
  <c r="AD91" i="43"/>
  <c r="AC91" i="43"/>
  <c r="AB91" i="43"/>
  <c r="AA91" i="43"/>
  <c r="Z91" i="43"/>
  <c r="Y91" i="43"/>
  <c r="X91" i="43"/>
  <c r="W91" i="43"/>
  <c r="V91" i="43"/>
  <c r="U91" i="43"/>
  <c r="T91" i="43"/>
  <c r="S91" i="43"/>
  <c r="R91" i="43"/>
  <c r="Q91" i="43"/>
  <c r="P91" i="43"/>
  <c r="O91" i="43"/>
  <c r="N91" i="43"/>
  <c r="DK90" i="43"/>
  <c r="DJ90" i="43"/>
  <c r="DI90" i="43"/>
  <c r="DH90" i="43"/>
  <c r="DG90" i="43"/>
  <c r="DF90" i="43"/>
  <c r="DE90" i="43"/>
  <c r="DD90" i="43"/>
  <c r="DC90" i="43"/>
  <c r="DB90" i="43"/>
  <c r="DA90" i="43"/>
  <c r="CZ90" i="43"/>
  <c r="CY90" i="43"/>
  <c r="CX90" i="43"/>
  <c r="CW90" i="43"/>
  <c r="CV90" i="43"/>
  <c r="CU90" i="43"/>
  <c r="CT90" i="43"/>
  <c r="CS90" i="43"/>
  <c r="CR90" i="43"/>
  <c r="CQ90" i="43"/>
  <c r="CP90" i="43"/>
  <c r="CO90" i="43"/>
  <c r="CN90" i="43"/>
  <c r="CM90" i="43"/>
  <c r="CL90" i="43"/>
  <c r="CK90" i="43"/>
  <c r="CJ90" i="43"/>
  <c r="CI90" i="43"/>
  <c r="CH90" i="43"/>
  <c r="CG90" i="43"/>
  <c r="CF90" i="43"/>
  <c r="CE90" i="43"/>
  <c r="CD90" i="43"/>
  <c r="CC90" i="43"/>
  <c r="CB90" i="43"/>
  <c r="CA90" i="43"/>
  <c r="BZ90" i="43"/>
  <c r="BY90" i="43"/>
  <c r="BX90" i="43"/>
  <c r="BW90" i="43"/>
  <c r="BV90" i="43"/>
  <c r="BU90" i="43"/>
  <c r="BT90" i="43"/>
  <c r="BS90" i="43"/>
  <c r="BR90" i="43"/>
  <c r="BQ90" i="43"/>
  <c r="BP90" i="43"/>
  <c r="BO90" i="43"/>
  <c r="BN90" i="43"/>
  <c r="BM90" i="43"/>
  <c r="BL90" i="43"/>
  <c r="BK90" i="43"/>
  <c r="BJ90" i="43"/>
  <c r="BI90" i="43"/>
  <c r="BH90" i="43"/>
  <c r="BG90" i="43"/>
  <c r="BF90" i="43"/>
  <c r="BE90" i="43"/>
  <c r="BD90" i="43"/>
  <c r="BC90" i="43"/>
  <c r="BB90" i="43"/>
  <c r="BA90" i="43"/>
  <c r="AZ90" i="43"/>
  <c r="AY90" i="43"/>
  <c r="AX90" i="43"/>
  <c r="AW90" i="43"/>
  <c r="AV90" i="43"/>
  <c r="AU90" i="43"/>
  <c r="AT90" i="43"/>
  <c r="AS90" i="43"/>
  <c r="AR90" i="43"/>
  <c r="AQ90" i="43"/>
  <c r="AP90" i="43"/>
  <c r="AO90" i="43"/>
  <c r="AN90" i="43"/>
  <c r="AM90" i="43"/>
  <c r="AL90" i="43"/>
  <c r="AK90" i="43"/>
  <c r="AJ90" i="43"/>
  <c r="AI90" i="43"/>
  <c r="AH90" i="43"/>
  <c r="AG90" i="43"/>
  <c r="AF90" i="43"/>
  <c r="AE90" i="43"/>
  <c r="AD90" i="43"/>
  <c r="AC90" i="43"/>
  <c r="AB90" i="43"/>
  <c r="AA90" i="43"/>
  <c r="Z90" i="43"/>
  <c r="Y90" i="43"/>
  <c r="X90" i="43"/>
  <c r="W90" i="43"/>
  <c r="V90" i="43"/>
  <c r="U90" i="43"/>
  <c r="T90" i="43"/>
  <c r="S90" i="43"/>
  <c r="R90" i="43"/>
  <c r="Q90" i="43"/>
  <c r="P90" i="43"/>
  <c r="O90" i="43"/>
  <c r="N90" i="43"/>
  <c r="DK89" i="43"/>
  <c r="DJ89" i="43"/>
  <c r="DI89" i="43"/>
  <c r="DH89" i="43"/>
  <c r="DG89" i="43"/>
  <c r="DF89" i="43"/>
  <c r="DE89" i="43"/>
  <c r="DD89" i="43"/>
  <c r="DC89" i="43"/>
  <c r="DB89" i="43"/>
  <c r="DA89" i="43"/>
  <c r="CZ89" i="43"/>
  <c r="CY89" i="43"/>
  <c r="CX89" i="43"/>
  <c r="CW89" i="43"/>
  <c r="CV89" i="43"/>
  <c r="CU89" i="43"/>
  <c r="CT89" i="43"/>
  <c r="CS89" i="43"/>
  <c r="CR89" i="43"/>
  <c r="CQ89" i="43"/>
  <c r="CP89" i="43"/>
  <c r="CO89" i="43"/>
  <c r="CN89" i="43"/>
  <c r="CM89" i="43"/>
  <c r="CL89" i="43"/>
  <c r="CK89" i="43"/>
  <c r="CJ89" i="43"/>
  <c r="CI89" i="43"/>
  <c r="CH89" i="43"/>
  <c r="CG89" i="43"/>
  <c r="CF89" i="43"/>
  <c r="CE89" i="43"/>
  <c r="CD89" i="43"/>
  <c r="CC89" i="43"/>
  <c r="CB89" i="43"/>
  <c r="CA89" i="43"/>
  <c r="BZ89" i="43"/>
  <c r="BY89" i="43"/>
  <c r="BX89" i="43"/>
  <c r="BW89" i="43"/>
  <c r="BV89" i="43"/>
  <c r="BU89" i="43"/>
  <c r="BT89" i="43"/>
  <c r="BS89" i="43"/>
  <c r="BR89" i="43"/>
  <c r="BQ89" i="43"/>
  <c r="BP89" i="43"/>
  <c r="BO89" i="43"/>
  <c r="BN89" i="43"/>
  <c r="BM89" i="43"/>
  <c r="BL89" i="43"/>
  <c r="BK89" i="43"/>
  <c r="BJ89" i="43"/>
  <c r="BI89" i="43"/>
  <c r="BH89" i="43"/>
  <c r="BG89" i="43"/>
  <c r="BF89" i="43"/>
  <c r="BE89" i="43"/>
  <c r="BD89" i="43"/>
  <c r="BC89" i="43"/>
  <c r="BB89" i="43"/>
  <c r="BA89" i="43"/>
  <c r="AZ89" i="43"/>
  <c r="AY89" i="43"/>
  <c r="AX89" i="43"/>
  <c r="AW89" i="43"/>
  <c r="AV89" i="43"/>
  <c r="AU89" i="43"/>
  <c r="AT89" i="43"/>
  <c r="AS89" i="43"/>
  <c r="AR89" i="43"/>
  <c r="AQ89" i="43"/>
  <c r="AP89" i="43"/>
  <c r="AO89" i="43"/>
  <c r="AN89" i="43"/>
  <c r="AM89" i="43"/>
  <c r="AL89" i="43"/>
  <c r="AK89" i="43"/>
  <c r="AJ89" i="43"/>
  <c r="AI89" i="43"/>
  <c r="AH89" i="43"/>
  <c r="AG89" i="43"/>
  <c r="AF89" i="43"/>
  <c r="AE89" i="43"/>
  <c r="AD89" i="43"/>
  <c r="AC89" i="43"/>
  <c r="AB89" i="43"/>
  <c r="AA89" i="43"/>
  <c r="Z89" i="43"/>
  <c r="Y89" i="43"/>
  <c r="X89" i="43"/>
  <c r="W89" i="43"/>
  <c r="V89" i="43"/>
  <c r="U89" i="43"/>
  <c r="T89" i="43"/>
  <c r="S89" i="43"/>
  <c r="R89" i="43"/>
  <c r="Q89" i="43"/>
  <c r="P89" i="43"/>
  <c r="O89" i="43"/>
  <c r="N89" i="43"/>
  <c r="DK88" i="43"/>
  <c r="DJ88" i="43"/>
  <c r="DI88" i="43"/>
  <c r="DH88" i="43"/>
  <c r="DG88" i="43"/>
  <c r="DF88" i="43"/>
  <c r="DE88" i="43"/>
  <c r="DD88" i="43"/>
  <c r="DC88" i="43"/>
  <c r="DB88" i="43"/>
  <c r="DA88" i="43"/>
  <c r="CZ88" i="43"/>
  <c r="CY88" i="43"/>
  <c r="CX88" i="43"/>
  <c r="CW88" i="43"/>
  <c r="CV88" i="43"/>
  <c r="CU88" i="43"/>
  <c r="CT88" i="43"/>
  <c r="CS88" i="43"/>
  <c r="CR88" i="43"/>
  <c r="CQ88" i="43"/>
  <c r="CP88" i="43"/>
  <c r="CO88" i="43"/>
  <c r="CN88" i="43"/>
  <c r="CM88" i="43"/>
  <c r="CL88" i="43"/>
  <c r="CK88" i="43"/>
  <c r="CJ88" i="43"/>
  <c r="CI88" i="43"/>
  <c r="CH88" i="43"/>
  <c r="CG88" i="43"/>
  <c r="CF88" i="43"/>
  <c r="CE88" i="43"/>
  <c r="CD88" i="43"/>
  <c r="CC88" i="43"/>
  <c r="CB88" i="43"/>
  <c r="CA88" i="43"/>
  <c r="BZ88" i="43"/>
  <c r="BY88" i="43"/>
  <c r="BX88" i="43"/>
  <c r="BW88" i="43"/>
  <c r="BV88" i="43"/>
  <c r="BU88" i="43"/>
  <c r="BT88" i="43"/>
  <c r="BS88" i="43"/>
  <c r="BR88" i="43"/>
  <c r="BQ88" i="43"/>
  <c r="DK87" i="43"/>
  <c r="DJ87" i="43"/>
  <c r="DI87" i="43"/>
  <c r="DH87" i="43"/>
  <c r="DG87" i="43"/>
  <c r="DF87" i="43"/>
  <c r="DE87" i="43"/>
  <c r="DD87" i="43"/>
  <c r="DC87" i="43"/>
  <c r="DB87" i="43"/>
  <c r="DA87" i="43"/>
  <c r="CZ87" i="43"/>
  <c r="CY87" i="43"/>
  <c r="CX87" i="43"/>
  <c r="CW87" i="43"/>
  <c r="CV87" i="43"/>
  <c r="CU87" i="43"/>
  <c r="CT87" i="43"/>
  <c r="CS87" i="43"/>
  <c r="CR87" i="43"/>
  <c r="CQ87" i="43"/>
  <c r="CP87" i="43"/>
  <c r="CO87" i="43"/>
  <c r="CN87" i="43"/>
  <c r="CM87" i="43"/>
  <c r="CL87" i="43"/>
  <c r="CK87" i="43"/>
  <c r="CJ87" i="43"/>
  <c r="CI87" i="43"/>
  <c r="CH87" i="43"/>
  <c r="CG87" i="43"/>
  <c r="CF87" i="43"/>
  <c r="CE87" i="43"/>
  <c r="CD87" i="43"/>
  <c r="CC87" i="43"/>
  <c r="CB87" i="43"/>
  <c r="CA87" i="43"/>
  <c r="BZ87" i="43"/>
  <c r="BY87" i="43"/>
  <c r="BX87" i="43"/>
  <c r="BW87" i="43"/>
  <c r="BV87" i="43"/>
  <c r="BU87" i="43"/>
  <c r="BT87" i="43"/>
  <c r="BS87" i="43"/>
  <c r="BR87" i="43"/>
  <c r="BQ87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K85" i="43"/>
  <c r="J85" i="43"/>
  <c r="K84" i="43"/>
  <c r="J84" i="43"/>
  <c r="K83" i="43"/>
  <c r="J83" i="43"/>
  <c r="K82" i="43"/>
  <c r="J82" i="43"/>
  <c r="K81" i="43"/>
  <c r="J81" i="43"/>
  <c r="K80" i="43"/>
  <c r="J80" i="43"/>
  <c r="K79" i="43"/>
  <c r="J79" i="43"/>
  <c r="K78" i="43"/>
  <c r="J78" i="43"/>
  <c r="K77" i="43"/>
  <c r="J77" i="43"/>
  <c r="K76" i="43"/>
  <c r="J76" i="43"/>
  <c r="K75" i="43"/>
  <c r="J75" i="43"/>
  <c r="K74" i="43"/>
  <c r="J74" i="43"/>
  <c r="K73" i="43"/>
  <c r="J73" i="43"/>
  <c r="K72" i="43"/>
  <c r="J72" i="43"/>
  <c r="K71" i="43"/>
  <c r="J71" i="43"/>
  <c r="K70" i="43"/>
  <c r="J70" i="43"/>
  <c r="K69" i="43"/>
  <c r="J69" i="43"/>
  <c r="K68" i="43"/>
  <c r="J68" i="43"/>
  <c r="K67" i="43"/>
  <c r="J67" i="43"/>
  <c r="K66" i="43"/>
  <c r="J66" i="43"/>
  <c r="K65" i="43"/>
  <c r="J65" i="43"/>
  <c r="K64" i="43"/>
  <c r="J64" i="43"/>
  <c r="K63" i="43"/>
  <c r="J63" i="43"/>
  <c r="K62" i="43"/>
  <c r="J62" i="43"/>
  <c r="K61" i="43"/>
  <c r="J61" i="43"/>
  <c r="K60" i="43"/>
  <c r="J60" i="43"/>
  <c r="K59" i="43"/>
  <c r="J59" i="43"/>
  <c r="K58" i="43"/>
  <c r="J58" i="43"/>
  <c r="K57" i="43"/>
  <c r="J57" i="43"/>
  <c r="K56" i="43"/>
  <c r="J56" i="43"/>
  <c r="K55" i="43"/>
  <c r="J55" i="43"/>
  <c r="K54" i="43"/>
  <c r="J54" i="43"/>
  <c r="DF54" i="43" s="1"/>
  <c r="K53" i="43"/>
  <c r="J53" i="43"/>
  <c r="K52" i="43"/>
  <c r="J52" i="43"/>
  <c r="DD52" i="43" s="1"/>
  <c r="K51" i="43"/>
  <c r="J51" i="43"/>
  <c r="K50" i="43"/>
  <c r="J50" i="43"/>
  <c r="CZ50" i="43" s="1"/>
  <c r="K49" i="43"/>
  <c r="J49" i="43"/>
  <c r="DK49" i="43" s="1"/>
  <c r="K48" i="43"/>
  <c r="J48" i="43"/>
  <c r="CZ48" i="43" s="1"/>
  <c r="K47" i="43"/>
  <c r="J47" i="43"/>
  <c r="DK47" i="43" s="1"/>
  <c r="K46" i="43"/>
  <c r="J46" i="43"/>
  <c r="CB46" i="43" s="1"/>
  <c r="K45" i="43"/>
  <c r="J45" i="43"/>
  <c r="CO45" i="43" s="1"/>
  <c r="K44" i="43"/>
  <c r="J44" i="43"/>
  <c r="DH44" i="43" s="1"/>
  <c r="K43" i="43"/>
  <c r="J43" i="43"/>
  <c r="BY43" i="43" s="1"/>
  <c r="K42" i="43"/>
  <c r="J42" i="43"/>
  <c r="DJ42" i="43" s="1"/>
  <c r="K41" i="43"/>
  <c r="J41" i="43"/>
  <c r="CF41" i="43" s="1"/>
  <c r="K40" i="43"/>
  <c r="J40" i="43"/>
  <c r="BO40" i="43" s="1"/>
  <c r="K39" i="43"/>
  <c r="J39" i="43"/>
  <c r="DC39" i="43" s="1"/>
  <c r="K38" i="43"/>
  <c r="J38" i="43"/>
  <c r="AC38" i="43" s="1"/>
  <c r="K37" i="43"/>
  <c r="J37" i="43"/>
  <c r="DC37" i="43" s="1"/>
  <c r="K36" i="43"/>
  <c r="J36" i="43"/>
  <c r="BY36" i="43" s="1"/>
  <c r="K35" i="43"/>
  <c r="J35" i="43"/>
  <c r="DK35" i="43" s="1"/>
  <c r="K34" i="43"/>
  <c r="J34" i="43"/>
  <c r="AX34" i="43" s="1"/>
  <c r="K33" i="43"/>
  <c r="J33" i="43"/>
  <c r="V33" i="43" s="1"/>
  <c r="K32" i="43"/>
  <c r="J32" i="43"/>
  <c r="W32" i="43" s="1"/>
  <c r="K31" i="43"/>
  <c r="J31" i="43"/>
  <c r="DH31" i="43" s="1"/>
  <c r="K30" i="43"/>
  <c r="J30" i="43"/>
  <c r="K29" i="43"/>
  <c r="J29" i="43"/>
  <c r="CA29" i="43" s="1"/>
  <c r="K28" i="43"/>
  <c r="J28" i="43"/>
  <c r="K27" i="43"/>
  <c r="J27" i="43"/>
  <c r="K26" i="43"/>
  <c r="J26" i="43"/>
  <c r="Q26" i="43" s="1"/>
  <c r="K25" i="43"/>
  <c r="J25" i="43"/>
  <c r="K24" i="43"/>
  <c r="J24" i="43"/>
  <c r="DA24" i="43" s="1"/>
  <c r="K23" i="43"/>
  <c r="J23" i="43"/>
  <c r="BP23" i="43" s="1"/>
  <c r="K22" i="43"/>
  <c r="J22" i="43"/>
  <c r="K21" i="43"/>
  <c r="J21" i="43"/>
  <c r="AQ21" i="43" s="1"/>
  <c r="K20" i="43"/>
  <c r="J20" i="43"/>
  <c r="K19" i="43"/>
  <c r="J19" i="43"/>
  <c r="AU19" i="43" s="1"/>
  <c r="K18" i="43"/>
  <c r="J18" i="43"/>
  <c r="BU18" i="43" s="1"/>
  <c r="K17" i="43"/>
  <c r="J17" i="43"/>
  <c r="CU17" i="43" s="1"/>
  <c r="K16" i="43"/>
  <c r="J16" i="43"/>
  <c r="K15" i="43"/>
  <c r="J15" i="43"/>
  <c r="J10" i="43"/>
  <c r="L64" i="43" s="1"/>
  <c r="L9" i="43"/>
  <c r="L8" i="43"/>
  <c r="L7" i="43"/>
  <c r="L6" i="43"/>
  <c r="O7" i="43"/>
  <c r="P7" i="43" s="1"/>
  <c r="Q7" i="43" s="1"/>
  <c r="R7" i="43" s="1"/>
  <c r="S7" i="43" s="1"/>
  <c r="T7" i="43" s="1"/>
  <c r="U7" i="43" s="1"/>
  <c r="V7" i="43" s="1"/>
  <c r="W7" i="43" s="1"/>
  <c r="X7" i="43" s="1"/>
  <c r="Y7" i="43" s="1"/>
  <c r="Z7" i="43" s="1"/>
  <c r="AA7" i="43" s="1"/>
  <c r="AB7" i="43" s="1"/>
  <c r="AC7" i="43" s="1"/>
  <c r="AD7" i="43" s="1"/>
  <c r="AE7" i="43" s="1"/>
  <c r="AF7" i="43" s="1"/>
  <c r="AG7" i="43" s="1"/>
  <c r="AH7" i="43" s="1"/>
  <c r="AI7" i="43" s="1"/>
  <c r="AJ7" i="43" s="1"/>
  <c r="AK7" i="43" s="1"/>
  <c r="AL7" i="43" s="1"/>
  <c r="AM7" i="43" s="1"/>
  <c r="AN7" i="43" s="1"/>
  <c r="AO7" i="43" s="1"/>
  <c r="AP7" i="43" s="1"/>
  <c r="AQ7" i="43" s="1"/>
  <c r="AR7" i="43" s="1"/>
  <c r="AS7" i="43" s="1"/>
  <c r="AT7" i="43" s="1"/>
  <c r="AU7" i="43" s="1"/>
  <c r="AV7" i="43" s="1"/>
  <c r="AW7" i="43" s="1"/>
  <c r="AX7" i="43" s="1"/>
  <c r="AY7" i="43" s="1"/>
  <c r="AZ7" i="43" s="1"/>
  <c r="BA7" i="43" s="1"/>
  <c r="BB7" i="43" s="1"/>
  <c r="BC7" i="43" s="1"/>
  <c r="BD7" i="43" s="1"/>
  <c r="BE7" i="43" s="1"/>
  <c r="BF7" i="43" s="1"/>
  <c r="BG7" i="43" s="1"/>
  <c r="BH7" i="43" s="1"/>
  <c r="BI7" i="43" s="1"/>
  <c r="BJ7" i="43" s="1"/>
  <c r="BK7" i="43" s="1"/>
  <c r="BL7" i="43" s="1"/>
  <c r="BM7" i="43" s="1"/>
  <c r="BN7" i="43" s="1"/>
  <c r="BO7" i="43" s="1"/>
  <c r="BP7" i="43" s="1"/>
  <c r="BQ7" i="43" s="1"/>
  <c r="BR7" i="43" s="1"/>
  <c r="BS7" i="43" s="1"/>
  <c r="BT7" i="43" s="1"/>
  <c r="BU7" i="43" s="1"/>
  <c r="BV7" i="43" s="1"/>
  <c r="BW7" i="43" s="1"/>
  <c r="BX7" i="43" s="1"/>
  <c r="BY7" i="43" s="1"/>
  <c r="BZ7" i="43" s="1"/>
  <c r="CA7" i="43" s="1"/>
  <c r="CB7" i="43" s="1"/>
  <c r="CC7" i="43" s="1"/>
  <c r="CD7" i="43" s="1"/>
  <c r="CE7" i="43" s="1"/>
  <c r="CF7" i="43" s="1"/>
  <c r="CG7" i="43" s="1"/>
  <c r="CH7" i="43" s="1"/>
  <c r="CI7" i="43" s="1"/>
  <c r="CJ7" i="43" s="1"/>
  <c r="CK7" i="43" s="1"/>
  <c r="CL7" i="43" s="1"/>
  <c r="CM7" i="43" s="1"/>
  <c r="CN7" i="43" s="1"/>
  <c r="CO7" i="43" s="1"/>
  <c r="CP7" i="43" s="1"/>
  <c r="CQ7" i="43" s="1"/>
  <c r="CR7" i="43" s="1"/>
  <c r="CS7" i="43" s="1"/>
  <c r="CT7" i="43" s="1"/>
  <c r="CU7" i="43" s="1"/>
  <c r="CV7" i="43" s="1"/>
  <c r="CW7" i="43" s="1"/>
  <c r="CX7" i="43" s="1"/>
  <c r="CY7" i="43" s="1"/>
  <c r="CZ7" i="43" s="1"/>
  <c r="DA7" i="43" s="1"/>
  <c r="DB7" i="43" s="1"/>
  <c r="DC7" i="43" s="1"/>
  <c r="DD7" i="43" s="1"/>
  <c r="DE7" i="43" s="1"/>
  <c r="DF7" i="43" s="1"/>
  <c r="DG7" i="43" s="1"/>
  <c r="DH7" i="43" s="1"/>
  <c r="DI7" i="43" s="1"/>
  <c r="DJ7" i="43" s="1"/>
  <c r="DK7" i="43" s="1"/>
  <c r="BL6" i="43"/>
  <c r="BM6" i="43" s="1"/>
  <c r="BN6" i="43" s="1"/>
  <c r="BO6" i="43" s="1"/>
  <c r="BP6" i="43" s="1"/>
  <c r="BQ6" i="43" s="1"/>
  <c r="BR6" i="43" s="1"/>
  <c r="BS6" i="43" s="1"/>
  <c r="BT6" i="43" s="1"/>
  <c r="BU6" i="43" s="1"/>
  <c r="BV6" i="43" s="1"/>
  <c r="BW6" i="43" s="1"/>
  <c r="BX6" i="43" s="1"/>
  <c r="BY6" i="43" s="1"/>
  <c r="BZ6" i="43" s="1"/>
  <c r="CA6" i="43" s="1"/>
  <c r="CB6" i="43" s="1"/>
  <c r="CC6" i="43" s="1"/>
  <c r="CD6" i="43" s="1"/>
  <c r="CE6" i="43" s="1"/>
  <c r="CF6" i="43" s="1"/>
  <c r="CG6" i="43" s="1"/>
  <c r="CH6" i="43" s="1"/>
  <c r="CI6" i="43" s="1"/>
  <c r="CJ6" i="43" s="1"/>
  <c r="CK6" i="43" s="1"/>
  <c r="CL6" i="43" s="1"/>
  <c r="CM6" i="43" s="1"/>
  <c r="CN6" i="43" s="1"/>
  <c r="CO6" i="43" s="1"/>
  <c r="CP6" i="43" s="1"/>
  <c r="CQ6" i="43" s="1"/>
  <c r="CR6" i="43" s="1"/>
  <c r="CS6" i="43" s="1"/>
  <c r="CT6" i="43" s="1"/>
  <c r="CU6" i="43" s="1"/>
  <c r="CV6" i="43" s="1"/>
  <c r="CW6" i="43" s="1"/>
  <c r="CX6" i="43" s="1"/>
  <c r="CY6" i="43" s="1"/>
  <c r="CZ6" i="43" s="1"/>
  <c r="DA6" i="43" s="1"/>
  <c r="DB6" i="43" s="1"/>
  <c r="DC6" i="43" s="1"/>
  <c r="DD6" i="43" s="1"/>
  <c r="DE6" i="43" s="1"/>
  <c r="DF6" i="43" s="1"/>
  <c r="DG6" i="43" s="1"/>
  <c r="DH6" i="43" s="1"/>
  <c r="DI6" i="43" s="1"/>
  <c r="DJ6" i="43" s="1"/>
  <c r="DK6" i="43" s="1"/>
  <c r="BI6" i="43"/>
  <c r="BH6" i="43"/>
  <c r="BG6" i="43"/>
  <c r="BF6" i="43"/>
  <c r="BE6" i="43"/>
  <c r="BD6" i="43"/>
  <c r="BC6" i="43"/>
  <c r="BB6" i="43"/>
  <c r="BA6" i="43"/>
  <c r="AZ6" i="43"/>
  <c r="AY6" i="43"/>
  <c r="AX6" i="43"/>
  <c r="AW6" i="43"/>
  <c r="AV6" i="43"/>
  <c r="AU6" i="43"/>
  <c r="AT6" i="43"/>
  <c r="AS6" i="43"/>
  <c r="AR6" i="43"/>
  <c r="AQ6" i="43"/>
  <c r="AP6" i="43"/>
  <c r="AO6" i="43"/>
  <c r="AN6" i="43"/>
  <c r="AM6" i="43"/>
  <c r="AL6" i="43"/>
  <c r="AK6" i="43"/>
  <c r="AJ6" i="43"/>
  <c r="AI6" i="43"/>
  <c r="AH6" i="43"/>
  <c r="AG6" i="43"/>
  <c r="AF6" i="43"/>
  <c r="AE6" i="43"/>
  <c r="AD6" i="43"/>
  <c r="AC6" i="43"/>
  <c r="AB6" i="43"/>
  <c r="AA6" i="43"/>
  <c r="Z6" i="43"/>
  <c r="Y6" i="43"/>
  <c r="X6" i="43"/>
  <c r="W6" i="43"/>
  <c r="V6" i="43"/>
  <c r="U6" i="43"/>
  <c r="T6" i="43"/>
  <c r="S6" i="43"/>
  <c r="R6" i="43"/>
  <c r="Q6" i="43"/>
  <c r="P6" i="43"/>
  <c r="DK5" i="43"/>
  <c r="DJ5" i="43"/>
  <c r="DI5" i="43"/>
  <c r="DH5" i="43"/>
  <c r="DG5" i="43"/>
  <c r="DF5" i="43"/>
  <c r="DE5" i="43"/>
  <c r="DD5" i="43"/>
  <c r="DC5" i="43"/>
  <c r="DB5" i="43"/>
  <c r="DA5" i="43"/>
  <c r="CZ5" i="43"/>
  <c r="CY5" i="43"/>
  <c r="CX5" i="43"/>
  <c r="CW5" i="43"/>
  <c r="CV5" i="43"/>
  <c r="CU5" i="43"/>
  <c r="CT5" i="43"/>
  <c r="CS5" i="43"/>
  <c r="CR5" i="43"/>
  <c r="CQ5" i="43"/>
  <c r="CP5" i="43"/>
  <c r="CO5" i="43"/>
  <c r="CN5" i="43"/>
  <c r="CM5" i="43"/>
  <c r="CL5" i="43"/>
  <c r="CK5" i="43"/>
  <c r="CJ5" i="43"/>
  <c r="CI5" i="43"/>
  <c r="CH5" i="43"/>
  <c r="CG5" i="43"/>
  <c r="CF5" i="43"/>
  <c r="J11" i="45"/>
  <c r="P11" i="45"/>
  <c r="O6" i="43"/>
  <c r="CI27" i="43"/>
  <c r="BW31" i="43"/>
  <c r="BN33" i="43"/>
  <c r="CM33" i="43"/>
  <c r="AA33" i="43"/>
  <c r="BS34" i="43"/>
  <c r="DD35" i="43"/>
  <c r="BX35" i="43"/>
  <c r="AR35" i="43"/>
  <c r="AY35" i="43"/>
  <c r="S35" i="43"/>
  <c r="AI36" i="43"/>
  <c r="BP37" i="43"/>
  <c r="AJ37" i="43"/>
  <c r="AQ37" i="43"/>
  <c r="DK38" i="43"/>
  <c r="BU38" i="43"/>
  <c r="CV39" i="43"/>
  <c r="AJ39" i="43"/>
  <c r="BW39" i="43"/>
  <c r="DG40" i="43"/>
  <c r="CK40" i="43"/>
  <c r="DJ40" i="43"/>
  <c r="CT40" i="43"/>
  <c r="AH40" i="43"/>
  <c r="CV41" i="43"/>
  <c r="BP41" i="43"/>
  <c r="AJ41" i="43"/>
  <c r="T41" i="43"/>
  <c r="BW41" i="43"/>
  <c r="BG41" i="43"/>
  <c r="AQ41" i="43"/>
  <c r="CD42" i="43"/>
  <c r="AX42" i="43"/>
  <c r="BI42" i="43"/>
  <c r="AS42" i="43"/>
  <c r="Z42" i="43"/>
  <c r="V42" i="43"/>
  <c r="DE43" i="43"/>
  <c r="CW43" i="43"/>
  <c r="CG43" i="43"/>
  <c r="BQ43" i="43"/>
  <c r="BA43" i="43"/>
  <c r="AS43" i="43"/>
  <c r="U43" i="43"/>
  <c r="DJ43" i="43"/>
  <c r="DB43" i="43"/>
  <c r="CD43" i="43"/>
  <c r="BV43" i="43"/>
  <c r="BF43" i="43"/>
  <c r="AP43" i="43"/>
  <c r="Z43" i="43"/>
  <c r="R43" i="43"/>
  <c r="CH44" i="43"/>
  <c r="CB44" i="43"/>
  <c r="AV44" i="43"/>
  <c r="AF44" i="43"/>
  <c r="CY44" i="43"/>
  <c r="CO44" i="43"/>
  <c r="BI44" i="43"/>
  <c r="BC44" i="43"/>
  <c r="W44" i="43"/>
  <c r="CW45" i="43"/>
  <c r="CG45" i="43"/>
  <c r="BQ45" i="43"/>
  <c r="BI45" i="43"/>
  <c r="AK45" i="43"/>
  <c r="AC45" i="43"/>
  <c r="U45" i="43"/>
  <c r="CT45" i="43"/>
  <c r="CL45" i="43"/>
  <c r="BV45" i="43"/>
  <c r="BF45" i="43"/>
  <c r="AP45" i="43"/>
  <c r="AH45" i="43"/>
  <c r="CV46" i="43"/>
  <c r="CP46" i="43"/>
  <c r="BR46" i="43"/>
  <c r="BH46" i="43"/>
  <c r="AL46" i="43"/>
  <c r="AD46" i="43"/>
  <c r="DG46" i="43"/>
  <c r="DE46" i="43"/>
  <c r="CI46" i="43"/>
  <c r="BY46" i="43"/>
  <c r="BC46" i="43"/>
  <c r="AU46" i="43"/>
  <c r="AA46" i="43"/>
  <c r="W46" i="43"/>
  <c r="DE47" i="43"/>
  <c r="DC47" i="43"/>
  <c r="CU47" i="43"/>
  <c r="CM47" i="43"/>
  <c r="CE47" i="43"/>
  <c r="BY47" i="43"/>
  <c r="BO47" i="43"/>
  <c r="BI47" i="43"/>
  <c r="BG47" i="43"/>
  <c r="AS47" i="43"/>
  <c r="AQ47" i="43"/>
  <c r="AI47" i="43"/>
  <c r="AA47" i="43"/>
  <c r="S47" i="43"/>
  <c r="DJ47" i="43"/>
  <c r="CZ47" i="43"/>
  <c r="CT47" i="43"/>
  <c r="CR47" i="43"/>
  <c r="CD47" i="43"/>
  <c r="CB47" i="43"/>
  <c r="BT47" i="43"/>
  <c r="BL47" i="43"/>
  <c r="BD47" i="43"/>
  <c r="AX47" i="43"/>
  <c r="AN47" i="43"/>
  <c r="AH47" i="43"/>
  <c r="AF47" i="43"/>
  <c r="R47" i="43"/>
  <c r="P47" i="43"/>
  <c r="DH48" i="43"/>
  <c r="CX48" i="43"/>
  <c r="CL48" i="43"/>
  <c r="CD48" i="43"/>
  <c r="BR48" i="43"/>
  <c r="BJ48" i="43"/>
  <c r="BF48" i="43"/>
  <c r="AN48" i="43"/>
  <c r="AL48" i="43"/>
  <c r="Z48" i="43"/>
  <c r="P48" i="43"/>
  <c r="DE48" i="43"/>
  <c r="CW48" i="43"/>
  <c r="CI48" i="43"/>
  <c r="CA48" i="43"/>
  <c r="BY48" i="43"/>
  <c r="BE48" i="43"/>
  <c r="BC48" i="43"/>
  <c r="AS48" i="43"/>
  <c r="AG48" i="43"/>
  <c r="W48" i="43"/>
  <c r="O48" i="43"/>
  <c r="DC49" i="43"/>
  <c r="CW49" i="43"/>
  <c r="CU49" i="43"/>
  <c r="CG49" i="43"/>
  <c r="CE49" i="43"/>
  <c r="BW49" i="43"/>
  <c r="BO49" i="43"/>
  <c r="BG49" i="43"/>
  <c r="BA49" i="43"/>
  <c r="AQ49" i="43"/>
  <c r="AK49" i="43"/>
  <c r="AI49" i="43"/>
  <c r="AA49" i="43"/>
  <c r="U49" i="43"/>
  <c r="S49" i="43"/>
  <c r="DH49" i="43"/>
  <c r="DB49" i="43"/>
  <c r="CZ49" i="43"/>
  <c r="CR49" i="43"/>
  <c r="CL49" i="43"/>
  <c r="CJ49" i="43"/>
  <c r="CB49" i="43"/>
  <c r="BV49" i="43"/>
  <c r="BT49" i="43"/>
  <c r="BL49" i="43"/>
  <c r="BF49" i="43"/>
  <c r="BD49" i="43"/>
  <c r="AV49" i="43"/>
  <c r="AP49" i="43"/>
  <c r="AN49" i="43"/>
  <c r="AF49" i="43"/>
  <c r="Z49" i="43"/>
  <c r="X49" i="43"/>
  <c r="P49" i="43"/>
  <c r="DJ50" i="43"/>
  <c r="DH50" i="43"/>
  <c r="CT50" i="43"/>
  <c r="CR50" i="43"/>
  <c r="CL50" i="43"/>
  <c r="CD50" i="43"/>
  <c r="CB50" i="43"/>
  <c r="BV50" i="43"/>
  <c r="BN50" i="43"/>
  <c r="BL50" i="43"/>
  <c r="BF50" i="43"/>
  <c r="AX50" i="43"/>
  <c r="AV50" i="43"/>
  <c r="AP50" i="43"/>
  <c r="AH50" i="43"/>
  <c r="AF50" i="43"/>
  <c r="Z50" i="43"/>
  <c r="R50" i="43"/>
  <c r="P50" i="43"/>
  <c r="DI50" i="43"/>
  <c r="DA50" i="43"/>
  <c r="CY50" i="43"/>
  <c r="CS50" i="43"/>
  <c r="CK50" i="43"/>
  <c r="CI50" i="43"/>
  <c r="CC50" i="43"/>
  <c r="BU50" i="43"/>
  <c r="BS50" i="43"/>
  <c r="BM50" i="43"/>
  <c r="BE50" i="43"/>
  <c r="BC50" i="43"/>
  <c r="AW50" i="43"/>
  <c r="AO50" i="43"/>
  <c r="AM50" i="43"/>
  <c r="AG50" i="43"/>
  <c r="Y50" i="43"/>
  <c r="W50" i="43"/>
  <c r="Q50" i="43"/>
  <c r="DK51" i="43"/>
  <c r="DI51" i="43"/>
  <c r="DG51" i="43"/>
  <c r="DE51" i="43"/>
  <c r="DC51" i="43"/>
  <c r="DA51" i="43"/>
  <c r="CY51" i="43"/>
  <c r="CW51" i="43"/>
  <c r="CU51" i="43"/>
  <c r="CS51" i="43"/>
  <c r="CQ51" i="43"/>
  <c r="CO51" i="43"/>
  <c r="CM51" i="43"/>
  <c r="CK51" i="43"/>
  <c r="CI51" i="43"/>
  <c r="CG51" i="43"/>
  <c r="CE51" i="43"/>
  <c r="CC51" i="43"/>
  <c r="CA51" i="43"/>
  <c r="BY51" i="43"/>
  <c r="BW51" i="43"/>
  <c r="BU51" i="43"/>
  <c r="BS51" i="43"/>
  <c r="BQ51" i="43"/>
  <c r="BO51" i="43"/>
  <c r="BM51" i="43"/>
  <c r="BK51" i="43"/>
  <c r="BI51" i="43"/>
  <c r="BG51" i="43"/>
  <c r="BE51" i="43"/>
  <c r="BC51" i="43"/>
  <c r="BA51" i="43"/>
  <c r="AY51" i="43"/>
  <c r="AW51" i="43"/>
  <c r="AU51" i="43"/>
  <c r="AS51" i="43"/>
  <c r="AQ51" i="43"/>
  <c r="AO51" i="43"/>
  <c r="AM51" i="43"/>
  <c r="AK51" i="43"/>
  <c r="AI51" i="43"/>
  <c r="AG51" i="43"/>
  <c r="AE51" i="43"/>
  <c r="AC51" i="43"/>
  <c r="AA51" i="43"/>
  <c r="Y51" i="43"/>
  <c r="W51" i="43"/>
  <c r="U51" i="43"/>
  <c r="S51" i="43"/>
  <c r="Q51" i="43"/>
  <c r="O51" i="43"/>
  <c r="DJ51" i="43"/>
  <c r="DH51" i="43"/>
  <c r="DF51" i="43"/>
  <c r="DD51" i="43"/>
  <c r="DB51" i="43"/>
  <c r="CZ51" i="43"/>
  <c r="CX51" i="43"/>
  <c r="CV51" i="43"/>
  <c r="CT51" i="43"/>
  <c r="CR51" i="43"/>
  <c r="CP51" i="43"/>
  <c r="CN51" i="43"/>
  <c r="CL51" i="43"/>
  <c r="CJ51" i="43"/>
  <c r="CH51" i="43"/>
  <c r="CF51" i="43"/>
  <c r="CD51" i="43"/>
  <c r="CB51" i="43"/>
  <c r="BZ51" i="43"/>
  <c r="BX51" i="43"/>
  <c r="BV51" i="43"/>
  <c r="BT51" i="43"/>
  <c r="BR51" i="43"/>
  <c r="BP51" i="43"/>
  <c r="BN51" i="43"/>
  <c r="BL51" i="43"/>
  <c r="BJ51" i="43"/>
  <c r="BH51" i="43"/>
  <c r="BF51" i="43"/>
  <c r="BD51" i="43"/>
  <c r="BB51" i="43"/>
  <c r="AZ51" i="43"/>
  <c r="AX51" i="43"/>
  <c r="AV51" i="43"/>
  <c r="AT51" i="43"/>
  <c r="AR51" i="43"/>
  <c r="AP51" i="43"/>
  <c r="AN51" i="43"/>
  <c r="AL51" i="43"/>
  <c r="AJ51" i="43"/>
  <c r="AH51" i="43"/>
  <c r="AF51" i="43"/>
  <c r="AD51" i="43"/>
  <c r="AB51" i="43"/>
  <c r="Z51" i="43"/>
  <c r="X51" i="43"/>
  <c r="V51" i="43"/>
  <c r="T51" i="43"/>
  <c r="R51" i="43"/>
  <c r="P51" i="43"/>
  <c r="N51" i="43"/>
  <c r="DJ52" i="43"/>
  <c r="DB52" i="43"/>
  <c r="CZ52" i="43"/>
  <c r="CT52" i="43"/>
  <c r="CL52" i="43"/>
  <c r="CJ52" i="43"/>
  <c r="CD52" i="43"/>
  <c r="BV52" i="43"/>
  <c r="BT52" i="43"/>
  <c r="BN52" i="43"/>
  <c r="BF52" i="43"/>
  <c r="BD52" i="43"/>
  <c r="AX52" i="43"/>
  <c r="AP52" i="43"/>
  <c r="AN52" i="43"/>
  <c r="AH52" i="43"/>
  <c r="Z52" i="43"/>
  <c r="X52" i="43"/>
  <c r="R52" i="43"/>
  <c r="DI52" i="43"/>
  <c r="DG52" i="43"/>
  <c r="DA52" i="43"/>
  <c r="CS52" i="43"/>
  <c r="CQ52" i="43"/>
  <c r="CK52" i="43"/>
  <c r="CC52" i="43"/>
  <c r="CA52" i="43"/>
  <c r="BU52" i="43"/>
  <c r="BM52" i="43"/>
  <c r="BK52" i="43"/>
  <c r="BE52" i="43"/>
  <c r="AW52" i="43"/>
  <c r="AU52" i="43"/>
  <c r="AO52" i="43"/>
  <c r="AG52" i="43"/>
  <c r="AE52" i="43"/>
  <c r="Y52" i="43"/>
  <c r="Q52" i="43"/>
  <c r="O52" i="43"/>
  <c r="DK53" i="43"/>
  <c r="DI53" i="43"/>
  <c r="DG53" i="43"/>
  <c r="DE53" i="43"/>
  <c r="DC53" i="43"/>
  <c r="DA53" i="43"/>
  <c r="CY53" i="43"/>
  <c r="CW53" i="43"/>
  <c r="CU53" i="43"/>
  <c r="CS53" i="43"/>
  <c r="CQ53" i="43"/>
  <c r="CO53" i="43"/>
  <c r="CM53" i="43"/>
  <c r="CK53" i="43"/>
  <c r="CI53" i="43"/>
  <c r="CG53" i="43"/>
  <c r="CE53" i="43"/>
  <c r="CC53" i="43"/>
  <c r="CA53" i="43"/>
  <c r="BY53" i="43"/>
  <c r="BW53" i="43"/>
  <c r="BU53" i="43"/>
  <c r="BS53" i="43"/>
  <c r="BQ53" i="43"/>
  <c r="BO53" i="43"/>
  <c r="BM53" i="43"/>
  <c r="BK53" i="43"/>
  <c r="BI53" i="43"/>
  <c r="BG53" i="43"/>
  <c r="BE53" i="43"/>
  <c r="BC53" i="43"/>
  <c r="BA53" i="43"/>
  <c r="AY53" i="43"/>
  <c r="AW53" i="43"/>
  <c r="AU53" i="43"/>
  <c r="AS53" i="43"/>
  <c r="AQ53" i="43"/>
  <c r="AO53" i="43"/>
  <c r="AM53" i="43"/>
  <c r="AK53" i="43"/>
  <c r="AI53" i="43"/>
  <c r="AG53" i="43"/>
  <c r="AE53" i="43"/>
  <c r="AC53" i="43"/>
  <c r="AA53" i="43"/>
  <c r="Y53" i="43"/>
  <c r="W53" i="43"/>
  <c r="U53" i="43"/>
  <c r="S53" i="43"/>
  <c r="Q53" i="43"/>
  <c r="O53" i="43"/>
  <c r="DJ53" i="43"/>
  <c r="DH53" i="43"/>
  <c r="DF53" i="43"/>
  <c r="DD53" i="43"/>
  <c r="DB53" i="43"/>
  <c r="CZ53" i="43"/>
  <c r="CX53" i="43"/>
  <c r="CV53" i="43"/>
  <c r="CT53" i="43"/>
  <c r="CR53" i="43"/>
  <c r="CP53" i="43"/>
  <c r="CN53" i="43"/>
  <c r="CL53" i="43"/>
  <c r="CJ53" i="43"/>
  <c r="CH53" i="43"/>
  <c r="CF53" i="43"/>
  <c r="CD53" i="43"/>
  <c r="CB53" i="43"/>
  <c r="BZ53" i="43"/>
  <c r="BX53" i="43"/>
  <c r="BV53" i="43"/>
  <c r="BT53" i="43"/>
  <c r="BR53" i="43"/>
  <c r="BP53" i="43"/>
  <c r="BN53" i="43"/>
  <c r="BL53" i="43"/>
  <c r="BJ53" i="43"/>
  <c r="BH53" i="43"/>
  <c r="BF53" i="43"/>
  <c r="BD53" i="43"/>
  <c r="BB53" i="43"/>
  <c r="AZ53" i="43"/>
  <c r="AX53" i="43"/>
  <c r="AV53" i="43"/>
  <c r="AT53" i="43"/>
  <c r="AR53" i="43"/>
  <c r="AP53" i="43"/>
  <c r="AN53" i="43"/>
  <c r="AL53" i="43"/>
  <c r="AJ53" i="43"/>
  <c r="AH53" i="43"/>
  <c r="AF53" i="43"/>
  <c r="AD53" i="43"/>
  <c r="AB53" i="43"/>
  <c r="Z53" i="43"/>
  <c r="X53" i="43"/>
  <c r="V53" i="43"/>
  <c r="T53" i="43"/>
  <c r="R53" i="43"/>
  <c r="P53" i="43"/>
  <c r="N53" i="43"/>
  <c r="DJ54" i="43"/>
  <c r="DH54" i="43"/>
  <c r="DD54" i="43"/>
  <c r="DB54" i="43"/>
  <c r="CZ54" i="43"/>
  <c r="CV54" i="43"/>
  <c r="CT54" i="43"/>
  <c r="CR54" i="43"/>
  <c r="CN54" i="43"/>
  <c r="CL54" i="43"/>
  <c r="CJ54" i="43"/>
  <c r="DK54" i="43"/>
  <c r="DG54" i="43"/>
  <c r="DC54" i="43"/>
  <c r="CU54" i="43"/>
  <c r="CQ54" i="43"/>
  <c r="CM54" i="43"/>
  <c r="CF54" i="43"/>
  <c r="CD54" i="43"/>
  <c r="CB54" i="43"/>
  <c r="BX54" i="43"/>
  <c r="BV54" i="43"/>
  <c r="BT54" i="43"/>
  <c r="BP54" i="43"/>
  <c r="BN54" i="43"/>
  <c r="BL54" i="43"/>
  <c r="BH54" i="43"/>
  <c r="BF54" i="43"/>
  <c r="BD54" i="43"/>
  <c r="AZ54" i="43"/>
  <c r="AX54" i="43"/>
  <c r="AV54" i="43"/>
  <c r="AR54" i="43"/>
  <c r="AP54" i="43"/>
  <c r="AN54" i="43"/>
  <c r="AJ54" i="43"/>
  <c r="AH54" i="43"/>
  <c r="AF54" i="43"/>
  <c r="AB54" i="43"/>
  <c r="Z54" i="43"/>
  <c r="X54" i="43"/>
  <c r="T54" i="43"/>
  <c r="R54" i="43"/>
  <c r="P54" i="43"/>
  <c r="DI54" i="43"/>
  <c r="DE54" i="43"/>
  <c r="DA54" i="43"/>
  <c r="CS54" i="43"/>
  <c r="CO54" i="43"/>
  <c r="CK54" i="43"/>
  <c r="CE54" i="43"/>
  <c r="CC54" i="43"/>
  <c r="CA54" i="43"/>
  <c r="BW54" i="43"/>
  <c r="BU54" i="43"/>
  <c r="BS54" i="43"/>
  <c r="BO54" i="43"/>
  <c r="BM54" i="43"/>
  <c r="BK54" i="43"/>
  <c r="BG54" i="43"/>
  <c r="BE54" i="43"/>
  <c r="BC54" i="43"/>
  <c r="AY54" i="43"/>
  <c r="AW54" i="43"/>
  <c r="AU54" i="43"/>
  <c r="AQ54" i="43"/>
  <c r="AO54" i="43"/>
  <c r="AM54" i="43"/>
  <c r="AI54" i="43"/>
  <c r="AG54" i="43"/>
  <c r="AE54" i="43"/>
  <c r="AA54" i="43"/>
  <c r="Y54" i="43"/>
  <c r="W54" i="43"/>
  <c r="S54" i="43"/>
  <c r="Q54" i="43"/>
  <c r="O54" i="43"/>
  <c r="DK55" i="43"/>
  <c r="DI55" i="43"/>
  <c r="DG55" i="43"/>
  <c r="DE55" i="43"/>
  <c r="DC55" i="43"/>
  <c r="DA55" i="43"/>
  <c r="CY55" i="43"/>
  <c r="CW55" i="43"/>
  <c r="CU55" i="43"/>
  <c r="CS55" i="43"/>
  <c r="CQ55" i="43"/>
  <c r="CO55" i="43"/>
  <c r="CM55" i="43"/>
  <c r="CK55" i="43"/>
  <c r="CI55" i="43"/>
  <c r="CG55" i="43"/>
  <c r="CE55" i="43"/>
  <c r="CC55" i="43"/>
  <c r="CA55" i="43"/>
  <c r="BY55" i="43"/>
  <c r="BW55" i="43"/>
  <c r="BU55" i="43"/>
  <c r="BS55" i="43"/>
  <c r="BQ55" i="43"/>
  <c r="BO55" i="43"/>
  <c r="BM55" i="43"/>
  <c r="BK55" i="43"/>
  <c r="BI55" i="43"/>
  <c r="BG55" i="43"/>
  <c r="BE55" i="43"/>
  <c r="BC55" i="43"/>
  <c r="BA55" i="43"/>
  <c r="AY55" i="43"/>
  <c r="AW55" i="43"/>
  <c r="AU55" i="43"/>
  <c r="AS55" i="43"/>
  <c r="AQ55" i="43"/>
  <c r="AO55" i="43"/>
  <c r="AM55" i="43"/>
  <c r="AK55" i="43"/>
  <c r="AI55" i="43"/>
  <c r="AG55" i="43"/>
  <c r="AE55" i="43"/>
  <c r="AC55" i="43"/>
  <c r="AA55" i="43"/>
  <c r="Y55" i="43"/>
  <c r="W55" i="43"/>
  <c r="U55" i="43"/>
  <c r="S55" i="43"/>
  <c r="Q55" i="43"/>
  <c r="O55" i="43"/>
  <c r="DJ55" i="43"/>
  <c r="DF55" i="43"/>
  <c r="DB55" i="43"/>
  <c r="CX55" i="43"/>
  <c r="CT55" i="43"/>
  <c r="CP55" i="43"/>
  <c r="CL55" i="43"/>
  <c r="CH55" i="43"/>
  <c r="CD55" i="43"/>
  <c r="BZ55" i="43"/>
  <c r="BV55" i="43"/>
  <c r="BR55" i="43"/>
  <c r="BN55" i="43"/>
  <c r="BJ55" i="43"/>
  <c r="BF55" i="43"/>
  <c r="BB55" i="43"/>
  <c r="AX55" i="43"/>
  <c r="AT55" i="43"/>
  <c r="AP55" i="43"/>
  <c r="AL55" i="43"/>
  <c r="AH55" i="43"/>
  <c r="AD55" i="43"/>
  <c r="Z55" i="43"/>
  <c r="V55" i="43"/>
  <c r="R55" i="43"/>
  <c r="N55" i="43"/>
  <c r="DH55" i="43"/>
  <c r="DD55" i="43"/>
  <c r="CZ55" i="43"/>
  <c r="CV55" i="43"/>
  <c r="CR55" i="43"/>
  <c r="CN55" i="43"/>
  <c r="CJ55" i="43"/>
  <c r="CF55" i="43"/>
  <c r="CB55" i="43"/>
  <c r="BX55" i="43"/>
  <c r="BT55" i="43"/>
  <c r="BP55" i="43"/>
  <c r="BL55" i="43"/>
  <c r="BH55" i="43"/>
  <c r="BD55" i="43"/>
  <c r="AZ55" i="43"/>
  <c r="AV55" i="43"/>
  <c r="AR55" i="43"/>
  <c r="AN55" i="43"/>
  <c r="AJ55" i="43"/>
  <c r="AF55" i="43"/>
  <c r="AB55" i="43"/>
  <c r="X55" i="43"/>
  <c r="T55" i="43"/>
  <c r="P55" i="43"/>
  <c r="DJ56" i="43"/>
  <c r="DH56" i="43"/>
  <c r="DF56" i="43"/>
  <c r="DD56" i="43"/>
  <c r="DB56" i="43"/>
  <c r="CZ56" i="43"/>
  <c r="CX56" i="43"/>
  <c r="CV56" i="43"/>
  <c r="CT56" i="43"/>
  <c r="CR56" i="43"/>
  <c r="CP56" i="43"/>
  <c r="CN56" i="43"/>
  <c r="CL56" i="43"/>
  <c r="CJ56" i="43"/>
  <c r="CH56" i="43"/>
  <c r="CF56" i="43"/>
  <c r="CD56" i="43"/>
  <c r="CB56" i="43"/>
  <c r="BZ56" i="43"/>
  <c r="BX56" i="43"/>
  <c r="BV56" i="43"/>
  <c r="BT56" i="43"/>
  <c r="BR56" i="43"/>
  <c r="BP56" i="43"/>
  <c r="BN56" i="43"/>
  <c r="BL56" i="43"/>
  <c r="BJ56" i="43"/>
  <c r="BH56" i="43"/>
  <c r="BF56" i="43"/>
  <c r="BD56" i="43"/>
  <c r="BB56" i="43"/>
  <c r="AZ56" i="43"/>
  <c r="AX56" i="43"/>
  <c r="AV56" i="43"/>
  <c r="AT56" i="43"/>
  <c r="AR56" i="43"/>
  <c r="AP56" i="43"/>
  <c r="AN56" i="43"/>
  <c r="AL56" i="43"/>
  <c r="AJ56" i="43"/>
  <c r="AH56" i="43"/>
  <c r="AF56" i="43"/>
  <c r="AD56" i="43"/>
  <c r="AB56" i="43"/>
  <c r="Z56" i="43"/>
  <c r="X56" i="43"/>
  <c r="V56" i="43"/>
  <c r="T56" i="43"/>
  <c r="R56" i="43"/>
  <c r="P56" i="43"/>
  <c r="N56" i="43"/>
  <c r="DK56" i="43"/>
  <c r="DI56" i="43"/>
  <c r="DG56" i="43"/>
  <c r="DE56" i="43"/>
  <c r="DC56" i="43"/>
  <c r="DA56" i="43"/>
  <c r="CY56" i="43"/>
  <c r="CW56" i="43"/>
  <c r="CU56" i="43"/>
  <c r="CS56" i="43"/>
  <c r="CQ56" i="43"/>
  <c r="CO56" i="43"/>
  <c r="CM56" i="43"/>
  <c r="CK56" i="43"/>
  <c r="CI56" i="43"/>
  <c r="CG56" i="43"/>
  <c r="CE56" i="43"/>
  <c r="CC56" i="43"/>
  <c r="CA56" i="43"/>
  <c r="BY56" i="43"/>
  <c r="BW56" i="43"/>
  <c r="BU56" i="43"/>
  <c r="BS56" i="43"/>
  <c r="BQ56" i="43"/>
  <c r="BO56" i="43"/>
  <c r="BM56" i="43"/>
  <c r="BK56" i="43"/>
  <c r="BI56" i="43"/>
  <c r="BG56" i="43"/>
  <c r="BE56" i="43"/>
  <c r="BC56" i="43"/>
  <c r="BA56" i="43"/>
  <c r="AY56" i="43"/>
  <c r="AW56" i="43"/>
  <c r="AU56" i="43"/>
  <c r="AS56" i="43"/>
  <c r="AQ56" i="43"/>
  <c r="AO56" i="43"/>
  <c r="AM56" i="43"/>
  <c r="AK56" i="43"/>
  <c r="AI56" i="43"/>
  <c r="AE56" i="43"/>
  <c r="AA56" i="43"/>
  <c r="W56" i="43"/>
  <c r="S56" i="43"/>
  <c r="O56" i="43"/>
  <c r="AG56" i="43"/>
  <c r="AC56" i="43"/>
  <c r="Y56" i="43"/>
  <c r="U56" i="43"/>
  <c r="Q56" i="43"/>
  <c r="DK57" i="43"/>
  <c r="DI57" i="43"/>
  <c r="DG57" i="43"/>
  <c r="DE57" i="43"/>
  <c r="DC57" i="43"/>
  <c r="DA57" i="43"/>
  <c r="CY57" i="43"/>
  <c r="CW57" i="43"/>
  <c r="CU57" i="43"/>
  <c r="CS57" i="43"/>
  <c r="CQ57" i="43"/>
  <c r="CO57" i="43"/>
  <c r="CM57" i="43"/>
  <c r="CK57" i="43"/>
  <c r="CI57" i="43"/>
  <c r="CG57" i="43"/>
  <c r="CE57" i="43"/>
  <c r="CC57" i="43"/>
  <c r="CA57" i="43"/>
  <c r="BY57" i="43"/>
  <c r="BW57" i="43"/>
  <c r="BU57" i="43"/>
  <c r="BS57" i="43"/>
  <c r="BQ57" i="43"/>
  <c r="BO57" i="43"/>
  <c r="BM57" i="43"/>
  <c r="BK57" i="43"/>
  <c r="BI57" i="43"/>
  <c r="BG57" i="43"/>
  <c r="BE57" i="43"/>
  <c r="BC57" i="43"/>
  <c r="BA57" i="43"/>
  <c r="AY57" i="43"/>
  <c r="AW57" i="43"/>
  <c r="AU57" i="43"/>
  <c r="AS57" i="43"/>
  <c r="AQ57" i="43"/>
  <c r="AO57" i="43"/>
  <c r="AM57" i="43"/>
  <c r="AK57" i="43"/>
  <c r="AI57" i="43"/>
  <c r="AG57" i="43"/>
  <c r="AE57" i="43"/>
  <c r="AC57" i="43"/>
  <c r="AA57" i="43"/>
  <c r="Y57" i="43"/>
  <c r="W57" i="43"/>
  <c r="U57" i="43"/>
  <c r="S57" i="43"/>
  <c r="Q57" i="43"/>
  <c r="O57" i="43"/>
  <c r="DJ57" i="43"/>
  <c r="DH57" i="43"/>
  <c r="DF57" i="43"/>
  <c r="DD57" i="43"/>
  <c r="DB57" i="43"/>
  <c r="CZ57" i="43"/>
  <c r="CX57" i="43"/>
  <c r="CV57" i="43"/>
  <c r="CT57" i="43"/>
  <c r="CR57" i="43"/>
  <c r="CP57" i="43"/>
  <c r="CN57" i="43"/>
  <c r="CL57" i="43"/>
  <c r="CJ57" i="43"/>
  <c r="CH57" i="43"/>
  <c r="CF57" i="43"/>
  <c r="CD57" i="43"/>
  <c r="CB57" i="43"/>
  <c r="BZ57" i="43"/>
  <c r="BX57" i="43"/>
  <c r="BV57" i="43"/>
  <c r="BT57" i="43"/>
  <c r="BR57" i="43"/>
  <c r="BP57" i="43"/>
  <c r="BN57" i="43"/>
  <c r="BL57" i="43"/>
  <c r="BJ57" i="43"/>
  <c r="BH57" i="43"/>
  <c r="BF57" i="43"/>
  <c r="BD57" i="43"/>
  <c r="BB57" i="43"/>
  <c r="AZ57" i="43"/>
  <c r="AX57" i="43"/>
  <c r="AV57" i="43"/>
  <c r="AT57" i="43"/>
  <c r="AR57" i="43"/>
  <c r="AP57" i="43"/>
  <c r="AN57" i="43"/>
  <c r="AL57" i="43"/>
  <c r="AJ57" i="43"/>
  <c r="AH57" i="43"/>
  <c r="AF57" i="43"/>
  <c r="AD57" i="43"/>
  <c r="AB57" i="43"/>
  <c r="Z57" i="43"/>
  <c r="X57" i="43"/>
  <c r="V57" i="43"/>
  <c r="T57" i="43"/>
  <c r="R57" i="43"/>
  <c r="P57" i="43"/>
  <c r="N57" i="43"/>
  <c r="DJ58" i="43"/>
  <c r="DH58" i="43"/>
  <c r="DF58" i="43"/>
  <c r="DD58" i="43"/>
  <c r="DB58" i="43"/>
  <c r="CZ58" i="43"/>
  <c r="CX58" i="43"/>
  <c r="CV58" i="43"/>
  <c r="CT58" i="43"/>
  <c r="CR58" i="43"/>
  <c r="CP58" i="43"/>
  <c r="CN58" i="43"/>
  <c r="CL58" i="43"/>
  <c r="CJ58" i="43"/>
  <c r="CH58" i="43"/>
  <c r="CF58" i="43"/>
  <c r="CD58" i="43"/>
  <c r="CB58" i="43"/>
  <c r="BZ58" i="43"/>
  <c r="BX58" i="43"/>
  <c r="BV58" i="43"/>
  <c r="BT58" i="43"/>
  <c r="BR58" i="43"/>
  <c r="BP58" i="43"/>
  <c r="BN58" i="43"/>
  <c r="BL58" i="43"/>
  <c r="BJ58" i="43"/>
  <c r="BH58" i="43"/>
  <c r="BF58" i="43"/>
  <c r="BD58" i="43"/>
  <c r="BB58" i="43"/>
  <c r="AZ58" i="43"/>
  <c r="AX58" i="43"/>
  <c r="AV58" i="43"/>
  <c r="AT58" i="43"/>
  <c r="AR58" i="43"/>
  <c r="AP58" i="43"/>
  <c r="AN58" i="43"/>
  <c r="AL58" i="43"/>
  <c r="AJ58" i="43"/>
  <c r="AH58" i="43"/>
  <c r="AF58" i="43"/>
  <c r="AD58" i="43"/>
  <c r="AB58" i="43"/>
  <c r="Z58" i="43"/>
  <c r="X58" i="43"/>
  <c r="V58" i="43"/>
  <c r="T58" i="43"/>
  <c r="R58" i="43"/>
  <c r="P58" i="43"/>
  <c r="N58" i="43"/>
  <c r="DK58" i="43"/>
  <c r="DI58" i="43"/>
  <c r="DG58" i="43"/>
  <c r="DE58" i="43"/>
  <c r="DC58" i="43"/>
  <c r="DA58" i="43"/>
  <c r="CY58" i="43"/>
  <c r="CW58" i="43"/>
  <c r="CU58" i="43"/>
  <c r="CS58" i="43"/>
  <c r="CQ58" i="43"/>
  <c r="CO58" i="43"/>
  <c r="CM58" i="43"/>
  <c r="CK58" i="43"/>
  <c r="CI58" i="43"/>
  <c r="CG58" i="43"/>
  <c r="CE58" i="43"/>
  <c r="CC58" i="43"/>
  <c r="CA58" i="43"/>
  <c r="BY58" i="43"/>
  <c r="BW58" i="43"/>
  <c r="BU58" i="43"/>
  <c r="BS58" i="43"/>
  <c r="BQ58" i="43"/>
  <c r="BO58" i="43"/>
  <c r="BM58" i="43"/>
  <c r="BK58" i="43"/>
  <c r="BI58" i="43"/>
  <c r="BG58" i="43"/>
  <c r="BE58" i="43"/>
  <c r="BC58" i="43"/>
  <c r="BA58" i="43"/>
  <c r="AY58" i="43"/>
  <c r="AW58" i="43"/>
  <c r="AU58" i="43"/>
  <c r="AS58" i="43"/>
  <c r="AQ58" i="43"/>
  <c r="AO58" i="43"/>
  <c r="AM58" i="43"/>
  <c r="AK58" i="43"/>
  <c r="AI58" i="43"/>
  <c r="AG58" i="43"/>
  <c r="AE58" i="43"/>
  <c r="AC58" i="43"/>
  <c r="AA58" i="43"/>
  <c r="Y58" i="43"/>
  <c r="W58" i="43"/>
  <c r="U58" i="43"/>
  <c r="S58" i="43"/>
  <c r="Q58" i="43"/>
  <c r="O58" i="43"/>
  <c r="DK59" i="43"/>
  <c r="DI59" i="43"/>
  <c r="DG59" i="43"/>
  <c r="DE59" i="43"/>
  <c r="DC59" i="43"/>
  <c r="DA59" i="43"/>
  <c r="CY59" i="43"/>
  <c r="CW59" i="43"/>
  <c r="CU59" i="43"/>
  <c r="CS59" i="43"/>
  <c r="CQ59" i="43"/>
  <c r="CO59" i="43"/>
  <c r="CM59" i="43"/>
  <c r="CK59" i="43"/>
  <c r="CI59" i="43"/>
  <c r="CG59" i="43"/>
  <c r="CE59" i="43"/>
  <c r="CC59" i="43"/>
  <c r="CA59" i="43"/>
  <c r="BY59" i="43"/>
  <c r="BW59" i="43"/>
  <c r="BU59" i="43"/>
  <c r="BS59" i="43"/>
  <c r="BQ59" i="43"/>
  <c r="BO59" i="43"/>
  <c r="BM59" i="43"/>
  <c r="BK59" i="43"/>
  <c r="BI59" i="43"/>
  <c r="BG59" i="43"/>
  <c r="BE59" i="43"/>
  <c r="BC59" i="43"/>
  <c r="BA59" i="43"/>
  <c r="AY59" i="43"/>
  <c r="AW59" i="43"/>
  <c r="AU59" i="43"/>
  <c r="AS59" i="43"/>
  <c r="AQ59" i="43"/>
  <c r="AO59" i="43"/>
  <c r="AM59" i="43"/>
  <c r="AK59" i="43"/>
  <c r="AI59" i="43"/>
  <c r="AG59" i="43"/>
  <c r="AE59" i="43"/>
  <c r="AC59" i="43"/>
  <c r="AA59" i="43"/>
  <c r="Y59" i="43"/>
  <c r="W59" i="43"/>
  <c r="U59" i="43"/>
  <c r="S59" i="43"/>
  <c r="Q59" i="43"/>
  <c r="O59" i="43"/>
  <c r="DJ59" i="43"/>
  <c r="DH59" i="43"/>
  <c r="DF59" i="43"/>
  <c r="DD59" i="43"/>
  <c r="DB59" i="43"/>
  <c r="CZ59" i="43"/>
  <c r="CX59" i="43"/>
  <c r="CV59" i="43"/>
  <c r="CT59" i="43"/>
  <c r="CR59" i="43"/>
  <c r="CP59" i="43"/>
  <c r="CN59" i="43"/>
  <c r="CL59" i="43"/>
  <c r="CJ59" i="43"/>
  <c r="CH59" i="43"/>
  <c r="CF59" i="43"/>
  <c r="CD59" i="43"/>
  <c r="CB59" i="43"/>
  <c r="BZ59" i="43"/>
  <c r="BX59" i="43"/>
  <c r="BV59" i="43"/>
  <c r="BT59" i="43"/>
  <c r="BR59" i="43"/>
  <c r="BP59" i="43"/>
  <c r="BN59" i="43"/>
  <c r="BL59" i="43"/>
  <c r="BJ59" i="43"/>
  <c r="BH59" i="43"/>
  <c r="BF59" i="43"/>
  <c r="BD59" i="43"/>
  <c r="BB59" i="43"/>
  <c r="AZ59" i="43"/>
  <c r="AX59" i="43"/>
  <c r="AV59" i="43"/>
  <c r="AT59" i="43"/>
  <c r="AR59" i="43"/>
  <c r="AP59" i="43"/>
  <c r="AN59" i="43"/>
  <c r="AL59" i="43"/>
  <c r="AJ59" i="43"/>
  <c r="AH59" i="43"/>
  <c r="AF59" i="43"/>
  <c r="AD59" i="43"/>
  <c r="AB59" i="43"/>
  <c r="Z59" i="43"/>
  <c r="X59" i="43"/>
  <c r="V59" i="43"/>
  <c r="T59" i="43"/>
  <c r="R59" i="43"/>
  <c r="P59" i="43"/>
  <c r="N59" i="43"/>
  <c r="DJ60" i="43"/>
  <c r="DH60" i="43"/>
  <c r="DF60" i="43"/>
  <c r="DD60" i="43"/>
  <c r="DB60" i="43"/>
  <c r="CZ60" i="43"/>
  <c r="CX60" i="43"/>
  <c r="CV60" i="43"/>
  <c r="CT60" i="43"/>
  <c r="CR60" i="43"/>
  <c r="CP60" i="43"/>
  <c r="CN60" i="43"/>
  <c r="CL60" i="43"/>
  <c r="CJ60" i="43"/>
  <c r="CH60" i="43"/>
  <c r="CF60" i="43"/>
  <c r="CD60" i="43"/>
  <c r="CB60" i="43"/>
  <c r="BZ60" i="43"/>
  <c r="BX60" i="43"/>
  <c r="BV60" i="43"/>
  <c r="BT60" i="43"/>
  <c r="BR60" i="43"/>
  <c r="BP60" i="43"/>
  <c r="BN60" i="43"/>
  <c r="BL60" i="43"/>
  <c r="BJ60" i="43"/>
  <c r="BH60" i="43"/>
  <c r="BF60" i="43"/>
  <c r="BD60" i="43"/>
  <c r="BB60" i="43"/>
  <c r="AZ60" i="43"/>
  <c r="AX60" i="43"/>
  <c r="AV60" i="43"/>
  <c r="AT60" i="43"/>
  <c r="AR60" i="43"/>
  <c r="AP60" i="43"/>
  <c r="AN60" i="43"/>
  <c r="AL60" i="43"/>
  <c r="AJ60" i="43"/>
  <c r="AH60" i="43"/>
  <c r="AF60" i="43"/>
  <c r="AD60" i="43"/>
  <c r="AB60" i="43"/>
  <c r="Z60" i="43"/>
  <c r="X60" i="43"/>
  <c r="V60" i="43"/>
  <c r="T60" i="43"/>
  <c r="R60" i="43"/>
  <c r="P60" i="43"/>
  <c r="N60" i="43"/>
  <c r="DK60" i="43"/>
  <c r="DI60" i="43"/>
  <c r="DG60" i="43"/>
  <c r="DE60" i="43"/>
  <c r="DC60" i="43"/>
  <c r="DA60" i="43"/>
  <c r="CY60" i="43"/>
  <c r="CW60" i="43"/>
  <c r="CU60" i="43"/>
  <c r="CS60" i="43"/>
  <c r="CQ60" i="43"/>
  <c r="CO60" i="43"/>
  <c r="CM60" i="43"/>
  <c r="CK60" i="43"/>
  <c r="CI60" i="43"/>
  <c r="CG60" i="43"/>
  <c r="CE60" i="43"/>
  <c r="CC60" i="43"/>
  <c r="CA60" i="43"/>
  <c r="BY60" i="43"/>
  <c r="BW60" i="43"/>
  <c r="BU60" i="43"/>
  <c r="BS60" i="43"/>
  <c r="BQ60" i="43"/>
  <c r="BO60" i="43"/>
  <c r="BM60" i="43"/>
  <c r="BK60" i="43"/>
  <c r="BI60" i="43"/>
  <c r="BG60" i="43"/>
  <c r="BE60" i="43"/>
  <c r="BC60" i="43"/>
  <c r="BA60" i="43"/>
  <c r="AY60" i="43"/>
  <c r="AW60" i="43"/>
  <c r="AU60" i="43"/>
  <c r="AS60" i="43"/>
  <c r="AQ60" i="43"/>
  <c r="AO60" i="43"/>
  <c r="AM60" i="43"/>
  <c r="AK60" i="43"/>
  <c r="AI60" i="43"/>
  <c r="AG60" i="43"/>
  <c r="AE60" i="43"/>
  <c r="AC60" i="43"/>
  <c r="AA60" i="43"/>
  <c r="Y60" i="43"/>
  <c r="W60" i="43"/>
  <c r="U60" i="43"/>
  <c r="S60" i="43"/>
  <c r="Q60" i="43"/>
  <c r="O60" i="43"/>
  <c r="DK61" i="43"/>
  <c r="DI61" i="43"/>
  <c r="DG61" i="43"/>
  <c r="DE61" i="43"/>
  <c r="DC61" i="43"/>
  <c r="DA61" i="43"/>
  <c r="CY61" i="43"/>
  <c r="CW61" i="43"/>
  <c r="CU61" i="43"/>
  <c r="CS61" i="43"/>
  <c r="CQ61" i="43"/>
  <c r="CO61" i="43"/>
  <c r="CM61" i="43"/>
  <c r="CK61" i="43"/>
  <c r="CI61" i="43"/>
  <c r="CG61" i="43"/>
  <c r="CE61" i="43"/>
  <c r="CC61" i="43"/>
  <c r="CA61" i="43"/>
  <c r="BY61" i="43"/>
  <c r="BW61" i="43"/>
  <c r="BU61" i="43"/>
  <c r="BS61" i="43"/>
  <c r="BQ61" i="43"/>
  <c r="BO61" i="43"/>
  <c r="BM61" i="43"/>
  <c r="BK61" i="43"/>
  <c r="BI61" i="43"/>
  <c r="BG61" i="43"/>
  <c r="BE61" i="43"/>
  <c r="BC61" i="43"/>
  <c r="BA61" i="43"/>
  <c r="AY61" i="43"/>
  <c r="AW61" i="43"/>
  <c r="AU61" i="43"/>
  <c r="AS61" i="43"/>
  <c r="AQ61" i="43"/>
  <c r="AO61" i="43"/>
  <c r="AM61" i="43"/>
  <c r="AK61" i="43"/>
  <c r="AI61" i="43"/>
  <c r="AG61" i="43"/>
  <c r="AE61" i="43"/>
  <c r="AC61" i="43"/>
  <c r="AA61" i="43"/>
  <c r="Y61" i="43"/>
  <c r="W61" i="43"/>
  <c r="U61" i="43"/>
  <c r="S61" i="43"/>
  <c r="Q61" i="43"/>
  <c r="O61" i="43"/>
  <c r="DJ61" i="43"/>
  <c r="DH61" i="43"/>
  <c r="DF61" i="43"/>
  <c r="DD61" i="43"/>
  <c r="DB61" i="43"/>
  <c r="CZ61" i="43"/>
  <c r="CX61" i="43"/>
  <c r="CV61" i="43"/>
  <c r="CT61" i="43"/>
  <c r="CR61" i="43"/>
  <c r="CP61" i="43"/>
  <c r="CN61" i="43"/>
  <c r="CL61" i="43"/>
  <c r="CJ61" i="43"/>
  <c r="CH61" i="43"/>
  <c r="CF61" i="43"/>
  <c r="CD61" i="43"/>
  <c r="CB61" i="43"/>
  <c r="BZ61" i="43"/>
  <c r="BX61" i="43"/>
  <c r="BV61" i="43"/>
  <c r="BT61" i="43"/>
  <c r="BR61" i="43"/>
  <c r="BP61" i="43"/>
  <c r="BN61" i="43"/>
  <c r="BL61" i="43"/>
  <c r="BJ61" i="43"/>
  <c r="BH61" i="43"/>
  <c r="BF61" i="43"/>
  <c r="BD61" i="43"/>
  <c r="BB61" i="43"/>
  <c r="AZ61" i="43"/>
  <c r="AX61" i="43"/>
  <c r="AV61" i="43"/>
  <c r="AT61" i="43"/>
  <c r="AR61" i="43"/>
  <c r="AP61" i="43"/>
  <c r="AN61" i="43"/>
  <c r="AL61" i="43"/>
  <c r="AJ61" i="43"/>
  <c r="AH61" i="43"/>
  <c r="AF61" i="43"/>
  <c r="AD61" i="43"/>
  <c r="AB61" i="43"/>
  <c r="Z61" i="43"/>
  <c r="X61" i="43"/>
  <c r="V61" i="43"/>
  <c r="T61" i="43"/>
  <c r="R61" i="43"/>
  <c r="P61" i="43"/>
  <c r="N61" i="43"/>
  <c r="DJ62" i="43"/>
  <c r="DH62" i="43"/>
  <c r="DF62" i="43"/>
  <c r="DD62" i="43"/>
  <c r="DB62" i="43"/>
  <c r="CZ62" i="43"/>
  <c r="CX62" i="43"/>
  <c r="CV62" i="43"/>
  <c r="CT62" i="43"/>
  <c r="CR62" i="43"/>
  <c r="CP62" i="43"/>
  <c r="CN62" i="43"/>
  <c r="CL62" i="43"/>
  <c r="CJ62" i="43"/>
  <c r="CH62" i="43"/>
  <c r="CF62" i="43"/>
  <c r="CD62" i="43"/>
  <c r="CB62" i="43"/>
  <c r="BZ62" i="43"/>
  <c r="BX62" i="43"/>
  <c r="BV62" i="43"/>
  <c r="BT62" i="43"/>
  <c r="BR62" i="43"/>
  <c r="BP62" i="43"/>
  <c r="BN62" i="43"/>
  <c r="BL62" i="43"/>
  <c r="BJ62" i="43"/>
  <c r="BH62" i="43"/>
  <c r="BF62" i="43"/>
  <c r="BD62" i="43"/>
  <c r="BB62" i="43"/>
  <c r="AZ62" i="43"/>
  <c r="AX62" i="43"/>
  <c r="AV62" i="43"/>
  <c r="AT62" i="43"/>
  <c r="AR62" i="43"/>
  <c r="AP62" i="43"/>
  <c r="AN62" i="43"/>
  <c r="AL62" i="43"/>
  <c r="AJ62" i="43"/>
  <c r="AH62" i="43"/>
  <c r="AF62" i="43"/>
  <c r="AD62" i="43"/>
  <c r="AB62" i="43"/>
  <c r="Z62" i="43"/>
  <c r="X62" i="43"/>
  <c r="V62" i="43"/>
  <c r="T62" i="43"/>
  <c r="R62" i="43"/>
  <c r="P62" i="43"/>
  <c r="N62" i="43"/>
  <c r="DK62" i="43"/>
  <c r="DI62" i="43"/>
  <c r="DG62" i="43"/>
  <c r="DE62" i="43"/>
  <c r="DC62" i="43"/>
  <c r="DA62" i="43"/>
  <c r="CY62" i="43"/>
  <c r="CW62" i="43"/>
  <c r="CU62" i="43"/>
  <c r="CS62" i="43"/>
  <c r="CQ62" i="43"/>
  <c r="CO62" i="43"/>
  <c r="CM62" i="43"/>
  <c r="CK62" i="43"/>
  <c r="CI62" i="43"/>
  <c r="CG62" i="43"/>
  <c r="CE62" i="43"/>
  <c r="CC62" i="43"/>
  <c r="CA62" i="43"/>
  <c r="BY62" i="43"/>
  <c r="BW62" i="43"/>
  <c r="BU62" i="43"/>
  <c r="BS62" i="43"/>
  <c r="BQ62" i="43"/>
  <c r="BO62" i="43"/>
  <c r="BM62" i="43"/>
  <c r="BK62" i="43"/>
  <c r="BI62" i="43"/>
  <c r="BG62" i="43"/>
  <c r="BE62" i="43"/>
  <c r="BC62" i="43"/>
  <c r="BA62" i="43"/>
  <c r="AY62" i="43"/>
  <c r="AW62" i="43"/>
  <c r="AU62" i="43"/>
  <c r="AS62" i="43"/>
  <c r="AQ62" i="43"/>
  <c r="AO62" i="43"/>
  <c r="AM62" i="43"/>
  <c r="AK62" i="43"/>
  <c r="AI62" i="43"/>
  <c r="AG62" i="43"/>
  <c r="AE62" i="43"/>
  <c r="AC62" i="43"/>
  <c r="AA62" i="43"/>
  <c r="Y62" i="43"/>
  <c r="W62" i="43"/>
  <c r="U62" i="43"/>
  <c r="S62" i="43"/>
  <c r="Q62" i="43"/>
  <c r="O62" i="43"/>
  <c r="DK63" i="43"/>
  <c r="DI63" i="43"/>
  <c r="DG63" i="43"/>
  <c r="DE63" i="43"/>
  <c r="DC63" i="43"/>
  <c r="DA63" i="43"/>
  <c r="CY63" i="43"/>
  <c r="CW63" i="43"/>
  <c r="CU63" i="43"/>
  <c r="CS63" i="43"/>
  <c r="CQ63" i="43"/>
  <c r="CO63" i="43"/>
  <c r="CM63" i="43"/>
  <c r="CK63" i="43"/>
  <c r="CI63" i="43"/>
  <c r="CG63" i="43"/>
  <c r="CE63" i="43"/>
  <c r="CC63" i="43"/>
  <c r="CA63" i="43"/>
  <c r="BY63" i="43"/>
  <c r="BW63" i="43"/>
  <c r="BU63" i="43"/>
  <c r="BS63" i="43"/>
  <c r="BQ63" i="43"/>
  <c r="BO63" i="43"/>
  <c r="BM63" i="43"/>
  <c r="BK63" i="43"/>
  <c r="BI63" i="43"/>
  <c r="BG63" i="43"/>
  <c r="BE63" i="43"/>
  <c r="BC63" i="43"/>
  <c r="BA63" i="43"/>
  <c r="AY63" i="43"/>
  <c r="AW63" i="43"/>
  <c r="AU63" i="43"/>
  <c r="AS63" i="43"/>
  <c r="AQ63" i="43"/>
  <c r="AO63" i="43"/>
  <c r="AM63" i="43"/>
  <c r="AK63" i="43"/>
  <c r="AI63" i="43"/>
  <c r="AG63" i="43"/>
  <c r="AE63" i="43"/>
  <c r="AC63" i="43"/>
  <c r="AA63" i="43"/>
  <c r="Y63" i="43"/>
  <c r="W63" i="43"/>
  <c r="U63" i="43"/>
  <c r="S63" i="43"/>
  <c r="Q63" i="43"/>
  <c r="O63" i="43"/>
  <c r="DJ63" i="43"/>
  <c r="DH63" i="43"/>
  <c r="DF63" i="43"/>
  <c r="DD63" i="43"/>
  <c r="DB63" i="43"/>
  <c r="CZ63" i="43"/>
  <c r="CX63" i="43"/>
  <c r="CV63" i="43"/>
  <c r="CT63" i="43"/>
  <c r="CR63" i="43"/>
  <c r="CP63" i="43"/>
  <c r="CN63" i="43"/>
  <c r="CL63" i="43"/>
  <c r="CJ63" i="43"/>
  <c r="CH63" i="43"/>
  <c r="CF63" i="43"/>
  <c r="CD63" i="43"/>
  <c r="CB63" i="43"/>
  <c r="BZ63" i="43"/>
  <c r="BX63" i="43"/>
  <c r="BV63" i="43"/>
  <c r="BT63" i="43"/>
  <c r="BR63" i="43"/>
  <c r="BP63" i="43"/>
  <c r="BN63" i="43"/>
  <c r="BL63" i="43"/>
  <c r="BJ63" i="43"/>
  <c r="BH63" i="43"/>
  <c r="BF63" i="43"/>
  <c r="BD63" i="43"/>
  <c r="BB63" i="43"/>
  <c r="AZ63" i="43"/>
  <c r="AX63" i="43"/>
  <c r="AV63" i="43"/>
  <c r="AT63" i="43"/>
  <c r="AR63" i="43"/>
  <c r="AP63" i="43"/>
  <c r="AN63" i="43"/>
  <c r="AL63" i="43"/>
  <c r="AJ63" i="43"/>
  <c r="AH63" i="43"/>
  <c r="AF63" i="43"/>
  <c r="AD63" i="43"/>
  <c r="AB63" i="43"/>
  <c r="Z63" i="43"/>
  <c r="X63" i="43"/>
  <c r="V63" i="43"/>
  <c r="T63" i="43"/>
  <c r="R63" i="43"/>
  <c r="P63" i="43"/>
  <c r="N63" i="43"/>
  <c r="DJ64" i="43"/>
  <c r="DH64" i="43"/>
  <c r="DF64" i="43"/>
  <c r="DD64" i="43"/>
  <c r="DB64" i="43"/>
  <c r="CZ64" i="43"/>
  <c r="CX64" i="43"/>
  <c r="CV64" i="43"/>
  <c r="CT64" i="43"/>
  <c r="CR64" i="43"/>
  <c r="CP64" i="43"/>
  <c r="CN64" i="43"/>
  <c r="CL64" i="43"/>
  <c r="CJ64" i="43"/>
  <c r="CH64" i="43"/>
  <c r="CF64" i="43"/>
  <c r="CD64" i="43"/>
  <c r="CB64" i="43"/>
  <c r="BZ64" i="43"/>
  <c r="BX64" i="43"/>
  <c r="BV64" i="43"/>
  <c r="BT64" i="43"/>
  <c r="BR64" i="43"/>
  <c r="BP64" i="43"/>
  <c r="BN64" i="43"/>
  <c r="BL64" i="43"/>
  <c r="BJ64" i="43"/>
  <c r="BH64" i="43"/>
  <c r="BF64" i="43"/>
  <c r="BD64" i="43"/>
  <c r="BB64" i="43"/>
  <c r="AZ64" i="43"/>
  <c r="AX64" i="43"/>
  <c r="AV64" i="43"/>
  <c r="AT64" i="43"/>
  <c r="AR64" i="43"/>
  <c r="AP64" i="43"/>
  <c r="AN64" i="43"/>
  <c r="AL64" i="43"/>
  <c r="AJ64" i="43"/>
  <c r="AH64" i="43"/>
  <c r="AF64" i="43"/>
  <c r="AD64" i="43"/>
  <c r="AB64" i="43"/>
  <c r="Z64" i="43"/>
  <c r="X64" i="43"/>
  <c r="V64" i="43"/>
  <c r="T64" i="43"/>
  <c r="R64" i="43"/>
  <c r="P64" i="43"/>
  <c r="N64" i="43"/>
  <c r="DK64" i="43"/>
  <c r="DI64" i="43"/>
  <c r="DG64" i="43"/>
  <c r="DE64" i="43"/>
  <c r="DC64" i="43"/>
  <c r="DA64" i="43"/>
  <c r="CY64" i="43"/>
  <c r="CW64" i="43"/>
  <c r="CU64" i="43"/>
  <c r="CS64" i="43"/>
  <c r="CQ64" i="43"/>
  <c r="CO64" i="43"/>
  <c r="CM64" i="43"/>
  <c r="CK64" i="43"/>
  <c r="CI64" i="43"/>
  <c r="CG64" i="43"/>
  <c r="CE64" i="43"/>
  <c r="CC64" i="43"/>
  <c r="CA64" i="43"/>
  <c r="BY64" i="43"/>
  <c r="BW64" i="43"/>
  <c r="BU64" i="43"/>
  <c r="BS64" i="43"/>
  <c r="BQ64" i="43"/>
  <c r="BO64" i="43"/>
  <c r="BM64" i="43"/>
  <c r="BK64" i="43"/>
  <c r="BI64" i="43"/>
  <c r="BG64" i="43"/>
  <c r="BE64" i="43"/>
  <c r="BC64" i="43"/>
  <c r="BA64" i="43"/>
  <c r="AY64" i="43"/>
  <c r="AW64" i="43"/>
  <c r="AU64" i="43"/>
  <c r="AS64" i="43"/>
  <c r="AQ64" i="43"/>
  <c r="AO64" i="43"/>
  <c r="AM64" i="43"/>
  <c r="AK64" i="43"/>
  <c r="AI64" i="43"/>
  <c r="AG64" i="43"/>
  <c r="AE64" i="43"/>
  <c r="AC64" i="43"/>
  <c r="AA64" i="43"/>
  <c r="Y64" i="43"/>
  <c r="W64" i="43"/>
  <c r="U64" i="43"/>
  <c r="S64" i="43"/>
  <c r="Q64" i="43"/>
  <c r="O64" i="43"/>
  <c r="DK65" i="43"/>
  <c r="DI65" i="43"/>
  <c r="DG65" i="43"/>
  <c r="DE65" i="43"/>
  <c r="DC65" i="43"/>
  <c r="DA65" i="43"/>
  <c r="CY65" i="43"/>
  <c r="CW65" i="43"/>
  <c r="CU65" i="43"/>
  <c r="CS65" i="43"/>
  <c r="CQ65" i="43"/>
  <c r="CO65" i="43"/>
  <c r="CM65" i="43"/>
  <c r="CK65" i="43"/>
  <c r="CI65" i="43"/>
  <c r="CG65" i="43"/>
  <c r="CE65" i="43"/>
  <c r="CC65" i="43"/>
  <c r="CA65" i="43"/>
  <c r="BY65" i="43"/>
  <c r="BW65" i="43"/>
  <c r="BU65" i="43"/>
  <c r="BS65" i="43"/>
  <c r="BQ65" i="43"/>
  <c r="BO65" i="43"/>
  <c r="BM65" i="43"/>
  <c r="BK65" i="43"/>
  <c r="BI65" i="43"/>
  <c r="BG65" i="43"/>
  <c r="BE65" i="43"/>
  <c r="BC65" i="43"/>
  <c r="BA65" i="43"/>
  <c r="AY65" i="43"/>
  <c r="AW65" i="43"/>
  <c r="AU65" i="43"/>
  <c r="AS65" i="43"/>
  <c r="AQ65" i="43"/>
  <c r="AO65" i="43"/>
  <c r="AM65" i="43"/>
  <c r="AK65" i="43"/>
  <c r="AI65" i="43"/>
  <c r="AG65" i="43"/>
  <c r="AE65" i="43"/>
  <c r="AC65" i="43"/>
  <c r="AA65" i="43"/>
  <c r="Y65" i="43"/>
  <c r="W65" i="43"/>
  <c r="U65" i="43"/>
  <c r="S65" i="43"/>
  <c r="Q65" i="43"/>
  <c r="O65" i="43"/>
  <c r="DJ65" i="43"/>
  <c r="DH65" i="43"/>
  <c r="DF65" i="43"/>
  <c r="DD65" i="43"/>
  <c r="DB65" i="43"/>
  <c r="CZ65" i="43"/>
  <c r="CX65" i="43"/>
  <c r="CV65" i="43"/>
  <c r="CT65" i="43"/>
  <c r="CR65" i="43"/>
  <c r="CP65" i="43"/>
  <c r="CN65" i="43"/>
  <c r="CL65" i="43"/>
  <c r="CJ65" i="43"/>
  <c r="CH65" i="43"/>
  <c r="CF65" i="43"/>
  <c r="CD65" i="43"/>
  <c r="CB65" i="43"/>
  <c r="BZ65" i="43"/>
  <c r="BX65" i="43"/>
  <c r="BV65" i="43"/>
  <c r="BT65" i="43"/>
  <c r="BR65" i="43"/>
  <c r="BP65" i="43"/>
  <c r="BN65" i="43"/>
  <c r="BL65" i="43"/>
  <c r="BJ65" i="43"/>
  <c r="BH65" i="43"/>
  <c r="BF65" i="43"/>
  <c r="BD65" i="43"/>
  <c r="BB65" i="43"/>
  <c r="AZ65" i="43"/>
  <c r="AX65" i="43"/>
  <c r="AV65" i="43"/>
  <c r="AT65" i="43"/>
  <c r="AR65" i="43"/>
  <c r="AP65" i="43"/>
  <c r="AN65" i="43"/>
  <c r="AL65" i="43"/>
  <c r="AJ65" i="43"/>
  <c r="AH65" i="43"/>
  <c r="AF65" i="43"/>
  <c r="AD65" i="43"/>
  <c r="AB65" i="43"/>
  <c r="Z65" i="43"/>
  <c r="X65" i="43"/>
  <c r="V65" i="43"/>
  <c r="T65" i="43"/>
  <c r="R65" i="43"/>
  <c r="P65" i="43"/>
  <c r="N65" i="43"/>
  <c r="DJ66" i="43"/>
  <c r="DH66" i="43"/>
  <c r="DF66" i="43"/>
  <c r="DD66" i="43"/>
  <c r="DB66" i="43"/>
  <c r="CZ66" i="43"/>
  <c r="CX66" i="43"/>
  <c r="CV66" i="43"/>
  <c r="CT66" i="43"/>
  <c r="CR66" i="43"/>
  <c r="CP66" i="43"/>
  <c r="CN66" i="43"/>
  <c r="CL66" i="43"/>
  <c r="CJ66" i="43"/>
  <c r="CH66" i="43"/>
  <c r="CF66" i="43"/>
  <c r="CD66" i="43"/>
  <c r="CB66" i="43"/>
  <c r="BZ66" i="43"/>
  <c r="BX66" i="43"/>
  <c r="BV66" i="43"/>
  <c r="BT66" i="43"/>
  <c r="BR66" i="43"/>
  <c r="BP66" i="43"/>
  <c r="BN66" i="43"/>
  <c r="BL66" i="43"/>
  <c r="BJ66" i="43"/>
  <c r="BH66" i="43"/>
  <c r="BF66" i="43"/>
  <c r="BD66" i="43"/>
  <c r="BB66" i="43"/>
  <c r="AZ66" i="43"/>
  <c r="AX66" i="43"/>
  <c r="AV66" i="43"/>
  <c r="AT66" i="43"/>
  <c r="AR66" i="43"/>
  <c r="AP66" i="43"/>
  <c r="AN66" i="43"/>
  <c r="AL66" i="43"/>
  <c r="AJ66" i="43"/>
  <c r="AH66" i="43"/>
  <c r="AF66" i="43"/>
  <c r="AD66" i="43"/>
  <c r="AB66" i="43"/>
  <c r="Z66" i="43"/>
  <c r="X66" i="43"/>
  <c r="V66" i="43"/>
  <c r="T66" i="43"/>
  <c r="R66" i="43"/>
  <c r="P66" i="43"/>
  <c r="N66" i="43"/>
  <c r="DK66" i="43"/>
  <c r="DI66" i="43"/>
  <c r="DG66" i="43"/>
  <c r="DE66" i="43"/>
  <c r="DC66" i="43"/>
  <c r="DA66" i="43"/>
  <c r="CY66" i="43"/>
  <c r="CW66" i="43"/>
  <c r="CU66" i="43"/>
  <c r="CS66" i="43"/>
  <c r="CQ66" i="43"/>
  <c r="CO66" i="43"/>
  <c r="CM66" i="43"/>
  <c r="CK66" i="43"/>
  <c r="CI66" i="43"/>
  <c r="CG66" i="43"/>
  <c r="CE66" i="43"/>
  <c r="CC66" i="43"/>
  <c r="CA66" i="43"/>
  <c r="BY66" i="43"/>
  <c r="BW66" i="43"/>
  <c r="BU66" i="43"/>
  <c r="BS66" i="43"/>
  <c r="BQ66" i="43"/>
  <c r="BO66" i="43"/>
  <c r="BM66" i="43"/>
  <c r="BK66" i="43"/>
  <c r="BI66" i="43"/>
  <c r="BG66" i="43"/>
  <c r="BE66" i="43"/>
  <c r="BC66" i="43"/>
  <c r="BA66" i="43"/>
  <c r="AY66" i="43"/>
  <c r="AW66" i="43"/>
  <c r="AU66" i="43"/>
  <c r="AS66" i="43"/>
  <c r="AQ66" i="43"/>
  <c r="AO66" i="43"/>
  <c r="AM66" i="43"/>
  <c r="AK66" i="43"/>
  <c r="AI66" i="43"/>
  <c r="AG66" i="43"/>
  <c r="AE66" i="43"/>
  <c r="AC66" i="43"/>
  <c r="AA66" i="43"/>
  <c r="Y66" i="43"/>
  <c r="W66" i="43"/>
  <c r="U66" i="43"/>
  <c r="S66" i="43"/>
  <c r="Q66" i="43"/>
  <c r="O66" i="43"/>
  <c r="DJ67" i="43"/>
  <c r="DH67" i="43"/>
  <c r="DF67" i="43"/>
  <c r="DD67" i="43"/>
  <c r="DB67" i="43"/>
  <c r="CZ67" i="43"/>
  <c r="CX67" i="43"/>
  <c r="CV67" i="43"/>
  <c r="CT67" i="43"/>
  <c r="CR67" i="43"/>
  <c r="CP67" i="43"/>
  <c r="CN67" i="43"/>
  <c r="CL67" i="43"/>
  <c r="CJ67" i="43"/>
  <c r="CH67" i="43"/>
  <c r="CF67" i="43"/>
  <c r="CD67" i="43"/>
  <c r="CB67" i="43"/>
  <c r="BZ67" i="43"/>
  <c r="BX67" i="43"/>
  <c r="BV67" i="43"/>
  <c r="BT67" i="43"/>
  <c r="BR67" i="43"/>
  <c r="BP67" i="43"/>
  <c r="BN67" i="43"/>
  <c r="BL67" i="43"/>
  <c r="BJ67" i="43"/>
  <c r="BH67" i="43"/>
  <c r="BF67" i="43"/>
  <c r="BD67" i="43"/>
  <c r="BB67" i="43"/>
  <c r="AZ67" i="43"/>
  <c r="AX67" i="43"/>
  <c r="AV67" i="43"/>
  <c r="AT67" i="43"/>
  <c r="AR67" i="43"/>
  <c r="AP67" i="43"/>
  <c r="AN67" i="43"/>
  <c r="AL67" i="43"/>
  <c r="AJ67" i="43"/>
  <c r="AH67" i="43"/>
  <c r="DI67" i="43"/>
  <c r="DE67" i="43"/>
  <c r="DA67" i="43"/>
  <c r="CW67" i="43"/>
  <c r="CS67" i="43"/>
  <c r="CO67" i="43"/>
  <c r="CK67" i="43"/>
  <c r="CG67" i="43"/>
  <c r="CC67" i="43"/>
  <c r="BY67" i="43"/>
  <c r="BU67" i="43"/>
  <c r="BQ67" i="43"/>
  <c r="BM67" i="43"/>
  <c r="BI67" i="43"/>
  <c r="BE67" i="43"/>
  <c r="BA67" i="43"/>
  <c r="AW67" i="43"/>
  <c r="AS67" i="43"/>
  <c r="AO67" i="43"/>
  <c r="AK67" i="43"/>
  <c r="AG67" i="43"/>
  <c r="AE67" i="43"/>
  <c r="AC67" i="43"/>
  <c r="AA67" i="43"/>
  <c r="Y67" i="43"/>
  <c r="W67" i="43"/>
  <c r="U67" i="43"/>
  <c r="S67" i="43"/>
  <c r="Q67" i="43"/>
  <c r="O67" i="43"/>
  <c r="DK67" i="43"/>
  <c r="DG67" i="43"/>
  <c r="DC67" i="43"/>
  <c r="CY67" i="43"/>
  <c r="CU67" i="43"/>
  <c r="CQ67" i="43"/>
  <c r="CM67" i="43"/>
  <c r="CI67" i="43"/>
  <c r="CE67" i="43"/>
  <c r="CA67" i="43"/>
  <c r="BW67" i="43"/>
  <c r="BS67" i="43"/>
  <c r="BO67" i="43"/>
  <c r="BK67" i="43"/>
  <c r="BG67" i="43"/>
  <c r="BC67" i="43"/>
  <c r="AY67" i="43"/>
  <c r="AU67" i="43"/>
  <c r="AQ67" i="43"/>
  <c r="AM67" i="43"/>
  <c r="AI67" i="43"/>
  <c r="AF67" i="43"/>
  <c r="AD67" i="43"/>
  <c r="AB67" i="43"/>
  <c r="Z67" i="43"/>
  <c r="X67" i="43"/>
  <c r="V67" i="43"/>
  <c r="T67" i="43"/>
  <c r="R67" i="43"/>
  <c r="P67" i="43"/>
  <c r="N67" i="43"/>
  <c r="DK68" i="43"/>
  <c r="DI68" i="43"/>
  <c r="DG68" i="43"/>
  <c r="DE68" i="43"/>
  <c r="DC68" i="43"/>
  <c r="DA68" i="43"/>
  <c r="CY68" i="43"/>
  <c r="CW68" i="43"/>
  <c r="CU68" i="43"/>
  <c r="CS68" i="43"/>
  <c r="CQ68" i="43"/>
  <c r="CO68" i="43"/>
  <c r="CM68" i="43"/>
  <c r="CK68" i="43"/>
  <c r="CI68" i="43"/>
  <c r="CG68" i="43"/>
  <c r="CE68" i="43"/>
  <c r="CC68" i="43"/>
  <c r="CA68" i="43"/>
  <c r="BY68" i="43"/>
  <c r="BW68" i="43"/>
  <c r="BU68" i="43"/>
  <c r="BS68" i="43"/>
  <c r="BQ68" i="43"/>
  <c r="BO68" i="43"/>
  <c r="BM68" i="43"/>
  <c r="BK68" i="43"/>
  <c r="BI68" i="43"/>
  <c r="BG68" i="43"/>
  <c r="BE68" i="43"/>
  <c r="BC68" i="43"/>
  <c r="BA68" i="43"/>
  <c r="AY68" i="43"/>
  <c r="AW68" i="43"/>
  <c r="AU68" i="43"/>
  <c r="AS68" i="43"/>
  <c r="AQ68" i="43"/>
  <c r="AO68" i="43"/>
  <c r="AM68" i="43"/>
  <c r="AK68" i="43"/>
  <c r="AI68" i="43"/>
  <c r="AG68" i="43"/>
  <c r="AE68" i="43"/>
  <c r="AC68" i="43"/>
  <c r="AA68" i="43"/>
  <c r="Y68" i="43"/>
  <c r="W68" i="43"/>
  <c r="U68" i="43"/>
  <c r="S68" i="43"/>
  <c r="Q68" i="43"/>
  <c r="O68" i="43"/>
  <c r="DH68" i="43"/>
  <c r="DD68" i="43"/>
  <c r="CZ68" i="43"/>
  <c r="CV68" i="43"/>
  <c r="CR68" i="43"/>
  <c r="CN68" i="43"/>
  <c r="CJ68" i="43"/>
  <c r="CF68" i="43"/>
  <c r="CB68" i="43"/>
  <c r="BX68" i="43"/>
  <c r="BT68" i="43"/>
  <c r="BP68" i="43"/>
  <c r="BL68" i="43"/>
  <c r="BH68" i="43"/>
  <c r="BD68" i="43"/>
  <c r="AZ68" i="43"/>
  <c r="AV68" i="43"/>
  <c r="AR68" i="43"/>
  <c r="AN68" i="43"/>
  <c r="AJ68" i="43"/>
  <c r="AF68" i="43"/>
  <c r="AB68" i="43"/>
  <c r="X68" i="43"/>
  <c r="T68" i="43"/>
  <c r="P68" i="43"/>
  <c r="DJ68" i="43"/>
  <c r="DF68" i="43"/>
  <c r="DB68" i="43"/>
  <c r="CX68" i="43"/>
  <c r="CT68" i="43"/>
  <c r="CP68" i="43"/>
  <c r="CL68" i="43"/>
  <c r="CH68" i="43"/>
  <c r="CD68" i="43"/>
  <c r="BZ68" i="43"/>
  <c r="BV68" i="43"/>
  <c r="BR68" i="43"/>
  <c r="BN68" i="43"/>
  <c r="BJ68" i="43"/>
  <c r="BF68" i="43"/>
  <c r="BB68" i="43"/>
  <c r="AX68" i="43"/>
  <c r="AT68" i="43"/>
  <c r="AP68" i="43"/>
  <c r="AL68" i="43"/>
  <c r="AH68" i="43"/>
  <c r="AD68" i="43"/>
  <c r="Z68" i="43"/>
  <c r="V68" i="43"/>
  <c r="R68" i="43"/>
  <c r="N68" i="43"/>
  <c r="DK69" i="43"/>
  <c r="DI69" i="43"/>
  <c r="DG69" i="43"/>
  <c r="DE69" i="43"/>
  <c r="DC69" i="43"/>
  <c r="DA69" i="43"/>
  <c r="CY69" i="43"/>
  <c r="CW69" i="43"/>
  <c r="CU69" i="43"/>
  <c r="CS69" i="43"/>
  <c r="CQ69" i="43"/>
  <c r="CO69" i="43"/>
  <c r="CM69" i="43"/>
  <c r="CK69" i="43"/>
  <c r="CI69" i="43"/>
  <c r="CG69" i="43"/>
  <c r="CE69" i="43"/>
  <c r="CC69" i="43"/>
  <c r="CA69" i="43"/>
  <c r="BY69" i="43"/>
  <c r="BW69" i="43"/>
  <c r="BU69" i="43"/>
  <c r="BS69" i="43"/>
  <c r="BQ69" i="43"/>
  <c r="BO69" i="43"/>
  <c r="BM69" i="43"/>
  <c r="BK69" i="43"/>
  <c r="BI69" i="43"/>
  <c r="BG69" i="43"/>
  <c r="BE69" i="43"/>
  <c r="BC69" i="43"/>
  <c r="BA69" i="43"/>
  <c r="AY69" i="43"/>
  <c r="AW69" i="43"/>
  <c r="AU69" i="43"/>
  <c r="AS69" i="43"/>
  <c r="AQ69" i="43"/>
  <c r="AO69" i="43"/>
  <c r="AM69" i="43"/>
  <c r="AK69" i="43"/>
  <c r="AI69" i="43"/>
  <c r="AG69" i="43"/>
  <c r="AE69" i="43"/>
  <c r="AC69" i="43"/>
  <c r="AA69" i="43"/>
  <c r="Y69" i="43"/>
  <c r="W69" i="43"/>
  <c r="U69" i="43"/>
  <c r="S69" i="43"/>
  <c r="Q69" i="43"/>
  <c r="O69" i="43"/>
  <c r="DJ69" i="43"/>
  <c r="DH69" i="43"/>
  <c r="DF69" i="43"/>
  <c r="DD69" i="43"/>
  <c r="DB69" i="43"/>
  <c r="CZ69" i="43"/>
  <c r="CX69" i="43"/>
  <c r="CV69" i="43"/>
  <c r="CT69" i="43"/>
  <c r="CR69" i="43"/>
  <c r="CP69" i="43"/>
  <c r="CN69" i="43"/>
  <c r="CL69" i="43"/>
  <c r="CJ69" i="43"/>
  <c r="CH69" i="43"/>
  <c r="CF69" i="43"/>
  <c r="CD69" i="43"/>
  <c r="CB69" i="43"/>
  <c r="BZ69" i="43"/>
  <c r="BX69" i="43"/>
  <c r="BV69" i="43"/>
  <c r="BT69" i="43"/>
  <c r="BR69" i="43"/>
  <c r="BP69" i="43"/>
  <c r="BN69" i="43"/>
  <c r="BL69" i="43"/>
  <c r="BJ69" i="43"/>
  <c r="BH69" i="43"/>
  <c r="BF69" i="43"/>
  <c r="BD69" i="43"/>
  <c r="BB69" i="43"/>
  <c r="AZ69" i="43"/>
  <c r="AX69" i="43"/>
  <c r="AV69" i="43"/>
  <c r="AT69" i="43"/>
  <c r="AR69" i="43"/>
  <c r="AP69" i="43"/>
  <c r="AN69" i="43"/>
  <c r="AL69" i="43"/>
  <c r="AJ69" i="43"/>
  <c r="AH69" i="43"/>
  <c r="AF69" i="43"/>
  <c r="AD69" i="43"/>
  <c r="AB69" i="43"/>
  <c r="Z69" i="43"/>
  <c r="X69" i="43"/>
  <c r="V69" i="43"/>
  <c r="T69" i="43"/>
  <c r="R69" i="43"/>
  <c r="P69" i="43"/>
  <c r="N69" i="43"/>
  <c r="DJ70" i="43"/>
  <c r="DH70" i="43"/>
  <c r="DF70" i="43"/>
  <c r="DD70" i="43"/>
  <c r="DB70" i="43"/>
  <c r="CZ70" i="43"/>
  <c r="CX70" i="43"/>
  <c r="CV70" i="43"/>
  <c r="CT70" i="43"/>
  <c r="CR70" i="43"/>
  <c r="CP70" i="43"/>
  <c r="CN70" i="43"/>
  <c r="CL70" i="43"/>
  <c r="CJ70" i="43"/>
  <c r="CH70" i="43"/>
  <c r="CF70" i="43"/>
  <c r="CD70" i="43"/>
  <c r="CB70" i="43"/>
  <c r="BZ70" i="43"/>
  <c r="BX70" i="43"/>
  <c r="BV70" i="43"/>
  <c r="BT70" i="43"/>
  <c r="BR70" i="43"/>
  <c r="BP70" i="43"/>
  <c r="BN70" i="43"/>
  <c r="BL70" i="43"/>
  <c r="BJ70" i="43"/>
  <c r="BH70" i="43"/>
  <c r="BF70" i="43"/>
  <c r="BD70" i="43"/>
  <c r="BB70" i="43"/>
  <c r="AZ70" i="43"/>
  <c r="AX70" i="43"/>
  <c r="AV70" i="43"/>
  <c r="AT70" i="43"/>
  <c r="AR70" i="43"/>
  <c r="AP70" i="43"/>
  <c r="AN70" i="43"/>
  <c r="AL70" i="43"/>
  <c r="AJ70" i="43"/>
  <c r="AH70" i="43"/>
  <c r="AF70" i="43"/>
  <c r="AD70" i="43"/>
  <c r="AB70" i="43"/>
  <c r="Z70" i="43"/>
  <c r="X70" i="43"/>
  <c r="V70" i="43"/>
  <c r="T70" i="43"/>
  <c r="R70" i="43"/>
  <c r="P70" i="43"/>
  <c r="N70" i="43"/>
  <c r="DK70" i="43"/>
  <c r="DI70" i="43"/>
  <c r="DG70" i="43"/>
  <c r="DE70" i="43"/>
  <c r="DC70" i="43"/>
  <c r="DA70" i="43"/>
  <c r="CY70" i="43"/>
  <c r="CW70" i="43"/>
  <c r="CU70" i="43"/>
  <c r="CS70" i="43"/>
  <c r="CQ70" i="43"/>
  <c r="CO70" i="43"/>
  <c r="CM70" i="43"/>
  <c r="CK70" i="43"/>
  <c r="CI70" i="43"/>
  <c r="CG70" i="43"/>
  <c r="CE70" i="43"/>
  <c r="CC70" i="43"/>
  <c r="CA70" i="43"/>
  <c r="BY70" i="43"/>
  <c r="BW70" i="43"/>
  <c r="BU70" i="43"/>
  <c r="BS70" i="43"/>
  <c r="BQ70" i="43"/>
  <c r="BO70" i="43"/>
  <c r="BM70" i="43"/>
  <c r="BK70" i="43"/>
  <c r="BI70" i="43"/>
  <c r="BG70" i="43"/>
  <c r="BE70" i="43"/>
  <c r="BC70" i="43"/>
  <c r="BA70" i="43"/>
  <c r="AY70" i="43"/>
  <c r="AW70" i="43"/>
  <c r="AU70" i="43"/>
  <c r="AS70" i="43"/>
  <c r="AQ70" i="43"/>
  <c r="AO70" i="43"/>
  <c r="AM70" i="43"/>
  <c r="AK70" i="43"/>
  <c r="AI70" i="43"/>
  <c r="AG70" i="43"/>
  <c r="AE70" i="43"/>
  <c r="AC70" i="43"/>
  <c r="AA70" i="43"/>
  <c r="Y70" i="43"/>
  <c r="W70" i="43"/>
  <c r="U70" i="43"/>
  <c r="S70" i="43"/>
  <c r="Q70" i="43"/>
  <c r="O70" i="43"/>
  <c r="DK71" i="43"/>
  <c r="DI71" i="43"/>
  <c r="DG71" i="43"/>
  <c r="DE71" i="43"/>
  <c r="DC71" i="43"/>
  <c r="DA71" i="43"/>
  <c r="CY71" i="43"/>
  <c r="CW71" i="43"/>
  <c r="CU71" i="43"/>
  <c r="CS71" i="43"/>
  <c r="CQ71" i="43"/>
  <c r="CO71" i="43"/>
  <c r="CM71" i="43"/>
  <c r="CK71" i="43"/>
  <c r="CI71" i="43"/>
  <c r="CG71" i="43"/>
  <c r="CE71" i="43"/>
  <c r="CC71" i="43"/>
  <c r="CA71" i="43"/>
  <c r="BY71" i="43"/>
  <c r="BW71" i="43"/>
  <c r="BU71" i="43"/>
  <c r="BS71" i="43"/>
  <c r="BQ71" i="43"/>
  <c r="BO71" i="43"/>
  <c r="BM71" i="43"/>
  <c r="BK71" i="43"/>
  <c r="BI71" i="43"/>
  <c r="BG71" i="43"/>
  <c r="BE71" i="43"/>
  <c r="BC71" i="43"/>
  <c r="BA71" i="43"/>
  <c r="AY71" i="43"/>
  <c r="AW71" i="43"/>
  <c r="AU71" i="43"/>
  <c r="AS71" i="43"/>
  <c r="AQ71" i="43"/>
  <c r="AO71" i="43"/>
  <c r="AM71" i="43"/>
  <c r="AK71" i="43"/>
  <c r="AI71" i="43"/>
  <c r="AG71" i="43"/>
  <c r="AE71" i="43"/>
  <c r="AC71" i="43"/>
  <c r="AA71" i="43"/>
  <c r="Y71" i="43"/>
  <c r="W71" i="43"/>
  <c r="U71" i="43"/>
  <c r="S71" i="43"/>
  <c r="Q71" i="43"/>
  <c r="O71" i="43"/>
  <c r="DJ71" i="43"/>
  <c r="DH71" i="43"/>
  <c r="DF71" i="43"/>
  <c r="DD71" i="43"/>
  <c r="DB71" i="43"/>
  <c r="CZ71" i="43"/>
  <c r="CX71" i="43"/>
  <c r="CV71" i="43"/>
  <c r="CT71" i="43"/>
  <c r="CR71" i="43"/>
  <c r="CP71" i="43"/>
  <c r="CN71" i="43"/>
  <c r="CL71" i="43"/>
  <c r="CJ71" i="43"/>
  <c r="CH71" i="43"/>
  <c r="CF71" i="43"/>
  <c r="CD71" i="43"/>
  <c r="CB71" i="43"/>
  <c r="BZ71" i="43"/>
  <c r="BX71" i="43"/>
  <c r="BV71" i="43"/>
  <c r="BT71" i="43"/>
  <c r="BR71" i="43"/>
  <c r="BP71" i="43"/>
  <c r="BN71" i="43"/>
  <c r="BL71" i="43"/>
  <c r="BJ71" i="43"/>
  <c r="BH71" i="43"/>
  <c r="BF71" i="43"/>
  <c r="BD71" i="43"/>
  <c r="BB71" i="43"/>
  <c r="AZ71" i="43"/>
  <c r="AX71" i="43"/>
  <c r="AV71" i="43"/>
  <c r="AT71" i="43"/>
  <c r="AR71" i="43"/>
  <c r="AP71" i="43"/>
  <c r="AN71" i="43"/>
  <c r="AL71" i="43"/>
  <c r="AJ71" i="43"/>
  <c r="AH71" i="43"/>
  <c r="AF71" i="43"/>
  <c r="AD71" i="43"/>
  <c r="AB71" i="43"/>
  <c r="Z71" i="43"/>
  <c r="X71" i="43"/>
  <c r="V71" i="43"/>
  <c r="T71" i="43"/>
  <c r="R71" i="43"/>
  <c r="P71" i="43"/>
  <c r="N71" i="43"/>
  <c r="DJ72" i="43"/>
  <c r="DH72" i="43"/>
  <c r="DF72" i="43"/>
  <c r="DD72" i="43"/>
  <c r="DB72" i="43"/>
  <c r="CZ72" i="43"/>
  <c r="CX72" i="43"/>
  <c r="CV72" i="43"/>
  <c r="CT72" i="43"/>
  <c r="CR72" i="43"/>
  <c r="CP72" i="43"/>
  <c r="CN72" i="43"/>
  <c r="CL72" i="43"/>
  <c r="CJ72" i="43"/>
  <c r="CH72" i="43"/>
  <c r="CF72" i="43"/>
  <c r="CD72" i="43"/>
  <c r="CB72" i="43"/>
  <c r="BZ72" i="43"/>
  <c r="BX72" i="43"/>
  <c r="BV72" i="43"/>
  <c r="BT72" i="43"/>
  <c r="BR72" i="43"/>
  <c r="BP72" i="43"/>
  <c r="BN72" i="43"/>
  <c r="BL72" i="43"/>
  <c r="BJ72" i="43"/>
  <c r="BH72" i="43"/>
  <c r="BF72" i="43"/>
  <c r="BD72" i="43"/>
  <c r="BB72" i="43"/>
  <c r="AZ72" i="43"/>
  <c r="AX72" i="43"/>
  <c r="AV72" i="43"/>
  <c r="AT72" i="43"/>
  <c r="AR72" i="43"/>
  <c r="AP72" i="43"/>
  <c r="AN72" i="43"/>
  <c r="AL72" i="43"/>
  <c r="AJ72" i="43"/>
  <c r="AH72" i="43"/>
  <c r="AF72" i="43"/>
  <c r="AD72" i="43"/>
  <c r="AB72" i="43"/>
  <c r="Z72" i="43"/>
  <c r="X72" i="43"/>
  <c r="V72" i="43"/>
  <c r="T72" i="43"/>
  <c r="R72" i="43"/>
  <c r="P72" i="43"/>
  <c r="DI72" i="43"/>
  <c r="DE72" i="43"/>
  <c r="DA72" i="43"/>
  <c r="CW72" i="43"/>
  <c r="CS72" i="43"/>
  <c r="CO72" i="43"/>
  <c r="CK72" i="43"/>
  <c r="CG72" i="43"/>
  <c r="CC72" i="43"/>
  <c r="BY72" i="43"/>
  <c r="BU72" i="43"/>
  <c r="BQ72" i="43"/>
  <c r="BM72" i="43"/>
  <c r="BI72" i="43"/>
  <c r="BE72" i="43"/>
  <c r="BA72" i="43"/>
  <c r="AW72" i="43"/>
  <c r="AS72" i="43"/>
  <c r="AO72" i="43"/>
  <c r="AK72" i="43"/>
  <c r="AG72" i="43"/>
  <c r="AC72" i="43"/>
  <c r="Y72" i="43"/>
  <c r="U72" i="43"/>
  <c r="Q72" i="43"/>
  <c r="N72" i="43"/>
  <c r="DK72" i="43"/>
  <c r="DG72" i="43"/>
  <c r="DC72" i="43"/>
  <c r="CY72" i="43"/>
  <c r="CU72" i="43"/>
  <c r="CQ72" i="43"/>
  <c r="CM72" i="43"/>
  <c r="CI72" i="43"/>
  <c r="CE72" i="43"/>
  <c r="CA72" i="43"/>
  <c r="BW72" i="43"/>
  <c r="BS72" i="43"/>
  <c r="BO72" i="43"/>
  <c r="BK72" i="43"/>
  <c r="BG72" i="43"/>
  <c r="BC72" i="43"/>
  <c r="AY72" i="43"/>
  <c r="AU72" i="43"/>
  <c r="AQ72" i="43"/>
  <c r="AM72" i="43"/>
  <c r="AI72" i="43"/>
  <c r="AE72" i="43"/>
  <c r="AA72" i="43"/>
  <c r="W72" i="43"/>
  <c r="S72" i="43"/>
  <c r="O72" i="43"/>
  <c r="DK73" i="43"/>
  <c r="DI73" i="43"/>
  <c r="DG73" i="43"/>
  <c r="DE73" i="43"/>
  <c r="DC73" i="43"/>
  <c r="DA73" i="43"/>
  <c r="CY73" i="43"/>
  <c r="CW73" i="43"/>
  <c r="CU73" i="43"/>
  <c r="CS73" i="43"/>
  <c r="CQ73" i="43"/>
  <c r="CO73" i="43"/>
  <c r="CM73" i="43"/>
  <c r="CK73" i="43"/>
  <c r="CI73" i="43"/>
  <c r="CG73" i="43"/>
  <c r="CE73" i="43"/>
  <c r="CC73" i="43"/>
  <c r="CA73" i="43"/>
  <c r="BY73" i="43"/>
  <c r="BW73" i="43"/>
  <c r="BU73" i="43"/>
  <c r="BS73" i="43"/>
  <c r="BQ73" i="43"/>
  <c r="BO73" i="43"/>
  <c r="BM73" i="43"/>
  <c r="BK73" i="43"/>
  <c r="BI73" i="43"/>
  <c r="BG73" i="43"/>
  <c r="BE73" i="43"/>
  <c r="BC73" i="43"/>
  <c r="BA73" i="43"/>
  <c r="AY73" i="43"/>
  <c r="AW73" i="43"/>
  <c r="AU73" i="43"/>
  <c r="AS73" i="43"/>
  <c r="AQ73" i="43"/>
  <c r="AO73" i="43"/>
  <c r="AM73" i="43"/>
  <c r="AK73" i="43"/>
  <c r="AI73" i="43"/>
  <c r="AG73" i="43"/>
  <c r="AE73" i="43"/>
  <c r="AC73" i="43"/>
  <c r="AA73" i="43"/>
  <c r="Y73" i="43"/>
  <c r="W73" i="43"/>
  <c r="U73" i="43"/>
  <c r="S73" i="43"/>
  <c r="Q73" i="43"/>
  <c r="O73" i="43"/>
  <c r="DH73" i="43"/>
  <c r="DD73" i="43"/>
  <c r="CZ73" i="43"/>
  <c r="CV73" i="43"/>
  <c r="CR73" i="43"/>
  <c r="CN73" i="43"/>
  <c r="CJ73" i="43"/>
  <c r="CF73" i="43"/>
  <c r="CB73" i="43"/>
  <c r="BX73" i="43"/>
  <c r="BT73" i="43"/>
  <c r="BP73" i="43"/>
  <c r="BL73" i="43"/>
  <c r="BH73" i="43"/>
  <c r="BD73" i="43"/>
  <c r="AZ73" i="43"/>
  <c r="AV73" i="43"/>
  <c r="AR73" i="43"/>
  <c r="AN73" i="43"/>
  <c r="AJ73" i="43"/>
  <c r="AF73" i="43"/>
  <c r="AB73" i="43"/>
  <c r="X73" i="43"/>
  <c r="T73" i="43"/>
  <c r="P73" i="43"/>
  <c r="DJ73" i="43"/>
  <c r="DF73" i="43"/>
  <c r="DB73" i="43"/>
  <c r="CX73" i="43"/>
  <c r="CT73" i="43"/>
  <c r="CP73" i="43"/>
  <c r="CL73" i="43"/>
  <c r="CH73" i="43"/>
  <c r="CD73" i="43"/>
  <c r="BZ73" i="43"/>
  <c r="BV73" i="43"/>
  <c r="BR73" i="43"/>
  <c r="BN73" i="43"/>
  <c r="BJ73" i="43"/>
  <c r="BF73" i="43"/>
  <c r="BB73" i="43"/>
  <c r="AX73" i="43"/>
  <c r="AT73" i="43"/>
  <c r="AP73" i="43"/>
  <c r="AL73" i="43"/>
  <c r="AH73" i="43"/>
  <c r="AD73" i="43"/>
  <c r="Z73" i="43"/>
  <c r="V73" i="43"/>
  <c r="R73" i="43"/>
  <c r="N73" i="43"/>
  <c r="DJ74" i="43"/>
  <c r="DH74" i="43"/>
  <c r="DF74" i="43"/>
  <c r="DD74" i="43"/>
  <c r="DB74" i="43"/>
  <c r="CZ74" i="43"/>
  <c r="CX74" i="43"/>
  <c r="CV74" i="43"/>
  <c r="CT74" i="43"/>
  <c r="CR74" i="43"/>
  <c r="CP74" i="43"/>
  <c r="CN74" i="43"/>
  <c r="CL74" i="43"/>
  <c r="CJ74" i="43"/>
  <c r="CH74" i="43"/>
  <c r="CF74" i="43"/>
  <c r="CD74" i="43"/>
  <c r="CB74" i="43"/>
  <c r="BZ74" i="43"/>
  <c r="BX74" i="43"/>
  <c r="BV74" i="43"/>
  <c r="BT74" i="43"/>
  <c r="BR74" i="43"/>
  <c r="BP74" i="43"/>
  <c r="BN74" i="43"/>
  <c r="BL74" i="43"/>
  <c r="BJ74" i="43"/>
  <c r="BH74" i="43"/>
  <c r="BF74" i="43"/>
  <c r="BD74" i="43"/>
  <c r="BB74" i="43"/>
  <c r="AZ74" i="43"/>
  <c r="AX74" i="43"/>
  <c r="AV74" i="43"/>
  <c r="AT74" i="43"/>
  <c r="AR74" i="43"/>
  <c r="AP74" i="43"/>
  <c r="AN74" i="43"/>
  <c r="AL74" i="43"/>
  <c r="AJ74" i="43"/>
  <c r="AH74" i="43"/>
  <c r="AF74" i="43"/>
  <c r="AD74" i="43"/>
  <c r="AB74" i="43"/>
  <c r="Z74" i="43"/>
  <c r="X74" i="43"/>
  <c r="V74" i="43"/>
  <c r="T74" i="43"/>
  <c r="R74" i="43"/>
  <c r="P74" i="43"/>
  <c r="N74" i="43"/>
  <c r="DI74" i="43"/>
  <c r="DE74" i="43"/>
  <c r="DA74" i="43"/>
  <c r="CW74" i="43"/>
  <c r="CS74" i="43"/>
  <c r="CO74" i="43"/>
  <c r="CK74" i="43"/>
  <c r="CG74" i="43"/>
  <c r="CC74" i="43"/>
  <c r="BY74" i="43"/>
  <c r="BU74" i="43"/>
  <c r="BQ74" i="43"/>
  <c r="BM74" i="43"/>
  <c r="BI74" i="43"/>
  <c r="BE74" i="43"/>
  <c r="BA74" i="43"/>
  <c r="AW74" i="43"/>
  <c r="AS74" i="43"/>
  <c r="AO74" i="43"/>
  <c r="AK74" i="43"/>
  <c r="AG74" i="43"/>
  <c r="AC74" i="43"/>
  <c r="Y74" i="43"/>
  <c r="U74" i="43"/>
  <c r="Q74" i="43"/>
  <c r="DK74" i="43"/>
  <c r="DG74" i="43"/>
  <c r="DC74" i="43"/>
  <c r="CY74" i="43"/>
  <c r="CU74" i="43"/>
  <c r="CQ74" i="43"/>
  <c r="CM74" i="43"/>
  <c r="CI74" i="43"/>
  <c r="CE74" i="43"/>
  <c r="CA74" i="43"/>
  <c r="BW74" i="43"/>
  <c r="BS74" i="43"/>
  <c r="BO74" i="43"/>
  <c r="BK74" i="43"/>
  <c r="BG74" i="43"/>
  <c r="BC74" i="43"/>
  <c r="AY74" i="43"/>
  <c r="AU74" i="43"/>
  <c r="AQ74" i="43"/>
  <c r="AM74" i="43"/>
  <c r="AI74" i="43"/>
  <c r="AE74" i="43"/>
  <c r="AA74" i="43"/>
  <c r="W74" i="43"/>
  <c r="S74" i="43"/>
  <c r="O74" i="43"/>
  <c r="DK75" i="43"/>
  <c r="DI75" i="43"/>
  <c r="DG75" i="43"/>
  <c r="DE75" i="43"/>
  <c r="DC75" i="43"/>
  <c r="DA75" i="43"/>
  <c r="CY75" i="43"/>
  <c r="CW75" i="43"/>
  <c r="CU75" i="43"/>
  <c r="CS75" i="43"/>
  <c r="CQ75" i="43"/>
  <c r="CO75" i="43"/>
  <c r="CM75" i="43"/>
  <c r="CK75" i="43"/>
  <c r="CI75" i="43"/>
  <c r="CG75" i="43"/>
  <c r="CE75" i="43"/>
  <c r="CC75" i="43"/>
  <c r="CA75" i="43"/>
  <c r="BY75" i="43"/>
  <c r="BW75" i="43"/>
  <c r="BU75" i="43"/>
  <c r="BS75" i="43"/>
  <c r="BQ75" i="43"/>
  <c r="BO75" i="43"/>
  <c r="BM75" i="43"/>
  <c r="BK75" i="43"/>
  <c r="BI75" i="43"/>
  <c r="BG75" i="43"/>
  <c r="BE75" i="43"/>
  <c r="BC75" i="43"/>
  <c r="BA75" i="43"/>
  <c r="AY75" i="43"/>
  <c r="AW75" i="43"/>
  <c r="AU75" i="43"/>
  <c r="AS75" i="43"/>
  <c r="AQ75" i="43"/>
  <c r="AO75" i="43"/>
  <c r="AM75" i="43"/>
  <c r="AK75" i="43"/>
  <c r="AI75" i="43"/>
  <c r="AG75" i="43"/>
  <c r="AE75" i="43"/>
  <c r="AC75" i="43"/>
  <c r="AA75" i="43"/>
  <c r="Y75" i="43"/>
  <c r="W75" i="43"/>
  <c r="U75" i="43"/>
  <c r="S75" i="43"/>
  <c r="Q75" i="43"/>
  <c r="O75" i="43"/>
  <c r="DJ75" i="43"/>
  <c r="DH75" i="43"/>
  <c r="DF75" i="43"/>
  <c r="DD75" i="43"/>
  <c r="DB75" i="43"/>
  <c r="CZ75" i="43"/>
  <c r="CX75" i="43"/>
  <c r="CV75" i="43"/>
  <c r="CT75" i="43"/>
  <c r="CR75" i="43"/>
  <c r="CP75" i="43"/>
  <c r="CN75" i="43"/>
  <c r="CL75" i="43"/>
  <c r="CJ75" i="43"/>
  <c r="CH75" i="43"/>
  <c r="CF75" i="43"/>
  <c r="CB75" i="43"/>
  <c r="BX75" i="43"/>
  <c r="BT75" i="43"/>
  <c r="BP75" i="43"/>
  <c r="BL75" i="43"/>
  <c r="BH75" i="43"/>
  <c r="BD75" i="43"/>
  <c r="AZ75" i="43"/>
  <c r="AV75" i="43"/>
  <c r="AR75" i="43"/>
  <c r="AN75" i="43"/>
  <c r="AJ75" i="43"/>
  <c r="AF75" i="43"/>
  <c r="AB75" i="43"/>
  <c r="X75" i="43"/>
  <c r="T75" i="43"/>
  <c r="P75" i="43"/>
  <c r="CD75" i="43"/>
  <c r="BZ75" i="43"/>
  <c r="BV75" i="43"/>
  <c r="BR75" i="43"/>
  <c r="BN75" i="43"/>
  <c r="BJ75" i="43"/>
  <c r="BF75" i="43"/>
  <c r="BB75" i="43"/>
  <c r="AX75" i="43"/>
  <c r="AT75" i="43"/>
  <c r="AP75" i="43"/>
  <c r="AL75" i="43"/>
  <c r="AH75" i="43"/>
  <c r="AD75" i="43"/>
  <c r="Z75" i="43"/>
  <c r="V75" i="43"/>
  <c r="R75" i="43"/>
  <c r="N75" i="43"/>
  <c r="DJ76" i="43"/>
  <c r="DH76" i="43"/>
  <c r="DF76" i="43"/>
  <c r="DD76" i="43"/>
  <c r="DB76" i="43"/>
  <c r="CZ76" i="43"/>
  <c r="CX76" i="43"/>
  <c r="CV76" i="43"/>
  <c r="CT76" i="43"/>
  <c r="CR76" i="43"/>
  <c r="CP76" i="43"/>
  <c r="CN76" i="43"/>
  <c r="CL76" i="43"/>
  <c r="CJ76" i="43"/>
  <c r="CH76" i="43"/>
  <c r="CF76" i="43"/>
  <c r="CD76" i="43"/>
  <c r="CB76" i="43"/>
  <c r="BZ76" i="43"/>
  <c r="BX76" i="43"/>
  <c r="BV76" i="43"/>
  <c r="BT76" i="43"/>
  <c r="BR76" i="43"/>
  <c r="BP76" i="43"/>
  <c r="BN76" i="43"/>
  <c r="BL76" i="43"/>
  <c r="BJ76" i="43"/>
  <c r="BH76" i="43"/>
  <c r="BF76" i="43"/>
  <c r="BD76" i="43"/>
  <c r="BB76" i="43"/>
  <c r="AZ76" i="43"/>
  <c r="AX76" i="43"/>
  <c r="AV76" i="43"/>
  <c r="AT76" i="43"/>
  <c r="AR76" i="43"/>
  <c r="AP76" i="43"/>
  <c r="AN76" i="43"/>
  <c r="AL76" i="43"/>
  <c r="AJ76" i="43"/>
  <c r="AH76" i="43"/>
  <c r="AF76" i="43"/>
  <c r="AD76" i="43"/>
  <c r="AB76" i="43"/>
  <c r="Z76" i="43"/>
  <c r="X76" i="43"/>
  <c r="V76" i="43"/>
  <c r="T76" i="43"/>
  <c r="R76" i="43"/>
  <c r="P76" i="43"/>
  <c r="N76" i="43"/>
  <c r="DK76" i="43"/>
  <c r="DI76" i="43"/>
  <c r="DG76" i="43"/>
  <c r="DE76" i="43"/>
  <c r="DC76" i="43"/>
  <c r="DA76" i="43"/>
  <c r="CY76" i="43"/>
  <c r="CW76" i="43"/>
  <c r="CU76" i="43"/>
  <c r="CS76" i="43"/>
  <c r="CQ76" i="43"/>
  <c r="CO76" i="43"/>
  <c r="CM76" i="43"/>
  <c r="CK76" i="43"/>
  <c r="CI76" i="43"/>
  <c r="CG76" i="43"/>
  <c r="CE76" i="43"/>
  <c r="CC76" i="43"/>
  <c r="CA76" i="43"/>
  <c r="BY76" i="43"/>
  <c r="BW76" i="43"/>
  <c r="BU76" i="43"/>
  <c r="BS76" i="43"/>
  <c r="BQ76" i="43"/>
  <c r="BO76" i="43"/>
  <c r="BM76" i="43"/>
  <c r="BK76" i="43"/>
  <c r="BI76" i="43"/>
  <c r="BG76" i="43"/>
  <c r="BE76" i="43"/>
  <c r="BC76" i="43"/>
  <c r="BA76" i="43"/>
  <c r="AY76" i="43"/>
  <c r="AW76" i="43"/>
  <c r="AU76" i="43"/>
  <c r="AS76" i="43"/>
  <c r="AQ76" i="43"/>
  <c r="AO76" i="43"/>
  <c r="AM76" i="43"/>
  <c r="AK76" i="43"/>
  <c r="AI76" i="43"/>
  <c r="AG76" i="43"/>
  <c r="AE76" i="43"/>
  <c r="AC76" i="43"/>
  <c r="AA76" i="43"/>
  <c r="Y76" i="43"/>
  <c r="W76" i="43"/>
  <c r="U76" i="43"/>
  <c r="S76" i="43"/>
  <c r="Q76" i="43"/>
  <c r="O76" i="43"/>
  <c r="DK77" i="43"/>
  <c r="DI77" i="43"/>
  <c r="DG77" i="43"/>
  <c r="DE77" i="43"/>
  <c r="DC77" i="43"/>
  <c r="DA77" i="43"/>
  <c r="CY77" i="43"/>
  <c r="CW77" i="43"/>
  <c r="CU77" i="43"/>
  <c r="CS77" i="43"/>
  <c r="CQ77" i="43"/>
  <c r="CO77" i="43"/>
  <c r="CM77" i="43"/>
  <c r="CK77" i="43"/>
  <c r="CI77" i="43"/>
  <c r="CG77" i="43"/>
  <c r="CE77" i="43"/>
  <c r="CC77" i="43"/>
  <c r="CA77" i="43"/>
  <c r="BY77" i="43"/>
  <c r="BW77" i="43"/>
  <c r="BU77" i="43"/>
  <c r="BS77" i="43"/>
  <c r="BQ77" i="43"/>
  <c r="BO77" i="43"/>
  <c r="BM77" i="43"/>
  <c r="BK77" i="43"/>
  <c r="BI77" i="43"/>
  <c r="BG77" i="43"/>
  <c r="BE77" i="43"/>
  <c r="BC77" i="43"/>
  <c r="BA77" i="43"/>
  <c r="AY77" i="43"/>
  <c r="AW77" i="43"/>
  <c r="AU77" i="43"/>
  <c r="AS77" i="43"/>
  <c r="AQ77" i="43"/>
  <c r="AO77" i="43"/>
  <c r="AM77" i="43"/>
  <c r="AK77" i="43"/>
  <c r="AI77" i="43"/>
  <c r="AG77" i="43"/>
  <c r="AE77" i="43"/>
  <c r="AC77" i="43"/>
  <c r="AA77" i="43"/>
  <c r="Y77" i="43"/>
  <c r="W77" i="43"/>
  <c r="U77" i="43"/>
  <c r="S77" i="43"/>
  <c r="Q77" i="43"/>
  <c r="O77" i="43"/>
  <c r="DJ77" i="43"/>
  <c r="DH77" i="43"/>
  <c r="DF77" i="43"/>
  <c r="DD77" i="43"/>
  <c r="DB77" i="43"/>
  <c r="CZ77" i="43"/>
  <c r="CX77" i="43"/>
  <c r="CV77" i="43"/>
  <c r="CT77" i="43"/>
  <c r="CR77" i="43"/>
  <c r="CP77" i="43"/>
  <c r="CN77" i="43"/>
  <c r="CL77" i="43"/>
  <c r="CJ77" i="43"/>
  <c r="CH77" i="43"/>
  <c r="CF77" i="43"/>
  <c r="CD77" i="43"/>
  <c r="CB77" i="43"/>
  <c r="BZ77" i="43"/>
  <c r="BX77" i="43"/>
  <c r="BV77" i="43"/>
  <c r="BT77" i="43"/>
  <c r="BR77" i="43"/>
  <c r="BP77" i="43"/>
  <c r="BN77" i="43"/>
  <c r="BL77" i="43"/>
  <c r="BJ77" i="43"/>
  <c r="BH77" i="43"/>
  <c r="BF77" i="43"/>
  <c r="BD77" i="43"/>
  <c r="BB77" i="43"/>
  <c r="AZ77" i="43"/>
  <c r="AX77" i="43"/>
  <c r="AV77" i="43"/>
  <c r="AT77" i="43"/>
  <c r="AR77" i="43"/>
  <c r="AP77" i="43"/>
  <c r="AN77" i="43"/>
  <c r="AL77" i="43"/>
  <c r="AJ77" i="43"/>
  <c r="AH77" i="43"/>
  <c r="AF77" i="43"/>
  <c r="AD77" i="43"/>
  <c r="AB77" i="43"/>
  <c r="Z77" i="43"/>
  <c r="X77" i="43"/>
  <c r="V77" i="43"/>
  <c r="T77" i="43"/>
  <c r="R77" i="43"/>
  <c r="P77" i="43"/>
  <c r="N77" i="43"/>
  <c r="DK78" i="43"/>
  <c r="DI78" i="43"/>
  <c r="DG78" i="43"/>
  <c r="DE78" i="43"/>
  <c r="DC78" i="43"/>
  <c r="DA78" i="43"/>
  <c r="CY78" i="43"/>
  <c r="CW78" i="43"/>
  <c r="CU78" i="43"/>
  <c r="CS78" i="43"/>
  <c r="CQ78" i="43"/>
  <c r="CO78" i="43"/>
  <c r="CM78" i="43"/>
  <c r="CK78" i="43"/>
  <c r="CI78" i="43"/>
  <c r="CG78" i="43"/>
  <c r="CE78" i="43"/>
  <c r="CC78" i="43"/>
  <c r="CA78" i="43"/>
  <c r="BY78" i="43"/>
  <c r="BW78" i="43"/>
  <c r="BU78" i="43"/>
  <c r="BS78" i="43"/>
  <c r="BQ78" i="43"/>
  <c r="BO78" i="43"/>
  <c r="BM78" i="43"/>
  <c r="BK78" i="43"/>
  <c r="BI78" i="43"/>
  <c r="BG78" i="43"/>
  <c r="BE78" i="43"/>
  <c r="DH78" i="43"/>
  <c r="DD78" i="43"/>
  <c r="CZ78" i="43"/>
  <c r="CV78" i="43"/>
  <c r="CR78" i="43"/>
  <c r="CN78" i="43"/>
  <c r="CJ78" i="43"/>
  <c r="CF78" i="43"/>
  <c r="CB78" i="43"/>
  <c r="BX78" i="43"/>
  <c r="BT78" i="43"/>
  <c r="BP78" i="43"/>
  <c r="BL78" i="43"/>
  <c r="BH78" i="43"/>
  <c r="BD78" i="43"/>
  <c r="BB78" i="43"/>
  <c r="AZ78" i="43"/>
  <c r="AX78" i="43"/>
  <c r="AV78" i="43"/>
  <c r="AT78" i="43"/>
  <c r="AR78" i="43"/>
  <c r="AP78" i="43"/>
  <c r="AN78" i="43"/>
  <c r="AL78" i="43"/>
  <c r="AJ78" i="43"/>
  <c r="AH78" i="43"/>
  <c r="AF78" i="43"/>
  <c r="AD78" i="43"/>
  <c r="AB78" i="43"/>
  <c r="Z78" i="43"/>
  <c r="X78" i="43"/>
  <c r="V78" i="43"/>
  <c r="T78" i="43"/>
  <c r="R78" i="43"/>
  <c r="P78" i="43"/>
  <c r="N78" i="43"/>
  <c r="DJ78" i="43"/>
  <c r="DF78" i="43"/>
  <c r="DB78" i="43"/>
  <c r="CX78" i="43"/>
  <c r="CT78" i="43"/>
  <c r="CP78" i="43"/>
  <c r="CL78" i="43"/>
  <c r="CH78" i="43"/>
  <c r="CD78" i="43"/>
  <c r="BZ78" i="43"/>
  <c r="BV78" i="43"/>
  <c r="BR78" i="43"/>
  <c r="BN78" i="43"/>
  <c r="BJ78" i="43"/>
  <c r="BF78" i="43"/>
  <c r="BC78" i="43"/>
  <c r="BA78" i="43"/>
  <c r="AY78" i="43"/>
  <c r="AW78" i="43"/>
  <c r="AU78" i="43"/>
  <c r="AS78" i="43"/>
  <c r="AQ78" i="43"/>
  <c r="AO78" i="43"/>
  <c r="AM78" i="43"/>
  <c r="AK78" i="43"/>
  <c r="AI78" i="43"/>
  <c r="AG78" i="43"/>
  <c r="AE78" i="43"/>
  <c r="AC78" i="43"/>
  <c r="AA78" i="43"/>
  <c r="Y78" i="43"/>
  <c r="W78" i="43"/>
  <c r="U78" i="43"/>
  <c r="S78" i="43"/>
  <c r="Q78" i="43"/>
  <c r="O78" i="43"/>
  <c r="DK79" i="43"/>
  <c r="DI79" i="43"/>
  <c r="DG79" i="43"/>
  <c r="DE79" i="43"/>
  <c r="DC79" i="43"/>
  <c r="DA79" i="43"/>
  <c r="CY79" i="43"/>
  <c r="CW79" i="43"/>
  <c r="CU79" i="43"/>
  <c r="CS79" i="43"/>
  <c r="CQ79" i="43"/>
  <c r="CO79" i="43"/>
  <c r="CM79" i="43"/>
  <c r="CK79" i="43"/>
  <c r="CI79" i="43"/>
  <c r="CG79" i="43"/>
  <c r="CE79" i="43"/>
  <c r="CC79" i="43"/>
  <c r="CA79" i="43"/>
  <c r="BY79" i="43"/>
  <c r="BW79" i="43"/>
  <c r="BU79" i="43"/>
  <c r="BS79" i="43"/>
  <c r="BQ79" i="43"/>
  <c r="BO79" i="43"/>
  <c r="BM79" i="43"/>
  <c r="BK79" i="43"/>
  <c r="BI79" i="43"/>
  <c r="BG79" i="43"/>
  <c r="BE79" i="43"/>
  <c r="BC79" i="43"/>
  <c r="BA79" i="43"/>
  <c r="AY79" i="43"/>
  <c r="AW79" i="43"/>
  <c r="AU79" i="43"/>
  <c r="AS79" i="43"/>
  <c r="AQ79" i="43"/>
  <c r="AO79" i="43"/>
  <c r="AM79" i="43"/>
  <c r="AK79" i="43"/>
  <c r="AI79" i="43"/>
  <c r="AG79" i="43"/>
  <c r="AE79" i="43"/>
  <c r="AC79" i="43"/>
  <c r="AA79" i="43"/>
  <c r="Y79" i="43"/>
  <c r="W79" i="43"/>
  <c r="U79" i="43"/>
  <c r="S79" i="43"/>
  <c r="Q79" i="43"/>
  <c r="O79" i="43"/>
  <c r="DJ79" i="43"/>
  <c r="DH79" i="43"/>
  <c r="DF79" i="43"/>
  <c r="DD79" i="43"/>
  <c r="DB79" i="43"/>
  <c r="CZ79" i="43"/>
  <c r="CX79" i="43"/>
  <c r="CV79" i="43"/>
  <c r="CT79" i="43"/>
  <c r="CR79" i="43"/>
  <c r="CP79" i="43"/>
  <c r="CN79" i="43"/>
  <c r="CL79" i="43"/>
  <c r="CJ79" i="43"/>
  <c r="CH79" i="43"/>
  <c r="CF79" i="43"/>
  <c r="CD79" i="43"/>
  <c r="CB79" i="43"/>
  <c r="BZ79" i="43"/>
  <c r="BX79" i="43"/>
  <c r="BV79" i="43"/>
  <c r="BT79" i="43"/>
  <c r="BR79" i="43"/>
  <c r="BP79" i="43"/>
  <c r="BN79" i="43"/>
  <c r="BL79" i="43"/>
  <c r="BJ79" i="43"/>
  <c r="BH79" i="43"/>
  <c r="BF79" i="43"/>
  <c r="BD79" i="43"/>
  <c r="BB79" i="43"/>
  <c r="AZ79" i="43"/>
  <c r="AX79" i="43"/>
  <c r="AV79" i="43"/>
  <c r="AT79" i="43"/>
  <c r="AR79" i="43"/>
  <c r="AP79" i="43"/>
  <c r="AN79" i="43"/>
  <c r="AL79" i="43"/>
  <c r="AJ79" i="43"/>
  <c r="AH79" i="43"/>
  <c r="AF79" i="43"/>
  <c r="AD79" i="43"/>
  <c r="AB79" i="43"/>
  <c r="Z79" i="43"/>
  <c r="X79" i="43"/>
  <c r="V79" i="43"/>
  <c r="T79" i="43"/>
  <c r="R79" i="43"/>
  <c r="P79" i="43"/>
  <c r="N79" i="43"/>
  <c r="DK80" i="43"/>
  <c r="DJ80" i="43"/>
  <c r="DH80" i="43"/>
  <c r="DF80" i="43"/>
  <c r="DD80" i="43"/>
  <c r="DB80" i="43"/>
  <c r="CZ80" i="43"/>
  <c r="CX80" i="43"/>
  <c r="CV80" i="43"/>
  <c r="CT80" i="43"/>
  <c r="CR80" i="43"/>
  <c r="CP80" i="43"/>
  <c r="CN80" i="43"/>
  <c r="CL80" i="43"/>
  <c r="CJ80" i="43"/>
  <c r="CH80" i="43"/>
  <c r="CF80" i="43"/>
  <c r="CD80" i="43"/>
  <c r="CB80" i="43"/>
  <c r="BZ80" i="43"/>
  <c r="BX80" i="43"/>
  <c r="BV80" i="43"/>
  <c r="BT80" i="43"/>
  <c r="BR80" i="43"/>
  <c r="BP80" i="43"/>
  <c r="BN80" i="43"/>
  <c r="BL80" i="43"/>
  <c r="BJ80" i="43"/>
  <c r="BH80" i="43"/>
  <c r="BF80" i="43"/>
  <c r="BD80" i="43"/>
  <c r="BB80" i="43"/>
  <c r="AZ80" i="43"/>
  <c r="AX80" i="43"/>
  <c r="AV80" i="43"/>
  <c r="AT80" i="43"/>
  <c r="AR80" i="43"/>
  <c r="AP80" i="43"/>
  <c r="AN80" i="43"/>
  <c r="AL80" i="43"/>
  <c r="AJ80" i="43"/>
  <c r="AH80" i="43"/>
  <c r="AF80" i="43"/>
  <c r="AD80" i="43"/>
  <c r="AB80" i="43"/>
  <c r="Z80" i="43"/>
  <c r="X80" i="43"/>
  <c r="V80" i="43"/>
  <c r="T80" i="43"/>
  <c r="R80" i="43"/>
  <c r="P80" i="43"/>
  <c r="N80" i="43"/>
  <c r="DI80" i="43"/>
  <c r="DG80" i="43"/>
  <c r="DE80" i="43"/>
  <c r="DC80" i="43"/>
  <c r="DA80" i="43"/>
  <c r="CY80" i="43"/>
  <c r="CW80" i="43"/>
  <c r="CU80" i="43"/>
  <c r="CS80" i="43"/>
  <c r="CQ80" i="43"/>
  <c r="CO80" i="43"/>
  <c r="CM80" i="43"/>
  <c r="CK80" i="43"/>
  <c r="CI80" i="43"/>
  <c r="CG80" i="43"/>
  <c r="CE80" i="43"/>
  <c r="CC80" i="43"/>
  <c r="CA80" i="43"/>
  <c r="BY80" i="43"/>
  <c r="BW80" i="43"/>
  <c r="BU80" i="43"/>
  <c r="BS80" i="43"/>
  <c r="BQ80" i="43"/>
  <c r="BO80" i="43"/>
  <c r="BM80" i="43"/>
  <c r="BK80" i="43"/>
  <c r="BI80" i="43"/>
  <c r="BG80" i="43"/>
  <c r="BE80" i="43"/>
  <c r="BC80" i="43"/>
  <c r="BA80" i="43"/>
  <c r="AY80" i="43"/>
  <c r="AW80" i="43"/>
  <c r="AU80" i="43"/>
  <c r="AS80" i="43"/>
  <c r="AQ80" i="43"/>
  <c r="AO80" i="43"/>
  <c r="AM80" i="43"/>
  <c r="AK80" i="43"/>
  <c r="AI80" i="43"/>
  <c r="AG80" i="43"/>
  <c r="AE80" i="43"/>
  <c r="AC80" i="43"/>
  <c r="AA80" i="43"/>
  <c r="Y80" i="43"/>
  <c r="W80" i="43"/>
  <c r="U80" i="43"/>
  <c r="S80" i="43"/>
  <c r="Q80" i="43"/>
  <c r="O80" i="43"/>
  <c r="DJ81" i="43"/>
  <c r="DH81" i="43"/>
  <c r="DF81" i="43"/>
  <c r="DD81" i="43"/>
  <c r="DB81" i="43"/>
  <c r="CZ81" i="43"/>
  <c r="CX81" i="43"/>
  <c r="CV81" i="43"/>
  <c r="CT81" i="43"/>
  <c r="CR81" i="43"/>
  <c r="CP81" i="43"/>
  <c r="CN81" i="43"/>
  <c r="CL81" i="43"/>
  <c r="CJ81" i="43"/>
  <c r="CH81" i="43"/>
  <c r="CF81" i="43"/>
  <c r="CD81" i="43"/>
  <c r="CB81" i="43"/>
  <c r="BZ81" i="43"/>
  <c r="BX81" i="43"/>
  <c r="BV81" i="43"/>
  <c r="BT81" i="43"/>
  <c r="BR81" i="43"/>
  <c r="BP81" i="43"/>
  <c r="BN81" i="43"/>
  <c r="BL81" i="43"/>
  <c r="BJ81" i="43"/>
  <c r="BH81" i="43"/>
  <c r="BF81" i="43"/>
  <c r="BD81" i="43"/>
  <c r="BB81" i="43"/>
  <c r="AZ81" i="43"/>
  <c r="AX81" i="43"/>
  <c r="AV81" i="43"/>
  <c r="AT81" i="43"/>
  <c r="AR81" i="43"/>
  <c r="AP81" i="43"/>
  <c r="AN81" i="43"/>
  <c r="AL81" i="43"/>
  <c r="AJ81" i="43"/>
  <c r="AH81" i="43"/>
  <c r="AF81" i="43"/>
  <c r="AD81" i="43"/>
  <c r="AB81" i="43"/>
  <c r="Z81" i="43"/>
  <c r="X81" i="43"/>
  <c r="V81" i="43"/>
  <c r="T81" i="43"/>
  <c r="R81" i="43"/>
  <c r="P81" i="43"/>
  <c r="N81" i="43"/>
  <c r="DK81" i="43"/>
  <c r="DG81" i="43"/>
  <c r="DC81" i="43"/>
  <c r="CY81" i="43"/>
  <c r="CU81" i="43"/>
  <c r="CQ81" i="43"/>
  <c r="CM81" i="43"/>
  <c r="CI81" i="43"/>
  <c r="CE81" i="43"/>
  <c r="CA81" i="43"/>
  <c r="BW81" i="43"/>
  <c r="BS81" i="43"/>
  <c r="BO81" i="43"/>
  <c r="BK81" i="43"/>
  <c r="BG81" i="43"/>
  <c r="BC81" i="43"/>
  <c r="AY81" i="43"/>
  <c r="AU81" i="43"/>
  <c r="AQ81" i="43"/>
  <c r="AM81" i="43"/>
  <c r="AI81" i="43"/>
  <c r="AE81" i="43"/>
  <c r="AA81" i="43"/>
  <c r="W81" i="43"/>
  <c r="S81" i="43"/>
  <c r="O81" i="43"/>
  <c r="DI81" i="43"/>
  <c r="DE81" i="43"/>
  <c r="DA81" i="43"/>
  <c r="CW81" i="43"/>
  <c r="CS81" i="43"/>
  <c r="CO81" i="43"/>
  <c r="CK81" i="43"/>
  <c r="CG81" i="43"/>
  <c r="CC81" i="43"/>
  <c r="BY81" i="43"/>
  <c r="BU81" i="43"/>
  <c r="BQ81" i="43"/>
  <c r="BM81" i="43"/>
  <c r="BI81" i="43"/>
  <c r="BE81" i="43"/>
  <c r="BA81" i="43"/>
  <c r="AW81" i="43"/>
  <c r="AS81" i="43"/>
  <c r="AO81" i="43"/>
  <c r="AK81" i="43"/>
  <c r="AG81" i="43"/>
  <c r="AC81" i="43"/>
  <c r="Y81" i="43"/>
  <c r="U81" i="43"/>
  <c r="Q81" i="43"/>
  <c r="DK82" i="43"/>
  <c r="DI82" i="43"/>
  <c r="DG82" i="43"/>
  <c r="DE82" i="43"/>
  <c r="DC82" i="43"/>
  <c r="DA82" i="43"/>
  <c r="CY82" i="43"/>
  <c r="CW82" i="43"/>
  <c r="CU82" i="43"/>
  <c r="CS82" i="43"/>
  <c r="CQ82" i="43"/>
  <c r="CO82" i="43"/>
  <c r="CM82" i="43"/>
  <c r="CK82" i="43"/>
  <c r="CI82" i="43"/>
  <c r="CG82" i="43"/>
  <c r="CE82" i="43"/>
  <c r="CC82" i="43"/>
  <c r="CA82" i="43"/>
  <c r="BY82" i="43"/>
  <c r="BW82" i="43"/>
  <c r="BU82" i="43"/>
  <c r="BS82" i="43"/>
  <c r="BQ82" i="43"/>
  <c r="BO82" i="43"/>
  <c r="BM82" i="43"/>
  <c r="BK82" i="43"/>
  <c r="BI82" i="43"/>
  <c r="BG82" i="43"/>
  <c r="BE82" i="43"/>
  <c r="BC82" i="43"/>
  <c r="BA82" i="43"/>
  <c r="AY82" i="43"/>
  <c r="AW82" i="43"/>
  <c r="AU82" i="43"/>
  <c r="AS82" i="43"/>
  <c r="AQ82" i="43"/>
  <c r="AO82" i="43"/>
  <c r="AM82" i="43"/>
  <c r="AK82" i="43"/>
  <c r="AI82" i="43"/>
  <c r="AG82" i="43"/>
  <c r="AE82" i="43"/>
  <c r="AC82" i="43"/>
  <c r="AA82" i="43"/>
  <c r="Y82" i="43"/>
  <c r="W82" i="43"/>
  <c r="U82" i="43"/>
  <c r="S82" i="43"/>
  <c r="Q82" i="43"/>
  <c r="O82" i="43"/>
  <c r="DJ82" i="43"/>
  <c r="DH82" i="43"/>
  <c r="DF82" i="43"/>
  <c r="DD82" i="43"/>
  <c r="DB82" i="43"/>
  <c r="CZ82" i="43"/>
  <c r="CX82" i="43"/>
  <c r="CV82" i="43"/>
  <c r="CT82" i="43"/>
  <c r="CR82" i="43"/>
  <c r="CP82" i="43"/>
  <c r="CN82" i="43"/>
  <c r="CL82" i="43"/>
  <c r="CJ82" i="43"/>
  <c r="CH82" i="43"/>
  <c r="CF82" i="43"/>
  <c r="CD82" i="43"/>
  <c r="CB82" i="43"/>
  <c r="BZ82" i="43"/>
  <c r="BX82" i="43"/>
  <c r="BV82" i="43"/>
  <c r="BT82" i="43"/>
  <c r="BR82" i="43"/>
  <c r="BN82" i="43"/>
  <c r="BJ82" i="43"/>
  <c r="BF82" i="43"/>
  <c r="BB82" i="43"/>
  <c r="AX82" i="43"/>
  <c r="AT82" i="43"/>
  <c r="AP82" i="43"/>
  <c r="AL82" i="43"/>
  <c r="AH82" i="43"/>
  <c r="AD82" i="43"/>
  <c r="Z82" i="43"/>
  <c r="V82" i="43"/>
  <c r="R82" i="43"/>
  <c r="N82" i="43"/>
  <c r="BP82" i="43"/>
  <c r="BL82" i="43"/>
  <c r="BH82" i="43"/>
  <c r="BD82" i="43"/>
  <c r="AZ82" i="43"/>
  <c r="AV82" i="43"/>
  <c r="AR82" i="43"/>
  <c r="AN82" i="43"/>
  <c r="AJ82" i="43"/>
  <c r="AF82" i="43"/>
  <c r="AB82" i="43"/>
  <c r="X82" i="43"/>
  <c r="T82" i="43"/>
  <c r="P82" i="43"/>
  <c r="DK83" i="43"/>
  <c r="DI83" i="43"/>
  <c r="DG83" i="43"/>
  <c r="DE83" i="43"/>
  <c r="DC83" i="43"/>
  <c r="DA83" i="43"/>
  <c r="CY83" i="43"/>
  <c r="CW83" i="43"/>
  <c r="CU83" i="43"/>
  <c r="CS83" i="43"/>
  <c r="CQ83" i="43"/>
  <c r="CO83" i="43"/>
  <c r="CM83" i="43"/>
  <c r="DJ83" i="43"/>
  <c r="DF83" i="43"/>
  <c r="DB83" i="43"/>
  <c r="CX83" i="43"/>
  <c r="CT83" i="43"/>
  <c r="CP83" i="43"/>
  <c r="CL83" i="43"/>
  <c r="CJ83" i="43"/>
  <c r="CH83" i="43"/>
  <c r="CF83" i="43"/>
  <c r="CD83" i="43"/>
  <c r="CB83" i="43"/>
  <c r="BZ83" i="43"/>
  <c r="BX83" i="43"/>
  <c r="BV83" i="43"/>
  <c r="BT83" i="43"/>
  <c r="BR83" i="43"/>
  <c r="BP83" i="43"/>
  <c r="BN83" i="43"/>
  <c r="BL83" i="43"/>
  <c r="BJ83" i="43"/>
  <c r="BH83" i="43"/>
  <c r="BF83" i="43"/>
  <c r="BD83" i="43"/>
  <c r="BB83" i="43"/>
  <c r="AZ83" i="43"/>
  <c r="AX83" i="43"/>
  <c r="AV83" i="43"/>
  <c r="AT83" i="43"/>
  <c r="AR83" i="43"/>
  <c r="AP83" i="43"/>
  <c r="AN83" i="43"/>
  <c r="AL83" i="43"/>
  <c r="AJ83" i="43"/>
  <c r="AH83" i="43"/>
  <c r="AF83" i="43"/>
  <c r="AD83" i="43"/>
  <c r="AB83" i="43"/>
  <c r="Z83" i="43"/>
  <c r="X83" i="43"/>
  <c r="V83" i="43"/>
  <c r="T83" i="43"/>
  <c r="R83" i="43"/>
  <c r="P83" i="43"/>
  <c r="N83" i="43"/>
  <c r="DH83" i="43"/>
  <c r="DD83" i="43"/>
  <c r="CZ83" i="43"/>
  <c r="CV83" i="43"/>
  <c r="CR83" i="43"/>
  <c r="CN83" i="43"/>
  <c r="CK83" i="43"/>
  <c r="CI83" i="43"/>
  <c r="CG83" i="43"/>
  <c r="CE83" i="43"/>
  <c r="CC83" i="43"/>
  <c r="CA83" i="43"/>
  <c r="BY83" i="43"/>
  <c r="BW83" i="43"/>
  <c r="BU83" i="43"/>
  <c r="BS83" i="43"/>
  <c r="BQ83" i="43"/>
  <c r="BO83" i="43"/>
  <c r="BM83" i="43"/>
  <c r="BK83" i="43"/>
  <c r="BI83" i="43"/>
  <c r="BG83" i="43"/>
  <c r="BE83" i="43"/>
  <c r="BC83" i="43"/>
  <c r="BA83" i="43"/>
  <c r="AY83" i="43"/>
  <c r="AW83" i="43"/>
  <c r="AU83" i="43"/>
  <c r="AS83" i="43"/>
  <c r="AQ83" i="43"/>
  <c r="AO83" i="43"/>
  <c r="AM83" i="43"/>
  <c r="AK83" i="43"/>
  <c r="AI83" i="43"/>
  <c r="AG83" i="43"/>
  <c r="AE83" i="43"/>
  <c r="AC83" i="43"/>
  <c r="AA83" i="43"/>
  <c r="Y83" i="43"/>
  <c r="W83" i="43"/>
  <c r="U83" i="43"/>
  <c r="S83" i="43"/>
  <c r="Q83" i="43"/>
  <c r="O83" i="43"/>
  <c r="DK84" i="43"/>
  <c r="DI84" i="43"/>
  <c r="DG84" i="43"/>
  <c r="DE84" i="43"/>
  <c r="DC84" i="43"/>
  <c r="DA84" i="43"/>
  <c r="CY84" i="43"/>
  <c r="CW84" i="43"/>
  <c r="DJ84" i="43"/>
  <c r="DF84" i="43"/>
  <c r="DB84" i="43"/>
  <c r="DH84" i="43"/>
  <c r="DD84" i="43"/>
  <c r="CZ84" i="43"/>
  <c r="CV84" i="43"/>
  <c r="CT84" i="43"/>
  <c r="CR84" i="43"/>
  <c r="CP84" i="43"/>
  <c r="CN84" i="43"/>
  <c r="CL84" i="43"/>
  <c r="CJ84" i="43"/>
  <c r="CH84" i="43"/>
  <c r="CF84" i="43"/>
  <c r="CD84" i="43"/>
  <c r="CB84" i="43"/>
  <c r="BZ84" i="43"/>
  <c r="BX84" i="43"/>
  <c r="BV84" i="43"/>
  <c r="BT84" i="43"/>
  <c r="BR84" i="43"/>
  <c r="BP84" i="43"/>
  <c r="BN84" i="43"/>
  <c r="BL84" i="43"/>
  <c r="BJ84" i="43"/>
  <c r="BH84" i="43"/>
  <c r="BF84" i="43"/>
  <c r="BD84" i="43"/>
  <c r="BB84" i="43"/>
  <c r="AZ84" i="43"/>
  <c r="AX84" i="43"/>
  <c r="AV84" i="43"/>
  <c r="AT84" i="43"/>
  <c r="AR84" i="43"/>
  <c r="AP84" i="43"/>
  <c r="AN84" i="43"/>
  <c r="AL84" i="43"/>
  <c r="AJ84" i="43"/>
  <c r="AH84" i="43"/>
  <c r="AF84" i="43"/>
  <c r="AD84" i="43"/>
  <c r="AB84" i="43"/>
  <c r="Z84" i="43"/>
  <c r="X84" i="43"/>
  <c r="V84" i="43"/>
  <c r="T84" i="43"/>
  <c r="R84" i="43"/>
  <c r="P84" i="43"/>
  <c r="N84" i="43"/>
  <c r="CU84" i="43"/>
  <c r="CQ84" i="43"/>
  <c r="CM84" i="43"/>
  <c r="CI84" i="43"/>
  <c r="CE84" i="43"/>
  <c r="CA84" i="43"/>
  <c r="BW84" i="43"/>
  <c r="BS84" i="43"/>
  <c r="BO84" i="43"/>
  <c r="BK84" i="43"/>
  <c r="BG84" i="43"/>
  <c r="BC84" i="43"/>
  <c r="AY84" i="43"/>
  <c r="AU84" i="43"/>
  <c r="AQ84" i="43"/>
  <c r="AM84" i="43"/>
  <c r="AI84" i="43"/>
  <c r="AE84" i="43"/>
  <c r="AA84" i="43"/>
  <c r="W84" i="43"/>
  <c r="S84" i="43"/>
  <c r="O84" i="43"/>
  <c r="CX84" i="43"/>
  <c r="CS84" i="43"/>
  <c r="CO84" i="43"/>
  <c r="CK84" i="43"/>
  <c r="CG84" i="43"/>
  <c r="CC84" i="43"/>
  <c r="BY84" i="43"/>
  <c r="BU84" i="43"/>
  <c r="BQ84" i="43"/>
  <c r="BM84" i="43"/>
  <c r="BI84" i="43"/>
  <c r="BE84" i="43"/>
  <c r="BA84" i="43"/>
  <c r="AW84" i="43"/>
  <c r="AS84" i="43"/>
  <c r="AO84" i="43"/>
  <c r="AK84" i="43"/>
  <c r="AG84" i="43"/>
  <c r="AC84" i="43"/>
  <c r="Y84" i="43"/>
  <c r="U84" i="43"/>
  <c r="Q84" i="43"/>
  <c r="DJ85" i="43"/>
  <c r="DH85" i="43"/>
  <c r="DF85" i="43"/>
  <c r="DD85" i="43"/>
  <c r="DB85" i="43"/>
  <c r="CZ85" i="43"/>
  <c r="CX85" i="43"/>
  <c r="CV85" i="43"/>
  <c r="CT85" i="43"/>
  <c r="CR85" i="43"/>
  <c r="CP85" i="43"/>
  <c r="CN85" i="43"/>
  <c r="CL85" i="43"/>
  <c r="CJ85" i="43"/>
  <c r="CH85" i="43"/>
  <c r="CF85" i="43"/>
  <c r="CD85" i="43"/>
  <c r="CB85" i="43"/>
  <c r="BZ85" i="43"/>
  <c r="BX85" i="43"/>
  <c r="BV85" i="43"/>
  <c r="BT85" i="43"/>
  <c r="BR85" i="43"/>
  <c r="BP85" i="43"/>
  <c r="BN85" i="43"/>
  <c r="BL85" i="43"/>
  <c r="BJ85" i="43"/>
  <c r="BH85" i="43"/>
  <c r="BF85" i="43"/>
  <c r="BD85" i="43"/>
  <c r="BB85" i="43"/>
  <c r="AZ85" i="43"/>
  <c r="AX85" i="43"/>
  <c r="AV85" i="43"/>
  <c r="AT85" i="43"/>
  <c r="AR85" i="43"/>
  <c r="AP85" i="43"/>
  <c r="AN85" i="43"/>
  <c r="AL85" i="43"/>
  <c r="AJ85" i="43"/>
  <c r="AH85" i="43"/>
  <c r="AF85" i="43"/>
  <c r="AD85" i="43"/>
  <c r="AB85" i="43"/>
  <c r="Z85" i="43"/>
  <c r="X85" i="43"/>
  <c r="V85" i="43"/>
  <c r="T85" i="43"/>
  <c r="R85" i="43"/>
  <c r="P85" i="43"/>
  <c r="N85" i="43"/>
  <c r="DK85" i="43"/>
  <c r="DG85" i="43"/>
  <c r="DC85" i="43"/>
  <c r="CY85" i="43"/>
  <c r="CU85" i="43"/>
  <c r="CQ85" i="43"/>
  <c r="CM85" i="43"/>
  <c r="CI85" i="43"/>
  <c r="CE85" i="43"/>
  <c r="CA85" i="43"/>
  <c r="BW85" i="43"/>
  <c r="BS85" i="43"/>
  <c r="BO85" i="43"/>
  <c r="BK85" i="43"/>
  <c r="BG85" i="43"/>
  <c r="BC85" i="43"/>
  <c r="AY85" i="43"/>
  <c r="AU85" i="43"/>
  <c r="AQ85" i="43"/>
  <c r="AM85" i="43"/>
  <c r="AI85" i="43"/>
  <c r="AE85" i="43"/>
  <c r="AA85" i="43"/>
  <c r="W85" i="43"/>
  <c r="S85" i="43"/>
  <c r="O85" i="43"/>
  <c r="DI85" i="43"/>
  <c r="DE85" i="43"/>
  <c r="DA85" i="43"/>
  <c r="CW85" i="43"/>
  <c r="CS85" i="43"/>
  <c r="CO85" i="43"/>
  <c r="CK85" i="43"/>
  <c r="CG85" i="43"/>
  <c r="CC85" i="43"/>
  <c r="BY85" i="43"/>
  <c r="BU85" i="43"/>
  <c r="BQ85" i="43"/>
  <c r="BM85" i="43"/>
  <c r="BI85" i="43"/>
  <c r="BE85" i="43"/>
  <c r="BA85" i="43"/>
  <c r="AW85" i="43"/>
  <c r="AS85" i="43"/>
  <c r="AO85" i="43"/>
  <c r="AK85" i="43"/>
  <c r="AG85" i="43"/>
  <c r="AC85" i="43"/>
  <c r="Y85" i="43"/>
  <c r="U85" i="43"/>
  <c r="Q85" i="43"/>
  <c r="O15" i="43"/>
  <c r="AE15" i="43"/>
  <c r="AU15" i="43"/>
  <c r="BU15" i="43"/>
  <c r="DA15" i="43"/>
  <c r="P16" i="43"/>
  <c r="T16" i="43"/>
  <c r="X16" i="43"/>
  <c r="AB16" i="43"/>
  <c r="AF16" i="43"/>
  <c r="AJ16" i="43"/>
  <c r="AN16" i="43"/>
  <c r="AR16" i="43"/>
  <c r="AV16" i="43"/>
  <c r="AZ16" i="43"/>
  <c r="BD16" i="43"/>
  <c r="BH16" i="43"/>
  <c r="BL16" i="43"/>
  <c r="BP16" i="43"/>
  <c r="BT16" i="43"/>
  <c r="BX16" i="43"/>
  <c r="CB16" i="43"/>
  <c r="CF16" i="43"/>
  <c r="CJ16" i="43"/>
  <c r="CN16" i="43"/>
  <c r="CR16" i="43"/>
  <c r="CV16" i="43"/>
  <c r="CZ16" i="43"/>
  <c r="DD16" i="43"/>
  <c r="L4" i="43"/>
  <c r="L3" i="43"/>
  <c r="M3" i="43"/>
  <c r="K3" i="43"/>
  <c r="J3" i="43"/>
  <c r="DJ3" i="43" s="1"/>
  <c r="Y100" i="16"/>
  <c r="Y93" i="16"/>
  <c r="AS87" i="16"/>
  <c r="AS26" i="16" s="1"/>
  <c r="AR87" i="16"/>
  <c r="AR26" i="16" s="1"/>
  <c r="AQ87" i="16"/>
  <c r="AQ26" i="16" s="1"/>
  <c r="AP87" i="16"/>
  <c r="AP26" i="16" s="1"/>
  <c r="AO87" i="16"/>
  <c r="AO26" i="16" s="1"/>
  <c r="AN87" i="16"/>
  <c r="AN26" i="16" s="1"/>
  <c r="AM87" i="16"/>
  <c r="AM26" i="16" s="1"/>
  <c r="AL87" i="16"/>
  <c r="AL26" i="16" s="1"/>
  <c r="AK87" i="16"/>
  <c r="AK26" i="16" s="1"/>
  <c r="AJ87" i="16"/>
  <c r="AJ26" i="16" s="1"/>
  <c r="AI87" i="16"/>
  <c r="AI26" i="16" s="1"/>
  <c r="AH87" i="16"/>
  <c r="AH26" i="16" s="1"/>
  <c r="AG87" i="16"/>
  <c r="AG26" i="16" s="1"/>
  <c r="AF87" i="16"/>
  <c r="AF26" i="16" s="1"/>
  <c r="AE87" i="16"/>
  <c r="AE26" i="16" s="1"/>
  <c r="AD87" i="16"/>
  <c r="AD26" i="16" s="1"/>
  <c r="AC87" i="16"/>
  <c r="AC26" i="16" s="1"/>
  <c r="AB87" i="16"/>
  <c r="AB26" i="16" s="1"/>
  <c r="H90" i="16"/>
  <c r="G90" i="16"/>
  <c r="F90" i="16"/>
  <c r="E90" i="16"/>
  <c r="D90" i="16"/>
  <c r="H89" i="16"/>
  <c r="G89" i="16"/>
  <c r="F89" i="16"/>
  <c r="E89" i="16"/>
  <c r="D89" i="16"/>
  <c r="H88" i="16"/>
  <c r="G88" i="16"/>
  <c r="F88" i="16"/>
  <c r="E88" i="16"/>
  <c r="D88" i="16"/>
  <c r="H87" i="16"/>
  <c r="G87" i="16"/>
  <c r="F87" i="16"/>
  <c r="E87" i="16"/>
  <c r="D87" i="16"/>
  <c r="H85" i="16"/>
  <c r="G85" i="16"/>
  <c r="F85" i="16"/>
  <c r="E85" i="16"/>
  <c r="D85" i="16"/>
  <c r="H84" i="16"/>
  <c r="G84" i="16"/>
  <c r="F84" i="16"/>
  <c r="E84" i="16"/>
  <c r="D84" i="16"/>
  <c r="H83" i="16"/>
  <c r="G83" i="16"/>
  <c r="F83" i="16"/>
  <c r="E83" i="16"/>
  <c r="D83" i="16"/>
  <c r="H82" i="16"/>
  <c r="G82" i="16"/>
  <c r="F82" i="16"/>
  <c r="E82" i="16"/>
  <c r="D82" i="16"/>
  <c r="H81" i="16"/>
  <c r="G81" i="16"/>
  <c r="F81" i="16"/>
  <c r="E81" i="16"/>
  <c r="D81" i="16"/>
  <c r="H62" i="16"/>
  <c r="G62" i="16"/>
  <c r="F62" i="16"/>
  <c r="E62" i="16"/>
  <c r="D62" i="16"/>
  <c r="U61" i="16"/>
  <c r="T61" i="16"/>
  <c r="S61" i="16"/>
  <c r="R61" i="16"/>
  <c r="Q61" i="16"/>
  <c r="U60" i="16"/>
  <c r="T60" i="16"/>
  <c r="S60" i="16"/>
  <c r="R60" i="16"/>
  <c r="Q60" i="16"/>
  <c r="U59" i="16"/>
  <c r="T59" i="16"/>
  <c r="S59" i="16"/>
  <c r="R59" i="16"/>
  <c r="Q59" i="16"/>
  <c r="U58" i="16"/>
  <c r="T58" i="16"/>
  <c r="S58" i="16"/>
  <c r="R58" i="16"/>
  <c r="Q58" i="16"/>
  <c r="U57" i="16"/>
  <c r="T57" i="16"/>
  <c r="S57" i="16"/>
  <c r="R57" i="16"/>
  <c r="Q57" i="16"/>
  <c r="U56" i="16"/>
  <c r="T56" i="16"/>
  <c r="S56" i="16"/>
  <c r="R56" i="16"/>
  <c r="Q56" i="16"/>
  <c r="P57" i="16"/>
  <c r="O57" i="16"/>
  <c r="N57" i="16"/>
  <c r="M57" i="16"/>
  <c r="L57" i="16"/>
  <c r="K57" i="16"/>
  <c r="J57" i="16"/>
  <c r="I57" i="16"/>
  <c r="H57" i="16"/>
  <c r="G57" i="16"/>
  <c r="F57" i="16"/>
  <c r="E57" i="16"/>
  <c r="D57" i="16"/>
  <c r="P56" i="16"/>
  <c r="O56" i="16"/>
  <c r="N56" i="16"/>
  <c r="M56" i="16"/>
  <c r="L56" i="16"/>
  <c r="K56" i="16"/>
  <c r="J56" i="16"/>
  <c r="I56" i="16"/>
  <c r="H56" i="16"/>
  <c r="G56" i="16"/>
  <c r="F56" i="16"/>
  <c r="E56" i="16"/>
  <c r="D56" i="16"/>
  <c r="H52" i="16"/>
  <c r="H91" i="16" s="1"/>
  <c r="G52" i="16"/>
  <c r="G91" i="16" s="1"/>
  <c r="F52" i="16"/>
  <c r="F91" i="16" s="1"/>
  <c r="E52" i="16"/>
  <c r="D52" i="16"/>
  <c r="D91" i="16" s="1"/>
  <c r="AF49" i="16"/>
  <c r="AE49" i="16"/>
  <c r="AD49" i="16"/>
  <c r="AC49" i="16"/>
  <c r="AB49" i="16"/>
  <c r="AF48" i="16"/>
  <c r="AE48" i="16"/>
  <c r="AD48" i="16"/>
  <c r="AC48" i="16"/>
  <c r="AB48" i="16"/>
  <c r="AF47" i="16"/>
  <c r="AE47" i="16"/>
  <c r="AD47" i="16"/>
  <c r="AC47" i="16"/>
  <c r="AB47" i="16"/>
  <c r="AF46" i="16"/>
  <c r="AE46" i="16"/>
  <c r="AD46" i="16"/>
  <c r="AC46" i="16"/>
  <c r="AB46" i="16"/>
  <c r="AF44" i="16"/>
  <c r="AE44" i="16"/>
  <c r="AD44" i="16"/>
  <c r="AC44" i="16"/>
  <c r="AB44" i="16"/>
  <c r="X45" i="16"/>
  <c r="W45" i="16"/>
  <c r="V45" i="16"/>
  <c r="J45" i="16"/>
  <c r="X44" i="16"/>
  <c r="X51" i="16" s="1"/>
  <c r="W44" i="16"/>
  <c r="W51" i="16" s="1"/>
  <c r="V44" i="16"/>
  <c r="V51" i="16" s="1"/>
  <c r="U44" i="16"/>
  <c r="U51" i="16" s="1"/>
  <c r="T44" i="16"/>
  <c r="T51" i="16" s="1"/>
  <c r="S44" i="16"/>
  <c r="S51" i="16" s="1"/>
  <c r="R44" i="16"/>
  <c r="R51" i="16" s="1"/>
  <c r="Q44" i="16"/>
  <c r="Q51" i="16" s="1"/>
  <c r="P44" i="16"/>
  <c r="P51" i="16" s="1"/>
  <c r="O44" i="16"/>
  <c r="O51" i="16" s="1"/>
  <c r="N44" i="16"/>
  <c r="N51" i="16" s="1"/>
  <c r="M44" i="16"/>
  <c r="M51" i="16" s="1"/>
  <c r="L44" i="16"/>
  <c r="L51" i="16" s="1"/>
  <c r="K44" i="16"/>
  <c r="K51" i="16" s="1"/>
  <c r="J44" i="16"/>
  <c r="J51" i="16" s="1"/>
  <c r="I44" i="16"/>
  <c r="I51" i="16" s="1"/>
  <c r="J43" i="16"/>
  <c r="I43" i="16"/>
  <c r="X42" i="16"/>
  <c r="W42" i="16"/>
  <c r="V42" i="16"/>
  <c r="U42" i="16"/>
  <c r="T42" i="16"/>
  <c r="R42" i="16"/>
  <c r="Q42" i="16"/>
  <c r="P42" i="16"/>
  <c r="O42" i="16"/>
  <c r="N42" i="16"/>
  <c r="M42" i="16"/>
  <c r="L42" i="16"/>
  <c r="K42" i="16"/>
  <c r="I42" i="16"/>
  <c r="X39" i="16"/>
  <c r="W39" i="16"/>
  <c r="V39" i="16"/>
  <c r="T39" i="16"/>
  <c r="S39" i="16"/>
  <c r="R39" i="16"/>
  <c r="Q39" i="16"/>
  <c r="P39" i="16"/>
  <c r="O39" i="16"/>
  <c r="N39" i="16"/>
  <c r="M39" i="16"/>
  <c r="L39" i="16"/>
  <c r="K39" i="16"/>
  <c r="J39" i="16"/>
  <c r="I39" i="16"/>
  <c r="U38" i="16"/>
  <c r="T38" i="16"/>
  <c r="S38" i="16"/>
  <c r="R38" i="16"/>
  <c r="Q38" i="16"/>
  <c r="P38" i="16"/>
  <c r="O38" i="16"/>
  <c r="N38" i="16"/>
  <c r="M38" i="16"/>
  <c r="L38" i="16"/>
  <c r="K38" i="16"/>
  <c r="J38" i="16"/>
  <c r="I38" i="16"/>
  <c r="X36" i="16"/>
  <c r="W36" i="16"/>
  <c r="V36" i="16"/>
  <c r="U35" i="16"/>
  <c r="T35" i="16"/>
  <c r="S35" i="16"/>
  <c r="R35" i="16"/>
  <c r="Q35" i="16"/>
  <c r="P35" i="16"/>
  <c r="O35" i="16"/>
  <c r="N35" i="16"/>
  <c r="M35" i="16"/>
  <c r="L35" i="16"/>
  <c r="K35" i="16"/>
  <c r="J35" i="16"/>
  <c r="I35" i="16"/>
  <c r="X32" i="16"/>
  <c r="X54" i="16" s="1"/>
  <c r="W32" i="16"/>
  <c r="W54" i="16" s="1"/>
  <c r="V32" i="16"/>
  <c r="V54" i="16" s="1"/>
  <c r="U32" i="16"/>
  <c r="U54" i="16" s="1"/>
  <c r="T32" i="16"/>
  <c r="T54" i="16" s="1"/>
  <c r="Q30" i="16"/>
  <c r="Q85" i="16" s="1"/>
  <c r="P30" i="16"/>
  <c r="P85" i="16" s="1"/>
  <c r="O30" i="16"/>
  <c r="O85" i="16" s="1"/>
  <c r="N30" i="16"/>
  <c r="N85" i="16" s="1"/>
  <c r="M30" i="16"/>
  <c r="M85" i="16" s="1"/>
  <c r="L30" i="16"/>
  <c r="L85" i="16" s="1"/>
  <c r="K30" i="16"/>
  <c r="K85" i="16" s="1"/>
  <c r="J30" i="16"/>
  <c r="J85" i="16" s="1"/>
  <c r="I30" i="16"/>
  <c r="I85" i="16" s="1"/>
  <c r="H24" i="16"/>
  <c r="G24" i="16"/>
  <c r="F24" i="16"/>
  <c r="E24" i="16"/>
  <c r="D24" i="16"/>
  <c r="AV32" i="16"/>
  <c r="AU32" i="16"/>
  <c r="AT32" i="16"/>
  <c r="AS32" i="16"/>
  <c r="AF32" i="16"/>
  <c r="AE32" i="16"/>
  <c r="AD32" i="16"/>
  <c r="AC32" i="16"/>
  <c r="AB32" i="16"/>
  <c r="AF31" i="16"/>
  <c r="AF84" i="16" s="1"/>
  <c r="AE31" i="16"/>
  <c r="AE84" i="16" s="1"/>
  <c r="AD31" i="16"/>
  <c r="AD84" i="16" s="1"/>
  <c r="AC31" i="16"/>
  <c r="AC84" i="16" s="1"/>
  <c r="AB31" i="16"/>
  <c r="AB84" i="16" s="1"/>
  <c r="AF30" i="16"/>
  <c r="AE30" i="16"/>
  <c r="AD30" i="16"/>
  <c r="AC30" i="16"/>
  <c r="AB30" i="16"/>
  <c r="AF29" i="16"/>
  <c r="AF83" i="16" s="1"/>
  <c r="AE29" i="16"/>
  <c r="AD29" i="16"/>
  <c r="AD83" i="16" s="1"/>
  <c r="AC29" i="16"/>
  <c r="AC83" i="16" s="1"/>
  <c r="AB29" i="16"/>
  <c r="AB83" i="16" s="1"/>
  <c r="AF28" i="16"/>
  <c r="AE28" i="16"/>
  <c r="AD28" i="16"/>
  <c r="AC28" i="16"/>
  <c r="AB28" i="16"/>
  <c r="AF25" i="16"/>
  <c r="AE25" i="16"/>
  <c r="AD25" i="16"/>
  <c r="AC25" i="16"/>
  <c r="AB25" i="16"/>
  <c r="AP22" i="16"/>
  <c r="AO22" i="16"/>
  <c r="AN22" i="16"/>
  <c r="AM22" i="16"/>
  <c r="AL22" i="16"/>
  <c r="AK22" i="16"/>
  <c r="AJ22" i="16"/>
  <c r="AI22" i="16"/>
  <c r="AH22" i="16"/>
  <c r="AG22" i="16"/>
  <c r="AF22" i="16"/>
  <c r="AE22" i="16"/>
  <c r="AD22" i="16"/>
  <c r="AC22" i="16"/>
  <c r="AB22" i="16"/>
  <c r="P23" i="16"/>
  <c r="O23" i="16"/>
  <c r="N23" i="16"/>
  <c r="M23" i="16"/>
  <c r="L23" i="16"/>
  <c r="K23" i="16"/>
  <c r="J23" i="16"/>
  <c r="I23" i="16"/>
  <c r="T22" i="16"/>
  <c r="S22" i="16"/>
  <c r="R22" i="16"/>
  <c r="Q22" i="16"/>
  <c r="P22" i="16"/>
  <c r="O22" i="16"/>
  <c r="N22" i="16"/>
  <c r="M22" i="16"/>
  <c r="L22" i="16"/>
  <c r="K22" i="16"/>
  <c r="J22" i="16"/>
  <c r="H21" i="16"/>
  <c r="G21" i="16"/>
  <c r="F21" i="16"/>
  <c r="E21" i="16"/>
  <c r="D21" i="16"/>
  <c r="AH17" i="16"/>
  <c r="AG17" i="16"/>
  <c r="AF17" i="16"/>
  <c r="AF18" i="16" s="1"/>
  <c r="AF19" i="16" s="1"/>
  <c r="AF82" i="16" s="1"/>
  <c r="AE17" i="16"/>
  <c r="AD17" i="16"/>
  <c r="AC17" i="16"/>
  <c r="AB17" i="16"/>
  <c r="AB18" i="16" s="1"/>
  <c r="AB19" i="16" s="1"/>
  <c r="AF16" i="16"/>
  <c r="AE16" i="16"/>
  <c r="AD16" i="16"/>
  <c r="AC16" i="16"/>
  <c r="AB16" i="16"/>
  <c r="AS14" i="16"/>
  <c r="AR14" i="16"/>
  <c r="AQ14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S13" i="16"/>
  <c r="AR13" i="16"/>
  <c r="AQ13" i="16"/>
  <c r="AP13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F11" i="16"/>
  <c r="AE11" i="16"/>
  <c r="AD11" i="16"/>
  <c r="AC11" i="16"/>
  <c r="AB11" i="16"/>
  <c r="AS10" i="16"/>
  <c r="AR10" i="16"/>
  <c r="AQ10" i="16"/>
  <c r="AP10" i="16"/>
  <c r="AO10" i="16"/>
  <c r="AN10" i="16"/>
  <c r="AM10" i="16"/>
  <c r="AL10" i="16"/>
  <c r="AK10" i="16"/>
  <c r="AJ10" i="16"/>
  <c r="AI10" i="16"/>
  <c r="AH10" i="16"/>
  <c r="AG10" i="16"/>
  <c r="AF10" i="16"/>
  <c r="AE10" i="16"/>
  <c r="AD10" i="16"/>
  <c r="AC10" i="16"/>
  <c r="AB10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O7" i="16"/>
  <c r="AN7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U19" i="16"/>
  <c r="S19" i="16"/>
  <c r="R19" i="16"/>
  <c r="U17" i="16"/>
  <c r="T17" i="16"/>
  <c r="S17" i="16"/>
  <c r="R17" i="16"/>
  <c r="U16" i="16"/>
  <c r="T16" i="16"/>
  <c r="S16" i="16"/>
  <c r="R16" i="16"/>
  <c r="U15" i="16"/>
  <c r="T15" i="16"/>
  <c r="S15" i="16"/>
  <c r="R15" i="16"/>
  <c r="U14" i="16"/>
  <c r="T14" i="16"/>
  <c r="S14" i="16"/>
  <c r="R14" i="16"/>
  <c r="U10" i="16"/>
  <c r="T10" i="16"/>
  <c r="S10" i="16"/>
  <c r="R10" i="16"/>
  <c r="U9" i="16"/>
  <c r="T9" i="16"/>
  <c r="S9" i="16"/>
  <c r="R9" i="16"/>
  <c r="U8" i="16"/>
  <c r="T8" i="16"/>
  <c r="S8" i="16"/>
  <c r="R8" i="16"/>
  <c r="U7" i="16"/>
  <c r="U11" i="16" s="1"/>
  <c r="T7" i="16"/>
  <c r="T11" i="16" s="1"/>
  <c r="S7" i="16"/>
  <c r="S11" i="16" s="1"/>
  <c r="R7" i="16"/>
  <c r="Q17" i="16"/>
  <c r="P17" i="16"/>
  <c r="O17" i="16"/>
  <c r="N17" i="16"/>
  <c r="M17" i="16"/>
  <c r="L17" i="16"/>
  <c r="K17" i="16"/>
  <c r="J17" i="16"/>
  <c r="I17" i="16"/>
  <c r="Q16" i="16"/>
  <c r="P16" i="16"/>
  <c r="O16" i="16"/>
  <c r="N16" i="16"/>
  <c r="M16" i="16"/>
  <c r="L16" i="16"/>
  <c r="K16" i="16"/>
  <c r="J16" i="16"/>
  <c r="I16" i="16"/>
  <c r="Q15" i="16"/>
  <c r="P15" i="16"/>
  <c r="O15" i="16"/>
  <c r="N15" i="16"/>
  <c r="M15" i="16"/>
  <c r="L15" i="16"/>
  <c r="K15" i="16"/>
  <c r="J15" i="16"/>
  <c r="I15" i="16"/>
  <c r="Q14" i="16"/>
  <c r="P14" i="16"/>
  <c r="O14" i="16"/>
  <c r="N14" i="16"/>
  <c r="M14" i="16"/>
  <c r="L14" i="16"/>
  <c r="K14" i="16"/>
  <c r="J14" i="16"/>
  <c r="I14" i="16"/>
  <c r="J13" i="16"/>
  <c r="J81" i="16" s="1"/>
  <c r="I13" i="16"/>
  <c r="I81" i="16" s="1"/>
  <c r="Q10" i="16"/>
  <c r="P10" i="16"/>
  <c r="O10" i="16"/>
  <c r="N10" i="16"/>
  <c r="M10" i="16"/>
  <c r="L10" i="16"/>
  <c r="K10" i="16"/>
  <c r="J10" i="16"/>
  <c r="I10" i="16"/>
  <c r="Q9" i="16"/>
  <c r="P9" i="16"/>
  <c r="O9" i="16"/>
  <c r="N9" i="16"/>
  <c r="M9" i="16"/>
  <c r="L9" i="16"/>
  <c r="K9" i="16"/>
  <c r="J9" i="16"/>
  <c r="I9" i="16"/>
  <c r="Q8" i="16"/>
  <c r="P8" i="16"/>
  <c r="O8" i="16"/>
  <c r="N8" i="16"/>
  <c r="M8" i="16"/>
  <c r="L8" i="16"/>
  <c r="K8" i="16"/>
  <c r="J8" i="16"/>
  <c r="I8" i="16"/>
  <c r="Q7" i="16"/>
  <c r="P7" i="16"/>
  <c r="O7" i="16"/>
  <c r="N7" i="16"/>
  <c r="M7" i="16"/>
  <c r="L7" i="16"/>
  <c r="K7" i="16"/>
  <c r="J7" i="16"/>
  <c r="I7" i="16"/>
  <c r="AV5" i="16"/>
  <c r="AV21" i="16" s="1"/>
  <c r="AV40" i="16" s="1"/>
  <c r="AV54" i="16" s="1"/>
  <c r="AU5" i="16"/>
  <c r="AU21" i="16" s="1"/>
  <c r="AU40" i="16" s="1"/>
  <c r="AU54" i="16" s="1"/>
  <c r="AT5" i="16"/>
  <c r="AT21" i="16" s="1"/>
  <c r="AT40" i="16" s="1"/>
  <c r="AT54" i="16" s="1"/>
  <c r="AS5" i="16"/>
  <c r="AS21" i="16" s="1"/>
  <c r="AS40" i="16" s="1"/>
  <c r="AS54" i="16" s="1"/>
  <c r="AR5" i="16"/>
  <c r="AR21" i="16" s="1"/>
  <c r="AR40" i="16" s="1"/>
  <c r="AR54" i="16" s="1"/>
  <c r="U3" i="16"/>
  <c r="AS3" i="16" s="1"/>
  <c r="AS23" i="16" s="1"/>
  <c r="T3" i="16"/>
  <c r="AR3" i="16" s="1"/>
  <c r="AR23" i="16" s="1"/>
  <c r="S3" i="16"/>
  <c r="AQ3" i="16" s="1"/>
  <c r="AQ23" i="16" s="1"/>
  <c r="R3" i="16"/>
  <c r="AP3" i="16" s="1"/>
  <c r="AP23" i="16" s="1"/>
  <c r="Q3" i="16"/>
  <c r="AO3" i="16" s="1"/>
  <c r="AO23" i="16" s="1"/>
  <c r="P3" i="16"/>
  <c r="AN3" i="16" s="1"/>
  <c r="AN23" i="16" s="1"/>
  <c r="O3" i="16"/>
  <c r="AM3" i="16" s="1"/>
  <c r="AM23" i="16" s="1"/>
  <c r="N3" i="16"/>
  <c r="AL3" i="16" s="1"/>
  <c r="AL23" i="16" s="1"/>
  <c r="M3" i="16"/>
  <c r="AK3" i="16" s="1"/>
  <c r="AK23" i="16" s="1"/>
  <c r="L3" i="16"/>
  <c r="AJ3" i="16" s="1"/>
  <c r="AJ23" i="16" s="1"/>
  <c r="K3" i="16"/>
  <c r="AI3" i="16" s="1"/>
  <c r="AI23" i="16" s="1"/>
  <c r="J3" i="16"/>
  <c r="AH3" i="16" s="1"/>
  <c r="AH23" i="16" s="1"/>
  <c r="I3" i="16"/>
  <c r="AG3" i="16" s="1"/>
  <c r="AG23" i="16" s="1"/>
  <c r="H3" i="16"/>
  <c r="AF3" i="16" s="1"/>
  <c r="AF23" i="16" s="1"/>
  <c r="G3" i="16"/>
  <c r="AE3" i="16" s="1"/>
  <c r="AE23" i="16" s="1"/>
  <c r="F3" i="16"/>
  <c r="AD3" i="16" s="1"/>
  <c r="AD23" i="16" s="1"/>
  <c r="E3" i="16"/>
  <c r="AC3" i="16" s="1"/>
  <c r="AC23" i="16" s="1"/>
  <c r="D3" i="16"/>
  <c r="AB3" i="16" s="1"/>
  <c r="AB23" i="16" s="1"/>
  <c r="K143" i="15"/>
  <c r="K144" i="15" s="1"/>
  <c r="K145" i="15" s="1"/>
  <c r="K141" i="15"/>
  <c r="K140" i="15" s="1"/>
  <c r="K139" i="15" s="1"/>
  <c r="R11" i="16"/>
  <c r="J130" i="15"/>
  <c r="J128" i="15"/>
  <c r="V132" i="15"/>
  <c r="V131" i="15"/>
  <c r="V130" i="15"/>
  <c r="V129" i="15"/>
  <c r="V128" i="15"/>
  <c r="F123" i="15"/>
  <c r="L127" i="15" s="1"/>
  <c r="D123" i="15"/>
  <c r="F121" i="15"/>
  <c r="D121" i="15"/>
  <c r="H120" i="15"/>
  <c r="H119" i="15"/>
  <c r="E118" i="15"/>
  <c r="W106" i="15"/>
  <c r="AS22" i="16" s="1"/>
  <c r="V106" i="15"/>
  <c r="AR22" i="16" s="1"/>
  <c r="U106" i="15"/>
  <c r="AQ22" i="16" s="1"/>
  <c r="S106" i="15"/>
  <c r="R106" i="15"/>
  <c r="Q106" i="15"/>
  <c r="P106" i="15"/>
  <c r="O106" i="15"/>
  <c r="N106" i="15"/>
  <c r="M106" i="15"/>
  <c r="L106" i="15"/>
  <c r="K106" i="15"/>
  <c r="S104" i="15"/>
  <c r="R104" i="15"/>
  <c r="Q104" i="15"/>
  <c r="P104" i="15"/>
  <c r="O104" i="15"/>
  <c r="N104" i="15"/>
  <c r="N114" i="15" s="1"/>
  <c r="M104" i="15"/>
  <c r="L104" i="15"/>
  <c r="K104" i="15"/>
  <c r="K114" i="15" s="1"/>
  <c r="Z103" i="15"/>
  <c r="Y103" i="15"/>
  <c r="X103" i="15"/>
  <c r="W103" i="15"/>
  <c r="T101" i="15"/>
  <c r="S101" i="15"/>
  <c r="R101" i="15"/>
  <c r="Q101" i="15"/>
  <c r="P101" i="15"/>
  <c r="O101" i="15"/>
  <c r="N101" i="15"/>
  <c r="M101" i="15"/>
  <c r="L101" i="15"/>
  <c r="K101" i="15"/>
  <c r="F95" i="15"/>
  <c r="D81" i="15"/>
  <c r="K74" i="15"/>
  <c r="L77" i="15"/>
  <c r="M77" i="15" s="1"/>
  <c r="N77" i="15" s="1"/>
  <c r="O77" i="15" s="1"/>
  <c r="P77" i="15" s="1"/>
  <c r="Q77" i="15" s="1"/>
  <c r="R77" i="15" s="1"/>
  <c r="S77" i="15" s="1"/>
  <c r="T77" i="15" s="1"/>
  <c r="U77" i="15" s="1"/>
  <c r="V77" i="15" s="1"/>
  <c r="W77" i="15" s="1"/>
  <c r="X77" i="15" s="1"/>
  <c r="Y77" i="15" s="1"/>
  <c r="Z77" i="15" s="1"/>
  <c r="AA77" i="15" s="1"/>
  <c r="AB77" i="15" s="1"/>
  <c r="AC77" i="15" s="1"/>
  <c r="AD77" i="15" s="1"/>
  <c r="AE77" i="15" s="1"/>
  <c r="AF77" i="15" s="1"/>
  <c r="AG77" i="15" s="1"/>
  <c r="AH77" i="15" s="1"/>
  <c r="AI77" i="15" s="1"/>
  <c r="AJ77" i="15" s="1"/>
  <c r="AK77" i="15" s="1"/>
  <c r="AL77" i="15" s="1"/>
  <c r="AM77" i="15" s="1"/>
  <c r="AN77" i="15" s="1"/>
  <c r="AO77" i="15" s="1"/>
  <c r="AP77" i="15" s="1"/>
  <c r="AQ77" i="15" s="1"/>
  <c r="AR77" i="15" s="1"/>
  <c r="AS77" i="15" s="1"/>
  <c r="AT77" i="15" s="1"/>
  <c r="AU77" i="15" s="1"/>
  <c r="AV77" i="15" s="1"/>
  <c r="AW77" i="15" s="1"/>
  <c r="AX77" i="15" s="1"/>
  <c r="AY77" i="15" s="1"/>
  <c r="AZ77" i="15" s="1"/>
  <c r="BA77" i="15" s="1"/>
  <c r="BB77" i="15" s="1"/>
  <c r="BC77" i="15" s="1"/>
  <c r="BD77" i="15" s="1"/>
  <c r="BE77" i="15" s="1"/>
  <c r="BF77" i="15" s="1"/>
  <c r="BG77" i="15" s="1"/>
  <c r="BH77" i="15" s="1"/>
  <c r="BI77" i="15" s="1"/>
  <c r="BJ77" i="15" s="1"/>
  <c r="BK77" i="15" s="1"/>
  <c r="BL77" i="15" s="1"/>
  <c r="BM77" i="15" s="1"/>
  <c r="BN77" i="15" s="1"/>
  <c r="BO77" i="15" s="1"/>
  <c r="BP77" i="15" s="1"/>
  <c r="BQ77" i="15" s="1"/>
  <c r="BR77" i="15" s="1"/>
  <c r="BS77" i="15" s="1"/>
  <c r="BT77" i="15" s="1"/>
  <c r="BU77" i="15" s="1"/>
  <c r="BV77" i="15" s="1"/>
  <c r="BW77" i="15" s="1"/>
  <c r="BX77" i="15" s="1"/>
  <c r="BY77" i="15" s="1"/>
  <c r="BZ77" i="15" s="1"/>
  <c r="CA77" i="15" s="1"/>
  <c r="CB77" i="15" s="1"/>
  <c r="CC77" i="15" s="1"/>
  <c r="CD77" i="15" s="1"/>
  <c r="CE77" i="15" s="1"/>
  <c r="CF77" i="15" s="1"/>
  <c r="CG77" i="15" s="1"/>
  <c r="CH77" i="15" s="1"/>
  <c r="CI77" i="15" s="1"/>
  <c r="CJ77" i="15" s="1"/>
  <c r="CK77" i="15" s="1"/>
  <c r="CL77" i="15" s="1"/>
  <c r="CM77" i="15" s="1"/>
  <c r="CN77" i="15" s="1"/>
  <c r="CO77" i="15" s="1"/>
  <c r="CP77" i="15" s="1"/>
  <c r="T74" i="15"/>
  <c r="S74" i="15"/>
  <c r="R74" i="15"/>
  <c r="Q74" i="15"/>
  <c r="P74" i="15"/>
  <c r="O74" i="15"/>
  <c r="N74" i="15"/>
  <c r="M74" i="15"/>
  <c r="L74" i="15"/>
  <c r="F69" i="15"/>
  <c r="CP65" i="15"/>
  <c r="CO65" i="15"/>
  <c r="CN65" i="15"/>
  <c r="CM65" i="15"/>
  <c r="CL65" i="15"/>
  <c r="CK65" i="15"/>
  <c r="CJ65" i="15"/>
  <c r="CI65" i="15"/>
  <c r="CH65" i="15"/>
  <c r="CG65" i="15"/>
  <c r="CF65" i="15"/>
  <c r="CE65" i="15"/>
  <c r="CD65" i="15"/>
  <c r="CC65" i="15"/>
  <c r="CB65" i="15"/>
  <c r="CA65" i="15"/>
  <c r="BZ65" i="15"/>
  <c r="BY65" i="15"/>
  <c r="BX65" i="15"/>
  <c r="BW65" i="15"/>
  <c r="BV65" i="15"/>
  <c r="BU65" i="15"/>
  <c r="BT65" i="15"/>
  <c r="BS65" i="15"/>
  <c r="BR65" i="15"/>
  <c r="BQ65" i="15"/>
  <c r="BP65" i="15"/>
  <c r="BO65" i="15"/>
  <c r="BN65" i="15"/>
  <c r="BM65" i="15"/>
  <c r="BL65" i="15"/>
  <c r="BK65" i="15"/>
  <c r="BJ65" i="15"/>
  <c r="BI65" i="15"/>
  <c r="BH65" i="15"/>
  <c r="BG65" i="15"/>
  <c r="BF65" i="15"/>
  <c r="BE65" i="15"/>
  <c r="BD65" i="15"/>
  <c r="BC65" i="15"/>
  <c r="BB65" i="15"/>
  <c r="BA65" i="15"/>
  <c r="AZ65" i="15"/>
  <c r="AY65" i="15"/>
  <c r="AX65" i="15"/>
  <c r="AW65" i="15"/>
  <c r="AV65" i="15"/>
  <c r="AU65" i="15"/>
  <c r="AT65" i="15"/>
  <c r="AS65" i="15"/>
  <c r="AR65" i="15"/>
  <c r="AQ65" i="15"/>
  <c r="AP65" i="15"/>
  <c r="AO65" i="15"/>
  <c r="AN65" i="15"/>
  <c r="AM65" i="15"/>
  <c r="AL65" i="15"/>
  <c r="AK65" i="15"/>
  <c r="AJ65" i="15"/>
  <c r="AI65" i="15"/>
  <c r="AH65" i="15"/>
  <c r="AG65" i="15"/>
  <c r="AF65" i="15"/>
  <c r="AE65" i="15"/>
  <c r="AD65" i="15"/>
  <c r="AC65" i="15"/>
  <c r="AB65" i="15"/>
  <c r="AA65" i="15"/>
  <c r="Z65" i="15"/>
  <c r="Y65" i="15"/>
  <c r="X65" i="15"/>
  <c r="W64" i="15"/>
  <c r="V64" i="15"/>
  <c r="U64" i="15"/>
  <c r="T64" i="15"/>
  <c r="S64" i="15"/>
  <c r="R64" i="15"/>
  <c r="Q64" i="15"/>
  <c r="P64" i="15"/>
  <c r="O64" i="15"/>
  <c r="N64" i="15"/>
  <c r="M64" i="15"/>
  <c r="L64" i="15"/>
  <c r="K64" i="15"/>
  <c r="V63" i="15"/>
  <c r="U63" i="15"/>
  <c r="T63" i="15"/>
  <c r="S63" i="15"/>
  <c r="R63" i="15"/>
  <c r="Q63" i="15"/>
  <c r="P63" i="15"/>
  <c r="O63" i="15"/>
  <c r="N63" i="15"/>
  <c r="M63" i="15"/>
  <c r="L63" i="15"/>
  <c r="F54" i="15"/>
  <c r="D39" i="15"/>
  <c r="D31" i="15"/>
  <c r="D26" i="15"/>
  <c r="K346" i="3" s="1"/>
  <c r="F21" i="15"/>
  <c r="D14" i="15"/>
  <c r="D41" i="27" s="1"/>
  <c r="F6" i="15"/>
  <c r="F3" i="15"/>
  <c r="F4" i="15" s="1"/>
  <c r="B3" i="15"/>
  <c r="K89" i="17"/>
  <c r="E89" i="17"/>
  <c r="W94" i="17"/>
  <c r="U94" i="17"/>
  <c r="T94" i="17"/>
  <c r="S94" i="17"/>
  <c r="R94" i="17"/>
  <c r="Q94" i="17"/>
  <c r="P94" i="17"/>
  <c r="O94" i="17"/>
  <c r="W93" i="17"/>
  <c r="V93" i="17"/>
  <c r="U93" i="17"/>
  <c r="T93" i="17"/>
  <c r="S93" i="17"/>
  <c r="R93" i="17"/>
  <c r="Q93" i="17"/>
  <c r="P93" i="17"/>
  <c r="O93" i="17"/>
  <c r="N93" i="17"/>
  <c r="M93" i="17"/>
  <c r="W92" i="17"/>
  <c r="V92" i="17"/>
  <c r="U92" i="17"/>
  <c r="T92" i="17"/>
  <c r="S92" i="17"/>
  <c r="R92" i="17"/>
  <c r="Q92" i="17"/>
  <c r="P92" i="17"/>
  <c r="O92" i="17"/>
  <c r="N92" i="17"/>
  <c r="M92" i="17"/>
  <c r="F83" i="17"/>
  <c r="E83" i="17"/>
  <c r="D83" i="17"/>
  <c r="AE79" i="17"/>
  <c r="AC79" i="17"/>
  <c r="AB79" i="17"/>
  <c r="AA79" i="17"/>
  <c r="Z79" i="17"/>
  <c r="Y79" i="17"/>
  <c r="X79" i="17"/>
  <c r="W79" i="17"/>
  <c r="N76" i="17"/>
  <c r="O76" i="17" s="1"/>
  <c r="N75" i="17"/>
  <c r="N74" i="17"/>
  <c r="O74" i="17" s="1"/>
  <c r="N73" i="17"/>
  <c r="O73" i="17" s="1"/>
  <c r="N72" i="17"/>
  <c r="O72" i="17" s="1"/>
  <c r="N71" i="17"/>
  <c r="O71" i="17" s="1"/>
  <c r="N70" i="17"/>
  <c r="O70" i="17" s="1"/>
  <c r="N68" i="17"/>
  <c r="O68" i="17" s="1"/>
  <c r="N67" i="17"/>
  <c r="O67" i="17" s="1"/>
  <c r="N66" i="17"/>
  <c r="O66" i="17" s="1"/>
  <c r="N65" i="17"/>
  <c r="O65" i="17" s="1"/>
  <c r="N64" i="17"/>
  <c r="O64" i="17" s="1"/>
  <c r="N63" i="17"/>
  <c r="O63" i="17" s="1"/>
  <c r="N62" i="17"/>
  <c r="O62" i="17" s="1"/>
  <c r="N61" i="17"/>
  <c r="O61" i="17" s="1"/>
  <c r="N60" i="17"/>
  <c r="O60" i="17" s="1"/>
  <c r="N59" i="17"/>
  <c r="O59" i="17" s="1"/>
  <c r="O75" i="17"/>
  <c r="O58" i="17"/>
  <c r="O57" i="17"/>
  <c r="O56" i="17"/>
  <c r="O55" i="17"/>
  <c r="O54" i="17"/>
  <c r="O53" i="17"/>
  <c r="O52" i="17"/>
  <c r="M77" i="17"/>
  <c r="N77" i="17" s="1"/>
  <c r="O77" i="17" s="1"/>
  <c r="Q77" i="17"/>
  <c r="Q76" i="17"/>
  <c r="Q75" i="17"/>
  <c r="Q74" i="17"/>
  <c r="Q73" i="17"/>
  <c r="Q72" i="17"/>
  <c r="Q71" i="17"/>
  <c r="Q70" i="17"/>
  <c r="Q69" i="17"/>
  <c r="Q68" i="17"/>
  <c r="Q67" i="17"/>
  <c r="Q66" i="17"/>
  <c r="Q65" i="17"/>
  <c r="Q64" i="17"/>
  <c r="Q63" i="17"/>
  <c r="Q62" i="17"/>
  <c r="Q61" i="17"/>
  <c r="Q60" i="17"/>
  <c r="Q59" i="17"/>
  <c r="Q58" i="17"/>
  <c r="Q57" i="17"/>
  <c r="Q56" i="17"/>
  <c r="Q55" i="17"/>
  <c r="Q54" i="17"/>
  <c r="Q53" i="17"/>
  <c r="Q52" i="17"/>
  <c r="M69" i="17"/>
  <c r="F49" i="17"/>
  <c r="E49" i="17"/>
  <c r="D49" i="17"/>
  <c r="F37" i="17"/>
  <c r="E37" i="17"/>
  <c r="D37" i="17"/>
  <c r="R34" i="17"/>
  <c r="Q34" i="17"/>
  <c r="P34" i="17"/>
  <c r="O34" i="17"/>
  <c r="N34" i="17"/>
  <c r="M34" i="17"/>
  <c r="L34" i="17"/>
  <c r="K34" i="17"/>
  <c r="F29" i="17"/>
  <c r="E29" i="17"/>
  <c r="D29" i="17"/>
  <c r="V26" i="17"/>
  <c r="U26" i="17"/>
  <c r="T26" i="17"/>
  <c r="F22" i="17"/>
  <c r="E22" i="17"/>
  <c r="D22" i="17"/>
  <c r="Z20" i="17"/>
  <c r="X20" i="17"/>
  <c r="W20" i="17"/>
  <c r="V20" i="17"/>
  <c r="U20" i="17"/>
  <c r="S12" i="17"/>
  <c r="R12" i="17"/>
  <c r="Q12" i="17"/>
  <c r="P12" i="17"/>
  <c r="O12" i="17"/>
  <c r="N12" i="17"/>
  <c r="M12" i="17"/>
  <c r="L12" i="17"/>
  <c r="K12" i="17"/>
  <c r="W10" i="17"/>
  <c r="V10" i="17"/>
  <c r="U10" i="17"/>
  <c r="T10" i="17"/>
  <c r="S10" i="17"/>
  <c r="R10" i="17"/>
  <c r="Q10" i="17"/>
  <c r="P10" i="17"/>
  <c r="O10" i="17"/>
  <c r="N10" i="17"/>
  <c r="M10" i="17"/>
  <c r="L10" i="17"/>
  <c r="K10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F6" i="17"/>
  <c r="E6" i="17"/>
  <c r="D6" i="17"/>
  <c r="F3" i="17"/>
  <c r="F4" i="17" s="1"/>
  <c r="E3" i="17"/>
  <c r="E4" i="17" s="1"/>
  <c r="D3" i="17"/>
  <c r="D4" i="17" s="1"/>
  <c r="B3" i="17"/>
  <c r="X222" i="25"/>
  <c r="Y221" i="25"/>
  <c r="Y220" i="25"/>
  <c r="Z220" i="25" s="1"/>
  <c r="AA220" i="25" s="1"/>
  <c r="AB220" i="25" s="1"/>
  <c r="AC220" i="25" s="1"/>
  <c r="CQ218" i="25"/>
  <c r="F218" i="25"/>
  <c r="Y216" i="25"/>
  <c r="Z215" i="25"/>
  <c r="AA215" i="25" s="1"/>
  <c r="AB215" i="25" s="1"/>
  <c r="AC215" i="25" s="1"/>
  <c r="AD215" i="25" s="1"/>
  <c r="AE215" i="25" s="1"/>
  <c r="AF215" i="25" s="1"/>
  <c r="AG215" i="25" s="1"/>
  <c r="AH215" i="25" s="1"/>
  <c r="AI215" i="25" s="1"/>
  <c r="AJ215" i="25" s="1"/>
  <c r="AK215" i="25" s="1"/>
  <c r="AL215" i="25" s="1"/>
  <c r="AM215" i="25" s="1"/>
  <c r="AN215" i="25" s="1"/>
  <c r="AO215" i="25" s="1"/>
  <c r="AP215" i="25" s="1"/>
  <c r="AQ215" i="25" s="1"/>
  <c r="AR215" i="25" s="1"/>
  <c r="AS215" i="25" s="1"/>
  <c r="AT215" i="25" s="1"/>
  <c r="AU215" i="25" s="1"/>
  <c r="AV215" i="25" s="1"/>
  <c r="AW215" i="25" s="1"/>
  <c r="AX215" i="25" s="1"/>
  <c r="AY215" i="25" s="1"/>
  <c r="AZ215" i="25" s="1"/>
  <c r="BA215" i="25" s="1"/>
  <c r="BB215" i="25" s="1"/>
  <c r="BC215" i="25" s="1"/>
  <c r="BD215" i="25" s="1"/>
  <c r="BE215" i="25" s="1"/>
  <c r="BF215" i="25" s="1"/>
  <c r="BG215" i="25" s="1"/>
  <c r="BH215" i="25" s="1"/>
  <c r="BI215" i="25" s="1"/>
  <c r="BJ215" i="25" s="1"/>
  <c r="BK215" i="25" s="1"/>
  <c r="BL215" i="25" s="1"/>
  <c r="BM215" i="25" s="1"/>
  <c r="BN215" i="25" s="1"/>
  <c r="BO215" i="25" s="1"/>
  <c r="BP215" i="25" s="1"/>
  <c r="BQ215" i="25" s="1"/>
  <c r="BR215" i="25" s="1"/>
  <c r="BS215" i="25" s="1"/>
  <c r="BT215" i="25" s="1"/>
  <c r="BU215" i="25" s="1"/>
  <c r="BV215" i="25" s="1"/>
  <c r="BW215" i="25" s="1"/>
  <c r="BX215" i="25" s="1"/>
  <c r="BY215" i="25" s="1"/>
  <c r="BZ215" i="25" s="1"/>
  <c r="CA215" i="25" s="1"/>
  <c r="CB215" i="25" s="1"/>
  <c r="CC215" i="25" s="1"/>
  <c r="CD215" i="25" s="1"/>
  <c r="CE215" i="25" s="1"/>
  <c r="CF215" i="25" s="1"/>
  <c r="CG215" i="25" s="1"/>
  <c r="CH215" i="25" s="1"/>
  <c r="CI215" i="25" s="1"/>
  <c r="CJ215" i="25" s="1"/>
  <c r="CK215" i="25" s="1"/>
  <c r="CL215" i="25" s="1"/>
  <c r="CM215" i="25" s="1"/>
  <c r="CN215" i="25" s="1"/>
  <c r="CO215" i="25" s="1"/>
  <c r="CP215" i="25" s="1"/>
  <c r="Z214" i="25"/>
  <c r="CQ212" i="25"/>
  <c r="F212" i="25"/>
  <c r="S210" i="25"/>
  <c r="S209" i="25" s="1"/>
  <c r="T209" i="25" s="1"/>
  <c r="T208" i="25"/>
  <c r="U208" i="25" s="1"/>
  <c r="V208" i="25" s="1"/>
  <c r="W208" i="25" s="1"/>
  <c r="CQ206" i="25"/>
  <c r="F206" i="25"/>
  <c r="W203" i="25"/>
  <c r="V203" i="25"/>
  <c r="Q203" i="25"/>
  <c r="Q204" i="25" s="1"/>
  <c r="L203" i="25"/>
  <c r="J203" i="25"/>
  <c r="I203" i="25"/>
  <c r="H203" i="25"/>
  <c r="G203" i="25"/>
  <c r="J198" i="25"/>
  <c r="J199" i="25" s="1"/>
  <c r="I198" i="25"/>
  <c r="I199" i="25" s="1"/>
  <c r="H198" i="25"/>
  <c r="H199" i="25" s="1"/>
  <c r="G198" i="25"/>
  <c r="G199" i="25" s="1"/>
  <c r="F198" i="25"/>
  <c r="F199" i="25" s="1"/>
  <c r="AA195" i="25"/>
  <c r="Z195" i="25"/>
  <c r="Y195" i="25"/>
  <c r="X195" i="25"/>
  <c r="W195" i="25"/>
  <c r="V195" i="25"/>
  <c r="K192" i="25"/>
  <c r="V183" i="25"/>
  <c r="Q183" i="25"/>
  <c r="Q184" i="25" s="1"/>
  <c r="L183" i="25"/>
  <c r="W179" i="25"/>
  <c r="V179" i="25"/>
  <c r="X178" i="25"/>
  <c r="Y178" i="25" s="1"/>
  <c r="Z178" i="25" s="1"/>
  <c r="AA178" i="25" s="1"/>
  <c r="Q178" i="25"/>
  <c r="Q179" i="25" s="1"/>
  <c r="L178" i="25"/>
  <c r="L179" i="25" s="1"/>
  <c r="W176" i="25"/>
  <c r="X176" i="25" s="1"/>
  <c r="Y176" i="25" s="1"/>
  <c r="Z176" i="25" s="1"/>
  <c r="AA176" i="25" s="1"/>
  <c r="R176" i="25"/>
  <c r="S176" i="25" s="1"/>
  <c r="T176" i="25" s="1"/>
  <c r="U176" i="25" s="1"/>
  <c r="R175" i="25"/>
  <c r="S175" i="25" s="1"/>
  <c r="R174" i="25"/>
  <c r="S174" i="25" s="1"/>
  <c r="T174" i="25" s="1"/>
  <c r="R173" i="25"/>
  <c r="S173" i="25" s="1"/>
  <c r="M176" i="25"/>
  <c r="N176" i="25" s="1"/>
  <c r="O176" i="25" s="1"/>
  <c r="P176" i="25" s="1"/>
  <c r="M175" i="25"/>
  <c r="N175" i="25" s="1"/>
  <c r="O175" i="25" s="1"/>
  <c r="P175" i="25" s="1"/>
  <c r="M174" i="25"/>
  <c r="N174" i="25" s="1"/>
  <c r="M173" i="25"/>
  <c r="N173" i="25" s="1"/>
  <c r="O173" i="25" s="1"/>
  <c r="P173" i="25" s="1"/>
  <c r="M172" i="25"/>
  <c r="Q171" i="25"/>
  <c r="R171" i="25" s="1"/>
  <c r="S171" i="25" s="1"/>
  <c r="T171" i="25" s="1"/>
  <c r="U171" i="25" s="1"/>
  <c r="V171" i="25" s="1"/>
  <c r="W171" i="25" s="1"/>
  <c r="X171" i="25" s="1"/>
  <c r="Y171" i="25" s="1"/>
  <c r="Z171" i="25" s="1"/>
  <c r="AA171" i="25" s="1"/>
  <c r="AB171" i="25" s="1"/>
  <c r="AC171" i="25" s="1"/>
  <c r="AD171" i="25" s="1"/>
  <c r="AE171" i="25" s="1"/>
  <c r="AF171" i="25" s="1"/>
  <c r="AG171" i="25" s="1"/>
  <c r="AH171" i="25" s="1"/>
  <c r="AI171" i="25" s="1"/>
  <c r="AJ171" i="25" s="1"/>
  <c r="AK171" i="25" s="1"/>
  <c r="AL171" i="25" s="1"/>
  <c r="AM171" i="25" s="1"/>
  <c r="AN171" i="25" s="1"/>
  <c r="AO171" i="25" s="1"/>
  <c r="AP171" i="25" s="1"/>
  <c r="AQ171" i="25" s="1"/>
  <c r="AR171" i="25" s="1"/>
  <c r="AS171" i="25" s="1"/>
  <c r="AT171" i="25" s="1"/>
  <c r="AU171" i="25" s="1"/>
  <c r="AV171" i="25" s="1"/>
  <c r="AW171" i="25" s="1"/>
  <c r="AX171" i="25" s="1"/>
  <c r="AY171" i="25" s="1"/>
  <c r="AZ171" i="25" s="1"/>
  <c r="BA171" i="25" s="1"/>
  <c r="BB171" i="25" s="1"/>
  <c r="BC171" i="25" s="1"/>
  <c r="BD171" i="25" s="1"/>
  <c r="BE171" i="25" s="1"/>
  <c r="BF171" i="25" s="1"/>
  <c r="BG171" i="25" s="1"/>
  <c r="BH171" i="25" s="1"/>
  <c r="BI171" i="25" s="1"/>
  <c r="BJ171" i="25" s="1"/>
  <c r="BK171" i="25" s="1"/>
  <c r="BL171" i="25" s="1"/>
  <c r="BM171" i="25" s="1"/>
  <c r="BN171" i="25" s="1"/>
  <c r="BO171" i="25" s="1"/>
  <c r="BP171" i="25" s="1"/>
  <c r="BQ171" i="25" s="1"/>
  <c r="BR171" i="25" s="1"/>
  <c r="BS171" i="25" s="1"/>
  <c r="BT171" i="25" s="1"/>
  <c r="BU171" i="25" s="1"/>
  <c r="BV171" i="25" s="1"/>
  <c r="BW171" i="25" s="1"/>
  <c r="BX171" i="25" s="1"/>
  <c r="BY171" i="25" s="1"/>
  <c r="BZ171" i="25" s="1"/>
  <c r="CA171" i="25" s="1"/>
  <c r="CB171" i="25" s="1"/>
  <c r="CC171" i="25" s="1"/>
  <c r="CD171" i="25" s="1"/>
  <c r="CE171" i="25" s="1"/>
  <c r="CF171" i="25" s="1"/>
  <c r="CG171" i="25" s="1"/>
  <c r="CH171" i="25" s="1"/>
  <c r="CI171" i="25" s="1"/>
  <c r="CJ171" i="25" s="1"/>
  <c r="CK171" i="25" s="1"/>
  <c r="CL171" i="25" s="1"/>
  <c r="CM171" i="25" s="1"/>
  <c r="CN171" i="25" s="1"/>
  <c r="CO171" i="25" s="1"/>
  <c r="CP171" i="25" s="1"/>
  <c r="L171" i="25"/>
  <c r="M171" i="25" s="1"/>
  <c r="N171" i="25" s="1"/>
  <c r="O171" i="25" s="1"/>
  <c r="P171" i="25" s="1"/>
  <c r="M170" i="25"/>
  <c r="N170" i="25" s="1"/>
  <c r="O170" i="25" s="1"/>
  <c r="P170" i="25" s="1"/>
  <c r="W174" i="25"/>
  <c r="X174" i="25" s="1"/>
  <c r="Y174" i="25" s="1"/>
  <c r="W173" i="25"/>
  <c r="X173" i="25" s="1"/>
  <c r="Y173" i="25" s="1"/>
  <c r="Z173" i="25" s="1"/>
  <c r="AA173" i="25" s="1"/>
  <c r="AB173" i="25" s="1"/>
  <c r="AC173" i="25" s="1"/>
  <c r="AD173" i="25" s="1"/>
  <c r="AE173" i="25" s="1"/>
  <c r="AF173" i="25" s="1"/>
  <c r="AG173" i="25" s="1"/>
  <c r="AH173" i="25" s="1"/>
  <c r="AI173" i="25" s="1"/>
  <c r="AJ173" i="25" s="1"/>
  <c r="AK173" i="25" s="1"/>
  <c r="AL173" i="25" s="1"/>
  <c r="AM173" i="25" s="1"/>
  <c r="AN173" i="25" s="1"/>
  <c r="AO173" i="25" s="1"/>
  <c r="AP173" i="25" s="1"/>
  <c r="AQ173" i="25" s="1"/>
  <c r="AR173" i="25" s="1"/>
  <c r="AS173" i="25" s="1"/>
  <c r="AT173" i="25" s="1"/>
  <c r="AU173" i="25" s="1"/>
  <c r="AV173" i="25" s="1"/>
  <c r="AW173" i="25" s="1"/>
  <c r="AX173" i="25" s="1"/>
  <c r="AY173" i="25" s="1"/>
  <c r="AZ173" i="25" s="1"/>
  <c r="BA173" i="25" s="1"/>
  <c r="BB173" i="25" s="1"/>
  <c r="BC173" i="25" s="1"/>
  <c r="BD173" i="25" s="1"/>
  <c r="BE173" i="25" s="1"/>
  <c r="BF173" i="25" s="1"/>
  <c r="BG173" i="25" s="1"/>
  <c r="BH173" i="25" s="1"/>
  <c r="BI173" i="25" s="1"/>
  <c r="BJ173" i="25" s="1"/>
  <c r="BK173" i="25" s="1"/>
  <c r="BL173" i="25" s="1"/>
  <c r="BM173" i="25" s="1"/>
  <c r="BN173" i="25" s="1"/>
  <c r="BO173" i="25" s="1"/>
  <c r="BP173" i="25" s="1"/>
  <c r="BQ173" i="25" s="1"/>
  <c r="BR173" i="25" s="1"/>
  <c r="BS173" i="25" s="1"/>
  <c r="BT173" i="25" s="1"/>
  <c r="BU173" i="25" s="1"/>
  <c r="BV173" i="25" s="1"/>
  <c r="BW173" i="25" s="1"/>
  <c r="BX173" i="25" s="1"/>
  <c r="BY173" i="25" s="1"/>
  <c r="BZ173" i="25" s="1"/>
  <c r="CA173" i="25" s="1"/>
  <c r="CB173" i="25" s="1"/>
  <c r="CC173" i="25" s="1"/>
  <c r="CD173" i="25" s="1"/>
  <c r="CE173" i="25" s="1"/>
  <c r="CF173" i="25" s="1"/>
  <c r="CG173" i="25" s="1"/>
  <c r="CH173" i="25" s="1"/>
  <c r="CI173" i="25" s="1"/>
  <c r="CJ173" i="25" s="1"/>
  <c r="CK173" i="25" s="1"/>
  <c r="CL173" i="25" s="1"/>
  <c r="CM173" i="25" s="1"/>
  <c r="CN173" i="25" s="1"/>
  <c r="CO173" i="25" s="1"/>
  <c r="CP173" i="25" s="1"/>
  <c r="AB172" i="25"/>
  <c r="AC172" i="25" s="1"/>
  <c r="V172" i="25"/>
  <c r="R172" i="25"/>
  <c r="S172" i="25" s="1"/>
  <c r="T172" i="25" s="1"/>
  <c r="U172" i="25" s="1"/>
  <c r="R170" i="25"/>
  <c r="S170" i="25" s="1"/>
  <c r="T170" i="25" s="1"/>
  <c r="U170" i="25" s="1"/>
  <c r="V170" i="25" s="1"/>
  <c r="V194" i="25" s="1"/>
  <c r="V169" i="25"/>
  <c r="W169" i="25" s="1"/>
  <c r="X169" i="25" s="1"/>
  <c r="Y169" i="25" s="1"/>
  <c r="Z169" i="25" s="1"/>
  <c r="AA169" i="25" s="1"/>
  <c r="AB169" i="25" s="1"/>
  <c r="AC169" i="25" s="1"/>
  <c r="AD169" i="25" s="1"/>
  <c r="AE169" i="25" s="1"/>
  <c r="AF169" i="25" s="1"/>
  <c r="AG169" i="25" s="1"/>
  <c r="AH169" i="25" s="1"/>
  <c r="AI169" i="25" s="1"/>
  <c r="AJ169" i="25" s="1"/>
  <c r="AK169" i="25" s="1"/>
  <c r="AL169" i="25" s="1"/>
  <c r="AM169" i="25" s="1"/>
  <c r="AN169" i="25" s="1"/>
  <c r="AO169" i="25" s="1"/>
  <c r="AP169" i="25" s="1"/>
  <c r="AQ169" i="25" s="1"/>
  <c r="AR169" i="25" s="1"/>
  <c r="AS169" i="25" s="1"/>
  <c r="AT169" i="25" s="1"/>
  <c r="AU169" i="25" s="1"/>
  <c r="AV169" i="25" s="1"/>
  <c r="AW169" i="25" s="1"/>
  <c r="AX169" i="25" s="1"/>
  <c r="AY169" i="25" s="1"/>
  <c r="AZ169" i="25" s="1"/>
  <c r="BA169" i="25" s="1"/>
  <c r="BB169" i="25" s="1"/>
  <c r="BC169" i="25" s="1"/>
  <c r="BD169" i="25" s="1"/>
  <c r="BE169" i="25" s="1"/>
  <c r="BF169" i="25" s="1"/>
  <c r="BG169" i="25" s="1"/>
  <c r="BH169" i="25" s="1"/>
  <c r="BI169" i="25" s="1"/>
  <c r="BJ169" i="25" s="1"/>
  <c r="BK169" i="25" s="1"/>
  <c r="BL169" i="25" s="1"/>
  <c r="BM169" i="25" s="1"/>
  <c r="BN169" i="25" s="1"/>
  <c r="BO169" i="25" s="1"/>
  <c r="BP169" i="25" s="1"/>
  <c r="BQ169" i="25" s="1"/>
  <c r="BR169" i="25" s="1"/>
  <c r="BS169" i="25" s="1"/>
  <c r="BT169" i="25" s="1"/>
  <c r="BU169" i="25" s="1"/>
  <c r="BV169" i="25" s="1"/>
  <c r="BW169" i="25" s="1"/>
  <c r="BX169" i="25" s="1"/>
  <c r="BY169" i="25" s="1"/>
  <c r="BZ169" i="25" s="1"/>
  <c r="CA169" i="25" s="1"/>
  <c r="CB169" i="25" s="1"/>
  <c r="CC169" i="25" s="1"/>
  <c r="CD169" i="25" s="1"/>
  <c r="CE169" i="25" s="1"/>
  <c r="CF169" i="25" s="1"/>
  <c r="CG169" i="25" s="1"/>
  <c r="CH169" i="25" s="1"/>
  <c r="CI169" i="25" s="1"/>
  <c r="CJ169" i="25" s="1"/>
  <c r="CK169" i="25" s="1"/>
  <c r="CL169" i="25" s="1"/>
  <c r="CM169" i="25" s="1"/>
  <c r="CN169" i="25" s="1"/>
  <c r="CO169" i="25" s="1"/>
  <c r="CP169" i="25" s="1"/>
  <c r="Q169" i="25"/>
  <c r="R169" i="25" s="1"/>
  <c r="S169" i="25" s="1"/>
  <c r="T169" i="25" s="1"/>
  <c r="U169" i="25" s="1"/>
  <c r="L169" i="25"/>
  <c r="M169" i="25" s="1"/>
  <c r="N169" i="25" s="1"/>
  <c r="O169" i="25" s="1"/>
  <c r="P169" i="25" s="1"/>
  <c r="X168" i="25"/>
  <c r="X203" i="25" s="1"/>
  <c r="AC176" i="25"/>
  <c r="AD176" i="25" s="1"/>
  <c r="AE176" i="25" s="1"/>
  <c r="AF176" i="25" s="1"/>
  <c r="AG176" i="25" s="1"/>
  <c r="AH176" i="25" s="1"/>
  <c r="AI176" i="25" s="1"/>
  <c r="AJ176" i="25" s="1"/>
  <c r="AK176" i="25" s="1"/>
  <c r="AL176" i="25" s="1"/>
  <c r="AM176" i="25" s="1"/>
  <c r="AN176" i="25" s="1"/>
  <c r="AO176" i="25" s="1"/>
  <c r="AP176" i="25" s="1"/>
  <c r="AQ176" i="25" s="1"/>
  <c r="AR176" i="25" s="1"/>
  <c r="AS176" i="25" s="1"/>
  <c r="AT176" i="25" s="1"/>
  <c r="AU176" i="25" s="1"/>
  <c r="AV176" i="25" s="1"/>
  <c r="AW176" i="25" s="1"/>
  <c r="AX176" i="25" s="1"/>
  <c r="AY176" i="25" s="1"/>
  <c r="AZ176" i="25" s="1"/>
  <c r="BA176" i="25" s="1"/>
  <c r="BB176" i="25" s="1"/>
  <c r="BC176" i="25" s="1"/>
  <c r="BD176" i="25" s="1"/>
  <c r="BE176" i="25" s="1"/>
  <c r="BF176" i="25" s="1"/>
  <c r="BG176" i="25" s="1"/>
  <c r="BH176" i="25" s="1"/>
  <c r="BI176" i="25" s="1"/>
  <c r="BJ176" i="25" s="1"/>
  <c r="BK176" i="25" s="1"/>
  <c r="BL176" i="25" s="1"/>
  <c r="BM176" i="25" s="1"/>
  <c r="BN176" i="25" s="1"/>
  <c r="BO176" i="25" s="1"/>
  <c r="BP176" i="25" s="1"/>
  <c r="BQ176" i="25" s="1"/>
  <c r="BR176" i="25" s="1"/>
  <c r="BS176" i="25" s="1"/>
  <c r="BT176" i="25" s="1"/>
  <c r="BU176" i="25" s="1"/>
  <c r="BV176" i="25" s="1"/>
  <c r="BW176" i="25" s="1"/>
  <c r="BX176" i="25" s="1"/>
  <c r="BY176" i="25" s="1"/>
  <c r="BZ176" i="25" s="1"/>
  <c r="CA176" i="25" s="1"/>
  <c r="CB176" i="25" s="1"/>
  <c r="CC176" i="25" s="1"/>
  <c r="CD176" i="25" s="1"/>
  <c r="CE176" i="25" s="1"/>
  <c r="CF176" i="25" s="1"/>
  <c r="CG176" i="25" s="1"/>
  <c r="CH176" i="25" s="1"/>
  <c r="CI176" i="25" s="1"/>
  <c r="CJ176" i="25" s="1"/>
  <c r="CK176" i="25" s="1"/>
  <c r="CL176" i="25" s="1"/>
  <c r="CM176" i="25" s="1"/>
  <c r="CN176" i="25" s="1"/>
  <c r="CO176" i="25" s="1"/>
  <c r="CP176" i="25" s="1"/>
  <c r="AC167" i="25"/>
  <c r="AD167" i="25" s="1"/>
  <c r="AE167" i="25" s="1"/>
  <c r="AF167" i="25" s="1"/>
  <c r="AG167" i="25" s="1"/>
  <c r="AH167" i="25" s="1"/>
  <c r="W167" i="25"/>
  <c r="X167" i="25" s="1"/>
  <c r="R168" i="25"/>
  <c r="R203" i="25" s="1"/>
  <c r="R167" i="25"/>
  <c r="S167" i="25" s="1"/>
  <c r="T167" i="25" s="1"/>
  <c r="M168" i="25"/>
  <c r="N168" i="25" s="1"/>
  <c r="M167" i="25"/>
  <c r="N167" i="25" s="1"/>
  <c r="V164" i="25"/>
  <c r="W159" i="25" s="1"/>
  <c r="Q164" i="25"/>
  <c r="R159" i="25" s="1"/>
  <c r="R164" i="25" s="1"/>
  <c r="S159" i="25" s="1"/>
  <c r="S164" i="25" s="1"/>
  <c r="T159" i="25" s="1"/>
  <c r="T164" i="25" s="1"/>
  <c r="U159" i="25" s="1"/>
  <c r="U164" i="25" s="1"/>
  <c r="K164" i="25"/>
  <c r="L159" i="25" s="1"/>
  <c r="L164" i="25" s="1"/>
  <c r="M159" i="25" s="1"/>
  <c r="M164" i="25" s="1"/>
  <c r="N159" i="25" s="1"/>
  <c r="N164" i="25" s="1"/>
  <c r="O159" i="25" s="1"/>
  <c r="O164" i="25" s="1"/>
  <c r="P159" i="25" s="1"/>
  <c r="P164" i="25" s="1"/>
  <c r="J164" i="25"/>
  <c r="I164" i="25"/>
  <c r="H164" i="25"/>
  <c r="G164" i="25"/>
  <c r="CQ157" i="25"/>
  <c r="F157" i="25"/>
  <c r="U154" i="25"/>
  <c r="P154" i="25"/>
  <c r="L154" i="25"/>
  <c r="J154" i="25"/>
  <c r="I154" i="25"/>
  <c r="H154" i="25"/>
  <c r="G154" i="25"/>
  <c r="J149" i="25"/>
  <c r="J150" i="25" s="1"/>
  <c r="I149" i="25"/>
  <c r="I150" i="25" s="1"/>
  <c r="H149" i="25"/>
  <c r="H150" i="25" s="1"/>
  <c r="G149" i="25"/>
  <c r="G150" i="25" s="1"/>
  <c r="F149" i="25"/>
  <c r="F150" i="25" s="1"/>
  <c r="P149" i="25"/>
  <c r="O149" i="25"/>
  <c r="N149" i="25"/>
  <c r="M149" i="25"/>
  <c r="T148" i="25"/>
  <c r="S148" i="25"/>
  <c r="R148" i="25"/>
  <c r="Q148" i="25"/>
  <c r="Y146" i="25"/>
  <c r="Y149" i="25" s="1"/>
  <c r="X146" i="25"/>
  <c r="X149" i="25" s="1"/>
  <c r="W146" i="25"/>
  <c r="W149" i="25" s="1"/>
  <c r="V149" i="25"/>
  <c r="U149" i="25"/>
  <c r="U134" i="25"/>
  <c r="U132" i="25" s="1"/>
  <c r="P134" i="25"/>
  <c r="P135" i="25" s="1"/>
  <c r="L134" i="25"/>
  <c r="L135" i="25" s="1"/>
  <c r="U130" i="25"/>
  <c r="AA129" i="25"/>
  <c r="AB129" i="25" s="1"/>
  <c r="AC129" i="25" s="1"/>
  <c r="AD129" i="25" s="1"/>
  <c r="AE129" i="25" s="1"/>
  <c r="AF129" i="25" s="1"/>
  <c r="AG129" i="25" s="1"/>
  <c r="AH129" i="25" s="1"/>
  <c r="AI129" i="25" s="1"/>
  <c r="AJ129" i="25" s="1"/>
  <c r="AK129" i="25" s="1"/>
  <c r="AL129" i="25" s="1"/>
  <c r="AM129" i="25" s="1"/>
  <c r="AN129" i="25" s="1"/>
  <c r="AO129" i="25" s="1"/>
  <c r="AP129" i="25" s="1"/>
  <c r="AQ129" i="25" s="1"/>
  <c r="AR129" i="25" s="1"/>
  <c r="AS129" i="25" s="1"/>
  <c r="AT129" i="25" s="1"/>
  <c r="AU129" i="25" s="1"/>
  <c r="AV129" i="25" s="1"/>
  <c r="AW129" i="25" s="1"/>
  <c r="AX129" i="25" s="1"/>
  <c r="AY129" i="25" s="1"/>
  <c r="AZ129" i="25" s="1"/>
  <c r="BA129" i="25" s="1"/>
  <c r="BB129" i="25" s="1"/>
  <c r="BC129" i="25" s="1"/>
  <c r="BD129" i="25" s="1"/>
  <c r="BE129" i="25" s="1"/>
  <c r="BF129" i="25" s="1"/>
  <c r="BG129" i="25" s="1"/>
  <c r="BH129" i="25" s="1"/>
  <c r="BI129" i="25" s="1"/>
  <c r="BJ129" i="25" s="1"/>
  <c r="BK129" i="25" s="1"/>
  <c r="BL129" i="25" s="1"/>
  <c r="BM129" i="25" s="1"/>
  <c r="BN129" i="25" s="1"/>
  <c r="BO129" i="25" s="1"/>
  <c r="BP129" i="25" s="1"/>
  <c r="BQ129" i="25" s="1"/>
  <c r="BR129" i="25" s="1"/>
  <c r="BS129" i="25" s="1"/>
  <c r="BT129" i="25" s="1"/>
  <c r="BU129" i="25" s="1"/>
  <c r="BV129" i="25" s="1"/>
  <c r="BW129" i="25" s="1"/>
  <c r="BX129" i="25" s="1"/>
  <c r="BY129" i="25" s="1"/>
  <c r="BZ129" i="25" s="1"/>
  <c r="CA129" i="25" s="1"/>
  <c r="CB129" i="25" s="1"/>
  <c r="CC129" i="25" s="1"/>
  <c r="CD129" i="25" s="1"/>
  <c r="CE129" i="25" s="1"/>
  <c r="CF129" i="25" s="1"/>
  <c r="CG129" i="25" s="1"/>
  <c r="CH129" i="25" s="1"/>
  <c r="CI129" i="25" s="1"/>
  <c r="CJ129" i="25" s="1"/>
  <c r="CK129" i="25" s="1"/>
  <c r="CL129" i="25" s="1"/>
  <c r="CM129" i="25" s="1"/>
  <c r="CN129" i="25" s="1"/>
  <c r="CO129" i="25" s="1"/>
  <c r="CP129" i="25" s="1"/>
  <c r="W129" i="25"/>
  <c r="L129" i="25"/>
  <c r="W127" i="25"/>
  <c r="X127" i="25" s="1"/>
  <c r="Y127" i="25" s="1"/>
  <c r="W126" i="25"/>
  <c r="X126" i="25" s="1"/>
  <c r="Y126" i="25" s="1"/>
  <c r="Z126" i="25" s="1"/>
  <c r="AA126" i="25" s="1"/>
  <c r="AB126" i="25" s="1"/>
  <c r="AC126" i="25" s="1"/>
  <c r="AD126" i="25" s="1"/>
  <c r="AE126" i="25" s="1"/>
  <c r="AF126" i="25" s="1"/>
  <c r="AG126" i="25" s="1"/>
  <c r="AH126" i="25" s="1"/>
  <c r="AI126" i="25" s="1"/>
  <c r="AJ126" i="25" s="1"/>
  <c r="AK126" i="25" s="1"/>
  <c r="AL126" i="25" s="1"/>
  <c r="AM126" i="25" s="1"/>
  <c r="AN126" i="25" s="1"/>
  <c r="AO126" i="25" s="1"/>
  <c r="AP126" i="25" s="1"/>
  <c r="AQ126" i="25" s="1"/>
  <c r="AR126" i="25" s="1"/>
  <c r="AS126" i="25" s="1"/>
  <c r="AT126" i="25" s="1"/>
  <c r="AU126" i="25" s="1"/>
  <c r="AV126" i="25" s="1"/>
  <c r="AW126" i="25" s="1"/>
  <c r="AX126" i="25" s="1"/>
  <c r="AY126" i="25" s="1"/>
  <c r="AZ126" i="25" s="1"/>
  <c r="BA126" i="25" s="1"/>
  <c r="BB126" i="25" s="1"/>
  <c r="BC126" i="25" s="1"/>
  <c r="BD126" i="25" s="1"/>
  <c r="BE126" i="25" s="1"/>
  <c r="BF126" i="25" s="1"/>
  <c r="BG126" i="25" s="1"/>
  <c r="BH126" i="25" s="1"/>
  <c r="BI126" i="25" s="1"/>
  <c r="BJ126" i="25" s="1"/>
  <c r="BK126" i="25" s="1"/>
  <c r="BL126" i="25" s="1"/>
  <c r="BM126" i="25" s="1"/>
  <c r="BN126" i="25" s="1"/>
  <c r="BO126" i="25" s="1"/>
  <c r="BP126" i="25" s="1"/>
  <c r="BQ126" i="25" s="1"/>
  <c r="BR126" i="25" s="1"/>
  <c r="BS126" i="25" s="1"/>
  <c r="BT126" i="25" s="1"/>
  <c r="BU126" i="25" s="1"/>
  <c r="BV126" i="25" s="1"/>
  <c r="BW126" i="25" s="1"/>
  <c r="BX126" i="25" s="1"/>
  <c r="BY126" i="25" s="1"/>
  <c r="BZ126" i="25" s="1"/>
  <c r="CA126" i="25" s="1"/>
  <c r="CB126" i="25" s="1"/>
  <c r="CC126" i="25" s="1"/>
  <c r="CD126" i="25" s="1"/>
  <c r="CE126" i="25" s="1"/>
  <c r="CF126" i="25" s="1"/>
  <c r="CG126" i="25" s="1"/>
  <c r="CH126" i="25" s="1"/>
  <c r="CI126" i="25" s="1"/>
  <c r="CJ126" i="25" s="1"/>
  <c r="CK126" i="25" s="1"/>
  <c r="CL126" i="25" s="1"/>
  <c r="CM126" i="25" s="1"/>
  <c r="CN126" i="25" s="1"/>
  <c r="CO126" i="25" s="1"/>
  <c r="CP126" i="25" s="1"/>
  <c r="V125" i="25"/>
  <c r="W124" i="25"/>
  <c r="X124" i="25" s="1"/>
  <c r="Y124" i="25" s="1"/>
  <c r="Q127" i="25"/>
  <c r="R127" i="25" s="1"/>
  <c r="S127" i="25" s="1"/>
  <c r="T127" i="25" s="1"/>
  <c r="Q126" i="25"/>
  <c r="R126" i="25" s="1"/>
  <c r="S126" i="25" s="1"/>
  <c r="T126" i="25" s="1"/>
  <c r="Q125" i="25"/>
  <c r="R125" i="25" s="1"/>
  <c r="S125" i="25" s="1"/>
  <c r="T125" i="25" s="1"/>
  <c r="Q124" i="25"/>
  <c r="R124" i="25" s="1"/>
  <c r="S124" i="25" s="1"/>
  <c r="T124" i="25" s="1"/>
  <c r="M127" i="25"/>
  <c r="N127" i="25" s="1"/>
  <c r="O127" i="25" s="1"/>
  <c r="M126" i="25"/>
  <c r="N126" i="25" s="1"/>
  <c r="O126" i="25" s="1"/>
  <c r="M125" i="25"/>
  <c r="M124" i="25"/>
  <c r="N124" i="25" s="1"/>
  <c r="O124" i="25" s="1"/>
  <c r="U123" i="25"/>
  <c r="P123" i="25"/>
  <c r="M123" i="25"/>
  <c r="N123" i="25" s="1"/>
  <c r="O123" i="25" s="1"/>
  <c r="U122" i="25"/>
  <c r="V122" i="25" s="1"/>
  <c r="W122" i="25" s="1"/>
  <c r="X122" i="25" s="1"/>
  <c r="Y122" i="25" s="1"/>
  <c r="Z122" i="25" s="1"/>
  <c r="AA122" i="25" s="1"/>
  <c r="AB122" i="25" s="1"/>
  <c r="AC122" i="25" s="1"/>
  <c r="AD122" i="25" s="1"/>
  <c r="AE122" i="25" s="1"/>
  <c r="AF122" i="25" s="1"/>
  <c r="AG122" i="25" s="1"/>
  <c r="AH122" i="25" s="1"/>
  <c r="AI122" i="25" s="1"/>
  <c r="AJ122" i="25" s="1"/>
  <c r="AK122" i="25" s="1"/>
  <c r="AL122" i="25" s="1"/>
  <c r="AM122" i="25" s="1"/>
  <c r="AN122" i="25" s="1"/>
  <c r="AO122" i="25" s="1"/>
  <c r="AP122" i="25" s="1"/>
  <c r="AQ122" i="25" s="1"/>
  <c r="AR122" i="25" s="1"/>
  <c r="AS122" i="25" s="1"/>
  <c r="AT122" i="25" s="1"/>
  <c r="AU122" i="25" s="1"/>
  <c r="AV122" i="25" s="1"/>
  <c r="AW122" i="25" s="1"/>
  <c r="AX122" i="25" s="1"/>
  <c r="AY122" i="25" s="1"/>
  <c r="AZ122" i="25" s="1"/>
  <c r="BA122" i="25" s="1"/>
  <c r="BB122" i="25" s="1"/>
  <c r="BC122" i="25" s="1"/>
  <c r="BD122" i="25" s="1"/>
  <c r="BE122" i="25" s="1"/>
  <c r="BF122" i="25" s="1"/>
  <c r="BG122" i="25" s="1"/>
  <c r="BH122" i="25" s="1"/>
  <c r="BI122" i="25" s="1"/>
  <c r="BJ122" i="25" s="1"/>
  <c r="BK122" i="25" s="1"/>
  <c r="BL122" i="25" s="1"/>
  <c r="BM122" i="25" s="1"/>
  <c r="BN122" i="25" s="1"/>
  <c r="BO122" i="25" s="1"/>
  <c r="BP122" i="25" s="1"/>
  <c r="BQ122" i="25" s="1"/>
  <c r="BR122" i="25" s="1"/>
  <c r="BS122" i="25" s="1"/>
  <c r="BT122" i="25" s="1"/>
  <c r="BU122" i="25" s="1"/>
  <c r="BV122" i="25" s="1"/>
  <c r="BW122" i="25" s="1"/>
  <c r="BX122" i="25" s="1"/>
  <c r="BY122" i="25" s="1"/>
  <c r="BZ122" i="25" s="1"/>
  <c r="CA122" i="25" s="1"/>
  <c r="CB122" i="25" s="1"/>
  <c r="CC122" i="25" s="1"/>
  <c r="CD122" i="25" s="1"/>
  <c r="CE122" i="25" s="1"/>
  <c r="CF122" i="25" s="1"/>
  <c r="CG122" i="25" s="1"/>
  <c r="CH122" i="25" s="1"/>
  <c r="CI122" i="25" s="1"/>
  <c r="CJ122" i="25" s="1"/>
  <c r="CK122" i="25" s="1"/>
  <c r="CL122" i="25" s="1"/>
  <c r="CM122" i="25" s="1"/>
  <c r="CN122" i="25" s="1"/>
  <c r="CO122" i="25" s="1"/>
  <c r="CP122" i="25" s="1"/>
  <c r="P122" i="25"/>
  <c r="Q122" i="25" s="1"/>
  <c r="R122" i="25" s="1"/>
  <c r="S122" i="25" s="1"/>
  <c r="T122" i="25" s="1"/>
  <c r="L122" i="25"/>
  <c r="M122" i="25" s="1"/>
  <c r="N122" i="25" s="1"/>
  <c r="O122" i="25" s="1"/>
  <c r="Q121" i="25"/>
  <c r="R121" i="25" s="1"/>
  <c r="S121" i="25" s="1"/>
  <c r="T121" i="25" s="1"/>
  <c r="M121" i="25"/>
  <c r="N121" i="25" s="1"/>
  <c r="O121" i="25" s="1"/>
  <c r="U120" i="25"/>
  <c r="W120" i="25" s="1"/>
  <c r="X120" i="25" s="1"/>
  <c r="Y120" i="25" s="1"/>
  <c r="Z120" i="25" s="1"/>
  <c r="AA120" i="25" s="1"/>
  <c r="AB120" i="25" s="1"/>
  <c r="AC120" i="25" s="1"/>
  <c r="AD120" i="25" s="1"/>
  <c r="AE120" i="25" s="1"/>
  <c r="AF120" i="25" s="1"/>
  <c r="AG120" i="25" s="1"/>
  <c r="AH120" i="25" s="1"/>
  <c r="AI120" i="25" s="1"/>
  <c r="AJ120" i="25" s="1"/>
  <c r="AK120" i="25" s="1"/>
  <c r="AL120" i="25" s="1"/>
  <c r="AM120" i="25" s="1"/>
  <c r="AN120" i="25" s="1"/>
  <c r="AO120" i="25" s="1"/>
  <c r="AP120" i="25" s="1"/>
  <c r="AQ120" i="25" s="1"/>
  <c r="AR120" i="25" s="1"/>
  <c r="AS120" i="25" s="1"/>
  <c r="AT120" i="25" s="1"/>
  <c r="AU120" i="25" s="1"/>
  <c r="AV120" i="25" s="1"/>
  <c r="AW120" i="25" s="1"/>
  <c r="AX120" i="25" s="1"/>
  <c r="AY120" i="25" s="1"/>
  <c r="AZ120" i="25" s="1"/>
  <c r="BA120" i="25" s="1"/>
  <c r="BB120" i="25" s="1"/>
  <c r="BC120" i="25" s="1"/>
  <c r="BD120" i="25" s="1"/>
  <c r="BE120" i="25" s="1"/>
  <c r="BF120" i="25" s="1"/>
  <c r="BG120" i="25" s="1"/>
  <c r="BH120" i="25" s="1"/>
  <c r="BI120" i="25" s="1"/>
  <c r="BJ120" i="25" s="1"/>
  <c r="BK120" i="25" s="1"/>
  <c r="BL120" i="25" s="1"/>
  <c r="BM120" i="25" s="1"/>
  <c r="BN120" i="25" s="1"/>
  <c r="BO120" i="25" s="1"/>
  <c r="BP120" i="25" s="1"/>
  <c r="BQ120" i="25" s="1"/>
  <c r="BR120" i="25" s="1"/>
  <c r="BS120" i="25" s="1"/>
  <c r="BT120" i="25" s="1"/>
  <c r="BU120" i="25" s="1"/>
  <c r="BV120" i="25" s="1"/>
  <c r="BW120" i="25" s="1"/>
  <c r="BX120" i="25" s="1"/>
  <c r="BY120" i="25" s="1"/>
  <c r="BZ120" i="25" s="1"/>
  <c r="CA120" i="25" s="1"/>
  <c r="CB120" i="25" s="1"/>
  <c r="CC120" i="25" s="1"/>
  <c r="CD120" i="25" s="1"/>
  <c r="CE120" i="25" s="1"/>
  <c r="CF120" i="25" s="1"/>
  <c r="CG120" i="25" s="1"/>
  <c r="CH120" i="25" s="1"/>
  <c r="CI120" i="25" s="1"/>
  <c r="CJ120" i="25" s="1"/>
  <c r="CK120" i="25" s="1"/>
  <c r="CL120" i="25" s="1"/>
  <c r="CM120" i="25" s="1"/>
  <c r="CN120" i="25" s="1"/>
  <c r="CO120" i="25" s="1"/>
  <c r="CP120" i="25" s="1"/>
  <c r="P120" i="25"/>
  <c r="Q120" i="25" s="1"/>
  <c r="R120" i="25" s="1"/>
  <c r="S120" i="25" s="1"/>
  <c r="T120" i="25" s="1"/>
  <c r="L120" i="25"/>
  <c r="M120" i="25" s="1"/>
  <c r="N120" i="25" s="1"/>
  <c r="O120" i="25" s="1"/>
  <c r="V121" i="25"/>
  <c r="W121" i="25" s="1"/>
  <c r="X121" i="25" s="1"/>
  <c r="Y121" i="25" s="1"/>
  <c r="Z121" i="25" s="1"/>
  <c r="AA121" i="25" s="1"/>
  <c r="AB121" i="25" s="1"/>
  <c r="AC121" i="25" s="1"/>
  <c r="AD121" i="25" s="1"/>
  <c r="AE121" i="25" s="1"/>
  <c r="AF121" i="25" s="1"/>
  <c r="AG121" i="25" s="1"/>
  <c r="AH121" i="25" s="1"/>
  <c r="AI121" i="25" s="1"/>
  <c r="AJ121" i="25" s="1"/>
  <c r="AK121" i="25" s="1"/>
  <c r="AL121" i="25" s="1"/>
  <c r="AM121" i="25" s="1"/>
  <c r="AN121" i="25" s="1"/>
  <c r="AO121" i="25" s="1"/>
  <c r="AP121" i="25" s="1"/>
  <c r="AQ121" i="25" s="1"/>
  <c r="AR121" i="25" s="1"/>
  <c r="AS121" i="25" s="1"/>
  <c r="AT121" i="25" s="1"/>
  <c r="AU121" i="25" s="1"/>
  <c r="AV121" i="25" s="1"/>
  <c r="AW121" i="25" s="1"/>
  <c r="AX121" i="25" s="1"/>
  <c r="AY121" i="25" s="1"/>
  <c r="AZ121" i="25" s="1"/>
  <c r="BA121" i="25" s="1"/>
  <c r="BB121" i="25" s="1"/>
  <c r="BC121" i="25" s="1"/>
  <c r="BD121" i="25" s="1"/>
  <c r="BE121" i="25" s="1"/>
  <c r="BF121" i="25" s="1"/>
  <c r="BG121" i="25" s="1"/>
  <c r="BH121" i="25" s="1"/>
  <c r="BI121" i="25" s="1"/>
  <c r="BJ121" i="25" s="1"/>
  <c r="BK121" i="25" s="1"/>
  <c r="BL121" i="25" s="1"/>
  <c r="BM121" i="25" s="1"/>
  <c r="BN121" i="25" s="1"/>
  <c r="BO121" i="25" s="1"/>
  <c r="BP121" i="25" s="1"/>
  <c r="BQ121" i="25" s="1"/>
  <c r="BR121" i="25" s="1"/>
  <c r="BS121" i="25" s="1"/>
  <c r="BT121" i="25" s="1"/>
  <c r="BU121" i="25" s="1"/>
  <c r="BV121" i="25" s="1"/>
  <c r="BW121" i="25" s="1"/>
  <c r="BX121" i="25" s="1"/>
  <c r="BY121" i="25" s="1"/>
  <c r="BZ121" i="25" s="1"/>
  <c r="CA121" i="25" s="1"/>
  <c r="CB121" i="25" s="1"/>
  <c r="CC121" i="25" s="1"/>
  <c r="CD121" i="25" s="1"/>
  <c r="CE121" i="25" s="1"/>
  <c r="CF121" i="25" s="1"/>
  <c r="CG121" i="25" s="1"/>
  <c r="CH121" i="25" s="1"/>
  <c r="CI121" i="25" s="1"/>
  <c r="CJ121" i="25" s="1"/>
  <c r="CK121" i="25" s="1"/>
  <c r="CL121" i="25" s="1"/>
  <c r="CM121" i="25" s="1"/>
  <c r="CN121" i="25" s="1"/>
  <c r="CO121" i="25" s="1"/>
  <c r="CP121" i="25" s="1"/>
  <c r="V154" i="25"/>
  <c r="AA127" i="25"/>
  <c r="AB127" i="25" s="1"/>
  <c r="AC127" i="25" s="1"/>
  <c r="AD127" i="25" s="1"/>
  <c r="AE127" i="25" s="1"/>
  <c r="AF127" i="25" s="1"/>
  <c r="AG127" i="25" s="1"/>
  <c r="AH127" i="25" s="1"/>
  <c r="AI127" i="25" s="1"/>
  <c r="AJ127" i="25" s="1"/>
  <c r="AK127" i="25" s="1"/>
  <c r="AL127" i="25" s="1"/>
  <c r="AM127" i="25" s="1"/>
  <c r="AN127" i="25" s="1"/>
  <c r="AO127" i="25" s="1"/>
  <c r="AP127" i="25" s="1"/>
  <c r="AQ127" i="25" s="1"/>
  <c r="AR127" i="25" s="1"/>
  <c r="AS127" i="25" s="1"/>
  <c r="AT127" i="25" s="1"/>
  <c r="AU127" i="25" s="1"/>
  <c r="AV127" i="25" s="1"/>
  <c r="AW127" i="25" s="1"/>
  <c r="AX127" i="25" s="1"/>
  <c r="AY127" i="25" s="1"/>
  <c r="AZ127" i="25" s="1"/>
  <c r="BA127" i="25" s="1"/>
  <c r="BB127" i="25" s="1"/>
  <c r="BC127" i="25" s="1"/>
  <c r="BD127" i="25" s="1"/>
  <c r="BE127" i="25" s="1"/>
  <c r="BF127" i="25" s="1"/>
  <c r="BG127" i="25" s="1"/>
  <c r="BH127" i="25" s="1"/>
  <c r="BI127" i="25" s="1"/>
  <c r="BJ127" i="25" s="1"/>
  <c r="BK127" i="25" s="1"/>
  <c r="BL127" i="25" s="1"/>
  <c r="BM127" i="25" s="1"/>
  <c r="BN127" i="25" s="1"/>
  <c r="BO127" i="25" s="1"/>
  <c r="BP127" i="25" s="1"/>
  <c r="BQ127" i="25" s="1"/>
  <c r="BR127" i="25" s="1"/>
  <c r="BS127" i="25" s="1"/>
  <c r="BT127" i="25" s="1"/>
  <c r="BU127" i="25" s="1"/>
  <c r="BV127" i="25" s="1"/>
  <c r="BW127" i="25" s="1"/>
  <c r="BX127" i="25" s="1"/>
  <c r="BY127" i="25" s="1"/>
  <c r="BZ127" i="25" s="1"/>
  <c r="CA127" i="25" s="1"/>
  <c r="CB127" i="25" s="1"/>
  <c r="CC127" i="25" s="1"/>
  <c r="CD127" i="25" s="1"/>
  <c r="CE127" i="25" s="1"/>
  <c r="CF127" i="25" s="1"/>
  <c r="CG127" i="25" s="1"/>
  <c r="CH127" i="25" s="1"/>
  <c r="CI127" i="25" s="1"/>
  <c r="CJ127" i="25" s="1"/>
  <c r="CK127" i="25" s="1"/>
  <c r="CL127" i="25" s="1"/>
  <c r="CM127" i="25" s="1"/>
  <c r="CN127" i="25" s="1"/>
  <c r="CO127" i="25" s="1"/>
  <c r="CP127" i="25" s="1"/>
  <c r="AA124" i="25"/>
  <c r="AB124" i="25" s="1"/>
  <c r="AC124" i="25" s="1"/>
  <c r="AD124" i="25" s="1"/>
  <c r="AE124" i="25" s="1"/>
  <c r="AF124" i="25" s="1"/>
  <c r="AG124" i="25" s="1"/>
  <c r="AH124" i="25" s="1"/>
  <c r="AI124" i="25" s="1"/>
  <c r="AJ124" i="25" s="1"/>
  <c r="AK124" i="25" s="1"/>
  <c r="AL124" i="25" s="1"/>
  <c r="AM124" i="25" s="1"/>
  <c r="AN124" i="25" s="1"/>
  <c r="AO124" i="25" s="1"/>
  <c r="AP124" i="25" s="1"/>
  <c r="AQ124" i="25" s="1"/>
  <c r="AR124" i="25" s="1"/>
  <c r="AS124" i="25" s="1"/>
  <c r="AT124" i="25" s="1"/>
  <c r="AU124" i="25" s="1"/>
  <c r="AV124" i="25" s="1"/>
  <c r="AW124" i="25" s="1"/>
  <c r="AX124" i="25" s="1"/>
  <c r="AY124" i="25" s="1"/>
  <c r="AZ124" i="25" s="1"/>
  <c r="BA124" i="25" s="1"/>
  <c r="BB124" i="25" s="1"/>
  <c r="BC124" i="25" s="1"/>
  <c r="BD124" i="25" s="1"/>
  <c r="BE124" i="25" s="1"/>
  <c r="BF124" i="25" s="1"/>
  <c r="BG124" i="25" s="1"/>
  <c r="BH124" i="25" s="1"/>
  <c r="BI124" i="25" s="1"/>
  <c r="BJ124" i="25" s="1"/>
  <c r="BK124" i="25" s="1"/>
  <c r="BL124" i="25" s="1"/>
  <c r="BM124" i="25" s="1"/>
  <c r="BN124" i="25" s="1"/>
  <c r="BO124" i="25" s="1"/>
  <c r="BP124" i="25" s="1"/>
  <c r="BQ124" i="25" s="1"/>
  <c r="BR124" i="25" s="1"/>
  <c r="BS124" i="25" s="1"/>
  <c r="BT124" i="25" s="1"/>
  <c r="BU124" i="25" s="1"/>
  <c r="BV124" i="25" s="1"/>
  <c r="BW124" i="25" s="1"/>
  <c r="BX124" i="25" s="1"/>
  <c r="BY124" i="25" s="1"/>
  <c r="BZ124" i="25" s="1"/>
  <c r="CA124" i="25" s="1"/>
  <c r="CB124" i="25" s="1"/>
  <c r="CC124" i="25" s="1"/>
  <c r="CD124" i="25" s="1"/>
  <c r="CE124" i="25" s="1"/>
  <c r="CF124" i="25" s="1"/>
  <c r="CG124" i="25" s="1"/>
  <c r="CH124" i="25" s="1"/>
  <c r="CI124" i="25" s="1"/>
  <c r="CJ124" i="25" s="1"/>
  <c r="CK124" i="25" s="1"/>
  <c r="CL124" i="25" s="1"/>
  <c r="CM124" i="25" s="1"/>
  <c r="CN124" i="25" s="1"/>
  <c r="CO124" i="25" s="1"/>
  <c r="CP124" i="25" s="1"/>
  <c r="AA118" i="25"/>
  <c r="AB118" i="25" s="1"/>
  <c r="AC118" i="25" s="1"/>
  <c r="AD118" i="25" s="1"/>
  <c r="AE118" i="25" s="1"/>
  <c r="AF118" i="25" s="1"/>
  <c r="AG118" i="25" s="1"/>
  <c r="AH118" i="25" s="1"/>
  <c r="AI118" i="25" s="1"/>
  <c r="AJ118" i="25" s="1"/>
  <c r="AK118" i="25" s="1"/>
  <c r="AL118" i="25" s="1"/>
  <c r="AM118" i="25" s="1"/>
  <c r="AN118" i="25" s="1"/>
  <c r="AO118" i="25" s="1"/>
  <c r="AP118" i="25" s="1"/>
  <c r="AQ118" i="25" s="1"/>
  <c r="AR118" i="25" s="1"/>
  <c r="AS118" i="25" s="1"/>
  <c r="AT118" i="25" s="1"/>
  <c r="AU118" i="25" s="1"/>
  <c r="AV118" i="25" s="1"/>
  <c r="AW118" i="25" s="1"/>
  <c r="AX118" i="25" s="1"/>
  <c r="AY118" i="25" s="1"/>
  <c r="AZ118" i="25" s="1"/>
  <c r="BA118" i="25" s="1"/>
  <c r="BB118" i="25" s="1"/>
  <c r="BC118" i="25" s="1"/>
  <c r="BD118" i="25" s="1"/>
  <c r="BE118" i="25" s="1"/>
  <c r="BF118" i="25" s="1"/>
  <c r="BG118" i="25" s="1"/>
  <c r="BH118" i="25" s="1"/>
  <c r="BI118" i="25" s="1"/>
  <c r="BJ118" i="25" s="1"/>
  <c r="BK118" i="25" s="1"/>
  <c r="BL118" i="25" s="1"/>
  <c r="BM118" i="25" s="1"/>
  <c r="BN118" i="25" s="1"/>
  <c r="BO118" i="25" s="1"/>
  <c r="BP118" i="25" s="1"/>
  <c r="BQ118" i="25" s="1"/>
  <c r="BR118" i="25" s="1"/>
  <c r="BS118" i="25" s="1"/>
  <c r="BT118" i="25" s="1"/>
  <c r="BU118" i="25" s="1"/>
  <c r="BV118" i="25" s="1"/>
  <c r="BW118" i="25" s="1"/>
  <c r="BX118" i="25" s="1"/>
  <c r="BY118" i="25" s="1"/>
  <c r="BZ118" i="25" s="1"/>
  <c r="CA118" i="25" s="1"/>
  <c r="CB118" i="25" s="1"/>
  <c r="CC118" i="25" s="1"/>
  <c r="CD118" i="25" s="1"/>
  <c r="CE118" i="25" s="1"/>
  <c r="CF118" i="25" s="1"/>
  <c r="CG118" i="25" s="1"/>
  <c r="CH118" i="25" s="1"/>
  <c r="CI118" i="25" s="1"/>
  <c r="CJ118" i="25" s="1"/>
  <c r="CK118" i="25" s="1"/>
  <c r="CL118" i="25" s="1"/>
  <c r="CM118" i="25" s="1"/>
  <c r="CN118" i="25" s="1"/>
  <c r="CO118" i="25" s="1"/>
  <c r="CP118" i="25" s="1"/>
  <c r="V123" i="25"/>
  <c r="Q119" i="25"/>
  <c r="Q118" i="25"/>
  <c r="R118" i="25" s="1"/>
  <c r="S118" i="25" s="1"/>
  <c r="T118" i="25" s="1"/>
  <c r="M119" i="25"/>
  <c r="M118" i="25"/>
  <c r="N118" i="25" s="1"/>
  <c r="N129" i="25" s="1"/>
  <c r="P115" i="25"/>
  <c r="Q110" i="25" s="1"/>
  <c r="Q115" i="25" s="1"/>
  <c r="R110" i="25" s="1"/>
  <c r="R115" i="25" s="1"/>
  <c r="S110" i="25" s="1"/>
  <c r="S115" i="25" s="1"/>
  <c r="T110" i="25" s="1"/>
  <c r="T115" i="25" s="1"/>
  <c r="K115" i="25"/>
  <c r="L110" i="25" s="1"/>
  <c r="L115" i="25" s="1"/>
  <c r="M110" i="25" s="1"/>
  <c r="M115" i="25" s="1"/>
  <c r="N110" i="25" s="1"/>
  <c r="N115" i="25" s="1"/>
  <c r="O110" i="25" s="1"/>
  <c r="O115" i="25" s="1"/>
  <c r="J115" i="25"/>
  <c r="I115" i="25"/>
  <c r="H115" i="25"/>
  <c r="G115" i="25"/>
  <c r="F108" i="25"/>
  <c r="K102" i="25"/>
  <c r="K101" i="25"/>
  <c r="K100" i="25"/>
  <c r="K99" i="25"/>
  <c r="W103" i="25"/>
  <c r="L103" i="25"/>
  <c r="M103" i="25" s="1"/>
  <c r="N103" i="25" s="1"/>
  <c r="O103" i="25" s="1"/>
  <c r="P103" i="25" s="1"/>
  <c r="Q103" i="25" s="1"/>
  <c r="R103" i="25" s="1"/>
  <c r="S103" i="25" s="1"/>
  <c r="T103" i="25" s="1"/>
  <c r="U103" i="25" s="1"/>
  <c r="V103" i="25" s="1"/>
  <c r="W102" i="25"/>
  <c r="V102" i="25"/>
  <c r="U102" i="25"/>
  <c r="T102" i="25"/>
  <c r="S102" i="25"/>
  <c r="R102" i="25"/>
  <c r="Q102" i="25"/>
  <c r="P102" i="25"/>
  <c r="O102" i="25"/>
  <c r="N102" i="25"/>
  <c r="M102" i="25"/>
  <c r="L102" i="25"/>
  <c r="W101" i="25"/>
  <c r="V101" i="25"/>
  <c r="U101" i="25"/>
  <c r="T101" i="25"/>
  <c r="S101" i="25"/>
  <c r="R101" i="25"/>
  <c r="Q101" i="25"/>
  <c r="P101" i="25"/>
  <c r="O101" i="25"/>
  <c r="N101" i="25"/>
  <c r="M101" i="25"/>
  <c r="L101" i="25"/>
  <c r="W100" i="25"/>
  <c r="V100" i="25"/>
  <c r="U100" i="25"/>
  <c r="T100" i="25"/>
  <c r="S100" i="25"/>
  <c r="R100" i="25"/>
  <c r="Q100" i="25"/>
  <c r="P100" i="25"/>
  <c r="O100" i="25"/>
  <c r="N100" i="25"/>
  <c r="M100" i="25"/>
  <c r="L100" i="25"/>
  <c r="W99" i="25"/>
  <c r="V99" i="25"/>
  <c r="U99" i="25"/>
  <c r="T99" i="25"/>
  <c r="S99" i="25"/>
  <c r="R99" i="25"/>
  <c r="Q99" i="25"/>
  <c r="P99" i="25"/>
  <c r="O99" i="25"/>
  <c r="N99" i="25"/>
  <c r="M99" i="25"/>
  <c r="L99" i="25"/>
  <c r="X98" i="25"/>
  <c r="W98" i="25"/>
  <c r="V98" i="25"/>
  <c r="U98" i="25"/>
  <c r="T98" i="25"/>
  <c r="S98" i="25"/>
  <c r="W97" i="25"/>
  <c r="V97" i="25"/>
  <c r="U97" i="25"/>
  <c r="T97" i="25"/>
  <c r="W96" i="25"/>
  <c r="V96" i="25"/>
  <c r="U96" i="25"/>
  <c r="T96" i="25"/>
  <c r="W95" i="25"/>
  <c r="V95" i="25"/>
  <c r="S96" i="25"/>
  <c r="R96" i="25"/>
  <c r="Q96" i="25"/>
  <c r="P96" i="25"/>
  <c r="O96" i="25"/>
  <c r="N96" i="25"/>
  <c r="M96" i="25"/>
  <c r="L96" i="25"/>
  <c r="K96" i="25"/>
  <c r="S95" i="25"/>
  <c r="R95" i="25"/>
  <c r="Q95" i="25"/>
  <c r="P95" i="25"/>
  <c r="O95" i="25"/>
  <c r="N95" i="25"/>
  <c r="M95" i="25"/>
  <c r="L95" i="25"/>
  <c r="K95" i="25"/>
  <c r="W91" i="25"/>
  <c r="V91" i="25"/>
  <c r="U91" i="25"/>
  <c r="S91" i="25"/>
  <c r="R91" i="25"/>
  <c r="Q91" i="25"/>
  <c r="P91" i="25"/>
  <c r="O91" i="25"/>
  <c r="N91" i="25"/>
  <c r="M91" i="25"/>
  <c r="L91" i="25"/>
  <c r="K91" i="25"/>
  <c r="K105" i="25" s="1"/>
  <c r="X83" i="25"/>
  <c r="Y84" i="25"/>
  <c r="R78" i="25"/>
  <c r="Q78" i="25"/>
  <c r="P78" i="25"/>
  <c r="O78" i="25"/>
  <c r="N78" i="25"/>
  <c r="M78" i="25"/>
  <c r="L78" i="25"/>
  <c r="K78" i="25"/>
  <c r="CP77" i="25"/>
  <c r="AW77" i="25"/>
  <c r="X77" i="25"/>
  <c r="W77" i="25"/>
  <c r="V77" i="25"/>
  <c r="U77" i="25"/>
  <c r="T77" i="25"/>
  <c r="S77" i="25"/>
  <c r="CD76" i="25"/>
  <c r="CG74" i="25"/>
  <c r="BV74" i="25"/>
  <c r="BS74" i="25"/>
  <c r="V74" i="25"/>
  <c r="V73" i="25"/>
  <c r="T73" i="25"/>
  <c r="S73" i="25"/>
  <c r="T72" i="25"/>
  <c r="AW71" i="25"/>
  <c r="X71" i="25"/>
  <c r="W71" i="25"/>
  <c r="V71" i="25"/>
  <c r="U71" i="25"/>
  <c r="T71" i="25"/>
  <c r="S71" i="25"/>
  <c r="AW70" i="25"/>
  <c r="W70" i="25"/>
  <c r="V70" i="25"/>
  <c r="U70" i="25"/>
  <c r="T70" i="25"/>
  <c r="S70" i="25"/>
  <c r="AK69" i="25"/>
  <c r="E63" i="25"/>
  <c r="E62" i="25"/>
  <c r="W62" i="25"/>
  <c r="W76" i="25" s="1"/>
  <c r="V62" i="25"/>
  <c r="V76" i="25" s="1"/>
  <c r="L62" i="25"/>
  <c r="M62" i="25" s="1"/>
  <c r="N62" i="25" s="1"/>
  <c r="O62" i="25" s="1"/>
  <c r="P62" i="25" s="1"/>
  <c r="Q62" i="25" s="1"/>
  <c r="R62" i="25" s="1"/>
  <c r="S62" i="25" s="1"/>
  <c r="E60" i="25"/>
  <c r="E58" i="25"/>
  <c r="X54" i="25"/>
  <c r="CP63" i="25"/>
  <c r="AW63" i="25"/>
  <c r="Y63" i="25"/>
  <c r="Y90" i="25" s="1"/>
  <c r="Y77" i="25" s="1"/>
  <c r="CD62" i="25"/>
  <c r="CG60" i="25"/>
  <c r="BV60" i="25"/>
  <c r="BS60" i="25"/>
  <c r="AW57" i="25"/>
  <c r="Y57" i="25"/>
  <c r="AW56" i="25"/>
  <c r="AW83" i="25" s="1"/>
  <c r="AK55" i="25"/>
  <c r="AA54" i="25"/>
  <c r="AA20" i="25" s="1"/>
  <c r="AA29" i="3" s="1"/>
  <c r="Z54" i="25"/>
  <c r="Z20" i="25" s="1"/>
  <c r="Z29" i="3" s="1"/>
  <c r="Y54" i="25"/>
  <c r="Y20" i="25" s="1"/>
  <c r="Y29" i="3" s="1"/>
  <c r="W54" i="25"/>
  <c r="W68" i="25" s="1"/>
  <c r="U54" i="25"/>
  <c r="U68" i="25" s="1"/>
  <c r="T54" i="25"/>
  <c r="AE38" i="25"/>
  <c r="AF38" i="25" s="1"/>
  <c r="AG38" i="25" s="1"/>
  <c r="AH38" i="25" s="1"/>
  <c r="AI38" i="25" s="1"/>
  <c r="AJ38" i="25" s="1"/>
  <c r="AK38" i="25" s="1"/>
  <c r="AL38" i="25" s="1"/>
  <c r="AM38" i="25" s="1"/>
  <c r="AN38" i="25" s="1"/>
  <c r="AO38" i="25" s="1"/>
  <c r="AP38" i="25" s="1"/>
  <c r="AQ38" i="25" s="1"/>
  <c r="AR38" i="25" s="1"/>
  <c r="AS38" i="25" s="1"/>
  <c r="AT38" i="25" s="1"/>
  <c r="AU38" i="25" s="1"/>
  <c r="AV38" i="25" s="1"/>
  <c r="AW38" i="25" s="1"/>
  <c r="AX38" i="25" s="1"/>
  <c r="Y38" i="25"/>
  <c r="Z38" i="25" s="1"/>
  <c r="AA38" i="25" s="1"/>
  <c r="AB38" i="25" s="1"/>
  <c r="AC38" i="25" s="1"/>
  <c r="W24" i="25"/>
  <c r="V24" i="25"/>
  <c r="U24" i="25"/>
  <c r="T24" i="25"/>
  <c r="S24" i="25"/>
  <c r="R24" i="25"/>
  <c r="Q24" i="25"/>
  <c r="P24" i="25"/>
  <c r="O24" i="25"/>
  <c r="N24" i="25"/>
  <c r="M24" i="25"/>
  <c r="L24" i="25"/>
  <c r="K24" i="25"/>
  <c r="W23" i="25"/>
  <c r="V23" i="25"/>
  <c r="U23" i="25"/>
  <c r="T23" i="25"/>
  <c r="S23" i="25"/>
  <c r="R23" i="25"/>
  <c r="Q23" i="25"/>
  <c r="P23" i="25"/>
  <c r="O23" i="25"/>
  <c r="N23" i="25"/>
  <c r="M23" i="25"/>
  <c r="L23" i="25"/>
  <c r="K23" i="25"/>
  <c r="W20" i="25"/>
  <c r="V20" i="25"/>
  <c r="U20" i="25"/>
  <c r="T20" i="25"/>
  <c r="S20" i="25"/>
  <c r="R20" i="25"/>
  <c r="Q20" i="25"/>
  <c r="P20" i="25"/>
  <c r="O20" i="25"/>
  <c r="N20" i="25"/>
  <c r="M20" i="25"/>
  <c r="L20" i="25"/>
  <c r="K20" i="25"/>
  <c r="CQ19" i="25"/>
  <c r="W19" i="25"/>
  <c r="V19" i="25"/>
  <c r="U19" i="25"/>
  <c r="T19" i="25"/>
  <c r="S19" i="25"/>
  <c r="R19" i="25"/>
  <c r="Q19" i="25"/>
  <c r="P19" i="25"/>
  <c r="O19" i="25"/>
  <c r="N19" i="25"/>
  <c r="M19" i="25"/>
  <c r="L19" i="25"/>
  <c r="K19" i="25"/>
  <c r="F17" i="25"/>
  <c r="CP15" i="25"/>
  <c r="CO15" i="25"/>
  <c r="CN15" i="25"/>
  <c r="CM15" i="25"/>
  <c r="CL15" i="25"/>
  <c r="CK15" i="25"/>
  <c r="CJ15" i="25"/>
  <c r="CI15" i="25"/>
  <c r="CH15" i="25"/>
  <c r="CG15" i="25"/>
  <c r="CF15" i="25"/>
  <c r="CE15" i="25"/>
  <c r="CD15" i="25"/>
  <c r="CC15" i="25"/>
  <c r="CB15" i="25"/>
  <c r="CA15" i="25"/>
  <c r="BZ15" i="25"/>
  <c r="BY15" i="25"/>
  <c r="BX15" i="25"/>
  <c r="BW15" i="25"/>
  <c r="BV15" i="25"/>
  <c r="BU15" i="25"/>
  <c r="BT15" i="25"/>
  <c r="BS15" i="25"/>
  <c r="BR15" i="25"/>
  <c r="BQ15" i="25"/>
  <c r="BP15" i="25"/>
  <c r="BO15" i="25"/>
  <c r="BN15" i="25"/>
  <c r="BM15" i="25"/>
  <c r="BL15" i="25"/>
  <c r="BK15" i="25"/>
  <c r="BJ15" i="25"/>
  <c r="BI15" i="25"/>
  <c r="BH15" i="25"/>
  <c r="BG15" i="25"/>
  <c r="BF15" i="25"/>
  <c r="BE15" i="25"/>
  <c r="BD15" i="25"/>
  <c r="BC15" i="25"/>
  <c r="BB15" i="25"/>
  <c r="BA15" i="25"/>
  <c r="AZ15" i="25"/>
  <c r="AY15" i="25"/>
  <c r="AX15" i="25"/>
  <c r="AW15" i="25"/>
  <c r="AV15" i="25"/>
  <c r="AU15" i="25"/>
  <c r="AT15" i="25"/>
  <c r="AS15" i="25"/>
  <c r="AR15" i="25"/>
  <c r="AQ15" i="25"/>
  <c r="AP15" i="25"/>
  <c r="AO15" i="25"/>
  <c r="AN15" i="25"/>
  <c r="AM15" i="25"/>
  <c r="AL15" i="25"/>
  <c r="AK15" i="25"/>
  <c r="AJ15" i="25"/>
  <c r="AI15" i="25"/>
  <c r="AH15" i="25"/>
  <c r="AG15" i="25"/>
  <c r="AF15" i="25"/>
  <c r="AE15" i="25"/>
  <c r="AD15" i="25"/>
  <c r="AC15" i="25"/>
  <c r="AB15" i="25"/>
  <c r="AA15" i="25"/>
  <c r="Z15" i="25"/>
  <c r="Y15" i="25"/>
  <c r="X15" i="25"/>
  <c r="W15" i="25"/>
  <c r="V15" i="25"/>
  <c r="U15" i="25"/>
  <c r="T15" i="25"/>
  <c r="S15" i="25"/>
  <c r="R15" i="25"/>
  <c r="Q15" i="25"/>
  <c r="P15" i="25"/>
  <c r="O15" i="25"/>
  <c r="N15" i="25"/>
  <c r="M15" i="25"/>
  <c r="L15" i="25"/>
  <c r="K15" i="25"/>
  <c r="CP14" i="25"/>
  <c r="CO14" i="25"/>
  <c r="CN14" i="25"/>
  <c r="CM14" i="25"/>
  <c r="CL14" i="25"/>
  <c r="CK14" i="25"/>
  <c r="CJ14" i="25"/>
  <c r="CI14" i="25"/>
  <c r="CH14" i="25"/>
  <c r="CG14" i="25"/>
  <c r="CF14" i="25"/>
  <c r="CE14" i="25"/>
  <c r="CD14" i="25"/>
  <c r="CC14" i="25"/>
  <c r="CB14" i="25"/>
  <c r="CA14" i="25"/>
  <c r="BZ14" i="25"/>
  <c r="BY14" i="25"/>
  <c r="BX14" i="25"/>
  <c r="BW14" i="25"/>
  <c r="BV14" i="25"/>
  <c r="BU14" i="25"/>
  <c r="BT14" i="25"/>
  <c r="BS14" i="25"/>
  <c r="BR14" i="25"/>
  <c r="BQ14" i="25"/>
  <c r="BP14" i="25"/>
  <c r="BO14" i="25"/>
  <c r="BN14" i="25"/>
  <c r="BM14" i="25"/>
  <c r="BL14" i="25"/>
  <c r="BK14" i="25"/>
  <c r="BJ14" i="25"/>
  <c r="BI14" i="25"/>
  <c r="BH14" i="25"/>
  <c r="BG14" i="25"/>
  <c r="BF14" i="25"/>
  <c r="BE14" i="25"/>
  <c r="BD14" i="25"/>
  <c r="BC14" i="25"/>
  <c r="BB14" i="25"/>
  <c r="BA14" i="25"/>
  <c r="AZ14" i="25"/>
  <c r="AY14" i="25"/>
  <c r="AX14" i="25"/>
  <c r="AW14" i="25"/>
  <c r="AV14" i="25"/>
  <c r="AU14" i="25"/>
  <c r="AT14" i="25"/>
  <c r="AS14" i="25"/>
  <c r="AR14" i="25"/>
  <c r="AQ14" i="25"/>
  <c r="AP14" i="25"/>
  <c r="AO14" i="25"/>
  <c r="AN14" i="25"/>
  <c r="AM14" i="25"/>
  <c r="AL14" i="25"/>
  <c r="AK14" i="25"/>
  <c r="AJ14" i="25"/>
  <c r="AI14" i="25"/>
  <c r="AH14" i="25"/>
  <c r="AG14" i="25"/>
  <c r="AF14" i="25"/>
  <c r="AE14" i="25"/>
  <c r="AD14" i="25"/>
  <c r="AC14" i="25"/>
  <c r="AB14" i="25"/>
  <c r="AA14" i="25"/>
  <c r="Z14" i="25"/>
  <c r="Y14" i="25"/>
  <c r="X14" i="25"/>
  <c r="W14" i="25"/>
  <c r="V14" i="25"/>
  <c r="U14" i="25"/>
  <c r="T14" i="25"/>
  <c r="S14" i="25"/>
  <c r="R14" i="25"/>
  <c r="Q14" i="25"/>
  <c r="P14" i="25"/>
  <c r="O14" i="25"/>
  <c r="N14" i="25"/>
  <c r="M14" i="25"/>
  <c r="L14" i="25"/>
  <c r="K14" i="25"/>
  <c r="CP13" i="25"/>
  <c r="CO13" i="25"/>
  <c r="CN13" i="25"/>
  <c r="CM13" i="25"/>
  <c r="CL13" i="25"/>
  <c r="CK13" i="25"/>
  <c r="CJ13" i="25"/>
  <c r="CI13" i="25"/>
  <c r="CH13" i="25"/>
  <c r="CG13" i="25"/>
  <c r="CF13" i="25"/>
  <c r="CE13" i="25"/>
  <c r="CD13" i="25"/>
  <c r="CC13" i="25"/>
  <c r="CB13" i="25"/>
  <c r="CA13" i="25"/>
  <c r="BZ13" i="25"/>
  <c r="BY13" i="25"/>
  <c r="BX13" i="25"/>
  <c r="BW13" i="25"/>
  <c r="BV13" i="25"/>
  <c r="BU13" i="25"/>
  <c r="BT13" i="25"/>
  <c r="BS13" i="25"/>
  <c r="BR13" i="25"/>
  <c r="BQ13" i="25"/>
  <c r="BP13" i="25"/>
  <c r="BO13" i="25"/>
  <c r="BN13" i="25"/>
  <c r="BM13" i="25"/>
  <c r="BL13" i="25"/>
  <c r="BK13" i="25"/>
  <c r="BJ13" i="25"/>
  <c r="BI13" i="25"/>
  <c r="BH13" i="25"/>
  <c r="BG13" i="25"/>
  <c r="BF13" i="25"/>
  <c r="BE13" i="25"/>
  <c r="BD13" i="25"/>
  <c r="BC13" i="25"/>
  <c r="BB13" i="25"/>
  <c r="BA13" i="25"/>
  <c r="AZ13" i="25"/>
  <c r="AY13" i="25"/>
  <c r="AX13" i="25"/>
  <c r="AW13" i="25"/>
  <c r="AV13" i="25"/>
  <c r="AU13" i="25"/>
  <c r="AT13" i="25"/>
  <c r="AS13" i="25"/>
  <c r="AR13" i="25"/>
  <c r="AQ13" i="25"/>
  <c r="AP13" i="25"/>
  <c r="AO13" i="25"/>
  <c r="AN13" i="25"/>
  <c r="AM13" i="25"/>
  <c r="AL13" i="25"/>
  <c r="AK13" i="25"/>
  <c r="AJ13" i="25"/>
  <c r="AI13" i="25"/>
  <c r="AH13" i="25"/>
  <c r="AG13" i="25"/>
  <c r="AF13" i="25"/>
  <c r="AE13" i="25"/>
  <c r="AD13" i="25"/>
  <c r="AC13" i="25"/>
  <c r="AB13" i="25"/>
  <c r="AA13" i="25"/>
  <c r="Z13" i="25"/>
  <c r="Y13" i="25"/>
  <c r="X13" i="25"/>
  <c r="W13" i="25"/>
  <c r="V13" i="25"/>
  <c r="U13" i="25"/>
  <c r="T13" i="25"/>
  <c r="S13" i="25"/>
  <c r="R13" i="25"/>
  <c r="Q13" i="25"/>
  <c r="P13" i="25"/>
  <c r="O13" i="25"/>
  <c r="N13" i="25"/>
  <c r="M13" i="25"/>
  <c r="L13" i="25"/>
  <c r="K13" i="25"/>
  <c r="CP12" i="25"/>
  <c r="CO12" i="25"/>
  <c r="CN12" i="25"/>
  <c r="CM12" i="25"/>
  <c r="CL12" i="25"/>
  <c r="CK12" i="25"/>
  <c r="CJ12" i="25"/>
  <c r="CI12" i="25"/>
  <c r="CH12" i="25"/>
  <c r="CG12" i="25"/>
  <c r="CF12" i="25"/>
  <c r="CE12" i="25"/>
  <c r="CD12" i="25"/>
  <c r="CC12" i="25"/>
  <c r="CB12" i="25"/>
  <c r="CA12" i="25"/>
  <c r="BZ12" i="25"/>
  <c r="BY12" i="25"/>
  <c r="BX12" i="25"/>
  <c r="BW12" i="25"/>
  <c r="BV12" i="25"/>
  <c r="BU12" i="25"/>
  <c r="BT12" i="25"/>
  <c r="BS12" i="25"/>
  <c r="BR12" i="25"/>
  <c r="BQ12" i="25"/>
  <c r="BP12" i="25"/>
  <c r="BO12" i="25"/>
  <c r="BN12" i="25"/>
  <c r="BM12" i="25"/>
  <c r="BL12" i="25"/>
  <c r="BK12" i="25"/>
  <c r="BJ12" i="25"/>
  <c r="BI12" i="25"/>
  <c r="BH12" i="25"/>
  <c r="BG12" i="25"/>
  <c r="BF12" i="25"/>
  <c r="BE12" i="25"/>
  <c r="BD12" i="25"/>
  <c r="BC12" i="25"/>
  <c r="BB12" i="25"/>
  <c r="BA12" i="25"/>
  <c r="AZ12" i="25"/>
  <c r="AY12" i="25"/>
  <c r="AX12" i="25"/>
  <c r="AW12" i="25"/>
  <c r="AV12" i="25"/>
  <c r="AU12" i="25"/>
  <c r="AT12" i="25"/>
  <c r="AS12" i="25"/>
  <c r="AR12" i="25"/>
  <c r="AQ12" i="25"/>
  <c r="AP12" i="25"/>
  <c r="AO12" i="25"/>
  <c r="AN12" i="25"/>
  <c r="AM12" i="25"/>
  <c r="AL12" i="25"/>
  <c r="AK12" i="25"/>
  <c r="AJ12" i="25"/>
  <c r="AI12" i="25"/>
  <c r="AH12" i="25"/>
  <c r="AG12" i="25"/>
  <c r="AF12" i="25"/>
  <c r="AE12" i="25"/>
  <c r="AD12" i="25"/>
  <c r="AC12" i="25"/>
  <c r="AB12" i="25"/>
  <c r="AA12" i="25"/>
  <c r="Z12" i="25"/>
  <c r="Y12" i="25"/>
  <c r="X12" i="25"/>
  <c r="W12" i="25"/>
  <c r="V12" i="25"/>
  <c r="U12" i="25"/>
  <c r="T12" i="25"/>
  <c r="S12" i="25"/>
  <c r="R12" i="25"/>
  <c r="Q12" i="25"/>
  <c r="P12" i="25"/>
  <c r="O12" i="25"/>
  <c r="N12" i="25"/>
  <c r="M12" i="25"/>
  <c r="L12" i="25"/>
  <c r="K12" i="25"/>
  <c r="CP11" i="25"/>
  <c r="CO11" i="25"/>
  <c r="CN11" i="25"/>
  <c r="CM11" i="25"/>
  <c r="CL11" i="25"/>
  <c r="CK11" i="25"/>
  <c r="CJ11" i="25"/>
  <c r="CI11" i="25"/>
  <c r="CH11" i="25"/>
  <c r="CG11" i="25"/>
  <c r="CF11" i="25"/>
  <c r="CE11" i="25"/>
  <c r="CD11" i="25"/>
  <c r="CC11" i="25"/>
  <c r="CB11" i="25"/>
  <c r="CA11" i="25"/>
  <c r="BZ11" i="25"/>
  <c r="BY11" i="25"/>
  <c r="BX11" i="25"/>
  <c r="BW11" i="25"/>
  <c r="BV11" i="25"/>
  <c r="BU11" i="25"/>
  <c r="BT11" i="25"/>
  <c r="BS11" i="25"/>
  <c r="BR11" i="25"/>
  <c r="BQ11" i="25"/>
  <c r="BP11" i="25"/>
  <c r="BO11" i="25"/>
  <c r="BN11" i="25"/>
  <c r="BM11" i="25"/>
  <c r="BL11" i="25"/>
  <c r="BK11" i="25"/>
  <c r="BJ11" i="25"/>
  <c r="BI11" i="25"/>
  <c r="BH11" i="25"/>
  <c r="BG11" i="25"/>
  <c r="BF11" i="25"/>
  <c r="BE11" i="25"/>
  <c r="BD11" i="25"/>
  <c r="BC11" i="25"/>
  <c r="BB11" i="25"/>
  <c r="BA11" i="25"/>
  <c r="AZ11" i="25"/>
  <c r="AY11" i="25"/>
  <c r="AX11" i="25"/>
  <c r="AW11" i="25"/>
  <c r="AV11" i="25"/>
  <c r="AU11" i="25"/>
  <c r="AT11" i="25"/>
  <c r="AS11" i="25"/>
  <c r="AR11" i="25"/>
  <c r="AQ11" i="25"/>
  <c r="AP11" i="25"/>
  <c r="AO11" i="25"/>
  <c r="AN11" i="25"/>
  <c r="AM11" i="25"/>
  <c r="AL11" i="25"/>
  <c r="AK11" i="25"/>
  <c r="AJ11" i="25"/>
  <c r="AI11" i="25"/>
  <c r="AH11" i="25"/>
  <c r="AG11" i="25"/>
  <c r="AF11" i="25"/>
  <c r="AE11" i="25"/>
  <c r="AD11" i="25"/>
  <c r="AC11" i="25"/>
  <c r="AB11" i="25"/>
  <c r="AA11" i="25"/>
  <c r="Z11" i="25"/>
  <c r="Y11" i="25"/>
  <c r="X11" i="25"/>
  <c r="W11" i="25"/>
  <c r="V11" i="25"/>
  <c r="U11" i="25"/>
  <c r="T11" i="25"/>
  <c r="S11" i="25"/>
  <c r="R11" i="25"/>
  <c r="Q11" i="25"/>
  <c r="P11" i="25"/>
  <c r="O11" i="25"/>
  <c r="N11" i="25"/>
  <c r="M11" i="25"/>
  <c r="L11" i="25"/>
  <c r="K11" i="25"/>
  <c r="CP10" i="25"/>
  <c r="CO10" i="25"/>
  <c r="CN10" i="25"/>
  <c r="CM10" i="25"/>
  <c r="CL10" i="25"/>
  <c r="CK10" i="25"/>
  <c r="CJ10" i="25"/>
  <c r="CI10" i="25"/>
  <c r="CH10" i="25"/>
  <c r="CG10" i="25"/>
  <c r="CF10" i="25"/>
  <c r="CE10" i="25"/>
  <c r="CD10" i="25"/>
  <c r="CC10" i="25"/>
  <c r="CB10" i="25"/>
  <c r="CA10" i="25"/>
  <c r="BZ10" i="25"/>
  <c r="BY10" i="25"/>
  <c r="BX10" i="25"/>
  <c r="BW10" i="25"/>
  <c r="BV10" i="25"/>
  <c r="BU10" i="25"/>
  <c r="BT10" i="25"/>
  <c r="BS10" i="25"/>
  <c r="BR10" i="25"/>
  <c r="BQ10" i="25"/>
  <c r="BP10" i="25"/>
  <c r="BO10" i="25"/>
  <c r="BN10" i="25"/>
  <c r="BM10" i="25"/>
  <c r="BL10" i="25"/>
  <c r="BK10" i="25"/>
  <c r="BJ10" i="25"/>
  <c r="BI10" i="25"/>
  <c r="BH10" i="25"/>
  <c r="BG10" i="25"/>
  <c r="BF10" i="25"/>
  <c r="BE10" i="25"/>
  <c r="BD10" i="25"/>
  <c r="BC10" i="25"/>
  <c r="BB10" i="25"/>
  <c r="BA10" i="25"/>
  <c r="AZ10" i="25"/>
  <c r="AY10" i="25"/>
  <c r="AX10" i="25"/>
  <c r="AW10" i="25"/>
  <c r="AV10" i="25"/>
  <c r="AU10" i="25"/>
  <c r="AT10" i="25"/>
  <c r="AS10" i="25"/>
  <c r="AR10" i="25"/>
  <c r="AQ10" i="25"/>
  <c r="AP10" i="25"/>
  <c r="AO10" i="25"/>
  <c r="AN10" i="25"/>
  <c r="AM10" i="25"/>
  <c r="AL10" i="25"/>
  <c r="AK10" i="25"/>
  <c r="AJ10" i="25"/>
  <c r="AI10" i="25"/>
  <c r="AH10" i="25"/>
  <c r="AG10" i="25"/>
  <c r="AF10" i="25"/>
  <c r="AE10" i="25"/>
  <c r="AD10" i="25"/>
  <c r="AC10" i="25"/>
  <c r="AB10" i="25"/>
  <c r="AA10" i="25"/>
  <c r="Z10" i="25"/>
  <c r="Y10" i="25"/>
  <c r="X10" i="25"/>
  <c r="W10" i="25"/>
  <c r="V10" i="25"/>
  <c r="U10" i="25"/>
  <c r="T10" i="25"/>
  <c r="S10" i="25"/>
  <c r="R10" i="25"/>
  <c r="Q10" i="25"/>
  <c r="P10" i="25"/>
  <c r="O10" i="25"/>
  <c r="N10" i="25"/>
  <c r="M10" i="25"/>
  <c r="L10" i="25"/>
  <c r="K10" i="25"/>
  <c r="CP9" i="25"/>
  <c r="CO9" i="25"/>
  <c r="CN9" i="25"/>
  <c r="CM9" i="25"/>
  <c r="CL9" i="25"/>
  <c r="CK9" i="25"/>
  <c r="CJ9" i="25"/>
  <c r="CI9" i="25"/>
  <c r="CH9" i="25"/>
  <c r="CG9" i="25"/>
  <c r="CF9" i="25"/>
  <c r="CE9" i="25"/>
  <c r="CD9" i="25"/>
  <c r="CC9" i="25"/>
  <c r="CB9" i="25"/>
  <c r="CA9" i="25"/>
  <c r="BZ9" i="25"/>
  <c r="BY9" i="25"/>
  <c r="BX9" i="25"/>
  <c r="BW9" i="25"/>
  <c r="BV9" i="25"/>
  <c r="BU9" i="25"/>
  <c r="BT9" i="25"/>
  <c r="BS9" i="25"/>
  <c r="BR9" i="25"/>
  <c r="BQ9" i="25"/>
  <c r="BP9" i="25"/>
  <c r="BO9" i="25"/>
  <c r="BN9" i="25"/>
  <c r="BM9" i="25"/>
  <c r="BL9" i="25"/>
  <c r="BK9" i="25"/>
  <c r="BJ9" i="25"/>
  <c r="BI9" i="25"/>
  <c r="BH9" i="25"/>
  <c r="BG9" i="25"/>
  <c r="BF9" i="25"/>
  <c r="BE9" i="25"/>
  <c r="BD9" i="25"/>
  <c r="BC9" i="25"/>
  <c r="BB9" i="25"/>
  <c r="BA9" i="25"/>
  <c r="AZ9" i="25"/>
  <c r="AY9" i="25"/>
  <c r="AX9" i="25"/>
  <c r="AW9" i="25"/>
  <c r="AV9" i="25"/>
  <c r="AU9" i="25"/>
  <c r="AT9" i="25"/>
  <c r="AS9" i="25"/>
  <c r="AR9" i="25"/>
  <c r="AQ9" i="25"/>
  <c r="AP9" i="25"/>
  <c r="AO9" i="25"/>
  <c r="AN9" i="25"/>
  <c r="AM9" i="25"/>
  <c r="AL9" i="25"/>
  <c r="AK9" i="25"/>
  <c r="AJ9" i="25"/>
  <c r="AI9" i="25"/>
  <c r="AH9" i="25"/>
  <c r="AG9" i="25"/>
  <c r="AF9" i="25"/>
  <c r="AE9" i="25"/>
  <c r="AD9" i="25"/>
  <c r="AC9" i="25"/>
  <c r="AB9" i="25"/>
  <c r="AA9" i="25"/>
  <c r="Z9" i="25"/>
  <c r="Y9" i="25"/>
  <c r="X9" i="25"/>
  <c r="W9" i="25"/>
  <c r="W60" i="25" s="1"/>
  <c r="W74" i="25" s="1"/>
  <c r="V9" i="25"/>
  <c r="U9" i="25"/>
  <c r="U59" i="25" s="1"/>
  <c r="U73" i="25" s="1"/>
  <c r="T9" i="25"/>
  <c r="S9" i="25"/>
  <c r="R9" i="25"/>
  <c r="Q9" i="25"/>
  <c r="P9" i="25"/>
  <c r="O9" i="25"/>
  <c r="N9" i="25"/>
  <c r="M9" i="25"/>
  <c r="L9" i="25"/>
  <c r="K9" i="25"/>
  <c r="CP8" i="25"/>
  <c r="CO8" i="25"/>
  <c r="CN8" i="25"/>
  <c r="CM8" i="25"/>
  <c r="CL8" i="25"/>
  <c r="CK8" i="25"/>
  <c r="CJ8" i="25"/>
  <c r="CI8" i="25"/>
  <c r="CH8" i="25"/>
  <c r="CG8" i="25"/>
  <c r="CF8" i="25"/>
  <c r="CE8" i="25"/>
  <c r="CD8" i="25"/>
  <c r="CC8" i="25"/>
  <c r="CB8" i="25"/>
  <c r="CA8" i="25"/>
  <c r="BZ8" i="25"/>
  <c r="BY8" i="25"/>
  <c r="BX8" i="25"/>
  <c r="BW8" i="25"/>
  <c r="BV8" i="25"/>
  <c r="BU8" i="25"/>
  <c r="BT8" i="25"/>
  <c r="BS8" i="25"/>
  <c r="BR8" i="25"/>
  <c r="BQ8" i="25"/>
  <c r="BP8" i="25"/>
  <c r="BO8" i="25"/>
  <c r="BN8" i="25"/>
  <c r="BM8" i="25"/>
  <c r="BL8" i="25"/>
  <c r="BK8" i="25"/>
  <c r="BJ8" i="25"/>
  <c r="BI8" i="25"/>
  <c r="BH8" i="25"/>
  <c r="BG8" i="25"/>
  <c r="BF8" i="25"/>
  <c r="BE8" i="25"/>
  <c r="BD8" i="25"/>
  <c r="BC8" i="25"/>
  <c r="BB8" i="25"/>
  <c r="BA8" i="25"/>
  <c r="AZ8" i="25"/>
  <c r="AY8" i="25"/>
  <c r="AX8" i="25"/>
  <c r="AW8" i="25"/>
  <c r="AV8" i="25"/>
  <c r="AU8" i="25"/>
  <c r="AT8" i="25"/>
  <c r="AS8" i="25"/>
  <c r="AR8" i="25"/>
  <c r="AQ8" i="25"/>
  <c r="AP8" i="25"/>
  <c r="AO8" i="25"/>
  <c r="AN8" i="25"/>
  <c r="AM8" i="25"/>
  <c r="AL8" i="25"/>
  <c r="AK8" i="25"/>
  <c r="AJ8" i="25"/>
  <c r="AI8" i="25"/>
  <c r="AH8" i="25"/>
  <c r="AG8" i="25"/>
  <c r="AF8" i="25"/>
  <c r="AE8" i="25"/>
  <c r="AD8" i="25"/>
  <c r="AC8" i="25"/>
  <c r="AB8" i="25"/>
  <c r="AA8" i="25"/>
  <c r="Z8" i="25"/>
  <c r="Y8" i="25"/>
  <c r="X8" i="25"/>
  <c r="W8" i="25"/>
  <c r="V8" i="25"/>
  <c r="U8" i="25"/>
  <c r="T8" i="25"/>
  <c r="S8" i="25"/>
  <c r="R8" i="25"/>
  <c r="Q8" i="25"/>
  <c r="P8" i="25"/>
  <c r="O8" i="25"/>
  <c r="N8" i="25"/>
  <c r="M8" i="25"/>
  <c r="L8" i="25"/>
  <c r="K8" i="25"/>
  <c r="CP7" i="25"/>
  <c r="CO7" i="25"/>
  <c r="CN7" i="25"/>
  <c r="CM7" i="25"/>
  <c r="CL7" i="25"/>
  <c r="CK7" i="25"/>
  <c r="CJ7" i="25"/>
  <c r="CI7" i="25"/>
  <c r="CH7" i="25"/>
  <c r="CG7" i="25"/>
  <c r="CF7" i="25"/>
  <c r="CE7" i="25"/>
  <c r="CD7" i="25"/>
  <c r="CC7" i="25"/>
  <c r="CB7" i="25"/>
  <c r="CA7" i="25"/>
  <c r="BZ7" i="25"/>
  <c r="BY7" i="25"/>
  <c r="BX7" i="25"/>
  <c r="BW7" i="25"/>
  <c r="BV7" i="25"/>
  <c r="BU7" i="25"/>
  <c r="BT7" i="25"/>
  <c r="BS7" i="25"/>
  <c r="BR7" i="25"/>
  <c r="BQ7" i="25"/>
  <c r="BP7" i="25"/>
  <c r="BO7" i="25"/>
  <c r="BN7" i="25"/>
  <c r="BM7" i="25"/>
  <c r="BL7" i="25"/>
  <c r="BK7" i="25"/>
  <c r="BJ7" i="25"/>
  <c r="BI7" i="25"/>
  <c r="BH7" i="25"/>
  <c r="BG7" i="25"/>
  <c r="BF7" i="25"/>
  <c r="BE7" i="25"/>
  <c r="BD7" i="25"/>
  <c r="BC7" i="25"/>
  <c r="BB7" i="25"/>
  <c r="BA7" i="25"/>
  <c r="AZ7" i="25"/>
  <c r="AY7" i="25"/>
  <c r="AX7" i="25"/>
  <c r="AW7" i="25"/>
  <c r="AV7" i="25"/>
  <c r="AU7" i="25"/>
  <c r="AT7" i="25"/>
  <c r="AS7" i="25"/>
  <c r="AR7" i="25"/>
  <c r="AQ7" i="25"/>
  <c r="AP7" i="25"/>
  <c r="AO7" i="25"/>
  <c r="AN7" i="25"/>
  <c r="AM7" i="25"/>
  <c r="AL7" i="25"/>
  <c r="AK7" i="25"/>
  <c r="AJ7" i="25"/>
  <c r="AI7" i="25"/>
  <c r="AH7" i="25"/>
  <c r="AG7" i="25"/>
  <c r="AF7" i="25"/>
  <c r="AE7" i="25"/>
  <c r="AD7" i="25"/>
  <c r="AC7" i="25"/>
  <c r="AB7" i="25"/>
  <c r="AA7" i="25"/>
  <c r="Z7" i="25"/>
  <c r="Y7" i="25"/>
  <c r="X7" i="25"/>
  <c r="W7" i="25"/>
  <c r="V7" i="25"/>
  <c r="U7" i="25"/>
  <c r="T7" i="25"/>
  <c r="S7" i="25"/>
  <c r="R7" i="25"/>
  <c r="Q7" i="25"/>
  <c r="P7" i="25"/>
  <c r="O7" i="25"/>
  <c r="N7" i="25"/>
  <c r="M7" i="25"/>
  <c r="L7" i="25"/>
  <c r="K7" i="25"/>
  <c r="F5" i="25"/>
  <c r="G3" i="25"/>
  <c r="H3" i="25" s="1"/>
  <c r="I3" i="25" s="1"/>
  <c r="J3" i="25" s="1"/>
  <c r="K121" i="27"/>
  <c r="V120" i="27"/>
  <c r="Q120" i="27"/>
  <c r="L120" i="27"/>
  <c r="P115" i="27"/>
  <c r="O115" i="27"/>
  <c r="N115" i="27"/>
  <c r="M115" i="27"/>
  <c r="L115" i="27"/>
  <c r="H115" i="27"/>
  <c r="H116" i="27" s="1"/>
  <c r="G115" i="27"/>
  <c r="G116" i="27" s="1"/>
  <c r="F115" i="27"/>
  <c r="F116" i="27" s="1"/>
  <c r="E115" i="27"/>
  <c r="E116" i="27" s="1"/>
  <c r="D115" i="27"/>
  <c r="D116" i="27" s="1"/>
  <c r="R114" i="27"/>
  <c r="Q114" i="27"/>
  <c r="V111" i="27"/>
  <c r="U111" i="27"/>
  <c r="T111" i="27"/>
  <c r="S111" i="27"/>
  <c r="R111" i="27"/>
  <c r="Q111" i="27"/>
  <c r="V100" i="27"/>
  <c r="Q99" i="27"/>
  <c r="Q100" i="27" s="1"/>
  <c r="L99" i="27"/>
  <c r="W99" i="27"/>
  <c r="V97" i="27"/>
  <c r="V95" i="27"/>
  <c r="Q94" i="27"/>
  <c r="W94" i="27"/>
  <c r="V93" i="27"/>
  <c r="R91" i="27"/>
  <c r="S91" i="27" s="1"/>
  <c r="T91" i="27" s="1"/>
  <c r="U91" i="27" s="1"/>
  <c r="R90" i="27"/>
  <c r="S90" i="27" s="1"/>
  <c r="T90" i="27" s="1"/>
  <c r="U90" i="27" s="1"/>
  <c r="R89" i="27"/>
  <c r="R88" i="27"/>
  <c r="S88" i="27" s="1"/>
  <c r="T88" i="27" s="1"/>
  <c r="U88" i="27" s="1"/>
  <c r="M91" i="27"/>
  <c r="N91" i="27" s="1"/>
  <c r="O91" i="27" s="1"/>
  <c r="P91" i="27" s="1"/>
  <c r="M90" i="27"/>
  <c r="N90" i="27" s="1"/>
  <c r="O90" i="27" s="1"/>
  <c r="P90" i="27" s="1"/>
  <c r="M89" i="27"/>
  <c r="M88" i="27"/>
  <c r="N88" i="27" s="1"/>
  <c r="O88" i="27" s="1"/>
  <c r="P88" i="27" s="1"/>
  <c r="L87" i="27"/>
  <c r="L94" i="27" s="1"/>
  <c r="L86" i="27"/>
  <c r="M86" i="27" s="1"/>
  <c r="N86" i="27" s="1"/>
  <c r="O86" i="27" s="1"/>
  <c r="P86" i="27" s="1"/>
  <c r="V87" i="27"/>
  <c r="R87" i="27"/>
  <c r="S87" i="27" s="1"/>
  <c r="T87" i="27" s="1"/>
  <c r="U87" i="27" s="1"/>
  <c r="V86" i="27"/>
  <c r="W86" i="27" s="1"/>
  <c r="X86" i="27" s="1"/>
  <c r="Y86" i="27" s="1"/>
  <c r="Z86" i="27" s="1"/>
  <c r="AA86" i="27" s="1"/>
  <c r="AB86" i="27" s="1"/>
  <c r="AC86" i="27" s="1"/>
  <c r="AD86" i="27" s="1"/>
  <c r="AE86" i="27" s="1"/>
  <c r="AF86" i="27" s="1"/>
  <c r="AG86" i="27" s="1"/>
  <c r="AH86" i="27" s="1"/>
  <c r="AI86" i="27" s="1"/>
  <c r="AJ86" i="27" s="1"/>
  <c r="AK86" i="27" s="1"/>
  <c r="AL86" i="27" s="1"/>
  <c r="AM86" i="27" s="1"/>
  <c r="AN86" i="27" s="1"/>
  <c r="AO86" i="27" s="1"/>
  <c r="AP86" i="27" s="1"/>
  <c r="AQ86" i="27" s="1"/>
  <c r="AR86" i="27" s="1"/>
  <c r="AS86" i="27" s="1"/>
  <c r="AT86" i="27" s="1"/>
  <c r="AU86" i="27" s="1"/>
  <c r="AV86" i="27" s="1"/>
  <c r="AW86" i="27" s="1"/>
  <c r="AX86" i="27" s="1"/>
  <c r="AY86" i="27" s="1"/>
  <c r="AZ86" i="27" s="1"/>
  <c r="BA86" i="27" s="1"/>
  <c r="BB86" i="27" s="1"/>
  <c r="BC86" i="27" s="1"/>
  <c r="BD86" i="27" s="1"/>
  <c r="BE86" i="27" s="1"/>
  <c r="BF86" i="27" s="1"/>
  <c r="BG86" i="27" s="1"/>
  <c r="BH86" i="27" s="1"/>
  <c r="BI86" i="27" s="1"/>
  <c r="BJ86" i="27" s="1"/>
  <c r="BK86" i="27" s="1"/>
  <c r="BL86" i="27" s="1"/>
  <c r="BM86" i="27" s="1"/>
  <c r="BN86" i="27" s="1"/>
  <c r="BO86" i="27" s="1"/>
  <c r="BP86" i="27" s="1"/>
  <c r="BQ86" i="27" s="1"/>
  <c r="BR86" i="27" s="1"/>
  <c r="BS86" i="27" s="1"/>
  <c r="BT86" i="27" s="1"/>
  <c r="BU86" i="27" s="1"/>
  <c r="BV86" i="27" s="1"/>
  <c r="BW86" i="27" s="1"/>
  <c r="BX86" i="27" s="1"/>
  <c r="BY86" i="27" s="1"/>
  <c r="BZ86" i="27" s="1"/>
  <c r="CA86" i="27" s="1"/>
  <c r="CB86" i="27" s="1"/>
  <c r="CC86" i="27" s="1"/>
  <c r="CD86" i="27" s="1"/>
  <c r="CE86" i="27" s="1"/>
  <c r="CF86" i="27" s="1"/>
  <c r="CG86" i="27" s="1"/>
  <c r="CH86" i="27" s="1"/>
  <c r="CI86" i="27" s="1"/>
  <c r="CJ86" i="27" s="1"/>
  <c r="CK86" i="27" s="1"/>
  <c r="CL86" i="27" s="1"/>
  <c r="CM86" i="27" s="1"/>
  <c r="CN86" i="27" s="1"/>
  <c r="CO86" i="27" s="1"/>
  <c r="CP86" i="27" s="1"/>
  <c r="Q86" i="27"/>
  <c r="R86" i="27" s="1"/>
  <c r="S86" i="27" s="1"/>
  <c r="T86" i="27" s="1"/>
  <c r="U86" i="27" s="1"/>
  <c r="R85" i="27"/>
  <c r="S85" i="27" s="1"/>
  <c r="T85" i="27" s="1"/>
  <c r="U85" i="27" s="1"/>
  <c r="M85" i="27"/>
  <c r="N85" i="27" s="1"/>
  <c r="O85" i="27" s="1"/>
  <c r="P85" i="27" s="1"/>
  <c r="V84" i="27"/>
  <c r="Q84" i="27"/>
  <c r="R84" i="27" s="1"/>
  <c r="S84" i="27" s="1"/>
  <c r="T84" i="27" s="1"/>
  <c r="U84" i="27" s="1"/>
  <c r="L84" i="27"/>
  <c r="M84" i="27" s="1"/>
  <c r="N84" i="27" s="1"/>
  <c r="O84" i="27" s="1"/>
  <c r="P84" i="27" s="1"/>
  <c r="W91" i="27"/>
  <c r="X91" i="27" s="1"/>
  <c r="Y91" i="27" s="1"/>
  <c r="Z91" i="27" s="1"/>
  <c r="AA91" i="27" s="1"/>
  <c r="AB91" i="27" s="1"/>
  <c r="AC91" i="27" s="1"/>
  <c r="AD91" i="27" s="1"/>
  <c r="AE91" i="27" s="1"/>
  <c r="AF91" i="27" s="1"/>
  <c r="AG91" i="27" s="1"/>
  <c r="AH91" i="27" s="1"/>
  <c r="AI91" i="27" s="1"/>
  <c r="AJ91" i="27" s="1"/>
  <c r="AK91" i="27" s="1"/>
  <c r="AL91" i="27" s="1"/>
  <c r="AM91" i="27" s="1"/>
  <c r="AN91" i="27" s="1"/>
  <c r="AO91" i="27" s="1"/>
  <c r="AP91" i="27" s="1"/>
  <c r="AQ91" i="27" s="1"/>
  <c r="AR91" i="27" s="1"/>
  <c r="AS91" i="27" s="1"/>
  <c r="AT91" i="27" s="1"/>
  <c r="AU91" i="27" s="1"/>
  <c r="AV91" i="27" s="1"/>
  <c r="AW91" i="27" s="1"/>
  <c r="AX91" i="27" s="1"/>
  <c r="AY91" i="27" s="1"/>
  <c r="AZ91" i="27" s="1"/>
  <c r="BA91" i="27" s="1"/>
  <c r="BB91" i="27" s="1"/>
  <c r="BC91" i="27" s="1"/>
  <c r="BD91" i="27" s="1"/>
  <c r="BE91" i="27" s="1"/>
  <c r="BF91" i="27" s="1"/>
  <c r="BG91" i="27" s="1"/>
  <c r="BH91" i="27" s="1"/>
  <c r="BI91" i="27" s="1"/>
  <c r="BJ91" i="27" s="1"/>
  <c r="BK91" i="27" s="1"/>
  <c r="BL91" i="27" s="1"/>
  <c r="BM91" i="27" s="1"/>
  <c r="BN91" i="27" s="1"/>
  <c r="BO91" i="27" s="1"/>
  <c r="BP91" i="27" s="1"/>
  <c r="BQ91" i="27" s="1"/>
  <c r="BR91" i="27" s="1"/>
  <c r="BS91" i="27" s="1"/>
  <c r="BT91" i="27" s="1"/>
  <c r="BU91" i="27" s="1"/>
  <c r="BV91" i="27" s="1"/>
  <c r="BW91" i="27" s="1"/>
  <c r="BX91" i="27" s="1"/>
  <c r="BY91" i="27" s="1"/>
  <c r="BZ91" i="27" s="1"/>
  <c r="CA91" i="27" s="1"/>
  <c r="CB91" i="27" s="1"/>
  <c r="CC91" i="27" s="1"/>
  <c r="CD91" i="27" s="1"/>
  <c r="CE91" i="27" s="1"/>
  <c r="CF91" i="27" s="1"/>
  <c r="CG91" i="27" s="1"/>
  <c r="CH91" i="27" s="1"/>
  <c r="CI91" i="27" s="1"/>
  <c r="CJ91" i="27" s="1"/>
  <c r="CK91" i="27" s="1"/>
  <c r="CL91" i="27" s="1"/>
  <c r="CM91" i="27" s="1"/>
  <c r="CN91" i="27" s="1"/>
  <c r="CO91" i="27" s="1"/>
  <c r="CP91" i="27" s="1"/>
  <c r="W90" i="27"/>
  <c r="W89" i="27"/>
  <c r="X89" i="27" s="1"/>
  <c r="W88" i="27"/>
  <c r="X88" i="27" s="1"/>
  <c r="Y88" i="27" s="1"/>
  <c r="Z88" i="27" s="1"/>
  <c r="AA88" i="27" s="1"/>
  <c r="AB88" i="27" s="1"/>
  <c r="AC88" i="27" s="1"/>
  <c r="AD88" i="27" s="1"/>
  <c r="AE88" i="27" s="1"/>
  <c r="AF88" i="27" s="1"/>
  <c r="AG88" i="27" s="1"/>
  <c r="AH88" i="27" s="1"/>
  <c r="AI88" i="27" s="1"/>
  <c r="AJ88" i="27" s="1"/>
  <c r="AK88" i="27" s="1"/>
  <c r="AL88" i="27" s="1"/>
  <c r="AM88" i="27" s="1"/>
  <c r="AN88" i="27" s="1"/>
  <c r="AO88" i="27" s="1"/>
  <c r="AP88" i="27" s="1"/>
  <c r="AQ88" i="27" s="1"/>
  <c r="AR88" i="27" s="1"/>
  <c r="AS88" i="27" s="1"/>
  <c r="AT88" i="27" s="1"/>
  <c r="AU88" i="27" s="1"/>
  <c r="AV88" i="27" s="1"/>
  <c r="AW88" i="27" s="1"/>
  <c r="AX88" i="27" s="1"/>
  <c r="AY88" i="27" s="1"/>
  <c r="AZ88" i="27" s="1"/>
  <c r="BA88" i="27" s="1"/>
  <c r="BB88" i="27" s="1"/>
  <c r="BC88" i="27" s="1"/>
  <c r="BD88" i="27" s="1"/>
  <c r="BE88" i="27" s="1"/>
  <c r="BF88" i="27" s="1"/>
  <c r="BG88" i="27" s="1"/>
  <c r="BH88" i="27" s="1"/>
  <c r="BI88" i="27" s="1"/>
  <c r="BJ88" i="27" s="1"/>
  <c r="BK88" i="27" s="1"/>
  <c r="BL88" i="27" s="1"/>
  <c r="BM88" i="27" s="1"/>
  <c r="BN88" i="27" s="1"/>
  <c r="BO88" i="27" s="1"/>
  <c r="BP88" i="27" s="1"/>
  <c r="BQ88" i="27" s="1"/>
  <c r="BR88" i="27" s="1"/>
  <c r="BS88" i="27" s="1"/>
  <c r="BT88" i="27" s="1"/>
  <c r="BU88" i="27" s="1"/>
  <c r="BV88" i="27" s="1"/>
  <c r="BW88" i="27" s="1"/>
  <c r="BX88" i="27" s="1"/>
  <c r="BY88" i="27" s="1"/>
  <c r="BZ88" i="27" s="1"/>
  <c r="CA88" i="27" s="1"/>
  <c r="CB88" i="27" s="1"/>
  <c r="CC88" i="27" s="1"/>
  <c r="CD88" i="27" s="1"/>
  <c r="CE88" i="27" s="1"/>
  <c r="CF88" i="27" s="1"/>
  <c r="CG88" i="27" s="1"/>
  <c r="CH88" i="27" s="1"/>
  <c r="CI88" i="27" s="1"/>
  <c r="CJ88" i="27" s="1"/>
  <c r="CK88" i="27" s="1"/>
  <c r="CL88" i="27" s="1"/>
  <c r="CM88" i="27" s="1"/>
  <c r="CN88" i="27" s="1"/>
  <c r="CO88" i="27" s="1"/>
  <c r="CP88" i="27" s="1"/>
  <c r="W85" i="27"/>
  <c r="X85" i="27" s="1"/>
  <c r="W83" i="27"/>
  <c r="AF82" i="27"/>
  <c r="AG82" i="27" s="1"/>
  <c r="AH82" i="27" s="1"/>
  <c r="AI82" i="27" s="1"/>
  <c r="AJ82" i="27" s="1"/>
  <c r="AK82" i="27" s="1"/>
  <c r="AL82" i="27" s="1"/>
  <c r="AM82" i="27" s="1"/>
  <c r="AN82" i="27" s="1"/>
  <c r="AO82" i="27" s="1"/>
  <c r="AP82" i="27" s="1"/>
  <c r="AQ82" i="27" s="1"/>
  <c r="AR82" i="27" s="1"/>
  <c r="AS82" i="27" s="1"/>
  <c r="W82" i="27"/>
  <c r="R83" i="27"/>
  <c r="R82" i="27"/>
  <c r="M83" i="27"/>
  <c r="M120" i="27" s="1"/>
  <c r="M82" i="27"/>
  <c r="N82" i="27" s="1"/>
  <c r="O82" i="27" s="1"/>
  <c r="P82" i="27" s="1"/>
  <c r="U79" i="27"/>
  <c r="V74" i="27" s="1"/>
  <c r="V79" i="27" s="1"/>
  <c r="W74" i="27" s="1"/>
  <c r="W79" i="27" s="1"/>
  <c r="Q79" i="27"/>
  <c r="R74" i="27" s="1"/>
  <c r="R79" i="27" s="1"/>
  <c r="S74" i="27" s="1"/>
  <c r="S79" i="27" s="1"/>
  <c r="T74" i="27" s="1"/>
  <c r="T79" i="27" s="1"/>
  <c r="H79" i="27"/>
  <c r="G79" i="27"/>
  <c r="F79" i="27"/>
  <c r="E79" i="27"/>
  <c r="P75" i="27"/>
  <c r="O75" i="27"/>
  <c r="N75" i="27"/>
  <c r="M75" i="27"/>
  <c r="L75" i="27"/>
  <c r="L79" i="27" s="1"/>
  <c r="M74" i="27" s="1"/>
  <c r="I74" i="27"/>
  <c r="I79" i="27" s="1"/>
  <c r="J74" i="27" s="1"/>
  <c r="J79" i="27" s="1"/>
  <c r="K74" i="27" s="1"/>
  <c r="K79" i="27" s="1"/>
  <c r="F72" i="27"/>
  <c r="I68" i="27"/>
  <c r="I67" i="27"/>
  <c r="I63" i="27"/>
  <c r="I70" i="27" s="1"/>
  <c r="Z62" i="27"/>
  <c r="Z49" i="27" s="1"/>
  <c r="L57" i="27"/>
  <c r="K57" i="27"/>
  <c r="J57" i="27"/>
  <c r="I57" i="27"/>
  <c r="Y56" i="27"/>
  <c r="X56" i="27"/>
  <c r="CC55" i="27"/>
  <c r="AT49" i="27"/>
  <c r="CC48" i="27"/>
  <c r="CC20" i="27" s="1"/>
  <c r="CC27" i="3" s="1"/>
  <c r="E48" i="27"/>
  <c r="W28" i="27" s="1"/>
  <c r="AC38" i="27"/>
  <c r="AD38" i="27" s="1"/>
  <c r="AE38" i="27" s="1"/>
  <c r="AF38" i="27" s="1"/>
  <c r="AG38" i="27" s="1"/>
  <c r="AH38" i="27" s="1"/>
  <c r="AI38" i="27" s="1"/>
  <c r="AJ38" i="27" s="1"/>
  <c r="AK38" i="27" s="1"/>
  <c r="AL38" i="27" s="1"/>
  <c r="AM38" i="27" s="1"/>
  <c r="AN38" i="27" s="1"/>
  <c r="AO38" i="27" s="1"/>
  <c r="AP38" i="27" s="1"/>
  <c r="AQ38" i="27" s="1"/>
  <c r="AR38" i="27" s="1"/>
  <c r="AS38" i="27" s="1"/>
  <c r="AT38" i="27" s="1"/>
  <c r="AU38" i="27" s="1"/>
  <c r="AV38" i="27" s="1"/>
  <c r="AW38" i="27" s="1"/>
  <c r="AX38" i="27" s="1"/>
  <c r="AY38" i="27" s="1"/>
  <c r="AZ38" i="27" s="1"/>
  <c r="BA38" i="27" s="1"/>
  <c r="BB38" i="27" s="1"/>
  <c r="BC38" i="27" s="1"/>
  <c r="BD38" i="27" s="1"/>
  <c r="BE38" i="27" s="1"/>
  <c r="BF38" i="27" s="1"/>
  <c r="BG38" i="27" s="1"/>
  <c r="BH38" i="27" s="1"/>
  <c r="BI38" i="27" s="1"/>
  <c r="BJ38" i="27" s="1"/>
  <c r="BK38" i="27" s="1"/>
  <c r="BL38" i="27" s="1"/>
  <c r="BM38" i="27" s="1"/>
  <c r="BN38" i="27" s="1"/>
  <c r="BO38" i="27" s="1"/>
  <c r="BP38" i="27" s="1"/>
  <c r="BQ38" i="27" s="1"/>
  <c r="BR38" i="27" s="1"/>
  <c r="BS38" i="27" s="1"/>
  <c r="BT38" i="27" s="1"/>
  <c r="BU38" i="27" s="1"/>
  <c r="BV38" i="27" s="1"/>
  <c r="BW38" i="27" s="1"/>
  <c r="BX38" i="27" s="1"/>
  <c r="BY38" i="27" s="1"/>
  <c r="BZ38" i="27" s="1"/>
  <c r="CA38" i="27" s="1"/>
  <c r="CB38" i="27" s="1"/>
  <c r="CC38" i="27" s="1"/>
  <c r="CD38" i="27" s="1"/>
  <c r="CE38" i="27" s="1"/>
  <c r="CF38" i="27" s="1"/>
  <c r="CG38" i="27" s="1"/>
  <c r="CH38" i="27" s="1"/>
  <c r="CI38" i="27" s="1"/>
  <c r="CJ38" i="27" s="1"/>
  <c r="CK38" i="27" s="1"/>
  <c r="CL38" i="27" s="1"/>
  <c r="CM38" i="27" s="1"/>
  <c r="CN38" i="27" s="1"/>
  <c r="CO38" i="27" s="1"/>
  <c r="CP38" i="27" s="1"/>
  <c r="Y38" i="27"/>
  <c r="Z38" i="27" s="1"/>
  <c r="AA38" i="27" s="1"/>
  <c r="W24" i="27"/>
  <c r="W61" i="27" s="1"/>
  <c r="V24" i="27"/>
  <c r="U24" i="27"/>
  <c r="U61" i="27" s="1"/>
  <c r="T24" i="27"/>
  <c r="S24" i="27"/>
  <c r="S61" i="27" s="1"/>
  <c r="R24" i="27"/>
  <c r="Q24" i="27"/>
  <c r="P24" i="27"/>
  <c r="P61" i="27" s="1"/>
  <c r="O24" i="27"/>
  <c r="O61" i="27" s="1"/>
  <c r="N24" i="27"/>
  <c r="M24" i="27"/>
  <c r="M61" i="27" s="1"/>
  <c r="L24" i="27"/>
  <c r="K24" i="27"/>
  <c r="K61" i="27" s="1"/>
  <c r="J24" i="27"/>
  <c r="I24" i="27"/>
  <c r="W23" i="27"/>
  <c r="W60" i="27" s="1"/>
  <c r="V23" i="27"/>
  <c r="V60" i="27" s="1"/>
  <c r="U23" i="27"/>
  <c r="T23" i="27"/>
  <c r="T60" i="27" s="1"/>
  <c r="S23" i="27"/>
  <c r="S60" i="27" s="1"/>
  <c r="R23" i="27"/>
  <c r="Q23" i="27"/>
  <c r="P23" i="27"/>
  <c r="P60" i="27" s="1"/>
  <c r="O23" i="27"/>
  <c r="O60" i="27" s="1"/>
  <c r="N23" i="27"/>
  <c r="N60" i="27" s="1"/>
  <c r="M23" i="27"/>
  <c r="L23" i="27"/>
  <c r="L60" i="27" s="1"/>
  <c r="K23" i="27"/>
  <c r="K60" i="27" s="1"/>
  <c r="J23" i="27"/>
  <c r="J60" i="27" s="1"/>
  <c r="J67" i="27" s="1"/>
  <c r="I23" i="27"/>
  <c r="W20" i="27"/>
  <c r="W48" i="27" s="1"/>
  <c r="V20" i="27"/>
  <c r="V48" i="27" s="1"/>
  <c r="U20" i="27"/>
  <c r="U48" i="27" s="1"/>
  <c r="T20" i="27"/>
  <c r="S20" i="27"/>
  <c r="S48" i="27" s="1"/>
  <c r="R20" i="27"/>
  <c r="Q20" i="27"/>
  <c r="P20" i="27"/>
  <c r="O20" i="27"/>
  <c r="N20" i="27"/>
  <c r="M20" i="27"/>
  <c r="L20" i="27"/>
  <c r="K20" i="27"/>
  <c r="J20" i="27"/>
  <c r="I20" i="27"/>
  <c r="W19" i="27"/>
  <c r="V19" i="27"/>
  <c r="U19" i="27"/>
  <c r="U47" i="27" s="1"/>
  <c r="T19" i="27"/>
  <c r="T47" i="27" s="1"/>
  <c r="S19" i="27"/>
  <c r="R19" i="27"/>
  <c r="Q19" i="27"/>
  <c r="P19" i="27"/>
  <c r="O19" i="27"/>
  <c r="N19" i="27"/>
  <c r="M19" i="27"/>
  <c r="L19" i="27"/>
  <c r="K19" i="27"/>
  <c r="J19" i="27"/>
  <c r="I19" i="27"/>
  <c r="F17" i="27"/>
  <c r="E17" i="27"/>
  <c r="D17" i="27"/>
  <c r="CP15" i="27"/>
  <c r="CO15" i="27"/>
  <c r="CN15" i="27"/>
  <c r="CM15" i="27"/>
  <c r="CL15" i="27"/>
  <c r="CK15" i="27"/>
  <c r="CJ15" i="27"/>
  <c r="CI15" i="27"/>
  <c r="CH15" i="27"/>
  <c r="CG15" i="27"/>
  <c r="CF15" i="27"/>
  <c r="CE15" i="27"/>
  <c r="CD15" i="27"/>
  <c r="CC15" i="27"/>
  <c r="CB15" i="27"/>
  <c r="CA15" i="27"/>
  <c r="BZ15" i="27"/>
  <c r="BY15" i="27"/>
  <c r="BX15" i="27"/>
  <c r="BW15" i="27"/>
  <c r="BV15" i="27"/>
  <c r="BU15" i="27"/>
  <c r="BT15" i="27"/>
  <c r="BS15" i="27"/>
  <c r="BR15" i="27"/>
  <c r="BQ15" i="27"/>
  <c r="BP15" i="27"/>
  <c r="BO15" i="27"/>
  <c r="BN15" i="27"/>
  <c r="BM15" i="27"/>
  <c r="BL15" i="27"/>
  <c r="BK15" i="27"/>
  <c r="BJ15" i="27"/>
  <c r="BI15" i="27"/>
  <c r="BH15" i="27"/>
  <c r="BG15" i="27"/>
  <c r="BF15" i="27"/>
  <c r="BE15" i="27"/>
  <c r="BD15" i="27"/>
  <c r="BC15" i="27"/>
  <c r="BB15" i="27"/>
  <c r="BA15" i="27"/>
  <c r="AZ15" i="27"/>
  <c r="AY15" i="27"/>
  <c r="AX15" i="27"/>
  <c r="AW15" i="27"/>
  <c r="AV15" i="27"/>
  <c r="AU15" i="27"/>
  <c r="AT15" i="27"/>
  <c r="AS15" i="27"/>
  <c r="AR15" i="27"/>
  <c r="AQ15" i="27"/>
  <c r="AP15" i="27"/>
  <c r="AO15" i="27"/>
  <c r="AN15" i="27"/>
  <c r="AM15" i="27"/>
  <c r="AL15" i="27"/>
  <c r="AK15" i="27"/>
  <c r="AJ15" i="27"/>
  <c r="AI15" i="27"/>
  <c r="AH15" i="27"/>
  <c r="AG15" i="27"/>
  <c r="AF15" i="27"/>
  <c r="AE15" i="27"/>
  <c r="AD15" i="27"/>
  <c r="AC15" i="27"/>
  <c r="AB15" i="27"/>
  <c r="AA15" i="27"/>
  <c r="Z15" i="27"/>
  <c r="Y15" i="27"/>
  <c r="X15" i="27"/>
  <c r="W15" i="27"/>
  <c r="V15" i="27"/>
  <c r="U15" i="27"/>
  <c r="T15" i="27"/>
  <c r="S15" i="27"/>
  <c r="R15" i="27"/>
  <c r="Q15" i="27"/>
  <c r="P15" i="27"/>
  <c r="O15" i="27"/>
  <c r="N15" i="27"/>
  <c r="M15" i="27"/>
  <c r="L15" i="27"/>
  <c r="K15" i="27"/>
  <c r="J15" i="27"/>
  <c r="I15" i="27"/>
  <c r="CP14" i="27"/>
  <c r="CO14" i="27"/>
  <c r="CN14" i="27"/>
  <c r="CM14" i="27"/>
  <c r="CL14" i="27"/>
  <c r="CK14" i="27"/>
  <c r="CJ14" i="27"/>
  <c r="CI14" i="27"/>
  <c r="CH14" i="27"/>
  <c r="CG14" i="27"/>
  <c r="CF14" i="27"/>
  <c r="CE14" i="27"/>
  <c r="CD14" i="27"/>
  <c r="CC14" i="27"/>
  <c r="CB14" i="27"/>
  <c r="CA14" i="27"/>
  <c r="BZ14" i="27"/>
  <c r="BY14" i="27"/>
  <c r="BX14" i="27"/>
  <c r="BW14" i="27"/>
  <c r="BV14" i="27"/>
  <c r="BU14" i="27"/>
  <c r="BT14" i="27"/>
  <c r="BS14" i="27"/>
  <c r="BR14" i="27"/>
  <c r="BQ14" i="27"/>
  <c r="BP14" i="27"/>
  <c r="BO14" i="27"/>
  <c r="BN14" i="27"/>
  <c r="BM14" i="27"/>
  <c r="BL14" i="27"/>
  <c r="BK14" i="27"/>
  <c r="BJ14" i="27"/>
  <c r="BI14" i="27"/>
  <c r="BH14" i="27"/>
  <c r="BG14" i="27"/>
  <c r="BF14" i="27"/>
  <c r="BE14" i="27"/>
  <c r="BD14" i="27"/>
  <c r="BC14" i="27"/>
  <c r="BB14" i="27"/>
  <c r="BA14" i="27"/>
  <c r="AZ14" i="27"/>
  <c r="AY14" i="27"/>
  <c r="AX14" i="27"/>
  <c r="AW14" i="27"/>
  <c r="AV14" i="27"/>
  <c r="AU14" i="27"/>
  <c r="AT14" i="27"/>
  <c r="AS14" i="27"/>
  <c r="AR14" i="27"/>
  <c r="AQ14" i="27"/>
  <c r="AP14" i="27"/>
  <c r="AO14" i="27"/>
  <c r="AN14" i="27"/>
  <c r="AM14" i="27"/>
  <c r="AL14" i="27"/>
  <c r="AK14" i="27"/>
  <c r="AJ14" i="27"/>
  <c r="AI14" i="27"/>
  <c r="AH14" i="27"/>
  <c r="AG14" i="27"/>
  <c r="AF14" i="27"/>
  <c r="AE14" i="27"/>
  <c r="AD14" i="27"/>
  <c r="AC14" i="27"/>
  <c r="AB14" i="27"/>
  <c r="AA14" i="27"/>
  <c r="Z14" i="27"/>
  <c r="Y14" i="27"/>
  <c r="X14" i="27"/>
  <c r="W14" i="27"/>
  <c r="V14" i="27"/>
  <c r="U14" i="27"/>
  <c r="T14" i="27"/>
  <c r="S14" i="27"/>
  <c r="R14" i="27"/>
  <c r="Q14" i="27"/>
  <c r="P14" i="27"/>
  <c r="O14" i="27"/>
  <c r="N14" i="27"/>
  <c r="M14" i="27"/>
  <c r="L14" i="27"/>
  <c r="K14" i="27"/>
  <c r="J14" i="27"/>
  <c r="I14" i="27"/>
  <c r="CP13" i="27"/>
  <c r="CO13" i="27"/>
  <c r="CN13" i="27"/>
  <c r="CM13" i="27"/>
  <c r="CL13" i="27"/>
  <c r="CK13" i="27"/>
  <c r="CJ13" i="27"/>
  <c r="CI13" i="27"/>
  <c r="CH13" i="27"/>
  <c r="CG13" i="27"/>
  <c r="CF13" i="27"/>
  <c r="CE13" i="27"/>
  <c r="CD13" i="27"/>
  <c r="CC13" i="27"/>
  <c r="CB13" i="27"/>
  <c r="CA13" i="27"/>
  <c r="BZ13" i="27"/>
  <c r="BY13" i="27"/>
  <c r="BX13" i="27"/>
  <c r="BW13" i="27"/>
  <c r="BV13" i="27"/>
  <c r="BU13" i="27"/>
  <c r="BT13" i="27"/>
  <c r="BS13" i="27"/>
  <c r="BR13" i="27"/>
  <c r="BQ13" i="27"/>
  <c r="BP13" i="27"/>
  <c r="BO13" i="27"/>
  <c r="BN13" i="27"/>
  <c r="BM13" i="27"/>
  <c r="BL13" i="27"/>
  <c r="BK13" i="27"/>
  <c r="BJ13" i="27"/>
  <c r="BI13" i="27"/>
  <c r="BH13" i="27"/>
  <c r="BG13" i="27"/>
  <c r="BF13" i="27"/>
  <c r="BE13" i="27"/>
  <c r="BD13" i="27"/>
  <c r="BC13" i="27"/>
  <c r="BB13" i="27"/>
  <c r="BA13" i="27"/>
  <c r="AZ13" i="27"/>
  <c r="AY13" i="27"/>
  <c r="AX13" i="27"/>
  <c r="AW13" i="27"/>
  <c r="AV13" i="27"/>
  <c r="AU13" i="27"/>
  <c r="AT13" i="27"/>
  <c r="AS13" i="27"/>
  <c r="AR13" i="27"/>
  <c r="AQ13" i="27"/>
  <c r="AP13" i="27"/>
  <c r="AO13" i="27"/>
  <c r="AN13" i="27"/>
  <c r="AM13" i="27"/>
  <c r="AL13" i="27"/>
  <c r="AK13" i="27"/>
  <c r="AJ13" i="27"/>
  <c r="AI13" i="27"/>
  <c r="AH13" i="27"/>
  <c r="AG13" i="27"/>
  <c r="AF13" i="27"/>
  <c r="AE13" i="27"/>
  <c r="AD13" i="27"/>
  <c r="AC13" i="27"/>
  <c r="AB13" i="27"/>
  <c r="AA13" i="27"/>
  <c r="Z13" i="27"/>
  <c r="Y13" i="27"/>
  <c r="X13" i="27"/>
  <c r="W13" i="27"/>
  <c r="V13" i="27"/>
  <c r="U13" i="27"/>
  <c r="T13" i="27"/>
  <c r="S13" i="27"/>
  <c r="R13" i="27"/>
  <c r="Q13" i="27"/>
  <c r="P13" i="27"/>
  <c r="O13" i="27"/>
  <c r="N13" i="27"/>
  <c r="M13" i="27"/>
  <c r="L13" i="27"/>
  <c r="K13" i="27"/>
  <c r="J13" i="27"/>
  <c r="I13" i="27"/>
  <c r="CP12" i="27"/>
  <c r="CO12" i="27"/>
  <c r="CN12" i="27"/>
  <c r="CM12" i="27"/>
  <c r="CL12" i="27"/>
  <c r="CK12" i="27"/>
  <c r="CJ12" i="27"/>
  <c r="CI12" i="27"/>
  <c r="CH12" i="27"/>
  <c r="CG12" i="27"/>
  <c r="CF12" i="27"/>
  <c r="CE12" i="27"/>
  <c r="CD12" i="27"/>
  <c r="CC12" i="27"/>
  <c r="CB12" i="27"/>
  <c r="CA12" i="27"/>
  <c r="BZ12" i="27"/>
  <c r="BY12" i="27"/>
  <c r="BX12" i="27"/>
  <c r="BW12" i="27"/>
  <c r="BV12" i="27"/>
  <c r="BU12" i="27"/>
  <c r="BT12" i="27"/>
  <c r="BS12" i="27"/>
  <c r="BR12" i="27"/>
  <c r="BQ12" i="27"/>
  <c r="BP12" i="27"/>
  <c r="BO12" i="27"/>
  <c r="BN12" i="27"/>
  <c r="BM12" i="27"/>
  <c r="BL12" i="27"/>
  <c r="BK12" i="27"/>
  <c r="BJ12" i="27"/>
  <c r="BI12" i="27"/>
  <c r="BH12" i="27"/>
  <c r="BG12" i="27"/>
  <c r="BF12" i="27"/>
  <c r="BE12" i="27"/>
  <c r="BD12" i="27"/>
  <c r="BC12" i="27"/>
  <c r="BB12" i="27"/>
  <c r="BA12" i="27"/>
  <c r="AZ12" i="27"/>
  <c r="AY12" i="27"/>
  <c r="AX12" i="27"/>
  <c r="AW12" i="27"/>
  <c r="AV12" i="27"/>
  <c r="AU12" i="27"/>
  <c r="AT12" i="27"/>
  <c r="AS12" i="27"/>
  <c r="AR12" i="27"/>
  <c r="AQ12" i="27"/>
  <c r="AP12" i="27"/>
  <c r="AO12" i="27"/>
  <c r="AN12" i="27"/>
  <c r="AM12" i="27"/>
  <c r="AL12" i="27"/>
  <c r="AK12" i="27"/>
  <c r="AJ12" i="27"/>
  <c r="AI12" i="27"/>
  <c r="AH12" i="27"/>
  <c r="AG12" i="27"/>
  <c r="AF12" i="27"/>
  <c r="AE12" i="27"/>
  <c r="AD12" i="27"/>
  <c r="AC12" i="27"/>
  <c r="AB12" i="27"/>
  <c r="AA12" i="27"/>
  <c r="Z12" i="27"/>
  <c r="Y12" i="27"/>
  <c r="X12" i="27"/>
  <c r="W12" i="27"/>
  <c r="V12" i="27"/>
  <c r="U12" i="27"/>
  <c r="T12" i="27"/>
  <c r="S12" i="27"/>
  <c r="R12" i="27"/>
  <c r="Q12" i="27"/>
  <c r="P12" i="27"/>
  <c r="O12" i="27"/>
  <c r="N12" i="27"/>
  <c r="M12" i="27"/>
  <c r="L12" i="27"/>
  <c r="K12" i="27"/>
  <c r="J12" i="27"/>
  <c r="I12" i="27"/>
  <c r="CP11" i="27"/>
  <c r="CO11" i="27"/>
  <c r="CN11" i="27"/>
  <c r="CM11" i="27"/>
  <c r="CL11" i="27"/>
  <c r="CK11" i="27"/>
  <c r="CJ11" i="27"/>
  <c r="CI11" i="27"/>
  <c r="CH11" i="27"/>
  <c r="CG11" i="27"/>
  <c r="CF11" i="27"/>
  <c r="CE11" i="27"/>
  <c r="CD11" i="27"/>
  <c r="CC11" i="27"/>
  <c r="CB11" i="27"/>
  <c r="CA11" i="27"/>
  <c r="BZ11" i="27"/>
  <c r="BY11" i="27"/>
  <c r="BX11" i="27"/>
  <c r="BW11" i="27"/>
  <c r="BV11" i="27"/>
  <c r="BU11" i="27"/>
  <c r="BT11" i="27"/>
  <c r="BS11" i="27"/>
  <c r="BR11" i="27"/>
  <c r="BQ11" i="27"/>
  <c r="BP11" i="27"/>
  <c r="BO11" i="27"/>
  <c r="BN11" i="27"/>
  <c r="BM11" i="27"/>
  <c r="BL11" i="27"/>
  <c r="BK11" i="27"/>
  <c r="BJ11" i="27"/>
  <c r="BI11" i="27"/>
  <c r="BH11" i="27"/>
  <c r="BG11" i="27"/>
  <c r="BF11" i="27"/>
  <c r="BE11" i="27"/>
  <c r="BD11" i="27"/>
  <c r="BC11" i="27"/>
  <c r="BB11" i="27"/>
  <c r="BA11" i="27"/>
  <c r="AZ11" i="27"/>
  <c r="AY11" i="27"/>
  <c r="AX11" i="27"/>
  <c r="AW11" i="27"/>
  <c r="AV11" i="27"/>
  <c r="AU11" i="27"/>
  <c r="AT11" i="27"/>
  <c r="AS11" i="27"/>
  <c r="AR11" i="27"/>
  <c r="AQ11" i="27"/>
  <c r="AP11" i="27"/>
  <c r="AO11" i="27"/>
  <c r="AN11" i="27"/>
  <c r="AM11" i="27"/>
  <c r="AL11" i="27"/>
  <c r="AK11" i="27"/>
  <c r="AJ11" i="27"/>
  <c r="AI11" i="27"/>
  <c r="AH11" i="27"/>
  <c r="AG11" i="27"/>
  <c r="AF11" i="27"/>
  <c r="AE11" i="27"/>
  <c r="AD11" i="27"/>
  <c r="AC11" i="27"/>
  <c r="AB11" i="27"/>
  <c r="AA11" i="27"/>
  <c r="Z11" i="27"/>
  <c r="Y11" i="27"/>
  <c r="X11" i="27"/>
  <c r="W11" i="27"/>
  <c r="V11" i="27"/>
  <c r="U11" i="27"/>
  <c r="T11" i="27"/>
  <c r="S11" i="27"/>
  <c r="R11" i="27"/>
  <c r="Q11" i="27"/>
  <c r="P11" i="27"/>
  <c r="O11" i="27"/>
  <c r="N11" i="27"/>
  <c r="M11" i="27"/>
  <c r="L11" i="27"/>
  <c r="K11" i="27"/>
  <c r="J11" i="27"/>
  <c r="I11" i="27"/>
  <c r="CP10" i="27"/>
  <c r="CO10" i="27"/>
  <c r="CN10" i="27"/>
  <c r="CM10" i="27"/>
  <c r="CL10" i="27"/>
  <c r="CK10" i="27"/>
  <c r="CJ10" i="27"/>
  <c r="CI10" i="27"/>
  <c r="CH10" i="27"/>
  <c r="CG10" i="27"/>
  <c r="CF10" i="27"/>
  <c r="CE10" i="27"/>
  <c r="CD10" i="27"/>
  <c r="CC10" i="27"/>
  <c r="CB10" i="27"/>
  <c r="CA10" i="27"/>
  <c r="BZ10" i="27"/>
  <c r="BY10" i="27"/>
  <c r="BX10" i="27"/>
  <c r="BW10" i="27"/>
  <c r="BV10" i="27"/>
  <c r="BU10" i="27"/>
  <c r="BT10" i="27"/>
  <c r="BS10" i="27"/>
  <c r="BR10" i="27"/>
  <c r="BQ10" i="27"/>
  <c r="BP10" i="27"/>
  <c r="BO10" i="27"/>
  <c r="BN10" i="27"/>
  <c r="BM10" i="27"/>
  <c r="BL10" i="27"/>
  <c r="BK10" i="27"/>
  <c r="BJ10" i="27"/>
  <c r="BI10" i="27"/>
  <c r="BH10" i="27"/>
  <c r="BG10" i="27"/>
  <c r="BF10" i="27"/>
  <c r="BE10" i="27"/>
  <c r="BD10" i="27"/>
  <c r="BC10" i="27"/>
  <c r="BB10" i="27"/>
  <c r="BA10" i="27"/>
  <c r="AZ10" i="27"/>
  <c r="AY10" i="27"/>
  <c r="AX10" i="27"/>
  <c r="AW10" i="27"/>
  <c r="AV10" i="27"/>
  <c r="AU10" i="27"/>
  <c r="AT10" i="27"/>
  <c r="AS10" i="27"/>
  <c r="AR10" i="27"/>
  <c r="AQ10" i="27"/>
  <c r="AP10" i="27"/>
  <c r="AO10" i="27"/>
  <c r="AN10" i="27"/>
  <c r="AM10" i="27"/>
  <c r="AL10" i="27"/>
  <c r="AK10" i="27"/>
  <c r="AJ10" i="27"/>
  <c r="AI10" i="27"/>
  <c r="AH10" i="27"/>
  <c r="AG10" i="27"/>
  <c r="AF10" i="27"/>
  <c r="AE10" i="27"/>
  <c r="AD10" i="27"/>
  <c r="AC10" i="27"/>
  <c r="AB10" i="27"/>
  <c r="AA10" i="27"/>
  <c r="Z10" i="27"/>
  <c r="Y10" i="27"/>
  <c r="X10" i="27"/>
  <c r="W10" i="27"/>
  <c r="V10" i="27"/>
  <c r="U10" i="27"/>
  <c r="T10" i="27"/>
  <c r="S10" i="27"/>
  <c r="R10" i="27"/>
  <c r="Q10" i="27"/>
  <c r="P10" i="27"/>
  <c r="O10" i="27"/>
  <c r="N10" i="27"/>
  <c r="M10" i="27"/>
  <c r="L10" i="27"/>
  <c r="K10" i="27"/>
  <c r="J10" i="27"/>
  <c r="I10" i="27"/>
  <c r="CP9" i="27"/>
  <c r="CO9" i="27"/>
  <c r="CN9" i="27"/>
  <c r="CM9" i="27"/>
  <c r="CL9" i="27"/>
  <c r="CK9" i="27"/>
  <c r="CJ9" i="27"/>
  <c r="CI9" i="27"/>
  <c r="CH9" i="27"/>
  <c r="CG9" i="27"/>
  <c r="CF9" i="27"/>
  <c r="CE9" i="27"/>
  <c r="CD9" i="27"/>
  <c r="CC9" i="27"/>
  <c r="CB9" i="27"/>
  <c r="CA9" i="27"/>
  <c r="BZ9" i="27"/>
  <c r="BY9" i="27"/>
  <c r="BX9" i="27"/>
  <c r="BW9" i="27"/>
  <c r="BV9" i="27"/>
  <c r="BU9" i="27"/>
  <c r="BT9" i="27"/>
  <c r="BS9" i="27"/>
  <c r="BR9" i="27"/>
  <c r="BQ9" i="27"/>
  <c r="BP9" i="27"/>
  <c r="BO9" i="27"/>
  <c r="BN9" i="27"/>
  <c r="BM9" i="27"/>
  <c r="BL9" i="27"/>
  <c r="BK9" i="27"/>
  <c r="BJ9" i="27"/>
  <c r="BI9" i="27"/>
  <c r="BH9" i="27"/>
  <c r="BG9" i="27"/>
  <c r="BF9" i="27"/>
  <c r="BE9" i="27"/>
  <c r="BD9" i="27"/>
  <c r="BC9" i="27"/>
  <c r="BB9" i="27"/>
  <c r="BA9" i="27"/>
  <c r="AZ9" i="27"/>
  <c r="AY9" i="27"/>
  <c r="AX9" i="27"/>
  <c r="AW9" i="27"/>
  <c r="AV9" i="27"/>
  <c r="AU9" i="27"/>
  <c r="AT9" i="27"/>
  <c r="AS9" i="27"/>
  <c r="AR9" i="27"/>
  <c r="AQ9" i="27"/>
  <c r="AP9" i="27"/>
  <c r="AO9" i="27"/>
  <c r="AN9" i="27"/>
  <c r="AM9" i="27"/>
  <c r="AL9" i="27"/>
  <c r="AK9" i="27"/>
  <c r="AJ9" i="27"/>
  <c r="AI9" i="27"/>
  <c r="AH9" i="27"/>
  <c r="AG9" i="27"/>
  <c r="AF9" i="27"/>
  <c r="AE9" i="27"/>
  <c r="AD9" i="27"/>
  <c r="AC9" i="27"/>
  <c r="AB9" i="27"/>
  <c r="AA9" i="27"/>
  <c r="Z9" i="27"/>
  <c r="Y9" i="27"/>
  <c r="X9" i="27"/>
  <c r="W9" i="27"/>
  <c r="V9" i="27"/>
  <c r="U9" i="27"/>
  <c r="T9" i="27"/>
  <c r="S9" i="27"/>
  <c r="R9" i="27"/>
  <c r="Q9" i="27"/>
  <c r="P9" i="27"/>
  <c r="O9" i="27"/>
  <c r="N9" i="27"/>
  <c r="M9" i="27"/>
  <c r="L9" i="27"/>
  <c r="K9" i="27"/>
  <c r="J9" i="27"/>
  <c r="I9" i="27"/>
  <c r="CP8" i="27"/>
  <c r="CO8" i="27"/>
  <c r="CN8" i="27"/>
  <c r="CM8" i="27"/>
  <c r="CL8" i="27"/>
  <c r="CK8" i="27"/>
  <c r="CJ8" i="27"/>
  <c r="CI8" i="27"/>
  <c r="CH8" i="27"/>
  <c r="CG8" i="27"/>
  <c r="CF8" i="27"/>
  <c r="CE8" i="27"/>
  <c r="CD8" i="27"/>
  <c r="CC8" i="27"/>
  <c r="CB8" i="27"/>
  <c r="CA8" i="27"/>
  <c r="BZ8" i="27"/>
  <c r="BY8" i="27"/>
  <c r="BX8" i="27"/>
  <c r="BW8" i="27"/>
  <c r="BV8" i="27"/>
  <c r="BU8" i="27"/>
  <c r="BT8" i="27"/>
  <c r="BS8" i="27"/>
  <c r="BR8" i="27"/>
  <c r="BQ8" i="27"/>
  <c r="BP8" i="27"/>
  <c r="BO8" i="27"/>
  <c r="BN8" i="27"/>
  <c r="BM8" i="27"/>
  <c r="BL8" i="27"/>
  <c r="BK8" i="27"/>
  <c r="BJ8" i="27"/>
  <c r="BI8" i="27"/>
  <c r="BH8" i="27"/>
  <c r="BG8" i="27"/>
  <c r="BF8" i="27"/>
  <c r="BE8" i="27"/>
  <c r="BD8" i="27"/>
  <c r="BC8" i="27"/>
  <c r="BB8" i="27"/>
  <c r="BA8" i="27"/>
  <c r="AZ8" i="27"/>
  <c r="AY8" i="27"/>
  <c r="AX8" i="27"/>
  <c r="AW8" i="27"/>
  <c r="AV8" i="27"/>
  <c r="AU8" i="27"/>
  <c r="AT8" i="27"/>
  <c r="AS8" i="27"/>
  <c r="AR8" i="27"/>
  <c r="AQ8" i="27"/>
  <c r="AP8" i="27"/>
  <c r="AO8" i="27"/>
  <c r="AN8" i="27"/>
  <c r="AM8" i="27"/>
  <c r="AL8" i="27"/>
  <c r="AK8" i="27"/>
  <c r="AJ8" i="27"/>
  <c r="AI8" i="27"/>
  <c r="AH8" i="27"/>
  <c r="AG8" i="27"/>
  <c r="AF8" i="27"/>
  <c r="AE8" i="27"/>
  <c r="AD8" i="27"/>
  <c r="AC8" i="27"/>
  <c r="AB8" i="27"/>
  <c r="AA8" i="27"/>
  <c r="Z8" i="27"/>
  <c r="Y8" i="27"/>
  <c r="X8" i="27"/>
  <c r="W8" i="27"/>
  <c r="V8" i="27"/>
  <c r="U8" i="27"/>
  <c r="T8" i="27"/>
  <c r="S8" i="27"/>
  <c r="R8" i="27"/>
  <c r="Q8" i="27"/>
  <c r="P8" i="27"/>
  <c r="O8" i="27"/>
  <c r="N8" i="27"/>
  <c r="M8" i="27"/>
  <c r="L8" i="27"/>
  <c r="K8" i="27"/>
  <c r="J8" i="27"/>
  <c r="I8" i="27"/>
  <c r="CP7" i="27"/>
  <c r="CO7" i="27"/>
  <c r="CN7" i="27"/>
  <c r="CM7" i="27"/>
  <c r="CL7" i="27"/>
  <c r="CK7" i="27"/>
  <c r="CJ7" i="27"/>
  <c r="CI7" i="27"/>
  <c r="CH7" i="27"/>
  <c r="CG7" i="27"/>
  <c r="CF7" i="27"/>
  <c r="CE7" i="27"/>
  <c r="CD7" i="27"/>
  <c r="CC7" i="27"/>
  <c r="CB7" i="27"/>
  <c r="CA7" i="27"/>
  <c r="BZ7" i="27"/>
  <c r="BY7" i="27"/>
  <c r="BX7" i="27"/>
  <c r="BW7" i="27"/>
  <c r="BV7" i="27"/>
  <c r="BU7" i="27"/>
  <c r="BT7" i="27"/>
  <c r="BS7" i="27"/>
  <c r="BR7" i="27"/>
  <c r="BQ7" i="27"/>
  <c r="BP7" i="27"/>
  <c r="BO7" i="27"/>
  <c r="BN7" i="27"/>
  <c r="BM7" i="27"/>
  <c r="BL7" i="27"/>
  <c r="BK7" i="27"/>
  <c r="BJ7" i="27"/>
  <c r="BI7" i="27"/>
  <c r="BH7" i="27"/>
  <c r="BG7" i="27"/>
  <c r="BF7" i="27"/>
  <c r="BE7" i="27"/>
  <c r="BD7" i="27"/>
  <c r="BC7" i="27"/>
  <c r="BB7" i="27"/>
  <c r="BA7" i="27"/>
  <c r="AZ7" i="27"/>
  <c r="AY7" i="27"/>
  <c r="AX7" i="27"/>
  <c r="AW7" i="27"/>
  <c r="AV7" i="27"/>
  <c r="AU7" i="27"/>
  <c r="AT7" i="27"/>
  <c r="AS7" i="27"/>
  <c r="AR7" i="27"/>
  <c r="AQ7" i="27"/>
  <c r="AP7" i="27"/>
  <c r="AO7" i="27"/>
  <c r="AN7" i="27"/>
  <c r="AM7" i="27"/>
  <c r="AL7" i="27"/>
  <c r="AK7" i="27"/>
  <c r="AJ7" i="27"/>
  <c r="AI7" i="27"/>
  <c r="AH7" i="27"/>
  <c r="AG7" i="27"/>
  <c r="AF7" i="27"/>
  <c r="AE7" i="27"/>
  <c r="AD7" i="27"/>
  <c r="AC7" i="27"/>
  <c r="AB7" i="27"/>
  <c r="AA7" i="27"/>
  <c r="Z7" i="27"/>
  <c r="Y7" i="27"/>
  <c r="X7" i="27"/>
  <c r="W7" i="27"/>
  <c r="V7" i="27"/>
  <c r="U7" i="27"/>
  <c r="T7" i="27"/>
  <c r="S7" i="27"/>
  <c r="R7" i="27"/>
  <c r="Q7" i="27"/>
  <c r="P7" i="27"/>
  <c r="O7" i="27"/>
  <c r="N7" i="27"/>
  <c r="M7" i="27"/>
  <c r="L7" i="27"/>
  <c r="K7" i="27"/>
  <c r="J7" i="27"/>
  <c r="I7" i="27"/>
  <c r="F5" i="27"/>
  <c r="E5" i="27"/>
  <c r="D5" i="27"/>
  <c r="E3" i="27"/>
  <c r="F3" i="27" s="1"/>
  <c r="G3" i="27" s="1"/>
  <c r="H3" i="27" s="1"/>
  <c r="M103" i="23"/>
  <c r="X102" i="23"/>
  <c r="S102" i="23"/>
  <c r="E97" i="23"/>
  <c r="E98" i="23" s="1"/>
  <c r="D97" i="23"/>
  <c r="D98" i="23" s="1"/>
  <c r="S83" i="23"/>
  <c r="S84" i="23" s="1"/>
  <c r="K83" i="23"/>
  <c r="K84" i="23" s="1"/>
  <c r="X79" i="23"/>
  <c r="Y78" i="23"/>
  <c r="Z78" i="23" s="1"/>
  <c r="AA78" i="23" s="1"/>
  <c r="AB78" i="23" s="1"/>
  <c r="AC78" i="23" s="1"/>
  <c r="AD78" i="23" s="1"/>
  <c r="S78" i="23"/>
  <c r="T76" i="23"/>
  <c r="U76" i="23" s="1"/>
  <c r="V76" i="23" s="1"/>
  <c r="W76" i="23" s="1"/>
  <c r="T75" i="23"/>
  <c r="U75" i="23" s="1"/>
  <c r="V75" i="23" s="1"/>
  <c r="W75" i="23" s="1"/>
  <c r="T74" i="23"/>
  <c r="U74" i="23" s="1"/>
  <c r="V74" i="23" s="1"/>
  <c r="W74" i="23" s="1"/>
  <c r="L76" i="23"/>
  <c r="M76" i="23" s="1"/>
  <c r="N76" i="23" s="1"/>
  <c r="O76" i="23" s="1"/>
  <c r="P76" i="23" s="1"/>
  <c r="Q76" i="23" s="1"/>
  <c r="R76" i="23" s="1"/>
  <c r="L75" i="23"/>
  <c r="M75" i="23" s="1"/>
  <c r="N75" i="23" s="1"/>
  <c r="O75" i="23" s="1"/>
  <c r="P75" i="23" s="1"/>
  <c r="Q75" i="23" s="1"/>
  <c r="R75" i="23" s="1"/>
  <c r="L74" i="23"/>
  <c r="M74" i="23" s="1"/>
  <c r="N74" i="23" s="1"/>
  <c r="O74" i="23" s="1"/>
  <c r="P74" i="23" s="1"/>
  <c r="Q74" i="23" s="1"/>
  <c r="R74" i="23" s="1"/>
  <c r="L73" i="23"/>
  <c r="M73" i="23" s="1"/>
  <c r="N73" i="23" s="1"/>
  <c r="O73" i="23" s="1"/>
  <c r="P73" i="23" s="1"/>
  <c r="Q73" i="23" s="1"/>
  <c r="R73" i="23" s="1"/>
  <c r="K72" i="23"/>
  <c r="K78" i="23" s="1"/>
  <c r="K79" i="23" s="1"/>
  <c r="K71" i="23"/>
  <c r="S71" i="23"/>
  <c r="T71" i="23" s="1"/>
  <c r="U71" i="23" s="1"/>
  <c r="V71" i="23" s="1"/>
  <c r="W71" i="23" s="1"/>
  <c r="L70" i="23"/>
  <c r="M70" i="23" s="1"/>
  <c r="N70" i="23" s="1"/>
  <c r="O70" i="23" s="1"/>
  <c r="P70" i="23" s="1"/>
  <c r="Q70" i="23" s="1"/>
  <c r="R70" i="23" s="1"/>
  <c r="T73" i="23"/>
  <c r="U73" i="23" s="1"/>
  <c r="V73" i="23" s="1"/>
  <c r="W73" i="23" s="1"/>
  <c r="X73" i="23" s="1"/>
  <c r="X83" i="23" s="1"/>
  <c r="X72" i="23"/>
  <c r="T72" i="23"/>
  <c r="U72" i="23" s="1"/>
  <c r="V72" i="23" s="1"/>
  <c r="W72" i="23" s="1"/>
  <c r="T70" i="23"/>
  <c r="U70" i="23" s="1"/>
  <c r="V70" i="23" s="1"/>
  <c r="W70" i="23" s="1"/>
  <c r="X70" i="23" s="1"/>
  <c r="Y70" i="23" s="1"/>
  <c r="Z70" i="23" s="1"/>
  <c r="AA70" i="23" s="1"/>
  <c r="AB70" i="23" s="1"/>
  <c r="AC70" i="23" s="1"/>
  <c r="AD70" i="23" s="1"/>
  <c r="AE70" i="23" s="1"/>
  <c r="AF70" i="23" s="1"/>
  <c r="AG70" i="23" s="1"/>
  <c r="AH70" i="23" s="1"/>
  <c r="AI70" i="23" s="1"/>
  <c r="AJ70" i="23" s="1"/>
  <c r="AK70" i="23" s="1"/>
  <c r="AL70" i="23" s="1"/>
  <c r="AM70" i="23" s="1"/>
  <c r="AN70" i="23" s="1"/>
  <c r="AO70" i="23" s="1"/>
  <c r="AP70" i="23" s="1"/>
  <c r="AQ70" i="23" s="1"/>
  <c r="AR70" i="23" s="1"/>
  <c r="AS70" i="23" s="1"/>
  <c r="AT70" i="23" s="1"/>
  <c r="AU70" i="23" s="1"/>
  <c r="AV70" i="23" s="1"/>
  <c r="AW70" i="23" s="1"/>
  <c r="AX70" i="23" s="1"/>
  <c r="AY70" i="23" s="1"/>
  <c r="AZ70" i="23" s="1"/>
  <c r="BA70" i="23" s="1"/>
  <c r="BB70" i="23" s="1"/>
  <c r="BC70" i="23" s="1"/>
  <c r="BD70" i="23" s="1"/>
  <c r="BE70" i="23" s="1"/>
  <c r="BF70" i="23" s="1"/>
  <c r="BG70" i="23" s="1"/>
  <c r="BH70" i="23" s="1"/>
  <c r="BI70" i="23" s="1"/>
  <c r="BJ70" i="23" s="1"/>
  <c r="BK70" i="23" s="1"/>
  <c r="BL70" i="23" s="1"/>
  <c r="BM70" i="23" s="1"/>
  <c r="BN70" i="23" s="1"/>
  <c r="BO70" i="23" s="1"/>
  <c r="BP70" i="23" s="1"/>
  <c r="BQ70" i="23" s="1"/>
  <c r="BR70" i="23" s="1"/>
  <c r="BS70" i="23" s="1"/>
  <c r="BT70" i="23" s="1"/>
  <c r="BU70" i="23" s="1"/>
  <c r="BV70" i="23" s="1"/>
  <c r="BW70" i="23" s="1"/>
  <c r="BX70" i="23" s="1"/>
  <c r="BY70" i="23" s="1"/>
  <c r="BZ70" i="23" s="1"/>
  <c r="CA70" i="23" s="1"/>
  <c r="CB70" i="23" s="1"/>
  <c r="CC70" i="23" s="1"/>
  <c r="CD70" i="23" s="1"/>
  <c r="CE70" i="23" s="1"/>
  <c r="CF70" i="23" s="1"/>
  <c r="CG70" i="23" s="1"/>
  <c r="CH70" i="23" s="1"/>
  <c r="CI70" i="23" s="1"/>
  <c r="CJ70" i="23" s="1"/>
  <c r="CK70" i="23" s="1"/>
  <c r="CL70" i="23" s="1"/>
  <c r="CM70" i="23" s="1"/>
  <c r="CN70" i="23" s="1"/>
  <c r="CO70" i="23" s="1"/>
  <c r="CP70" i="23" s="1"/>
  <c r="X69" i="23"/>
  <c r="Y69" i="23" s="1"/>
  <c r="Z69" i="23" s="1"/>
  <c r="AA69" i="23" s="1"/>
  <c r="AB69" i="23" s="1"/>
  <c r="AC69" i="23" s="1"/>
  <c r="AD69" i="23" s="1"/>
  <c r="AE69" i="23" s="1"/>
  <c r="AF69" i="23" s="1"/>
  <c r="AG69" i="23" s="1"/>
  <c r="AH69" i="23" s="1"/>
  <c r="AI69" i="23" s="1"/>
  <c r="AJ69" i="23" s="1"/>
  <c r="AK69" i="23" s="1"/>
  <c r="AL69" i="23" s="1"/>
  <c r="AM69" i="23" s="1"/>
  <c r="AN69" i="23" s="1"/>
  <c r="AO69" i="23" s="1"/>
  <c r="AP69" i="23" s="1"/>
  <c r="AQ69" i="23" s="1"/>
  <c r="AR69" i="23" s="1"/>
  <c r="AS69" i="23" s="1"/>
  <c r="AT69" i="23" s="1"/>
  <c r="AU69" i="23" s="1"/>
  <c r="AV69" i="23" s="1"/>
  <c r="AW69" i="23" s="1"/>
  <c r="AX69" i="23" s="1"/>
  <c r="AY69" i="23" s="1"/>
  <c r="AZ69" i="23" s="1"/>
  <c r="BA69" i="23" s="1"/>
  <c r="BB69" i="23" s="1"/>
  <c r="BC69" i="23" s="1"/>
  <c r="BD69" i="23" s="1"/>
  <c r="BE69" i="23" s="1"/>
  <c r="BF69" i="23" s="1"/>
  <c r="BG69" i="23" s="1"/>
  <c r="BH69" i="23" s="1"/>
  <c r="BI69" i="23" s="1"/>
  <c r="BJ69" i="23" s="1"/>
  <c r="BK69" i="23" s="1"/>
  <c r="BL69" i="23" s="1"/>
  <c r="BM69" i="23" s="1"/>
  <c r="BN69" i="23" s="1"/>
  <c r="BO69" i="23" s="1"/>
  <c r="BP69" i="23" s="1"/>
  <c r="BQ69" i="23" s="1"/>
  <c r="BR69" i="23" s="1"/>
  <c r="BS69" i="23" s="1"/>
  <c r="BT69" i="23" s="1"/>
  <c r="BU69" i="23" s="1"/>
  <c r="BV69" i="23" s="1"/>
  <c r="BW69" i="23" s="1"/>
  <c r="BX69" i="23" s="1"/>
  <c r="BY69" i="23" s="1"/>
  <c r="BZ69" i="23" s="1"/>
  <c r="CA69" i="23" s="1"/>
  <c r="CB69" i="23" s="1"/>
  <c r="CC69" i="23" s="1"/>
  <c r="CD69" i="23" s="1"/>
  <c r="CE69" i="23" s="1"/>
  <c r="CF69" i="23" s="1"/>
  <c r="CG69" i="23" s="1"/>
  <c r="CH69" i="23" s="1"/>
  <c r="CI69" i="23" s="1"/>
  <c r="CJ69" i="23" s="1"/>
  <c r="CK69" i="23" s="1"/>
  <c r="CL69" i="23" s="1"/>
  <c r="CM69" i="23" s="1"/>
  <c r="CN69" i="23" s="1"/>
  <c r="CO69" i="23" s="1"/>
  <c r="CP69" i="23" s="1"/>
  <c r="S69" i="23"/>
  <c r="T69" i="23" s="1"/>
  <c r="U69" i="23" s="1"/>
  <c r="V69" i="23" s="1"/>
  <c r="W69" i="23" s="1"/>
  <c r="K69" i="23"/>
  <c r="L69" i="23" s="1"/>
  <c r="M69" i="23" s="1"/>
  <c r="N69" i="23" s="1"/>
  <c r="O69" i="23" s="1"/>
  <c r="P69" i="23" s="1"/>
  <c r="Q69" i="23" s="1"/>
  <c r="R69" i="23" s="1"/>
  <c r="Y76" i="23"/>
  <c r="Z76" i="23" s="1"/>
  <c r="AA76" i="23" s="1"/>
  <c r="AB76" i="23" s="1"/>
  <c r="AC76" i="23" s="1"/>
  <c r="AD76" i="23" s="1"/>
  <c r="AE76" i="23" s="1"/>
  <c r="AF76" i="23" s="1"/>
  <c r="AG76" i="23" s="1"/>
  <c r="AH76" i="23" s="1"/>
  <c r="AI76" i="23" s="1"/>
  <c r="AJ76" i="23" s="1"/>
  <c r="AK76" i="23" s="1"/>
  <c r="AL76" i="23" s="1"/>
  <c r="AM76" i="23" s="1"/>
  <c r="AN76" i="23" s="1"/>
  <c r="AO76" i="23" s="1"/>
  <c r="AP76" i="23" s="1"/>
  <c r="AQ76" i="23" s="1"/>
  <c r="AR76" i="23" s="1"/>
  <c r="AS76" i="23" s="1"/>
  <c r="AT76" i="23" s="1"/>
  <c r="AU76" i="23" s="1"/>
  <c r="AV76" i="23" s="1"/>
  <c r="AW76" i="23" s="1"/>
  <c r="AX76" i="23" s="1"/>
  <c r="AY76" i="23" s="1"/>
  <c r="AZ76" i="23" s="1"/>
  <c r="BA76" i="23" s="1"/>
  <c r="BB76" i="23" s="1"/>
  <c r="BC76" i="23" s="1"/>
  <c r="BD76" i="23" s="1"/>
  <c r="BE76" i="23" s="1"/>
  <c r="BF76" i="23" s="1"/>
  <c r="BG76" i="23" s="1"/>
  <c r="BH76" i="23" s="1"/>
  <c r="BI76" i="23" s="1"/>
  <c r="BJ76" i="23" s="1"/>
  <c r="BK76" i="23" s="1"/>
  <c r="BL76" i="23" s="1"/>
  <c r="BM76" i="23" s="1"/>
  <c r="BN76" i="23" s="1"/>
  <c r="BO76" i="23" s="1"/>
  <c r="BP76" i="23" s="1"/>
  <c r="BQ76" i="23" s="1"/>
  <c r="BR76" i="23" s="1"/>
  <c r="BS76" i="23" s="1"/>
  <c r="BT76" i="23" s="1"/>
  <c r="BU76" i="23" s="1"/>
  <c r="BV76" i="23" s="1"/>
  <c r="BW76" i="23" s="1"/>
  <c r="BX76" i="23" s="1"/>
  <c r="BY76" i="23" s="1"/>
  <c r="BZ76" i="23" s="1"/>
  <c r="CA76" i="23" s="1"/>
  <c r="CB76" i="23" s="1"/>
  <c r="CC76" i="23" s="1"/>
  <c r="CD76" i="23" s="1"/>
  <c r="CE76" i="23" s="1"/>
  <c r="CF76" i="23" s="1"/>
  <c r="CG76" i="23" s="1"/>
  <c r="CH76" i="23" s="1"/>
  <c r="CI76" i="23" s="1"/>
  <c r="CJ76" i="23" s="1"/>
  <c r="CK76" i="23" s="1"/>
  <c r="CL76" i="23" s="1"/>
  <c r="CM76" i="23" s="1"/>
  <c r="CN76" i="23" s="1"/>
  <c r="CO76" i="23" s="1"/>
  <c r="CP76" i="23" s="1"/>
  <c r="Y75" i="23"/>
  <c r="Z75" i="23" s="1"/>
  <c r="AA75" i="23" s="1"/>
  <c r="AB75" i="23" s="1"/>
  <c r="AC75" i="23" s="1"/>
  <c r="AD75" i="23" s="1"/>
  <c r="AE75" i="23" s="1"/>
  <c r="AF75" i="23" s="1"/>
  <c r="AG75" i="23" s="1"/>
  <c r="AH75" i="23" s="1"/>
  <c r="AI75" i="23" s="1"/>
  <c r="AJ75" i="23" s="1"/>
  <c r="AK75" i="23" s="1"/>
  <c r="AL75" i="23" s="1"/>
  <c r="AM75" i="23" s="1"/>
  <c r="AN75" i="23" s="1"/>
  <c r="AO75" i="23" s="1"/>
  <c r="AP75" i="23" s="1"/>
  <c r="AQ75" i="23" s="1"/>
  <c r="AR75" i="23" s="1"/>
  <c r="AS75" i="23" s="1"/>
  <c r="AT75" i="23" s="1"/>
  <c r="AU75" i="23" s="1"/>
  <c r="AV75" i="23" s="1"/>
  <c r="AW75" i="23" s="1"/>
  <c r="AX75" i="23" s="1"/>
  <c r="AY75" i="23" s="1"/>
  <c r="AZ75" i="23" s="1"/>
  <c r="BA75" i="23" s="1"/>
  <c r="BB75" i="23" s="1"/>
  <c r="BC75" i="23" s="1"/>
  <c r="BD75" i="23" s="1"/>
  <c r="BE75" i="23" s="1"/>
  <c r="BF75" i="23" s="1"/>
  <c r="BG75" i="23" s="1"/>
  <c r="BH75" i="23" s="1"/>
  <c r="BI75" i="23" s="1"/>
  <c r="BJ75" i="23" s="1"/>
  <c r="BK75" i="23" s="1"/>
  <c r="BL75" i="23" s="1"/>
  <c r="BM75" i="23" s="1"/>
  <c r="BN75" i="23" s="1"/>
  <c r="BO75" i="23" s="1"/>
  <c r="BP75" i="23" s="1"/>
  <c r="BQ75" i="23" s="1"/>
  <c r="BR75" i="23" s="1"/>
  <c r="BS75" i="23" s="1"/>
  <c r="BT75" i="23" s="1"/>
  <c r="BU75" i="23" s="1"/>
  <c r="BV75" i="23" s="1"/>
  <c r="BW75" i="23" s="1"/>
  <c r="BX75" i="23" s="1"/>
  <c r="BY75" i="23" s="1"/>
  <c r="BZ75" i="23" s="1"/>
  <c r="CA75" i="23" s="1"/>
  <c r="CB75" i="23" s="1"/>
  <c r="CC75" i="23" s="1"/>
  <c r="CD75" i="23" s="1"/>
  <c r="CE75" i="23" s="1"/>
  <c r="CF75" i="23" s="1"/>
  <c r="CG75" i="23" s="1"/>
  <c r="CH75" i="23" s="1"/>
  <c r="CI75" i="23" s="1"/>
  <c r="CJ75" i="23" s="1"/>
  <c r="CK75" i="23" s="1"/>
  <c r="CL75" i="23" s="1"/>
  <c r="CM75" i="23" s="1"/>
  <c r="CN75" i="23" s="1"/>
  <c r="CO75" i="23" s="1"/>
  <c r="CP75" i="23" s="1"/>
  <c r="Y74" i="23"/>
  <c r="Z74" i="23" s="1"/>
  <c r="AA74" i="23" s="1"/>
  <c r="AB74" i="23" s="1"/>
  <c r="AC74" i="23" s="1"/>
  <c r="AD74" i="23" s="1"/>
  <c r="AE74" i="23" s="1"/>
  <c r="Y68" i="23"/>
  <c r="Y102" i="23" s="1"/>
  <c r="Y67" i="23"/>
  <c r="T68" i="23"/>
  <c r="T102" i="23" s="1"/>
  <c r="T67" i="23"/>
  <c r="L68" i="23"/>
  <c r="M68" i="23" s="1"/>
  <c r="N68" i="23" s="1"/>
  <c r="L67" i="23"/>
  <c r="M67" i="23" s="1"/>
  <c r="E64" i="23"/>
  <c r="V54" i="23"/>
  <c r="U54" i="23"/>
  <c r="T54" i="23"/>
  <c r="S54" i="23"/>
  <c r="L53" i="23"/>
  <c r="K53" i="23"/>
  <c r="L49" i="23"/>
  <c r="K49" i="23"/>
  <c r="K55" i="23" s="1"/>
  <c r="BT43" i="23"/>
  <c r="U43" i="23"/>
  <c r="T43" i="23"/>
  <c r="S43" i="23"/>
  <c r="CH42" i="23"/>
  <c r="BA42" i="23"/>
  <c r="E37" i="23"/>
  <c r="E36" i="23"/>
  <c r="BT37" i="23"/>
  <c r="W37" i="23"/>
  <c r="CH36" i="23"/>
  <c r="BA36" i="23"/>
  <c r="AB28" i="23"/>
  <c r="AC28" i="23" s="1"/>
  <c r="AD28" i="23" s="1"/>
  <c r="AE28" i="23" s="1"/>
  <c r="AF28" i="23" s="1"/>
  <c r="AG28" i="23" s="1"/>
  <c r="AH28" i="23" s="1"/>
  <c r="AI28" i="23" s="1"/>
  <c r="AJ28" i="23" s="1"/>
  <c r="AK28" i="23" s="1"/>
  <c r="AL28" i="23" s="1"/>
  <c r="AM28" i="23" s="1"/>
  <c r="AN28" i="23" s="1"/>
  <c r="AO28" i="23" s="1"/>
  <c r="AP28" i="23" s="1"/>
  <c r="AQ28" i="23" s="1"/>
  <c r="AR28" i="23" s="1"/>
  <c r="AS28" i="23" s="1"/>
  <c r="AT28" i="23" s="1"/>
  <c r="AU28" i="23" s="1"/>
  <c r="AV28" i="23" s="1"/>
  <c r="AW28" i="23" s="1"/>
  <c r="AX28" i="23" s="1"/>
  <c r="AY28" i="23" s="1"/>
  <c r="AZ28" i="23" s="1"/>
  <c r="BA28" i="23" s="1"/>
  <c r="BB28" i="23" s="1"/>
  <c r="BC28" i="23" s="1"/>
  <c r="BD28" i="23" s="1"/>
  <c r="BE28" i="23" s="1"/>
  <c r="BF28" i="23" s="1"/>
  <c r="BG28" i="23" s="1"/>
  <c r="BH28" i="23" s="1"/>
  <c r="BI28" i="23" s="1"/>
  <c r="BJ28" i="23" s="1"/>
  <c r="BK28" i="23" s="1"/>
  <c r="BL28" i="23" s="1"/>
  <c r="BM28" i="23" s="1"/>
  <c r="BN28" i="23" s="1"/>
  <c r="BO28" i="23" s="1"/>
  <c r="BP28" i="23" s="1"/>
  <c r="BQ28" i="23" s="1"/>
  <c r="BR28" i="23" s="1"/>
  <c r="BS28" i="23" s="1"/>
  <c r="BT28" i="23" s="1"/>
  <c r="BU28" i="23" s="1"/>
  <c r="BV28" i="23" s="1"/>
  <c r="BW28" i="23" s="1"/>
  <c r="BX28" i="23" s="1"/>
  <c r="BY28" i="23" s="1"/>
  <c r="BZ28" i="23" s="1"/>
  <c r="CA28" i="23" s="1"/>
  <c r="CB28" i="23" s="1"/>
  <c r="CC28" i="23" s="1"/>
  <c r="CD28" i="23" s="1"/>
  <c r="CE28" i="23" s="1"/>
  <c r="CF28" i="23" s="1"/>
  <c r="CG28" i="23" s="1"/>
  <c r="CH28" i="23" s="1"/>
  <c r="CI28" i="23" s="1"/>
  <c r="CJ28" i="23" s="1"/>
  <c r="CK28" i="23" s="1"/>
  <c r="CL28" i="23" s="1"/>
  <c r="CM28" i="23" s="1"/>
  <c r="CN28" i="23" s="1"/>
  <c r="CO28" i="23" s="1"/>
  <c r="CP28" i="23" s="1"/>
  <c r="Y28" i="23"/>
  <c r="Z28" i="23" s="1"/>
  <c r="W28" i="23"/>
  <c r="W20" i="23"/>
  <c r="W19" i="23"/>
  <c r="V20" i="23"/>
  <c r="V47" i="23" s="1"/>
  <c r="U20" i="23"/>
  <c r="U47" i="23" s="1"/>
  <c r="U49" i="23" s="1"/>
  <c r="U50" i="23" s="1"/>
  <c r="T20" i="23"/>
  <c r="T47" i="23" s="1"/>
  <c r="T49" i="23" s="1"/>
  <c r="T50" i="23" s="1"/>
  <c r="S20" i="23"/>
  <c r="R20" i="23"/>
  <c r="R47" i="23" s="1"/>
  <c r="Q20" i="23"/>
  <c r="Q47" i="23" s="1"/>
  <c r="P20" i="23"/>
  <c r="O20" i="23"/>
  <c r="N20" i="23"/>
  <c r="N47" i="23" s="1"/>
  <c r="M20" i="23"/>
  <c r="M47" i="23" s="1"/>
  <c r="M49" i="23" s="1"/>
  <c r="V19" i="23"/>
  <c r="U19" i="23"/>
  <c r="T19" i="23"/>
  <c r="S19" i="23"/>
  <c r="R19" i="23"/>
  <c r="Q19" i="23"/>
  <c r="P19" i="23"/>
  <c r="O19" i="23"/>
  <c r="N19" i="23"/>
  <c r="M19" i="23"/>
  <c r="L20" i="23"/>
  <c r="K20" i="23"/>
  <c r="L19" i="23"/>
  <c r="K19" i="23"/>
  <c r="CP15" i="23"/>
  <c r="CO15" i="23"/>
  <c r="CN15" i="23"/>
  <c r="CM15" i="23"/>
  <c r="CL15" i="23"/>
  <c r="CK15" i="23"/>
  <c r="CJ15" i="23"/>
  <c r="CI15" i="23"/>
  <c r="CH15" i="23"/>
  <c r="CG15" i="23"/>
  <c r="CF15" i="23"/>
  <c r="CE15" i="23"/>
  <c r="CD15" i="23"/>
  <c r="CC15" i="23"/>
  <c r="CB15" i="23"/>
  <c r="CA15" i="23"/>
  <c r="BZ15" i="23"/>
  <c r="BY15" i="23"/>
  <c r="BX15" i="23"/>
  <c r="BW15" i="23"/>
  <c r="BV15" i="23"/>
  <c r="BU15" i="23"/>
  <c r="BT15" i="23"/>
  <c r="BS15" i="23"/>
  <c r="BR15" i="23"/>
  <c r="BQ15" i="23"/>
  <c r="BP15" i="23"/>
  <c r="BO15" i="23"/>
  <c r="BN15" i="23"/>
  <c r="BM15" i="23"/>
  <c r="BL15" i="23"/>
  <c r="BK15" i="23"/>
  <c r="BJ15" i="23"/>
  <c r="BI15" i="23"/>
  <c r="BH15" i="23"/>
  <c r="BG15" i="23"/>
  <c r="BF15" i="23"/>
  <c r="BE15" i="23"/>
  <c r="BD15" i="23"/>
  <c r="BC15" i="23"/>
  <c r="BB15" i="23"/>
  <c r="BA15" i="23"/>
  <c r="AZ15" i="23"/>
  <c r="AY15" i="23"/>
  <c r="AX15" i="23"/>
  <c r="AW15" i="23"/>
  <c r="AV15" i="23"/>
  <c r="AU15" i="23"/>
  <c r="AT15" i="23"/>
  <c r="AS15" i="23"/>
  <c r="AR15" i="23"/>
  <c r="AQ15" i="23"/>
  <c r="AP15" i="23"/>
  <c r="AO15" i="23"/>
  <c r="AN15" i="23"/>
  <c r="AM15" i="23"/>
  <c r="AL15" i="23"/>
  <c r="AK15" i="23"/>
  <c r="AJ15" i="23"/>
  <c r="AI15" i="23"/>
  <c r="AH15" i="23"/>
  <c r="AG15" i="23"/>
  <c r="AF15" i="23"/>
  <c r="AE15" i="23"/>
  <c r="AD15" i="23"/>
  <c r="AC15" i="23"/>
  <c r="AB15" i="23"/>
  <c r="AA15" i="23"/>
  <c r="Z15" i="23"/>
  <c r="Y15" i="23"/>
  <c r="X15" i="23"/>
  <c r="W15" i="23"/>
  <c r="V15" i="23"/>
  <c r="U15" i="23"/>
  <c r="T15" i="23"/>
  <c r="S15" i="23"/>
  <c r="R15" i="23"/>
  <c r="Q15" i="23"/>
  <c r="P15" i="23"/>
  <c r="O15" i="23"/>
  <c r="N15" i="23"/>
  <c r="M15" i="23"/>
  <c r="L15" i="23"/>
  <c r="K15" i="23"/>
  <c r="CP14" i="23"/>
  <c r="CO14" i="23"/>
  <c r="CN14" i="23"/>
  <c r="CM14" i="23"/>
  <c r="CL14" i="23"/>
  <c r="CK14" i="23"/>
  <c r="CJ14" i="23"/>
  <c r="CI14" i="23"/>
  <c r="CH14" i="23"/>
  <c r="CG14" i="23"/>
  <c r="CF14" i="23"/>
  <c r="CE14" i="23"/>
  <c r="CD14" i="23"/>
  <c r="CC14" i="23"/>
  <c r="CB14" i="23"/>
  <c r="CA14" i="23"/>
  <c r="BZ14" i="23"/>
  <c r="BY14" i="23"/>
  <c r="BX14" i="23"/>
  <c r="BW14" i="23"/>
  <c r="BV14" i="23"/>
  <c r="BU14" i="23"/>
  <c r="BT14" i="23"/>
  <c r="BS14" i="23"/>
  <c r="BR14" i="23"/>
  <c r="BQ14" i="23"/>
  <c r="BP14" i="23"/>
  <c r="BO14" i="23"/>
  <c r="BN14" i="23"/>
  <c r="BM14" i="23"/>
  <c r="BL14" i="23"/>
  <c r="BK14" i="23"/>
  <c r="BJ14" i="23"/>
  <c r="BI14" i="23"/>
  <c r="BH14" i="23"/>
  <c r="BG14" i="23"/>
  <c r="BF14" i="23"/>
  <c r="BE14" i="23"/>
  <c r="BD14" i="23"/>
  <c r="BC14" i="23"/>
  <c r="BB14" i="23"/>
  <c r="BA14" i="23"/>
  <c r="AZ14" i="23"/>
  <c r="AY14" i="23"/>
  <c r="AX14" i="23"/>
  <c r="AW14" i="23"/>
  <c r="AV14" i="23"/>
  <c r="AU14" i="23"/>
  <c r="AT14" i="23"/>
  <c r="AS14" i="23"/>
  <c r="AR14" i="23"/>
  <c r="AQ14" i="23"/>
  <c r="AP14" i="23"/>
  <c r="AO14" i="23"/>
  <c r="AN14" i="23"/>
  <c r="AM14" i="23"/>
  <c r="AL14" i="23"/>
  <c r="AK14" i="23"/>
  <c r="AJ14" i="23"/>
  <c r="AI14" i="23"/>
  <c r="AH14" i="23"/>
  <c r="AG14" i="23"/>
  <c r="AF14" i="23"/>
  <c r="AE14" i="23"/>
  <c r="AD14" i="23"/>
  <c r="AC14" i="23"/>
  <c r="AB14" i="23"/>
  <c r="AA14" i="23"/>
  <c r="Z14" i="23"/>
  <c r="Y14" i="23"/>
  <c r="X14" i="23"/>
  <c r="W14" i="23"/>
  <c r="V14" i="23"/>
  <c r="U14" i="23"/>
  <c r="T14" i="23"/>
  <c r="S14" i="23"/>
  <c r="R14" i="23"/>
  <c r="Q14" i="23"/>
  <c r="P14" i="23"/>
  <c r="O14" i="23"/>
  <c r="N14" i="23"/>
  <c r="M14" i="23"/>
  <c r="L14" i="23"/>
  <c r="K14" i="23"/>
  <c r="CP13" i="23"/>
  <c r="CO13" i="23"/>
  <c r="CN13" i="23"/>
  <c r="CM13" i="23"/>
  <c r="CL13" i="23"/>
  <c r="CK13" i="23"/>
  <c r="CJ13" i="23"/>
  <c r="CI13" i="23"/>
  <c r="CH13" i="23"/>
  <c r="CG13" i="23"/>
  <c r="CF13" i="23"/>
  <c r="CE13" i="23"/>
  <c r="CD13" i="23"/>
  <c r="CC13" i="23"/>
  <c r="CB13" i="23"/>
  <c r="CA13" i="23"/>
  <c r="BZ13" i="23"/>
  <c r="BY13" i="23"/>
  <c r="BX13" i="23"/>
  <c r="BW13" i="23"/>
  <c r="BV13" i="23"/>
  <c r="BU13" i="23"/>
  <c r="BT13" i="23"/>
  <c r="BS13" i="23"/>
  <c r="BR13" i="23"/>
  <c r="BQ13" i="23"/>
  <c r="BP13" i="23"/>
  <c r="BO13" i="23"/>
  <c r="BN13" i="23"/>
  <c r="BM13" i="23"/>
  <c r="BL13" i="23"/>
  <c r="BK13" i="23"/>
  <c r="BJ13" i="23"/>
  <c r="BI13" i="23"/>
  <c r="BH13" i="23"/>
  <c r="BG13" i="23"/>
  <c r="BF13" i="23"/>
  <c r="BE13" i="23"/>
  <c r="BD13" i="23"/>
  <c r="BC13" i="23"/>
  <c r="BB13" i="23"/>
  <c r="BA13" i="23"/>
  <c r="AZ13" i="23"/>
  <c r="AY13" i="23"/>
  <c r="AX13" i="23"/>
  <c r="AW13" i="23"/>
  <c r="AV13" i="23"/>
  <c r="AU13" i="23"/>
  <c r="AT13" i="23"/>
  <c r="AS13" i="23"/>
  <c r="AR13" i="23"/>
  <c r="AQ13" i="23"/>
  <c r="AP13" i="23"/>
  <c r="AO13" i="23"/>
  <c r="AN13" i="23"/>
  <c r="AM13" i="23"/>
  <c r="AL13" i="23"/>
  <c r="AK13" i="23"/>
  <c r="AJ13" i="23"/>
  <c r="AI13" i="23"/>
  <c r="AH13" i="23"/>
  <c r="AG13" i="23"/>
  <c r="AF13" i="23"/>
  <c r="AE13" i="23"/>
  <c r="AD13" i="23"/>
  <c r="AC13" i="23"/>
  <c r="AB13" i="23"/>
  <c r="AA13" i="23"/>
  <c r="Z13" i="23"/>
  <c r="Y13" i="23"/>
  <c r="X13" i="23"/>
  <c r="W13" i="23"/>
  <c r="V13" i="23"/>
  <c r="U13" i="23"/>
  <c r="T13" i="23"/>
  <c r="S13" i="23"/>
  <c r="R13" i="23"/>
  <c r="Q13" i="23"/>
  <c r="P13" i="23"/>
  <c r="O13" i="23"/>
  <c r="N13" i="23"/>
  <c r="M13" i="23"/>
  <c r="L13" i="23"/>
  <c r="K13" i="23"/>
  <c r="CP12" i="23"/>
  <c r="CO12" i="23"/>
  <c r="CN12" i="23"/>
  <c r="CM12" i="23"/>
  <c r="CL12" i="23"/>
  <c r="CK12" i="23"/>
  <c r="CJ12" i="23"/>
  <c r="CI12" i="23"/>
  <c r="CH12" i="23"/>
  <c r="CG12" i="23"/>
  <c r="CF12" i="23"/>
  <c r="CE12" i="23"/>
  <c r="CD12" i="23"/>
  <c r="CC12" i="23"/>
  <c r="CB12" i="23"/>
  <c r="CA12" i="23"/>
  <c r="BZ12" i="23"/>
  <c r="BY12" i="23"/>
  <c r="BX12" i="23"/>
  <c r="BW12" i="23"/>
  <c r="BV12" i="23"/>
  <c r="BU12" i="23"/>
  <c r="BT12" i="23"/>
  <c r="BS12" i="23"/>
  <c r="BR12" i="23"/>
  <c r="BQ12" i="23"/>
  <c r="BP12" i="23"/>
  <c r="BO12" i="23"/>
  <c r="BN12" i="23"/>
  <c r="BM12" i="23"/>
  <c r="BL12" i="23"/>
  <c r="BK12" i="23"/>
  <c r="BJ12" i="23"/>
  <c r="BI12" i="23"/>
  <c r="BH12" i="23"/>
  <c r="BG12" i="23"/>
  <c r="BF12" i="23"/>
  <c r="BE12" i="23"/>
  <c r="BD12" i="23"/>
  <c r="BC12" i="23"/>
  <c r="BB12" i="23"/>
  <c r="BA12" i="23"/>
  <c r="AZ12" i="23"/>
  <c r="AY12" i="23"/>
  <c r="AX12" i="23"/>
  <c r="AW12" i="23"/>
  <c r="AV12" i="23"/>
  <c r="AU12" i="23"/>
  <c r="AT12" i="23"/>
  <c r="AS12" i="23"/>
  <c r="AR12" i="23"/>
  <c r="AQ12" i="23"/>
  <c r="AP12" i="23"/>
  <c r="AO12" i="23"/>
  <c r="AN12" i="23"/>
  <c r="AM12" i="23"/>
  <c r="AL12" i="23"/>
  <c r="AK12" i="23"/>
  <c r="AJ12" i="23"/>
  <c r="AI12" i="23"/>
  <c r="AH12" i="23"/>
  <c r="AG12" i="23"/>
  <c r="AF12" i="23"/>
  <c r="AE12" i="23"/>
  <c r="AD12" i="23"/>
  <c r="AC12" i="23"/>
  <c r="AB12" i="23"/>
  <c r="AA12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CP11" i="23"/>
  <c r="CO11" i="23"/>
  <c r="CN11" i="23"/>
  <c r="CM11" i="23"/>
  <c r="CL11" i="23"/>
  <c r="CK11" i="23"/>
  <c r="CJ11" i="23"/>
  <c r="CI11" i="23"/>
  <c r="CH11" i="23"/>
  <c r="CG11" i="23"/>
  <c r="CF11" i="23"/>
  <c r="CE11" i="23"/>
  <c r="CD11" i="23"/>
  <c r="CC11" i="23"/>
  <c r="CB11" i="23"/>
  <c r="CA11" i="23"/>
  <c r="BZ11" i="23"/>
  <c r="BY11" i="23"/>
  <c r="BX11" i="23"/>
  <c r="BW11" i="23"/>
  <c r="BV11" i="23"/>
  <c r="BU11" i="23"/>
  <c r="BT11" i="23"/>
  <c r="BS11" i="23"/>
  <c r="BR11" i="23"/>
  <c r="BQ11" i="23"/>
  <c r="BP11" i="23"/>
  <c r="BO11" i="23"/>
  <c r="BN11" i="23"/>
  <c r="BM11" i="23"/>
  <c r="BL11" i="23"/>
  <c r="BK11" i="23"/>
  <c r="BJ11" i="23"/>
  <c r="BI11" i="23"/>
  <c r="BH11" i="23"/>
  <c r="BG11" i="23"/>
  <c r="BF11" i="23"/>
  <c r="BE11" i="23"/>
  <c r="BD11" i="23"/>
  <c r="BC11" i="23"/>
  <c r="BB11" i="23"/>
  <c r="BA11" i="23"/>
  <c r="AZ11" i="23"/>
  <c r="AY11" i="23"/>
  <c r="AX11" i="23"/>
  <c r="AW11" i="23"/>
  <c r="AV11" i="23"/>
  <c r="AU11" i="23"/>
  <c r="AT11" i="23"/>
  <c r="AS11" i="23"/>
  <c r="AR11" i="23"/>
  <c r="AQ11" i="23"/>
  <c r="AP11" i="23"/>
  <c r="AO11" i="23"/>
  <c r="AN11" i="23"/>
  <c r="AM11" i="23"/>
  <c r="AL11" i="23"/>
  <c r="AK11" i="23"/>
  <c r="AJ11" i="23"/>
  <c r="AI11" i="23"/>
  <c r="AH11" i="23"/>
  <c r="AG11" i="23"/>
  <c r="AF11" i="23"/>
  <c r="AE11" i="23"/>
  <c r="AD11" i="23"/>
  <c r="AC11" i="23"/>
  <c r="AB11" i="23"/>
  <c r="AA11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CP10" i="23"/>
  <c r="CO10" i="23"/>
  <c r="CN10" i="23"/>
  <c r="CM10" i="23"/>
  <c r="CL10" i="23"/>
  <c r="CK10" i="23"/>
  <c r="CJ10" i="23"/>
  <c r="CI10" i="23"/>
  <c r="CH10" i="23"/>
  <c r="CG10" i="23"/>
  <c r="CF10" i="23"/>
  <c r="CE10" i="23"/>
  <c r="CD10" i="23"/>
  <c r="CC10" i="23"/>
  <c r="CB10" i="23"/>
  <c r="CA10" i="23"/>
  <c r="BZ10" i="23"/>
  <c r="BY10" i="23"/>
  <c r="BX10" i="23"/>
  <c r="BW10" i="23"/>
  <c r="BV10" i="23"/>
  <c r="BU10" i="23"/>
  <c r="BT10" i="23"/>
  <c r="BS10" i="23"/>
  <c r="BR10" i="23"/>
  <c r="BQ10" i="23"/>
  <c r="BP10" i="23"/>
  <c r="BO10" i="23"/>
  <c r="BN10" i="23"/>
  <c r="BM10" i="23"/>
  <c r="BL10" i="23"/>
  <c r="BK10" i="23"/>
  <c r="BJ10" i="23"/>
  <c r="BI10" i="23"/>
  <c r="BH10" i="23"/>
  <c r="BG10" i="23"/>
  <c r="BF10" i="23"/>
  <c r="BE10" i="23"/>
  <c r="BD10" i="23"/>
  <c r="BC10" i="23"/>
  <c r="BB10" i="23"/>
  <c r="BA10" i="23"/>
  <c r="AZ10" i="23"/>
  <c r="AY10" i="23"/>
  <c r="AX10" i="23"/>
  <c r="AW10" i="23"/>
  <c r="AV10" i="23"/>
  <c r="AU10" i="23"/>
  <c r="AT10" i="23"/>
  <c r="AS10" i="23"/>
  <c r="AR10" i="23"/>
  <c r="AQ10" i="23"/>
  <c r="AP10" i="23"/>
  <c r="AO10" i="23"/>
  <c r="AN10" i="23"/>
  <c r="AM10" i="23"/>
  <c r="AL10" i="23"/>
  <c r="AK10" i="23"/>
  <c r="AJ10" i="23"/>
  <c r="AI10" i="23"/>
  <c r="AH10" i="23"/>
  <c r="AG10" i="23"/>
  <c r="AF10" i="23"/>
  <c r="AE10" i="23"/>
  <c r="AD10" i="23"/>
  <c r="AC10" i="23"/>
  <c r="AB10" i="23"/>
  <c r="AA10" i="23"/>
  <c r="Z10" i="23"/>
  <c r="Y10" i="23"/>
  <c r="X10" i="23"/>
  <c r="W10" i="23"/>
  <c r="V10" i="23"/>
  <c r="U10" i="23"/>
  <c r="T10" i="23"/>
  <c r="S10" i="23"/>
  <c r="R10" i="23"/>
  <c r="Q10" i="23"/>
  <c r="P10" i="23"/>
  <c r="O10" i="23"/>
  <c r="N10" i="23"/>
  <c r="M10" i="23"/>
  <c r="L10" i="23"/>
  <c r="K10" i="23"/>
  <c r="CP9" i="23"/>
  <c r="CO9" i="23"/>
  <c r="CN9" i="23"/>
  <c r="CM9" i="23"/>
  <c r="CL9" i="23"/>
  <c r="CK9" i="23"/>
  <c r="CJ9" i="23"/>
  <c r="CI9" i="23"/>
  <c r="CH9" i="23"/>
  <c r="CG9" i="23"/>
  <c r="CF9" i="23"/>
  <c r="CE9" i="23"/>
  <c r="CD9" i="23"/>
  <c r="CC9" i="23"/>
  <c r="CB9" i="23"/>
  <c r="CA9" i="23"/>
  <c r="BZ9" i="23"/>
  <c r="BY9" i="23"/>
  <c r="BX9" i="23"/>
  <c r="BW9" i="23"/>
  <c r="BV9" i="23"/>
  <c r="BU9" i="23"/>
  <c r="BT9" i="23"/>
  <c r="BS9" i="23"/>
  <c r="BR9" i="23"/>
  <c r="BQ9" i="23"/>
  <c r="BP9" i="23"/>
  <c r="BO9" i="23"/>
  <c r="BN9" i="23"/>
  <c r="BM9" i="23"/>
  <c r="BL9" i="23"/>
  <c r="BK9" i="23"/>
  <c r="BJ9" i="23"/>
  <c r="BI9" i="23"/>
  <c r="BH9" i="23"/>
  <c r="BG9" i="23"/>
  <c r="BF9" i="23"/>
  <c r="BE9" i="23"/>
  <c r="BD9" i="23"/>
  <c r="BC9" i="23"/>
  <c r="BB9" i="23"/>
  <c r="BA9" i="23"/>
  <c r="AZ9" i="23"/>
  <c r="AY9" i="23"/>
  <c r="AX9" i="23"/>
  <c r="AW9" i="23"/>
  <c r="AV9" i="23"/>
  <c r="AU9" i="23"/>
  <c r="AT9" i="23"/>
  <c r="AS9" i="23"/>
  <c r="AR9" i="23"/>
  <c r="AQ9" i="23"/>
  <c r="AP9" i="23"/>
  <c r="AO9" i="23"/>
  <c r="AN9" i="23"/>
  <c r="AM9" i="23"/>
  <c r="AL9" i="23"/>
  <c r="AK9" i="23"/>
  <c r="AJ9" i="23"/>
  <c r="AI9" i="23"/>
  <c r="AH9" i="23"/>
  <c r="AG9" i="23"/>
  <c r="AF9" i="23"/>
  <c r="AE9" i="23"/>
  <c r="AD9" i="23"/>
  <c r="AC9" i="23"/>
  <c r="AB9" i="23"/>
  <c r="AA9" i="23"/>
  <c r="Z9" i="23"/>
  <c r="Y9" i="23"/>
  <c r="X9" i="23"/>
  <c r="W9" i="23"/>
  <c r="V9" i="23"/>
  <c r="U9" i="23"/>
  <c r="T9" i="23"/>
  <c r="S9" i="23"/>
  <c r="R9" i="23"/>
  <c r="Q9" i="23"/>
  <c r="P9" i="23"/>
  <c r="O9" i="23"/>
  <c r="N9" i="23"/>
  <c r="M9" i="23"/>
  <c r="L9" i="23"/>
  <c r="K9" i="23"/>
  <c r="CP8" i="23"/>
  <c r="CO8" i="23"/>
  <c r="CN8" i="23"/>
  <c r="CM8" i="23"/>
  <c r="CL8" i="23"/>
  <c r="CK8" i="23"/>
  <c r="CJ8" i="23"/>
  <c r="CI8" i="23"/>
  <c r="CH8" i="23"/>
  <c r="CG8" i="23"/>
  <c r="CF8" i="23"/>
  <c r="CE8" i="23"/>
  <c r="CD8" i="23"/>
  <c r="CC8" i="23"/>
  <c r="CB8" i="23"/>
  <c r="CA8" i="23"/>
  <c r="BZ8" i="23"/>
  <c r="BY8" i="23"/>
  <c r="BX8" i="23"/>
  <c r="BW8" i="23"/>
  <c r="BV8" i="23"/>
  <c r="BU8" i="23"/>
  <c r="BT8" i="23"/>
  <c r="BS8" i="23"/>
  <c r="BR8" i="23"/>
  <c r="BQ8" i="23"/>
  <c r="BP8" i="23"/>
  <c r="BO8" i="23"/>
  <c r="BN8" i="23"/>
  <c r="BM8" i="23"/>
  <c r="BL8" i="23"/>
  <c r="BK8" i="23"/>
  <c r="BJ8" i="23"/>
  <c r="BI8" i="23"/>
  <c r="BH8" i="23"/>
  <c r="BG8" i="23"/>
  <c r="BF8" i="23"/>
  <c r="BE8" i="23"/>
  <c r="BD8" i="23"/>
  <c r="BC8" i="23"/>
  <c r="BB8" i="23"/>
  <c r="BA8" i="23"/>
  <c r="AZ8" i="23"/>
  <c r="AY8" i="23"/>
  <c r="AX8" i="23"/>
  <c r="AW8" i="23"/>
  <c r="AV8" i="23"/>
  <c r="AU8" i="23"/>
  <c r="AT8" i="23"/>
  <c r="AS8" i="23"/>
  <c r="AR8" i="23"/>
  <c r="AQ8" i="23"/>
  <c r="AP8" i="23"/>
  <c r="AO8" i="23"/>
  <c r="AN8" i="23"/>
  <c r="AM8" i="23"/>
  <c r="AL8" i="23"/>
  <c r="AK8" i="23"/>
  <c r="AJ8" i="23"/>
  <c r="AI8" i="23"/>
  <c r="AH8" i="23"/>
  <c r="AG8" i="23"/>
  <c r="AF8" i="23"/>
  <c r="AE8" i="23"/>
  <c r="AD8" i="23"/>
  <c r="AC8" i="23"/>
  <c r="AB8" i="23"/>
  <c r="AA8" i="23"/>
  <c r="Z8" i="23"/>
  <c r="Y8" i="23"/>
  <c r="X8" i="23"/>
  <c r="W8" i="23"/>
  <c r="V8" i="23"/>
  <c r="U8" i="23"/>
  <c r="T8" i="23"/>
  <c r="S8" i="23"/>
  <c r="R8" i="23"/>
  <c r="Q8" i="23"/>
  <c r="P8" i="23"/>
  <c r="O8" i="23"/>
  <c r="N8" i="23"/>
  <c r="M8" i="23"/>
  <c r="L8" i="23"/>
  <c r="K8" i="23"/>
  <c r="CP7" i="23"/>
  <c r="CO7" i="23"/>
  <c r="CN7" i="23"/>
  <c r="CM7" i="23"/>
  <c r="CL7" i="23"/>
  <c r="CK7" i="23"/>
  <c r="CJ7" i="23"/>
  <c r="CI7" i="23"/>
  <c r="CH7" i="23"/>
  <c r="CG7" i="23"/>
  <c r="CF7" i="23"/>
  <c r="CE7" i="23"/>
  <c r="CD7" i="23"/>
  <c r="CC7" i="23"/>
  <c r="CB7" i="23"/>
  <c r="CA7" i="23"/>
  <c r="BZ7" i="23"/>
  <c r="BY7" i="23"/>
  <c r="BX7" i="23"/>
  <c r="BW7" i="23"/>
  <c r="BV7" i="23"/>
  <c r="BU7" i="23"/>
  <c r="BT7" i="23"/>
  <c r="BS7" i="23"/>
  <c r="BR7" i="23"/>
  <c r="BQ7" i="23"/>
  <c r="BP7" i="23"/>
  <c r="BO7" i="23"/>
  <c r="BN7" i="23"/>
  <c r="BM7" i="23"/>
  <c r="BL7" i="23"/>
  <c r="BK7" i="23"/>
  <c r="BJ7" i="23"/>
  <c r="BI7" i="23"/>
  <c r="BH7" i="23"/>
  <c r="BG7" i="23"/>
  <c r="BF7" i="23"/>
  <c r="BE7" i="23"/>
  <c r="BD7" i="23"/>
  <c r="BC7" i="23"/>
  <c r="BB7" i="23"/>
  <c r="BA7" i="23"/>
  <c r="AZ7" i="23"/>
  <c r="AY7" i="23"/>
  <c r="AX7" i="23"/>
  <c r="AW7" i="23"/>
  <c r="AV7" i="23"/>
  <c r="AU7" i="23"/>
  <c r="AT7" i="23"/>
  <c r="AS7" i="23"/>
  <c r="AR7" i="23"/>
  <c r="AQ7" i="23"/>
  <c r="AP7" i="23"/>
  <c r="AO7" i="23"/>
  <c r="AN7" i="23"/>
  <c r="AM7" i="23"/>
  <c r="AL7" i="23"/>
  <c r="AK7" i="23"/>
  <c r="AJ7" i="23"/>
  <c r="AI7" i="23"/>
  <c r="AH7" i="23"/>
  <c r="AG7" i="23"/>
  <c r="AF7" i="23"/>
  <c r="AE7" i="23"/>
  <c r="AD7" i="23"/>
  <c r="AC7" i="23"/>
  <c r="AB7" i="23"/>
  <c r="AA7" i="23"/>
  <c r="Z7" i="23"/>
  <c r="Y7" i="23"/>
  <c r="X7" i="23"/>
  <c r="W7" i="23"/>
  <c r="V7" i="23"/>
  <c r="V37" i="23" s="1"/>
  <c r="V43" i="23" s="1"/>
  <c r="U7" i="23"/>
  <c r="T7" i="23"/>
  <c r="S7" i="23"/>
  <c r="R7" i="23"/>
  <c r="Q7" i="23"/>
  <c r="P7" i="23"/>
  <c r="O7" i="23"/>
  <c r="N7" i="23"/>
  <c r="M7" i="23"/>
  <c r="L7" i="23"/>
  <c r="K7" i="23"/>
  <c r="Y168" i="21"/>
  <c r="Z167" i="21"/>
  <c r="AA167" i="21" s="1"/>
  <c r="AB167" i="21" s="1"/>
  <c r="AC167" i="21" s="1"/>
  <c r="Z166" i="21"/>
  <c r="AA166" i="21" s="1"/>
  <c r="AB166" i="21" s="1"/>
  <c r="AC166" i="21" s="1"/>
  <c r="AD166" i="21" s="1"/>
  <c r="AE166" i="21" s="1"/>
  <c r="AF166" i="21" s="1"/>
  <c r="AG166" i="21" s="1"/>
  <c r="AH166" i="21" s="1"/>
  <c r="AI166" i="21" s="1"/>
  <c r="AJ166" i="21" s="1"/>
  <c r="F164" i="21"/>
  <c r="U162" i="21"/>
  <c r="V161" i="21"/>
  <c r="W161" i="21" s="1"/>
  <c r="X161" i="21" s="1"/>
  <c r="Y161" i="21" s="1"/>
  <c r="Z161" i="21" s="1"/>
  <c r="AA161" i="21" s="1"/>
  <c r="AB161" i="21" s="1"/>
  <c r="AC161" i="21" s="1"/>
  <c r="AD161" i="21" s="1"/>
  <c r="AE161" i="21" s="1"/>
  <c r="AF161" i="21" s="1"/>
  <c r="AG161" i="21" s="1"/>
  <c r="AH161" i="21" s="1"/>
  <c r="AI161" i="21" s="1"/>
  <c r="AJ161" i="21" s="1"/>
  <c r="AK161" i="21" s="1"/>
  <c r="AL161" i="21" s="1"/>
  <c r="AM161" i="21" s="1"/>
  <c r="AN161" i="21" s="1"/>
  <c r="AO161" i="21" s="1"/>
  <c r="AP161" i="21" s="1"/>
  <c r="AQ161" i="21" s="1"/>
  <c r="AR161" i="21" s="1"/>
  <c r="AS161" i="21" s="1"/>
  <c r="AT161" i="21" s="1"/>
  <c r="AU161" i="21" s="1"/>
  <c r="AV161" i="21" s="1"/>
  <c r="AW161" i="21" s="1"/>
  <c r="AX161" i="21" s="1"/>
  <c r="AY161" i="21" s="1"/>
  <c r="AZ161" i="21" s="1"/>
  <c r="BA161" i="21" s="1"/>
  <c r="BB161" i="21" s="1"/>
  <c r="BC161" i="21" s="1"/>
  <c r="BD161" i="21" s="1"/>
  <c r="BE161" i="21" s="1"/>
  <c r="BF161" i="21" s="1"/>
  <c r="BG161" i="21" s="1"/>
  <c r="BH161" i="21" s="1"/>
  <c r="BI161" i="21" s="1"/>
  <c r="BJ161" i="21" s="1"/>
  <c r="BK161" i="21" s="1"/>
  <c r="BL161" i="21" s="1"/>
  <c r="BM161" i="21" s="1"/>
  <c r="BN161" i="21" s="1"/>
  <c r="BO161" i="21" s="1"/>
  <c r="BP161" i="21" s="1"/>
  <c r="BQ161" i="21" s="1"/>
  <c r="BR161" i="21" s="1"/>
  <c r="BS161" i="21" s="1"/>
  <c r="BT161" i="21" s="1"/>
  <c r="BU161" i="21" s="1"/>
  <c r="BV161" i="21" s="1"/>
  <c r="BW161" i="21" s="1"/>
  <c r="BX161" i="21" s="1"/>
  <c r="BY161" i="21" s="1"/>
  <c r="BZ161" i="21" s="1"/>
  <c r="CA161" i="21" s="1"/>
  <c r="CB161" i="21" s="1"/>
  <c r="CC161" i="21" s="1"/>
  <c r="CD161" i="21" s="1"/>
  <c r="CE161" i="21" s="1"/>
  <c r="CF161" i="21" s="1"/>
  <c r="CG161" i="21" s="1"/>
  <c r="CH161" i="21" s="1"/>
  <c r="CI161" i="21" s="1"/>
  <c r="CJ161" i="21" s="1"/>
  <c r="CK161" i="21" s="1"/>
  <c r="CL161" i="21" s="1"/>
  <c r="CM161" i="21" s="1"/>
  <c r="CN161" i="21" s="1"/>
  <c r="CO161" i="21" s="1"/>
  <c r="CP161" i="21" s="1"/>
  <c r="V160" i="21"/>
  <c r="W160" i="21" s="1"/>
  <c r="X160" i="21" s="1"/>
  <c r="Y160" i="21" s="1"/>
  <c r="Z160" i="21" s="1"/>
  <c r="F158" i="21"/>
  <c r="X155" i="21"/>
  <c r="R155" i="21"/>
  <c r="L155" i="21"/>
  <c r="Q150" i="21"/>
  <c r="Q151" i="21" s="1"/>
  <c r="P150" i="21"/>
  <c r="P151" i="21" s="1"/>
  <c r="O150" i="21"/>
  <c r="O151" i="21" s="1"/>
  <c r="N150" i="21"/>
  <c r="N151" i="21" s="1"/>
  <c r="M150" i="21"/>
  <c r="M151" i="21" s="1"/>
  <c r="J150" i="21"/>
  <c r="J151" i="21" s="1"/>
  <c r="I150" i="21"/>
  <c r="I151" i="21" s="1"/>
  <c r="H150" i="21"/>
  <c r="H151" i="21" s="1"/>
  <c r="G150" i="21"/>
  <c r="G151" i="21" s="1"/>
  <c r="F150" i="21"/>
  <c r="F151" i="21" s="1"/>
  <c r="AB149" i="21"/>
  <c r="AA149" i="21"/>
  <c r="Z149" i="21"/>
  <c r="Y149" i="21"/>
  <c r="X149" i="21"/>
  <c r="X148" i="21"/>
  <c r="X147" i="21"/>
  <c r="X146" i="21"/>
  <c r="W147" i="21"/>
  <c r="V147" i="21"/>
  <c r="U147" i="21"/>
  <c r="T147" i="21"/>
  <c r="S147" i="21"/>
  <c r="R147" i="21"/>
  <c r="AB147" i="21"/>
  <c r="AA147" i="21"/>
  <c r="Z147" i="21"/>
  <c r="Y147" i="21"/>
  <c r="X135" i="21"/>
  <c r="X133" i="21" s="1"/>
  <c r="X134" i="21" s="1"/>
  <c r="R135" i="21"/>
  <c r="L135" i="21"/>
  <c r="L136" i="21" s="1"/>
  <c r="X131" i="21"/>
  <c r="Y130" i="21"/>
  <c r="R130" i="21"/>
  <c r="R131" i="21" s="1"/>
  <c r="L130" i="21"/>
  <c r="AH130" i="21"/>
  <c r="AI130" i="21" s="1"/>
  <c r="AJ130" i="21" s="1"/>
  <c r="AK130" i="21" s="1"/>
  <c r="AL130" i="21" s="1"/>
  <c r="AM130" i="21" s="1"/>
  <c r="AN130" i="21" s="1"/>
  <c r="AO130" i="21" s="1"/>
  <c r="AP130" i="21" s="1"/>
  <c r="AQ130" i="21" s="1"/>
  <c r="AR130" i="21" s="1"/>
  <c r="AS130" i="21" s="1"/>
  <c r="AT130" i="21" s="1"/>
  <c r="AU130" i="21" s="1"/>
  <c r="AV130" i="21" s="1"/>
  <c r="AW130" i="21" s="1"/>
  <c r="AX130" i="21" s="1"/>
  <c r="AY130" i="21" s="1"/>
  <c r="AZ130" i="21" s="1"/>
  <c r="BA130" i="21" s="1"/>
  <c r="BB130" i="21" s="1"/>
  <c r="BC130" i="21" s="1"/>
  <c r="BD130" i="21" s="1"/>
  <c r="BE130" i="21" s="1"/>
  <c r="BF130" i="21" s="1"/>
  <c r="BG130" i="21" s="1"/>
  <c r="BH130" i="21" s="1"/>
  <c r="BI130" i="21" s="1"/>
  <c r="BJ130" i="21" s="1"/>
  <c r="BK130" i="21" s="1"/>
  <c r="BL130" i="21" s="1"/>
  <c r="BM130" i="21" s="1"/>
  <c r="BN130" i="21" s="1"/>
  <c r="BO130" i="21" s="1"/>
  <c r="BP130" i="21" s="1"/>
  <c r="BQ130" i="21" s="1"/>
  <c r="BR130" i="21" s="1"/>
  <c r="BS130" i="21" s="1"/>
  <c r="BT130" i="21" s="1"/>
  <c r="BU130" i="21" s="1"/>
  <c r="BV130" i="21" s="1"/>
  <c r="BW130" i="21" s="1"/>
  <c r="BX130" i="21" s="1"/>
  <c r="BY130" i="21" s="1"/>
  <c r="BZ130" i="21" s="1"/>
  <c r="CA130" i="21" s="1"/>
  <c r="CB130" i="21" s="1"/>
  <c r="CC130" i="21" s="1"/>
  <c r="CD130" i="21" s="1"/>
  <c r="CE130" i="21" s="1"/>
  <c r="CF130" i="21" s="1"/>
  <c r="CG130" i="21" s="1"/>
  <c r="CH130" i="21" s="1"/>
  <c r="CI130" i="21" s="1"/>
  <c r="CJ130" i="21" s="1"/>
  <c r="CK130" i="21" s="1"/>
  <c r="CL130" i="21" s="1"/>
  <c r="CM130" i="21" s="1"/>
  <c r="CN130" i="21" s="1"/>
  <c r="CO130" i="21" s="1"/>
  <c r="CP130" i="21" s="1"/>
  <c r="X129" i="21"/>
  <c r="S127" i="21"/>
  <c r="T127" i="21" s="1"/>
  <c r="U127" i="21" s="1"/>
  <c r="V127" i="21" s="1"/>
  <c r="W127" i="21" s="1"/>
  <c r="S126" i="21"/>
  <c r="T126" i="21" s="1"/>
  <c r="U126" i="21" s="1"/>
  <c r="V126" i="21" s="1"/>
  <c r="W126" i="21" s="1"/>
  <c r="S125" i="21"/>
  <c r="T125" i="21" s="1"/>
  <c r="U125" i="21" s="1"/>
  <c r="V125" i="21" s="1"/>
  <c r="S124" i="21"/>
  <c r="T124" i="21" s="1"/>
  <c r="U124" i="21" s="1"/>
  <c r="V124" i="21" s="1"/>
  <c r="W124" i="21" s="1"/>
  <c r="M127" i="21"/>
  <c r="N127" i="21" s="1"/>
  <c r="O127" i="21" s="1"/>
  <c r="P127" i="21" s="1"/>
  <c r="Q127" i="21" s="1"/>
  <c r="M126" i="21"/>
  <c r="N126" i="21" s="1"/>
  <c r="O126" i="21" s="1"/>
  <c r="P126" i="21" s="1"/>
  <c r="Q126" i="21" s="1"/>
  <c r="M125" i="21"/>
  <c r="M124" i="21"/>
  <c r="N124" i="21" s="1"/>
  <c r="O124" i="21" s="1"/>
  <c r="P124" i="21" s="1"/>
  <c r="Q124" i="21" s="1"/>
  <c r="M123" i="21"/>
  <c r="N123" i="21" s="1"/>
  <c r="O123" i="21" s="1"/>
  <c r="P123" i="21" s="1"/>
  <c r="Q123" i="21" s="1"/>
  <c r="S123" i="21"/>
  <c r="T123" i="21" s="1"/>
  <c r="U123" i="21" s="1"/>
  <c r="V123" i="21" s="1"/>
  <c r="W123" i="21" s="1"/>
  <c r="X122" i="21"/>
  <c r="R122" i="21"/>
  <c r="S122" i="21" s="1"/>
  <c r="T122" i="21" s="1"/>
  <c r="U122" i="21" s="1"/>
  <c r="V122" i="21" s="1"/>
  <c r="W122" i="21" s="1"/>
  <c r="L122" i="21"/>
  <c r="M122" i="21" s="1"/>
  <c r="N122" i="21" s="1"/>
  <c r="O122" i="21" s="1"/>
  <c r="P122" i="21" s="1"/>
  <c r="Q122" i="21" s="1"/>
  <c r="S121" i="21"/>
  <c r="T121" i="21" s="1"/>
  <c r="U121" i="21" s="1"/>
  <c r="V121" i="21" s="1"/>
  <c r="W121" i="21" s="1"/>
  <c r="M121" i="21"/>
  <c r="N121" i="21" s="1"/>
  <c r="O121" i="21" s="1"/>
  <c r="P121" i="21" s="1"/>
  <c r="Q121" i="21" s="1"/>
  <c r="X120" i="21"/>
  <c r="Y120" i="21" s="1"/>
  <c r="Z120" i="21" s="1"/>
  <c r="AA120" i="21" s="1"/>
  <c r="AB120" i="21" s="1"/>
  <c r="AC120" i="21" s="1"/>
  <c r="AD120" i="21" s="1"/>
  <c r="AE120" i="21" s="1"/>
  <c r="AF120" i="21" s="1"/>
  <c r="AG120" i="21" s="1"/>
  <c r="AH120" i="21" s="1"/>
  <c r="AI120" i="21" s="1"/>
  <c r="AJ120" i="21" s="1"/>
  <c r="AK120" i="21" s="1"/>
  <c r="AL120" i="21" s="1"/>
  <c r="AM120" i="21" s="1"/>
  <c r="AN120" i="21" s="1"/>
  <c r="AO120" i="21" s="1"/>
  <c r="AP120" i="21" s="1"/>
  <c r="AQ120" i="21" s="1"/>
  <c r="AR120" i="21" s="1"/>
  <c r="AS120" i="21" s="1"/>
  <c r="AT120" i="21" s="1"/>
  <c r="AU120" i="21" s="1"/>
  <c r="AV120" i="21" s="1"/>
  <c r="AW120" i="21" s="1"/>
  <c r="AX120" i="21" s="1"/>
  <c r="AY120" i="21" s="1"/>
  <c r="AZ120" i="21" s="1"/>
  <c r="BA120" i="21" s="1"/>
  <c r="BB120" i="21" s="1"/>
  <c r="BC120" i="21" s="1"/>
  <c r="BD120" i="21" s="1"/>
  <c r="BE120" i="21" s="1"/>
  <c r="BF120" i="21" s="1"/>
  <c r="BG120" i="21" s="1"/>
  <c r="BH120" i="21" s="1"/>
  <c r="BI120" i="21" s="1"/>
  <c r="BJ120" i="21" s="1"/>
  <c r="BK120" i="21" s="1"/>
  <c r="BL120" i="21" s="1"/>
  <c r="BM120" i="21" s="1"/>
  <c r="BN120" i="21" s="1"/>
  <c r="BO120" i="21" s="1"/>
  <c r="BP120" i="21" s="1"/>
  <c r="BQ120" i="21" s="1"/>
  <c r="BR120" i="21" s="1"/>
  <c r="BS120" i="21" s="1"/>
  <c r="BT120" i="21" s="1"/>
  <c r="BU120" i="21" s="1"/>
  <c r="BV120" i="21" s="1"/>
  <c r="BW120" i="21" s="1"/>
  <c r="BX120" i="21" s="1"/>
  <c r="BY120" i="21" s="1"/>
  <c r="BZ120" i="21" s="1"/>
  <c r="CA120" i="21" s="1"/>
  <c r="CB120" i="21" s="1"/>
  <c r="CC120" i="21" s="1"/>
  <c r="CD120" i="21" s="1"/>
  <c r="CE120" i="21" s="1"/>
  <c r="CF120" i="21" s="1"/>
  <c r="CG120" i="21" s="1"/>
  <c r="CH120" i="21" s="1"/>
  <c r="CI120" i="21" s="1"/>
  <c r="CJ120" i="21" s="1"/>
  <c r="CK120" i="21" s="1"/>
  <c r="CL120" i="21" s="1"/>
  <c r="CM120" i="21" s="1"/>
  <c r="CN120" i="21" s="1"/>
  <c r="CO120" i="21" s="1"/>
  <c r="CP120" i="21" s="1"/>
  <c r="R120" i="21"/>
  <c r="S120" i="21" s="1"/>
  <c r="T120" i="21" s="1"/>
  <c r="U120" i="21" s="1"/>
  <c r="V120" i="21" s="1"/>
  <c r="W120" i="21" s="1"/>
  <c r="L120" i="21"/>
  <c r="M120" i="21" s="1"/>
  <c r="N120" i="21" s="1"/>
  <c r="O120" i="21" s="1"/>
  <c r="P120" i="21" s="1"/>
  <c r="Q120" i="21" s="1"/>
  <c r="Y127" i="21"/>
  <c r="Z127" i="21" s="1"/>
  <c r="AA127" i="21" s="1"/>
  <c r="AB127" i="21" s="1"/>
  <c r="AC127" i="21" s="1"/>
  <c r="AD127" i="21" s="1"/>
  <c r="AE127" i="21" s="1"/>
  <c r="AF127" i="21" s="1"/>
  <c r="AG127" i="21" s="1"/>
  <c r="AH127" i="21" s="1"/>
  <c r="AI127" i="21" s="1"/>
  <c r="AJ127" i="21" s="1"/>
  <c r="AK127" i="21" s="1"/>
  <c r="AL127" i="21" s="1"/>
  <c r="AM127" i="21" s="1"/>
  <c r="AN127" i="21" s="1"/>
  <c r="AO127" i="21" s="1"/>
  <c r="AP127" i="21" s="1"/>
  <c r="AQ127" i="21" s="1"/>
  <c r="AR127" i="21" s="1"/>
  <c r="AS127" i="21" s="1"/>
  <c r="AT127" i="21" s="1"/>
  <c r="AU127" i="21" s="1"/>
  <c r="AV127" i="21" s="1"/>
  <c r="AW127" i="21" s="1"/>
  <c r="AX127" i="21" s="1"/>
  <c r="AY127" i="21" s="1"/>
  <c r="AZ127" i="21" s="1"/>
  <c r="BA127" i="21" s="1"/>
  <c r="BB127" i="21" s="1"/>
  <c r="BC127" i="21" s="1"/>
  <c r="BD127" i="21" s="1"/>
  <c r="BE127" i="21" s="1"/>
  <c r="BF127" i="21" s="1"/>
  <c r="BG127" i="21" s="1"/>
  <c r="BH127" i="21" s="1"/>
  <c r="BI127" i="21" s="1"/>
  <c r="BJ127" i="21" s="1"/>
  <c r="BK127" i="21" s="1"/>
  <c r="BL127" i="21" s="1"/>
  <c r="BM127" i="21" s="1"/>
  <c r="BN127" i="21" s="1"/>
  <c r="BO127" i="21" s="1"/>
  <c r="BP127" i="21" s="1"/>
  <c r="BQ127" i="21" s="1"/>
  <c r="BR127" i="21" s="1"/>
  <c r="BS127" i="21" s="1"/>
  <c r="BT127" i="21" s="1"/>
  <c r="BU127" i="21" s="1"/>
  <c r="BV127" i="21" s="1"/>
  <c r="BW127" i="21" s="1"/>
  <c r="BX127" i="21" s="1"/>
  <c r="BY127" i="21" s="1"/>
  <c r="BZ127" i="21" s="1"/>
  <c r="CA127" i="21" s="1"/>
  <c r="CB127" i="21" s="1"/>
  <c r="CC127" i="21" s="1"/>
  <c r="CD127" i="21" s="1"/>
  <c r="CE127" i="21" s="1"/>
  <c r="CF127" i="21" s="1"/>
  <c r="CG127" i="21" s="1"/>
  <c r="CH127" i="21" s="1"/>
  <c r="CI127" i="21" s="1"/>
  <c r="CJ127" i="21" s="1"/>
  <c r="CK127" i="21" s="1"/>
  <c r="CL127" i="21" s="1"/>
  <c r="CM127" i="21" s="1"/>
  <c r="CN127" i="21" s="1"/>
  <c r="CO127" i="21" s="1"/>
  <c r="CP127" i="21" s="1"/>
  <c r="Y126" i="21"/>
  <c r="Z126" i="21" s="1"/>
  <c r="AA126" i="21" s="1"/>
  <c r="AB126" i="21" s="1"/>
  <c r="AC126" i="21" s="1"/>
  <c r="AD126" i="21" s="1"/>
  <c r="AE126" i="21" s="1"/>
  <c r="AF126" i="21" s="1"/>
  <c r="AG126" i="21" s="1"/>
  <c r="AH126" i="21" s="1"/>
  <c r="AI126" i="21" s="1"/>
  <c r="AJ126" i="21" s="1"/>
  <c r="AK126" i="21" s="1"/>
  <c r="AL126" i="21" s="1"/>
  <c r="AM126" i="21" s="1"/>
  <c r="AN126" i="21" s="1"/>
  <c r="AO126" i="21" s="1"/>
  <c r="AP126" i="21" s="1"/>
  <c r="AQ126" i="21" s="1"/>
  <c r="AR126" i="21" s="1"/>
  <c r="AS126" i="21" s="1"/>
  <c r="AT126" i="21" s="1"/>
  <c r="AU126" i="21" s="1"/>
  <c r="AV126" i="21" s="1"/>
  <c r="AW126" i="21" s="1"/>
  <c r="AX126" i="21" s="1"/>
  <c r="AY126" i="21" s="1"/>
  <c r="AZ126" i="21" s="1"/>
  <c r="BA126" i="21" s="1"/>
  <c r="BB126" i="21" s="1"/>
  <c r="BC126" i="21" s="1"/>
  <c r="BD126" i="21" s="1"/>
  <c r="BE126" i="21" s="1"/>
  <c r="BF126" i="21" s="1"/>
  <c r="BG126" i="21" s="1"/>
  <c r="BH126" i="21" s="1"/>
  <c r="BI126" i="21" s="1"/>
  <c r="BJ126" i="21" s="1"/>
  <c r="BK126" i="21" s="1"/>
  <c r="BL126" i="21" s="1"/>
  <c r="BM126" i="21" s="1"/>
  <c r="BN126" i="21" s="1"/>
  <c r="BO126" i="21" s="1"/>
  <c r="BP126" i="21" s="1"/>
  <c r="BQ126" i="21" s="1"/>
  <c r="BR126" i="21" s="1"/>
  <c r="BS126" i="21" s="1"/>
  <c r="BT126" i="21" s="1"/>
  <c r="BU126" i="21" s="1"/>
  <c r="BV126" i="21" s="1"/>
  <c r="BW126" i="21" s="1"/>
  <c r="BX126" i="21" s="1"/>
  <c r="BY126" i="21" s="1"/>
  <c r="BZ126" i="21" s="1"/>
  <c r="CA126" i="21" s="1"/>
  <c r="CB126" i="21" s="1"/>
  <c r="CC126" i="21" s="1"/>
  <c r="CD126" i="21" s="1"/>
  <c r="CE126" i="21" s="1"/>
  <c r="CF126" i="21" s="1"/>
  <c r="CG126" i="21" s="1"/>
  <c r="CH126" i="21" s="1"/>
  <c r="CI126" i="21" s="1"/>
  <c r="CJ126" i="21" s="1"/>
  <c r="CK126" i="21" s="1"/>
  <c r="CL126" i="21" s="1"/>
  <c r="CM126" i="21" s="1"/>
  <c r="CN126" i="21" s="1"/>
  <c r="CO126" i="21" s="1"/>
  <c r="CP126" i="21" s="1"/>
  <c r="Y125" i="21"/>
  <c r="Z125" i="21" s="1"/>
  <c r="Y124" i="21"/>
  <c r="Z124" i="21" s="1"/>
  <c r="AA124" i="21" s="1"/>
  <c r="AB124" i="21" s="1"/>
  <c r="AC124" i="21" s="1"/>
  <c r="AD124" i="21" s="1"/>
  <c r="AE124" i="21" s="1"/>
  <c r="AF124" i="21" s="1"/>
  <c r="AG124" i="21" s="1"/>
  <c r="AH124" i="21" s="1"/>
  <c r="AI124" i="21" s="1"/>
  <c r="AJ124" i="21" s="1"/>
  <c r="AK124" i="21" s="1"/>
  <c r="AL124" i="21" s="1"/>
  <c r="AM124" i="21" s="1"/>
  <c r="AN124" i="21" s="1"/>
  <c r="AO124" i="21" s="1"/>
  <c r="AP124" i="21" s="1"/>
  <c r="AQ124" i="21" s="1"/>
  <c r="AR124" i="21" s="1"/>
  <c r="AS124" i="21" s="1"/>
  <c r="AT124" i="21" s="1"/>
  <c r="AU124" i="21" s="1"/>
  <c r="AV124" i="21" s="1"/>
  <c r="AW124" i="21" s="1"/>
  <c r="AX124" i="21" s="1"/>
  <c r="AY124" i="21" s="1"/>
  <c r="AZ124" i="21" s="1"/>
  <c r="BA124" i="21" s="1"/>
  <c r="BB124" i="21" s="1"/>
  <c r="BC124" i="21" s="1"/>
  <c r="BD124" i="21" s="1"/>
  <c r="BE124" i="21" s="1"/>
  <c r="BF124" i="21" s="1"/>
  <c r="BG124" i="21" s="1"/>
  <c r="BH124" i="21" s="1"/>
  <c r="BI124" i="21" s="1"/>
  <c r="BJ124" i="21" s="1"/>
  <c r="BK124" i="21" s="1"/>
  <c r="BL124" i="21" s="1"/>
  <c r="BM124" i="21" s="1"/>
  <c r="BN124" i="21" s="1"/>
  <c r="BO124" i="21" s="1"/>
  <c r="BP124" i="21" s="1"/>
  <c r="BQ124" i="21" s="1"/>
  <c r="BR124" i="21" s="1"/>
  <c r="BS124" i="21" s="1"/>
  <c r="BT124" i="21" s="1"/>
  <c r="BU124" i="21" s="1"/>
  <c r="BV124" i="21" s="1"/>
  <c r="BW124" i="21" s="1"/>
  <c r="BX124" i="21" s="1"/>
  <c r="BY124" i="21" s="1"/>
  <c r="BZ124" i="21" s="1"/>
  <c r="CA124" i="21" s="1"/>
  <c r="CB124" i="21" s="1"/>
  <c r="CC124" i="21" s="1"/>
  <c r="CD124" i="21" s="1"/>
  <c r="CE124" i="21" s="1"/>
  <c r="CF124" i="21" s="1"/>
  <c r="CG124" i="21" s="1"/>
  <c r="CH124" i="21" s="1"/>
  <c r="CI124" i="21" s="1"/>
  <c r="CJ124" i="21" s="1"/>
  <c r="CK124" i="21" s="1"/>
  <c r="CL124" i="21" s="1"/>
  <c r="CM124" i="21" s="1"/>
  <c r="CN124" i="21" s="1"/>
  <c r="CO124" i="21" s="1"/>
  <c r="CP124" i="21" s="1"/>
  <c r="Y121" i="21"/>
  <c r="Z121" i="21" s="1"/>
  <c r="AA121" i="21" s="1"/>
  <c r="AB121" i="21" s="1"/>
  <c r="AC121" i="21" s="1"/>
  <c r="AD121" i="21" s="1"/>
  <c r="AE121" i="21" s="1"/>
  <c r="AF121" i="21" s="1"/>
  <c r="AG121" i="21" s="1"/>
  <c r="AH121" i="21" s="1"/>
  <c r="AI121" i="21" s="1"/>
  <c r="AJ121" i="21" s="1"/>
  <c r="AK121" i="21" s="1"/>
  <c r="AL121" i="21" s="1"/>
  <c r="AM121" i="21" s="1"/>
  <c r="AN121" i="21" s="1"/>
  <c r="AO121" i="21" s="1"/>
  <c r="AP121" i="21" s="1"/>
  <c r="AQ121" i="21" s="1"/>
  <c r="AR121" i="21" s="1"/>
  <c r="AS121" i="21" s="1"/>
  <c r="AT121" i="21" s="1"/>
  <c r="AU121" i="21" s="1"/>
  <c r="AV121" i="21" s="1"/>
  <c r="AW121" i="21" s="1"/>
  <c r="AX121" i="21" s="1"/>
  <c r="AY121" i="21" s="1"/>
  <c r="AZ121" i="21" s="1"/>
  <c r="BA121" i="21" s="1"/>
  <c r="BB121" i="21" s="1"/>
  <c r="BC121" i="21" s="1"/>
  <c r="BD121" i="21" s="1"/>
  <c r="BE121" i="21" s="1"/>
  <c r="BF121" i="21" s="1"/>
  <c r="BG121" i="21" s="1"/>
  <c r="BH121" i="21" s="1"/>
  <c r="BI121" i="21" s="1"/>
  <c r="BJ121" i="21" s="1"/>
  <c r="BK121" i="21" s="1"/>
  <c r="BL121" i="21" s="1"/>
  <c r="BM121" i="21" s="1"/>
  <c r="BN121" i="21" s="1"/>
  <c r="BO121" i="21" s="1"/>
  <c r="BP121" i="21" s="1"/>
  <c r="BQ121" i="21" s="1"/>
  <c r="BR121" i="21" s="1"/>
  <c r="BS121" i="21" s="1"/>
  <c r="BT121" i="21" s="1"/>
  <c r="BU121" i="21" s="1"/>
  <c r="BV121" i="21" s="1"/>
  <c r="BW121" i="21" s="1"/>
  <c r="BX121" i="21" s="1"/>
  <c r="BY121" i="21" s="1"/>
  <c r="BZ121" i="21" s="1"/>
  <c r="CA121" i="21" s="1"/>
  <c r="CB121" i="21" s="1"/>
  <c r="CC121" i="21" s="1"/>
  <c r="CD121" i="21" s="1"/>
  <c r="CE121" i="21" s="1"/>
  <c r="CF121" i="21" s="1"/>
  <c r="CG121" i="21" s="1"/>
  <c r="CH121" i="21" s="1"/>
  <c r="CI121" i="21" s="1"/>
  <c r="CJ121" i="21" s="1"/>
  <c r="CK121" i="21" s="1"/>
  <c r="CL121" i="21" s="1"/>
  <c r="CM121" i="21" s="1"/>
  <c r="CN121" i="21" s="1"/>
  <c r="CO121" i="21" s="1"/>
  <c r="CP121" i="21" s="1"/>
  <c r="Y119" i="21"/>
  <c r="Y155" i="21" s="1"/>
  <c r="AH118" i="21"/>
  <c r="AI118" i="21" s="1"/>
  <c r="AJ118" i="21" s="1"/>
  <c r="AK118" i="21" s="1"/>
  <c r="AL118" i="21" s="1"/>
  <c r="AM118" i="21" s="1"/>
  <c r="AN118" i="21" s="1"/>
  <c r="AO118" i="21" s="1"/>
  <c r="AP118" i="21" s="1"/>
  <c r="AQ118" i="21" s="1"/>
  <c r="AR118" i="21" s="1"/>
  <c r="AS118" i="21" s="1"/>
  <c r="AT118" i="21" s="1"/>
  <c r="AU118" i="21" s="1"/>
  <c r="AV118" i="21" s="1"/>
  <c r="AW118" i="21" s="1"/>
  <c r="AX118" i="21" s="1"/>
  <c r="AY118" i="21" s="1"/>
  <c r="AZ118" i="21" s="1"/>
  <c r="BA118" i="21" s="1"/>
  <c r="BB118" i="21" s="1"/>
  <c r="BC118" i="21" s="1"/>
  <c r="BD118" i="21" s="1"/>
  <c r="BE118" i="21" s="1"/>
  <c r="BF118" i="21" s="1"/>
  <c r="BG118" i="21" s="1"/>
  <c r="BH118" i="21" s="1"/>
  <c r="BI118" i="21" s="1"/>
  <c r="BJ118" i="21" s="1"/>
  <c r="BK118" i="21" s="1"/>
  <c r="BL118" i="21" s="1"/>
  <c r="BM118" i="21" s="1"/>
  <c r="BN118" i="21" s="1"/>
  <c r="BO118" i="21" s="1"/>
  <c r="BP118" i="21" s="1"/>
  <c r="BQ118" i="21" s="1"/>
  <c r="BR118" i="21" s="1"/>
  <c r="BS118" i="21" s="1"/>
  <c r="BT118" i="21" s="1"/>
  <c r="BU118" i="21" s="1"/>
  <c r="BV118" i="21" s="1"/>
  <c r="BW118" i="21" s="1"/>
  <c r="BX118" i="21" s="1"/>
  <c r="BY118" i="21" s="1"/>
  <c r="BZ118" i="21" s="1"/>
  <c r="CA118" i="21" s="1"/>
  <c r="CB118" i="21" s="1"/>
  <c r="CC118" i="21" s="1"/>
  <c r="CD118" i="21" s="1"/>
  <c r="CE118" i="21" s="1"/>
  <c r="CF118" i="21" s="1"/>
  <c r="CG118" i="21" s="1"/>
  <c r="CH118" i="21" s="1"/>
  <c r="CI118" i="21" s="1"/>
  <c r="CJ118" i="21" s="1"/>
  <c r="CK118" i="21" s="1"/>
  <c r="CL118" i="21" s="1"/>
  <c r="CM118" i="21" s="1"/>
  <c r="CN118" i="21" s="1"/>
  <c r="CO118" i="21" s="1"/>
  <c r="CP118" i="21" s="1"/>
  <c r="Y118" i="21"/>
  <c r="Z118" i="21" s="1"/>
  <c r="AA118" i="21" s="1"/>
  <c r="AB118" i="21" s="1"/>
  <c r="AC118" i="21" s="1"/>
  <c r="AD118" i="21" s="1"/>
  <c r="AE118" i="21" s="1"/>
  <c r="AF118" i="21" s="1"/>
  <c r="S119" i="21"/>
  <c r="S118" i="21"/>
  <c r="M119" i="21"/>
  <c r="N119" i="21" s="1"/>
  <c r="M118" i="21"/>
  <c r="N118" i="21" s="1"/>
  <c r="X115" i="21"/>
  <c r="Y110" i="21" s="1"/>
  <c r="Y115" i="21" s="1"/>
  <c r="Z110" i="21" s="1"/>
  <c r="Z115" i="21" s="1"/>
  <c r="AA110" i="21" s="1"/>
  <c r="AA115" i="21" s="1"/>
  <c r="AB110" i="21" s="1"/>
  <c r="AB115" i="21" s="1"/>
  <c r="AC110" i="21" s="1"/>
  <c r="AC113" i="21" s="1"/>
  <c r="M115" i="21"/>
  <c r="N110" i="21" s="1"/>
  <c r="N115" i="21" s="1"/>
  <c r="O110" i="21" s="1"/>
  <c r="O115" i="21" s="1"/>
  <c r="P110" i="21" s="1"/>
  <c r="P115" i="21" s="1"/>
  <c r="Q110" i="21" s="1"/>
  <c r="Q115" i="21" s="1"/>
  <c r="R110" i="21" s="1"/>
  <c r="R115" i="21" s="1"/>
  <c r="S110" i="21" s="1"/>
  <c r="S115" i="21" s="1"/>
  <c r="T110" i="21" s="1"/>
  <c r="T115" i="21" s="1"/>
  <c r="U110" i="21" s="1"/>
  <c r="U115" i="21" s="1"/>
  <c r="V110" i="21" s="1"/>
  <c r="V115" i="21" s="1"/>
  <c r="W110" i="21" s="1"/>
  <c r="W114" i="21" s="1"/>
  <c r="J115" i="21"/>
  <c r="I115" i="21"/>
  <c r="H115" i="21"/>
  <c r="G115" i="21"/>
  <c r="K110" i="21"/>
  <c r="K115" i="21" s="1"/>
  <c r="L110" i="21" s="1"/>
  <c r="L115" i="21" s="1"/>
  <c r="F108" i="21"/>
  <c r="V104" i="21"/>
  <c r="U104" i="21"/>
  <c r="T104" i="21"/>
  <c r="S104" i="21"/>
  <c r="W103" i="21"/>
  <c r="V103" i="21"/>
  <c r="U103" i="21"/>
  <c r="T103" i="21"/>
  <c r="S103" i="21"/>
  <c r="R103" i="21"/>
  <c r="Q103" i="21"/>
  <c r="P103" i="21"/>
  <c r="O103" i="21"/>
  <c r="N103" i="21"/>
  <c r="M103" i="21"/>
  <c r="L103" i="21"/>
  <c r="K103" i="21"/>
  <c r="W102" i="21"/>
  <c r="T102" i="21"/>
  <c r="S102" i="21"/>
  <c r="R102" i="21"/>
  <c r="Q102" i="21"/>
  <c r="P102" i="21"/>
  <c r="O102" i="21"/>
  <c r="N102" i="21"/>
  <c r="M102" i="21"/>
  <c r="L102" i="21"/>
  <c r="K102" i="21"/>
  <c r="W101" i="21"/>
  <c r="V101" i="21"/>
  <c r="U101" i="21"/>
  <c r="T101" i="21"/>
  <c r="S101" i="21"/>
  <c r="R101" i="21"/>
  <c r="Q101" i="21"/>
  <c r="P101" i="21"/>
  <c r="O101" i="21"/>
  <c r="N101" i="21"/>
  <c r="M101" i="21"/>
  <c r="L101" i="21"/>
  <c r="K101" i="21"/>
  <c r="W100" i="21"/>
  <c r="T100" i="21"/>
  <c r="S100" i="21"/>
  <c r="R100" i="21"/>
  <c r="Q100" i="21"/>
  <c r="P100" i="21"/>
  <c r="O100" i="21"/>
  <c r="N100" i="21"/>
  <c r="M100" i="21"/>
  <c r="L100" i="21"/>
  <c r="K100" i="21"/>
  <c r="W99" i="21"/>
  <c r="V99" i="21"/>
  <c r="U99" i="21"/>
  <c r="T99" i="21"/>
  <c r="S99" i="21"/>
  <c r="R99" i="21"/>
  <c r="Q99" i="21"/>
  <c r="P99" i="21"/>
  <c r="O99" i="21"/>
  <c r="N99" i="21"/>
  <c r="M99" i="21"/>
  <c r="L99" i="21"/>
  <c r="K99" i="21"/>
  <c r="W98" i="21"/>
  <c r="V98" i="21"/>
  <c r="U98" i="21"/>
  <c r="T98" i="21"/>
  <c r="S98" i="21"/>
  <c r="R98" i="21"/>
  <c r="Q98" i="21"/>
  <c r="P98" i="21"/>
  <c r="O98" i="21"/>
  <c r="N98" i="21"/>
  <c r="M98" i="21"/>
  <c r="L98" i="21"/>
  <c r="K98" i="21"/>
  <c r="W97" i="21"/>
  <c r="V97" i="21"/>
  <c r="U97" i="21"/>
  <c r="T97" i="21"/>
  <c r="S97" i="21"/>
  <c r="R97" i="21"/>
  <c r="Q97" i="21"/>
  <c r="P97" i="21"/>
  <c r="O97" i="21"/>
  <c r="N97" i="21"/>
  <c r="M97" i="21"/>
  <c r="L97" i="21"/>
  <c r="K97" i="21"/>
  <c r="X92" i="21"/>
  <c r="W92" i="21"/>
  <c r="V92" i="21"/>
  <c r="U92" i="21"/>
  <c r="T92" i="21"/>
  <c r="S92" i="21"/>
  <c r="R92" i="21"/>
  <c r="Q92" i="21"/>
  <c r="P92" i="21"/>
  <c r="O92" i="21"/>
  <c r="N92" i="21"/>
  <c r="X91" i="21"/>
  <c r="W91" i="21"/>
  <c r="V91" i="21"/>
  <c r="U91" i="21"/>
  <c r="T91" i="21"/>
  <c r="S91" i="21"/>
  <c r="R91" i="21"/>
  <c r="Q91" i="21"/>
  <c r="P91" i="21"/>
  <c r="O91" i="21"/>
  <c r="N91" i="21"/>
  <c r="T90" i="21"/>
  <c r="S90" i="21"/>
  <c r="R90" i="21"/>
  <c r="Q90" i="21"/>
  <c r="P90" i="21"/>
  <c r="O90" i="21"/>
  <c r="N90" i="21"/>
  <c r="T89" i="21"/>
  <c r="S89" i="21"/>
  <c r="R89" i="21"/>
  <c r="Q89" i="21"/>
  <c r="P89" i="21"/>
  <c r="O89" i="21"/>
  <c r="N89" i="21"/>
  <c r="W86" i="21"/>
  <c r="V86" i="21"/>
  <c r="U86" i="21"/>
  <c r="T86" i="21"/>
  <c r="V85" i="21"/>
  <c r="W80" i="21"/>
  <c r="V80" i="21"/>
  <c r="T80" i="21"/>
  <c r="S80" i="21"/>
  <c r="R80" i="21"/>
  <c r="Q80" i="21"/>
  <c r="P80" i="21"/>
  <c r="O80" i="21"/>
  <c r="N80" i="21"/>
  <c r="M80" i="21"/>
  <c r="L80" i="21"/>
  <c r="K80" i="21"/>
  <c r="K106" i="21" s="1"/>
  <c r="X73" i="21"/>
  <c r="X99" i="21" s="1"/>
  <c r="U76" i="21"/>
  <c r="U74" i="21" s="1"/>
  <c r="Y79" i="21"/>
  <c r="Y78" i="21"/>
  <c r="Y52" i="21" s="1"/>
  <c r="Y91" i="21" s="1"/>
  <c r="B71" i="21"/>
  <c r="AW66" i="21"/>
  <c r="AX66" i="21" s="1"/>
  <c r="AY66" i="21" s="1"/>
  <c r="AZ66" i="21" s="1"/>
  <c r="BA66" i="21" s="1"/>
  <c r="BB66" i="21" s="1"/>
  <c r="BC66" i="21" s="1"/>
  <c r="BD66" i="21" s="1"/>
  <c r="BE66" i="21" s="1"/>
  <c r="BF66" i="21" s="1"/>
  <c r="BG66" i="21" s="1"/>
  <c r="BH66" i="21" s="1"/>
  <c r="BI66" i="21" s="1"/>
  <c r="BJ66" i="21" s="1"/>
  <c r="BK66" i="21" s="1"/>
  <c r="BL66" i="21" s="1"/>
  <c r="BM66" i="21" s="1"/>
  <c r="BN66" i="21" s="1"/>
  <c r="BO66" i="21" s="1"/>
  <c r="BP66" i="21" s="1"/>
  <c r="BQ66" i="21" s="1"/>
  <c r="BR66" i="21" s="1"/>
  <c r="BS66" i="21" s="1"/>
  <c r="BT66" i="21" s="1"/>
  <c r="BU66" i="21" s="1"/>
  <c r="BV66" i="21" s="1"/>
  <c r="BW66" i="21" s="1"/>
  <c r="BX66" i="21" s="1"/>
  <c r="BY66" i="21" s="1"/>
  <c r="BZ66" i="21" s="1"/>
  <c r="CA66" i="21" s="1"/>
  <c r="CB66" i="21" s="1"/>
  <c r="CC66" i="21" s="1"/>
  <c r="CD66" i="21" s="1"/>
  <c r="CE66" i="21" s="1"/>
  <c r="CF66" i="21" s="1"/>
  <c r="CG66" i="21" s="1"/>
  <c r="CH66" i="21" s="1"/>
  <c r="CI66" i="21" s="1"/>
  <c r="CJ66" i="21" s="1"/>
  <c r="CK66" i="21" s="1"/>
  <c r="CL66" i="21" s="1"/>
  <c r="CM66" i="21" s="1"/>
  <c r="CN66" i="21" s="1"/>
  <c r="CO66" i="21" s="1"/>
  <c r="CP66" i="21" s="1"/>
  <c r="X66" i="21"/>
  <c r="W66" i="21"/>
  <c r="V66" i="21"/>
  <c r="U66" i="21"/>
  <c r="T66" i="21"/>
  <c r="S66" i="21"/>
  <c r="R66" i="21"/>
  <c r="Q66" i="21"/>
  <c r="P66" i="21"/>
  <c r="O66" i="21"/>
  <c r="N66" i="21"/>
  <c r="M66" i="21"/>
  <c r="L66" i="21"/>
  <c r="K66" i="21"/>
  <c r="CP65" i="21"/>
  <c r="X65" i="21"/>
  <c r="W65" i="21"/>
  <c r="V65" i="21"/>
  <c r="U65" i="21"/>
  <c r="T65" i="21"/>
  <c r="S65" i="21"/>
  <c r="R65" i="21"/>
  <c r="Q65" i="21"/>
  <c r="P65" i="21"/>
  <c r="O65" i="21"/>
  <c r="N65" i="21"/>
  <c r="M65" i="21"/>
  <c r="L65" i="21"/>
  <c r="K65" i="21"/>
  <c r="T64" i="21"/>
  <c r="S64" i="21"/>
  <c r="R64" i="21"/>
  <c r="Q64" i="21"/>
  <c r="P64" i="21"/>
  <c r="O64" i="21"/>
  <c r="N64" i="21"/>
  <c r="M64" i="21"/>
  <c r="L64" i="21"/>
  <c r="K64" i="21"/>
  <c r="AR63" i="21"/>
  <c r="T63" i="21"/>
  <c r="S63" i="21"/>
  <c r="R63" i="21"/>
  <c r="Q63" i="21"/>
  <c r="P63" i="21"/>
  <c r="O63" i="21"/>
  <c r="N63" i="21"/>
  <c r="M63" i="21"/>
  <c r="L63" i="21"/>
  <c r="K63" i="21"/>
  <c r="CH62" i="21"/>
  <c r="CI62" i="21" s="1"/>
  <c r="CJ62" i="21" s="1"/>
  <c r="CK62" i="21" s="1"/>
  <c r="CL62" i="21" s="1"/>
  <c r="CM62" i="21" s="1"/>
  <c r="CN62" i="21" s="1"/>
  <c r="CO62" i="21" s="1"/>
  <c r="CP62" i="21" s="1"/>
  <c r="M62" i="21"/>
  <c r="L62" i="21"/>
  <c r="K62" i="21"/>
  <c r="CH61" i="21"/>
  <c r="CI61" i="21" s="1"/>
  <c r="CJ61" i="21" s="1"/>
  <c r="CK61" i="21" s="1"/>
  <c r="CL61" i="21" s="1"/>
  <c r="CM61" i="21" s="1"/>
  <c r="CN61" i="21" s="1"/>
  <c r="CO61" i="21" s="1"/>
  <c r="CP61" i="21" s="1"/>
  <c r="M61" i="21"/>
  <c r="L61" i="21"/>
  <c r="K61" i="21"/>
  <c r="W60" i="21"/>
  <c r="V60" i="21"/>
  <c r="U60" i="21"/>
  <c r="T60" i="21"/>
  <c r="M60" i="21"/>
  <c r="L60" i="21"/>
  <c r="K60" i="21"/>
  <c r="Y60" i="21"/>
  <c r="Y73" i="21" s="1"/>
  <c r="Y86" i="21" s="1"/>
  <c r="BV59" i="21"/>
  <c r="BA59" i="21"/>
  <c r="BB59" i="21" s="1"/>
  <c r="BC59" i="21" s="1"/>
  <c r="BD59" i="21" s="1"/>
  <c r="BE59" i="21" s="1"/>
  <c r="BF59" i="21" s="1"/>
  <c r="BG59" i="21" s="1"/>
  <c r="BH59" i="21" s="1"/>
  <c r="BI59" i="21" s="1"/>
  <c r="BJ59" i="21" s="1"/>
  <c r="BK59" i="21" s="1"/>
  <c r="BL59" i="21" s="1"/>
  <c r="BM59" i="21" s="1"/>
  <c r="BN59" i="21" s="1"/>
  <c r="BO59" i="21" s="1"/>
  <c r="BP59" i="21" s="1"/>
  <c r="BQ59" i="21" s="1"/>
  <c r="BR59" i="21" s="1"/>
  <c r="BS59" i="21" s="1"/>
  <c r="BT59" i="21" s="1"/>
  <c r="BU59" i="21" s="1"/>
  <c r="AR58" i="21"/>
  <c r="AS58" i="21" s="1"/>
  <c r="AT58" i="21" s="1"/>
  <c r="AU58" i="21" s="1"/>
  <c r="AV58" i="21" s="1"/>
  <c r="AW58" i="21" s="1"/>
  <c r="AX58" i="21" s="1"/>
  <c r="AY58" i="21" s="1"/>
  <c r="AZ58" i="21" s="1"/>
  <c r="BA58" i="21" s="1"/>
  <c r="BB58" i="21" s="1"/>
  <c r="BC58" i="21" s="1"/>
  <c r="BD58" i="21" s="1"/>
  <c r="BE58" i="21" s="1"/>
  <c r="BF58" i="21" s="1"/>
  <c r="BG58" i="21" s="1"/>
  <c r="BH58" i="21" s="1"/>
  <c r="BI58" i="21" s="1"/>
  <c r="BJ58" i="21" s="1"/>
  <c r="BK58" i="21" s="1"/>
  <c r="BL58" i="21" s="1"/>
  <c r="BM58" i="21" s="1"/>
  <c r="BN58" i="21" s="1"/>
  <c r="BO58" i="21" s="1"/>
  <c r="BP58" i="21" s="1"/>
  <c r="BQ58" i="21" s="1"/>
  <c r="BR58" i="21" s="1"/>
  <c r="BS58" i="21" s="1"/>
  <c r="BT58" i="21" s="1"/>
  <c r="BU58" i="21" s="1"/>
  <c r="BV58" i="21" s="1"/>
  <c r="BW58" i="21" s="1"/>
  <c r="BX58" i="21" s="1"/>
  <c r="BY58" i="21" s="1"/>
  <c r="BZ58" i="21" s="1"/>
  <c r="CA58" i="21" s="1"/>
  <c r="CB58" i="21" s="1"/>
  <c r="CC58" i="21" s="1"/>
  <c r="CD58" i="21" s="1"/>
  <c r="CE58" i="21" s="1"/>
  <c r="CF58" i="21" s="1"/>
  <c r="CG58" i="21" s="1"/>
  <c r="CH58" i="21" s="1"/>
  <c r="CI58" i="21" s="1"/>
  <c r="CJ58" i="21" s="1"/>
  <c r="CK58" i="21" s="1"/>
  <c r="CL58" i="21" s="1"/>
  <c r="CM58" i="21" s="1"/>
  <c r="CN58" i="21" s="1"/>
  <c r="CO58" i="21" s="1"/>
  <c r="CP58" i="21" s="1"/>
  <c r="V59" i="21"/>
  <c r="M59" i="21"/>
  <c r="L59" i="21"/>
  <c r="K59" i="21"/>
  <c r="M58" i="21"/>
  <c r="L58" i="21"/>
  <c r="K58" i="21"/>
  <c r="M54" i="21"/>
  <c r="L54" i="21"/>
  <c r="K54" i="21"/>
  <c r="E52" i="21"/>
  <c r="E51" i="21"/>
  <c r="W51" i="21"/>
  <c r="W90" i="21" s="1"/>
  <c r="V51" i="21"/>
  <c r="U51" i="21"/>
  <c r="U90" i="21" s="1"/>
  <c r="E49" i="21"/>
  <c r="E48" i="21"/>
  <c r="E25" i="21" s="1"/>
  <c r="AW53" i="21"/>
  <c r="CP52" i="21"/>
  <c r="AR50" i="21"/>
  <c r="CH49" i="21"/>
  <c r="CH48" i="21"/>
  <c r="CH74" i="21" s="1"/>
  <c r="CH87" i="21" s="1"/>
  <c r="W50" i="21"/>
  <c r="W89" i="21" s="1"/>
  <c r="V50" i="21"/>
  <c r="V89" i="21" s="1"/>
  <c r="BV46" i="21"/>
  <c r="BA46" i="21"/>
  <c r="AR45" i="21"/>
  <c r="U45" i="21"/>
  <c r="B34" i="21"/>
  <c r="AB30" i="21"/>
  <c r="Y30" i="21"/>
  <c r="Z30" i="21" s="1"/>
  <c r="W30" i="21"/>
  <c r="W46" i="21" s="1"/>
  <c r="X46" i="21" s="1"/>
  <c r="W22" i="21"/>
  <c r="W21" i="21"/>
  <c r="V22" i="21"/>
  <c r="U22" i="21"/>
  <c r="T22" i="21"/>
  <c r="S22" i="21"/>
  <c r="R22" i="21"/>
  <c r="Q22" i="21"/>
  <c r="P22" i="21"/>
  <c r="O22" i="21"/>
  <c r="N22" i="21"/>
  <c r="M22" i="21"/>
  <c r="V21" i="21"/>
  <c r="U21" i="21"/>
  <c r="T21" i="21"/>
  <c r="S21" i="21"/>
  <c r="R21" i="21"/>
  <c r="Q21" i="21"/>
  <c r="P21" i="21"/>
  <c r="O21" i="21"/>
  <c r="N21" i="21"/>
  <c r="M21" i="21"/>
  <c r="L22" i="21"/>
  <c r="K22" i="21"/>
  <c r="L21" i="21"/>
  <c r="K21" i="21"/>
  <c r="F19" i="21"/>
  <c r="Y17" i="21"/>
  <c r="Y16" i="21"/>
  <c r="Z16" i="21" s="1"/>
  <c r="AA16" i="21" s="1"/>
  <c r="AB16" i="21" s="1"/>
  <c r="AC16" i="21" s="1"/>
  <c r="AD16" i="21" s="1"/>
  <c r="AE16" i="21" s="1"/>
  <c r="AF16" i="21" s="1"/>
  <c r="AG16" i="21" s="1"/>
  <c r="AH16" i="21" s="1"/>
  <c r="AI16" i="21" s="1"/>
  <c r="AJ16" i="21" s="1"/>
  <c r="AK16" i="21" s="1"/>
  <c r="AL16" i="21" s="1"/>
  <c r="AM16" i="21" s="1"/>
  <c r="AN16" i="21" s="1"/>
  <c r="AO16" i="21" s="1"/>
  <c r="AP16" i="21" s="1"/>
  <c r="AQ16" i="21" s="1"/>
  <c r="AR16" i="21" s="1"/>
  <c r="AS16" i="21" s="1"/>
  <c r="AT16" i="21" s="1"/>
  <c r="AU16" i="21" s="1"/>
  <c r="AV16" i="21" s="1"/>
  <c r="AW16" i="21" s="1"/>
  <c r="AX16" i="21" s="1"/>
  <c r="AY16" i="21" s="1"/>
  <c r="AZ16" i="21" s="1"/>
  <c r="BA16" i="21" s="1"/>
  <c r="BB16" i="21" s="1"/>
  <c r="BC16" i="21" s="1"/>
  <c r="BD16" i="21" s="1"/>
  <c r="BE16" i="21" s="1"/>
  <c r="BF16" i="21" s="1"/>
  <c r="BG16" i="21" s="1"/>
  <c r="BH16" i="21" s="1"/>
  <c r="BI16" i="21" s="1"/>
  <c r="BJ16" i="21" s="1"/>
  <c r="BK16" i="21" s="1"/>
  <c r="BL16" i="21" s="1"/>
  <c r="BM16" i="21" s="1"/>
  <c r="BN16" i="21" s="1"/>
  <c r="BO16" i="21" s="1"/>
  <c r="BP16" i="21" s="1"/>
  <c r="BQ16" i="21" s="1"/>
  <c r="BR16" i="21" s="1"/>
  <c r="BS16" i="21" s="1"/>
  <c r="BT16" i="21" s="1"/>
  <c r="BU16" i="21" s="1"/>
  <c r="BV16" i="21" s="1"/>
  <c r="BW16" i="21" s="1"/>
  <c r="BX16" i="21" s="1"/>
  <c r="BY16" i="21" s="1"/>
  <c r="BZ16" i="21" s="1"/>
  <c r="CA16" i="21" s="1"/>
  <c r="CB16" i="21" s="1"/>
  <c r="CC16" i="21" s="1"/>
  <c r="CD16" i="21" s="1"/>
  <c r="CE16" i="21" s="1"/>
  <c r="CF16" i="21" s="1"/>
  <c r="CG16" i="21" s="1"/>
  <c r="CH16" i="21" s="1"/>
  <c r="CI16" i="21" s="1"/>
  <c r="CJ16" i="21" s="1"/>
  <c r="CK16" i="21" s="1"/>
  <c r="CL16" i="21" s="1"/>
  <c r="CM16" i="21" s="1"/>
  <c r="CN16" i="21" s="1"/>
  <c r="CO16" i="21" s="1"/>
  <c r="CP16" i="21" s="1"/>
  <c r="AA17" i="21"/>
  <c r="AA20" i="17" s="1"/>
  <c r="F5" i="21"/>
  <c r="F3" i="21"/>
  <c r="CP347" i="3"/>
  <c r="CO347" i="3"/>
  <c r="CN347" i="3"/>
  <c r="CM347" i="3"/>
  <c r="CL347" i="3"/>
  <c r="CK347" i="3"/>
  <c r="CJ347" i="3"/>
  <c r="CI347" i="3"/>
  <c r="CH347" i="3"/>
  <c r="CG347" i="3"/>
  <c r="CF347" i="3"/>
  <c r="CE347" i="3"/>
  <c r="CD347" i="3"/>
  <c r="CC347" i="3"/>
  <c r="CB347" i="3"/>
  <c r="CA347" i="3"/>
  <c r="BZ347" i="3"/>
  <c r="BY347" i="3"/>
  <c r="BX347" i="3"/>
  <c r="BW347" i="3"/>
  <c r="BV347" i="3"/>
  <c r="BU347" i="3"/>
  <c r="BT347" i="3"/>
  <c r="BS347" i="3"/>
  <c r="BR347" i="3"/>
  <c r="BQ347" i="3"/>
  <c r="BP347" i="3"/>
  <c r="BO347" i="3"/>
  <c r="BN347" i="3"/>
  <c r="BM347" i="3"/>
  <c r="BL347" i="3"/>
  <c r="BK347" i="3"/>
  <c r="BJ347" i="3"/>
  <c r="BI347" i="3"/>
  <c r="BH347" i="3"/>
  <c r="BG347" i="3"/>
  <c r="BF347" i="3"/>
  <c r="BE347" i="3"/>
  <c r="BD347" i="3"/>
  <c r="BC347" i="3"/>
  <c r="BB347" i="3"/>
  <c r="BA347" i="3"/>
  <c r="AZ347" i="3"/>
  <c r="AY347" i="3"/>
  <c r="AX347" i="3"/>
  <c r="AW347" i="3"/>
  <c r="AV347" i="3"/>
  <c r="AU347" i="3"/>
  <c r="AT347" i="3"/>
  <c r="AS347" i="3"/>
  <c r="AR347" i="3"/>
  <c r="AQ347" i="3"/>
  <c r="AP347" i="3"/>
  <c r="AO347" i="3"/>
  <c r="AN347" i="3"/>
  <c r="AM347" i="3"/>
  <c r="AL347" i="3"/>
  <c r="AK347" i="3"/>
  <c r="AJ347" i="3"/>
  <c r="AI347" i="3"/>
  <c r="AH347" i="3"/>
  <c r="AG347" i="3"/>
  <c r="AF347" i="3"/>
  <c r="AE347" i="3"/>
  <c r="AD347" i="3"/>
  <c r="AC347" i="3"/>
  <c r="AB347" i="3"/>
  <c r="AA347" i="3"/>
  <c r="Z347" i="3"/>
  <c r="Y347" i="3"/>
  <c r="X347" i="3"/>
  <c r="W347" i="3"/>
  <c r="V347" i="3"/>
  <c r="U347" i="3"/>
  <c r="T347" i="3"/>
  <c r="S347" i="3"/>
  <c r="R347" i="3"/>
  <c r="Q347" i="3"/>
  <c r="P347" i="3"/>
  <c r="O347" i="3"/>
  <c r="N347" i="3"/>
  <c r="M347" i="3"/>
  <c r="L347" i="3"/>
  <c r="K347" i="3"/>
  <c r="CP344" i="3"/>
  <c r="CO344" i="3"/>
  <c r="CN344" i="3"/>
  <c r="CM344" i="3"/>
  <c r="CL344" i="3"/>
  <c r="CK344" i="3"/>
  <c r="CJ344" i="3"/>
  <c r="CI344" i="3"/>
  <c r="CH344" i="3"/>
  <c r="CG344" i="3"/>
  <c r="CF344" i="3"/>
  <c r="CE344" i="3"/>
  <c r="CD344" i="3"/>
  <c r="CC344" i="3"/>
  <c r="CB344" i="3"/>
  <c r="CA344" i="3"/>
  <c r="BZ344" i="3"/>
  <c r="BY344" i="3"/>
  <c r="BX344" i="3"/>
  <c r="BW344" i="3"/>
  <c r="BV344" i="3"/>
  <c r="BU344" i="3"/>
  <c r="BT344" i="3"/>
  <c r="BS344" i="3"/>
  <c r="BR344" i="3"/>
  <c r="BQ344" i="3"/>
  <c r="BP344" i="3"/>
  <c r="BO344" i="3"/>
  <c r="BN344" i="3"/>
  <c r="BM344" i="3"/>
  <c r="BL344" i="3"/>
  <c r="BK344" i="3"/>
  <c r="BJ344" i="3"/>
  <c r="BI344" i="3"/>
  <c r="BH344" i="3"/>
  <c r="BG344" i="3"/>
  <c r="BF344" i="3"/>
  <c r="BE344" i="3"/>
  <c r="BD344" i="3"/>
  <c r="BC344" i="3"/>
  <c r="BB344" i="3"/>
  <c r="BA344" i="3"/>
  <c r="AZ344" i="3"/>
  <c r="AY344" i="3"/>
  <c r="AX344" i="3"/>
  <c r="AW344" i="3"/>
  <c r="AV344" i="3"/>
  <c r="AU344" i="3"/>
  <c r="AT344" i="3"/>
  <c r="AS344" i="3"/>
  <c r="AR344" i="3"/>
  <c r="AQ344" i="3"/>
  <c r="AP344" i="3"/>
  <c r="AO344" i="3"/>
  <c r="AN344" i="3"/>
  <c r="AM344" i="3"/>
  <c r="AL344" i="3"/>
  <c r="AK344" i="3"/>
  <c r="AJ344" i="3"/>
  <c r="AI344" i="3"/>
  <c r="AH344" i="3"/>
  <c r="AG344" i="3"/>
  <c r="AF344" i="3"/>
  <c r="AE344" i="3"/>
  <c r="AD344" i="3"/>
  <c r="AC344" i="3"/>
  <c r="AB344" i="3"/>
  <c r="AA344" i="3"/>
  <c r="Z344" i="3"/>
  <c r="Y344" i="3"/>
  <c r="X344" i="3"/>
  <c r="W344" i="3"/>
  <c r="V344" i="3"/>
  <c r="U344" i="3"/>
  <c r="T344" i="3"/>
  <c r="S344" i="3"/>
  <c r="R344" i="3"/>
  <c r="Q344" i="3"/>
  <c r="P344" i="3"/>
  <c r="O344" i="3"/>
  <c r="N344" i="3"/>
  <c r="M344" i="3"/>
  <c r="L344" i="3"/>
  <c r="K344" i="3"/>
  <c r="S339" i="3"/>
  <c r="R339" i="3"/>
  <c r="Q339" i="3"/>
  <c r="P339" i="3"/>
  <c r="O339" i="3"/>
  <c r="N339" i="3"/>
  <c r="M339" i="3"/>
  <c r="L339" i="3"/>
  <c r="K339" i="3"/>
  <c r="L337" i="3"/>
  <c r="K337" i="3"/>
  <c r="L336" i="3"/>
  <c r="K336" i="3"/>
  <c r="L335" i="3"/>
  <c r="K335" i="3"/>
  <c r="L332" i="3"/>
  <c r="K332" i="3"/>
  <c r="M331" i="3"/>
  <c r="L331" i="3"/>
  <c r="K331" i="3"/>
  <c r="W322" i="3"/>
  <c r="V322" i="3"/>
  <c r="U322" i="3"/>
  <c r="T322" i="3"/>
  <c r="S322" i="3"/>
  <c r="R322" i="3"/>
  <c r="Q322" i="3"/>
  <c r="P322" i="3"/>
  <c r="O322" i="3"/>
  <c r="N322" i="3"/>
  <c r="M322" i="3"/>
  <c r="L322" i="3"/>
  <c r="K322" i="3"/>
  <c r="W321" i="3"/>
  <c r="U321" i="3"/>
  <c r="T321" i="3"/>
  <c r="S321" i="3"/>
  <c r="R321" i="3"/>
  <c r="Q321" i="3"/>
  <c r="P321" i="3"/>
  <c r="O321" i="3"/>
  <c r="W320" i="3"/>
  <c r="V320" i="3"/>
  <c r="U320" i="3"/>
  <c r="T320" i="3"/>
  <c r="S320" i="3"/>
  <c r="R320" i="3"/>
  <c r="Q320" i="3"/>
  <c r="P320" i="3"/>
  <c r="O320" i="3"/>
  <c r="N320" i="3"/>
  <c r="M320" i="3"/>
  <c r="L320" i="3"/>
  <c r="K320" i="3"/>
  <c r="W319" i="3"/>
  <c r="V319" i="3"/>
  <c r="U319" i="3"/>
  <c r="T319" i="3"/>
  <c r="S319" i="3"/>
  <c r="R319" i="3"/>
  <c r="Q319" i="3"/>
  <c r="P319" i="3"/>
  <c r="O319" i="3"/>
  <c r="N319" i="3"/>
  <c r="M319" i="3"/>
  <c r="L319" i="3"/>
  <c r="K319" i="3"/>
  <c r="L316" i="3"/>
  <c r="M316" i="3" s="1"/>
  <c r="N316" i="3" s="1"/>
  <c r="O316" i="3" s="1"/>
  <c r="P316" i="3" s="1"/>
  <c r="Q316" i="3" s="1"/>
  <c r="R316" i="3" s="1"/>
  <c r="S316" i="3" s="1"/>
  <c r="T316" i="3" s="1"/>
  <c r="U316" i="3" s="1"/>
  <c r="V316" i="3" s="1"/>
  <c r="W316" i="3" s="1"/>
  <c r="X316" i="3" s="1"/>
  <c r="Y316" i="3" s="1"/>
  <c r="Z316" i="3" s="1"/>
  <c r="AA316" i="3" s="1"/>
  <c r="AB316" i="3" s="1"/>
  <c r="AC316" i="3" s="1"/>
  <c r="AD316" i="3" s="1"/>
  <c r="AE316" i="3" s="1"/>
  <c r="AF316" i="3" s="1"/>
  <c r="AG316" i="3" s="1"/>
  <c r="AH316" i="3" s="1"/>
  <c r="AI316" i="3" s="1"/>
  <c r="AJ316" i="3" s="1"/>
  <c r="AK316" i="3" s="1"/>
  <c r="AL316" i="3" s="1"/>
  <c r="AM316" i="3" s="1"/>
  <c r="AN316" i="3" s="1"/>
  <c r="AO316" i="3" s="1"/>
  <c r="AP316" i="3" s="1"/>
  <c r="AQ316" i="3" s="1"/>
  <c r="AR316" i="3" s="1"/>
  <c r="AS316" i="3" s="1"/>
  <c r="AT316" i="3" s="1"/>
  <c r="AU316" i="3" s="1"/>
  <c r="AV316" i="3" s="1"/>
  <c r="AW316" i="3" s="1"/>
  <c r="AX316" i="3" s="1"/>
  <c r="AY316" i="3" s="1"/>
  <c r="AZ316" i="3" s="1"/>
  <c r="BA316" i="3" s="1"/>
  <c r="BB316" i="3" s="1"/>
  <c r="BC316" i="3" s="1"/>
  <c r="BD316" i="3" s="1"/>
  <c r="BE316" i="3" s="1"/>
  <c r="BF316" i="3" s="1"/>
  <c r="BG316" i="3" s="1"/>
  <c r="BH316" i="3" s="1"/>
  <c r="BI316" i="3" s="1"/>
  <c r="BJ316" i="3" s="1"/>
  <c r="BK316" i="3" s="1"/>
  <c r="BL316" i="3" s="1"/>
  <c r="BM316" i="3" s="1"/>
  <c r="BN316" i="3" s="1"/>
  <c r="BO316" i="3" s="1"/>
  <c r="BP316" i="3" s="1"/>
  <c r="BQ316" i="3" s="1"/>
  <c r="BR316" i="3" s="1"/>
  <c r="BS316" i="3" s="1"/>
  <c r="BT316" i="3" s="1"/>
  <c r="BU316" i="3" s="1"/>
  <c r="BV316" i="3" s="1"/>
  <c r="BW316" i="3" s="1"/>
  <c r="BX316" i="3" s="1"/>
  <c r="BY316" i="3" s="1"/>
  <c r="BZ316" i="3" s="1"/>
  <c r="CA316" i="3" s="1"/>
  <c r="CB316" i="3" s="1"/>
  <c r="CC316" i="3" s="1"/>
  <c r="CD316" i="3" s="1"/>
  <c r="CE316" i="3" s="1"/>
  <c r="CF316" i="3" s="1"/>
  <c r="CG316" i="3" s="1"/>
  <c r="CH316" i="3" s="1"/>
  <c r="CI316" i="3" s="1"/>
  <c r="CJ316" i="3" s="1"/>
  <c r="CK316" i="3" s="1"/>
  <c r="CL316" i="3" s="1"/>
  <c r="CM316" i="3" s="1"/>
  <c r="CN316" i="3" s="1"/>
  <c r="CO316" i="3" s="1"/>
  <c r="CP316" i="3" s="1"/>
  <c r="T311" i="3"/>
  <c r="U311" i="3" s="1"/>
  <c r="V311" i="3" s="1"/>
  <c r="W311" i="3" s="1"/>
  <c r="X311" i="3" s="1"/>
  <c r="Y311" i="3" s="1"/>
  <c r="Z311" i="3" s="1"/>
  <c r="AA311" i="3" s="1"/>
  <c r="AB311" i="3" s="1"/>
  <c r="AC311" i="3" s="1"/>
  <c r="AD311" i="3" s="1"/>
  <c r="AE311" i="3" s="1"/>
  <c r="AF311" i="3" s="1"/>
  <c r="AG311" i="3" s="1"/>
  <c r="AH311" i="3" s="1"/>
  <c r="AI311" i="3" s="1"/>
  <c r="AJ311" i="3" s="1"/>
  <c r="AK311" i="3" s="1"/>
  <c r="AL311" i="3" s="1"/>
  <c r="AM311" i="3" s="1"/>
  <c r="AN311" i="3" s="1"/>
  <c r="AO311" i="3" s="1"/>
  <c r="AP311" i="3" s="1"/>
  <c r="AQ311" i="3" s="1"/>
  <c r="AR311" i="3" s="1"/>
  <c r="AS311" i="3" s="1"/>
  <c r="AT311" i="3" s="1"/>
  <c r="AU311" i="3" s="1"/>
  <c r="AV311" i="3" s="1"/>
  <c r="AW311" i="3" s="1"/>
  <c r="AX311" i="3" s="1"/>
  <c r="AY311" i="3" s="1"/>
  <c r="AZ311" i="3" s="1"/>
  <c r="BA311" i="3" s="1"/>
  <c r="BB311" i="3" s="1"/>
  <c r="BC311" i="3" s="1"/>
  <c r="BD311" i="3" s="1"/>
  <c r="BE311" i="3" s="1"/>
  <c r="BF311" i="3" s="1"/>
  <c r="BG311" i="3" s="1"/>
  <c r="BH311" i="3" s="1"/>
  <c r="BI311" i="3" s="1"/>
  <c r="BJ311" i="3" s="1"/>
  <c r="BK311" i="3" s="1"/>
  <c r="BL311" i="3" s="1"/>
  <c r="BM311" i="3" s="1"/>
  <c r="BN311" i="3" s="1"/>
  <c r="BO311" i="3" s="1"/>
  <c r="BP311" i="3" s="1"/>
  <c r="BQ311" i="3" s="1"/>
  <c r="BR311" i="3" s="1"/>
  <c r="BS311" i="3" s="1"/>
  <c r="BT311" i="3" s="1"/>
  <c r="BU311" i="3" s="1"/>
  <c r="BV311" i="3" s="1"/>
  <c r="BW311" i="3" s="1"/>
  <c r="BX311" i="3" s="1"/>
  <c r="BY311" i="3" s="1"/>
  <c r="BZ311" i="3" s="1"/>
  <c r="CA311" i="3" s="1"/>
  <c r="CB311" i="3" s="1"/>
  <c r="CC311" i="3" s="1"/>
  <c r="CD311" i="3" s="1"/>
  <c r="CE311" i="3" s="1"/>
  <c r="CF311" i="3" s="1"/>
  <c r="CG311" i="3" s="1"/>
  <c r="CH311" i="3" s="1"/>
  <c r="CI311" i="3" s="1"/>
  <c r="CJ311" i="3" s="1"/>
  <c r="CK311" i="3" s="1"/>
  <c r="CL311" i="3" s="1"/>
  <c r="CM311" i="3" s="1"/>
  <c r="CN311" i="3" s="1"/>
  <c r="CO311" i="3" s="1"/>
  <c r="CP311" i="3" s="1"/>
  <c r="W309" i="3"/>
  <c r="V309" i="3"/>
  <c r="U309" i="3"/>
  <c r="T309" i="3"/>
  <c r="S309" i="3"/>
  <c r="R309" i="3"/>
  <c r="Q309" i="3"/>
  <c r="P309" i="3"/>
  <c r="O309" i="3"/>
  <c r="N309" i="3"/>
  <c r="M309" i="3"/>
  <c r="L309" i="3"/>
  <c r="K309" i="3"/>
  <c r="W305" i="3"/>
  <c r="V305" i="3"/>
  <c r="U305" i="3"/>
  <c r="T305" i="3"/>
  <c r="S305" i="3"/>
  <c r="R305" i="3"/>
  <c r="Q305" i="3"/>
  <c r="P305" i="3"/>
  <c r="O305" i="3"/>
  <c r="N305" i="3"/>
  <c r="M305" i="3"/>
  <c r="L305" i="3"/>
  <c r="K305" i="3"/>
  <c r="K303" i="3" s="1"/>
  <c r="K304" i="3" s="1"/>
  <c r="J293" i="3"/>
  <c r="I293" i="3"/>
  <c r="H293" i="3"/>
  <c r="G293" i="3"/>
  <c r="F293" i="3"/>
  <c r="W295" i="3"/>
  <c r="V295" i="3"/>
  <c r="U295" i="3"/>
  <c r="T295" i="3"/>
  <c r="S295" i="3"/>
  <c r="R295" i="3"/>
  <c r="Q295" i="3"/>
  <c r="P295" i="3"/>
  <c r="O295" i="3"/>
  <c r="N295" i="3"/>
  <c r="M295" i="3"/>
  <c r="L295" i="3"/>
  <c r="K295" i="3"/>
  <c r="S294" i="3"/>
  <c r="R294" i="3"/>
  <c r="Q294" i="3"/>
  <c r="P294" i="3"/>
  <c r="O294" i="3"/>
  <c r="N294" i="3"/>
  <c r="M294" i="3"/>
  <c r="L294" i="3"/>
  <c r="K294" i="3"/>
  <c r="L292" i="3"/>
  <c r="L35" i="17" s="1"/>
  <c r="K292" i="3"/>
  <c r="K35" i="17" s="1"/>
  <c r="DO291" i="3"/>
  <c r="DM291" i="3"/>
  <c r="DK291" i="3"/>
  <c r="DN290" i="3"/>
  <c r="DL290" i="3"/>
  <c r="DL289" i="3"/>
  <c r="DL288" i="3"/>
  <c r="DJ290" i="3"/>
  <c r="DJ289" i="3"/>
  <c r="DJ288" i="3"/>
  <c r="M290" i="3"/>
  <c r="N337" i="3" s="1"/>
  <c r="M289" i="3"/>
  <c r="M288" i="3"/>
  <c r="M335" i="3" s="1"/>
  <c r="DN288" i="3"/>
  <c r="X291" i="3"/>
  <c r="DQ291" i="3" s="1"/>
  <c r="W290" i="3"/>
  <c r="V290" i="3"/>
  <c r="DM290" i="3" s="1"/>
  <c r="U290" i="3"/>
  <c r="DK290" i="3" s="1"/>
  <c r="T290" i="3"/>
  <c r="S290" i="3"/>
  <c r="R290" i="3"/>
  <c r="Q290" i="3"/>
  <c r="P290" i="3"/>
  <c r="O290" i="3"/>
  <c r="O337" i="3" s="1"/>
  <c r="W289" i="3"/>
  <c r="X289" i="3" s="1"/>
  <c r="Y289" i="3" s="1"/>
  <c r="V289" i="3"/>
  <c r="U289" i="3"/>
  <c r="T289" i="3"/>
  <c r="S289" i="3"/>
  <c r="R289" i="3"/>
  <c r="Q289" i="3"/>
  <c r="P289" i="3"/>
  <c r="O289" i="3"/>
  <c r="O336" i="3" s="1"/>
  <c r="W288" i="3"/>
  <c r="V288" i="3"/>
  <c r="DM288" i="3" s="1"/>
  <c r="U288" i="3"/>
  <c r="T288" i="3"/>
  <c r="S288" i="3"/>
  <c r="R288" i="3"/>
  <c r="Q288" i="3"/>
  <c r="P288" i="3"/>
  <c r="O288" i="3"/>
  <c r="N288" i="3"/>
  <c r="AJ17" i="16" s="1"/>
  <c r="DN284" i="3"/>
  <c r="DL284" i="3"/>
  <c r="DJ284" i="3"/>
  <c r="W284" i="3"/>
  <c r="V284" i="3"/>
  <c r="U284" i="3"/>
  <c r="T284" i="3"/>
  <c r="S284" i="3"/>
  <c r="R284" i="3"/>
  <c r="Q284" i="3"/>
  <c r="P284" i="3"/>
  <c r="O284" i="3"/>
  <c r="N284" i="3"/>
  <c r="M284" i="3"/>
  <c r="L284" i="3"/>
  <c r="K284" i="3"/>
  <c r="DO283" i="3"/>
  <c r="DO282" i="3"/>
  <c r="DO281" i="3"/>
  <c r="DO280" i="3"/>
  <c r="DO279" i="3"/>
  <c r="DO278" i="3"/>
  <c r="DM283" i="3"/>
  <c r="DM282" i="3"/>
  <c r="DM281" i="3"/>
  <c r="DM280" i="3"/>
  <c r="DM279" i="3"/>
  <c r="DM278" i="3"/>
  <c r="DK283" i="3"/>
  <c r="DK282" i="3"/>
  <c r="DK281" i="3"/>
  <c r="DK280" i="3"/>
  <c r="DK279" i="3"/>
  <c r="DK278" i="3"/>
  <c r="X283" i="3"/>
  <c r="X282" i="3"/>
  <c r="X280" i="3"/>
  <c r="X279" i="3"/>
  <c r="X10" i="17" s="1"/>
  <c r="X278" i="3"/>
  <c r="DN276" i="3"/>
  <c r="DL276" i="3"/>
  <c r="DJ276" i="3"/>
  <c r="W276" i="3"/>
  <c r="V276" i="3"/>
  <c r="U276" i="3"/>
  <c r="T276" i="3"/>
  <c r="S276" i="3"/>
  <c r="R276" i="3"/>
  <c r="Q276" i="3"/>
  <c r="P276" i="3"/>
  <c r="O276" i="3"/>
  <c r="M276" i="3"/>
  <c r="L276" i="3"/>
  <c r="DO275" i="3"/>
  <c r="DO274" i="3"/>
  <c r="DO273" i="3"/>
  <c r="DO272" i="3"/>
  <c r="DO271" i="3"/>
  <c r="DM275" i="3"/>
  <c r="DM274" i="3"/>
  <c r="DM273" i="3"/>
  <c r="DM272" i="3"/>
  <c r="DM271" i="3"/>
  <c r="DK275" i="3"/>
  <c r="DK274" i="3"/>
  <c r="DK273" i="3"/>
  <c r="DK272" i="3"/>
  <c r="DK271" i="3"/>
  <c r="N275" i="3"/>
  <c r="N276" i="3" s="1"/>
  <c r="K275" i="3"/>
  <c r="K321" i="3" s="1"/>
  <c r="X275" i="3"/>
  <c r="X274" i="3"/>
  <c r="X273" i="3"/>
  <c r="X272" i="3"/>
  <c r="AT14" i="16" s="1"/>
  <c r="X271" i="3"/>
  <c r="DQ271" i="3" s="1"/>
  <c r="DN269" i="3"/>
  <c r="DL269" i="3"/>
  <c r="DJ269" i="3"/>
  <c r="W269" i="3"/>
  <c r="U269" i="3"/>
  <c r="T269" i="3"/>
  <c r="S269" i="3"/>
  <c r="R269" i="3"/>
  <c r="Q269" i="3"/>
  <c r="P269" i="3"/>
  <c r="O269" i="3"/>
  <c r="N269" i="3"/>
  <c r="M269" i="3"/>
  <c r="L269" i="3"/>
  <c r="K269" i="3"/>
  <c r="DO268" i="3"/>
  <c r="DO267" i="3"/>
  <c r="DO266" i="3"/>
  <c r="DO265" i="3"/>
  <c r="DO264" i="3"/>
  <c r="DO263" i="3"/>
  <c r="DO262" i="3"/>
  <c r="DM267" i="3"/>
  <c r="DM266" i="3"/>
  <c r="DM265" i="3"/>
  <c r="DM264" i="3"/>
  <c r="DM263" i="3"/>
  <c r="DM262" i="3"/>
  <c r="DK268" i="3"/>
  <c r="DK267" i="3"/>
  <c r="DK266" i="3"/>
  <c r="DK265" i="3"/>
  <c r="DK264" i="3"/>
  <c r="DK263" i="3"/>
  <c r="DK262" i="3"/>
  <c r="V268" i="3"/>
  <c r="V269" i="3" s="1"/>
  <c r="AR11" i="16" s="1"/>
  <c r="X268" i="3"/>
  <c r="X266" i="3"/>
  <c r="X262" i="3"/>
  <c r="DL260" i="3"/>
  <c r="DJ260" i="3"/>
  <c r="S260" i="3"/>
  <c r="R260" i="3"/>
  <c r="Q260" i="3"/>
  <c r="P260" i="3"/>
  <c r="O260" i="3"/>
  <c r="K260" i="3"/>
  <c r="DO259" i="3"/>
  <c r="DN259" i="3"/>
  <c r="DN260" i="3" s="1"/>
  <c r="DM259" i="3"/>
  <c r="DK259" i="3"/>
  <c r="DK258" i="3"/>
  <c r="DK257" i="3"/>
  <c r="DK256" i="3"/>
  <c r="N259" i="3"/>
  <c r="N260" i="3" s="1"/>
  <c r="M259" i="3"/>
  <c r="L259" i="3"/>
  <c r="L321" i="3" s="1"/>
  <c r="DO258" i="3"/>
  <c r="DO257" i="3"/>
  <c r="DO256" i="3"/>
  <c r="DM258" i="3"/>
  <c r="DM257" i="3"/>
  <c r="DM256" i="3"/>
  <c r="X259" i="3"/>
  <c r="X258" i="3"/>
  <c r="DQ258" i="3" s="1"/>
  <c r="X257" i="3"/>
  <c r="DQ257" i="3" s="1"/>
  <c r="X256" i="3"/>
  <c r="DQ256" i="3" s="1"/>
  <c r="DE253" i="3"/>
  <c r="DD253" i="3"/>
  <c r="F253" i="3"/>
  <c r="J243" i="3"/>
  <c r="I243" i="3"/>
  <c r="H243" i="3"/>
  <c r="G243" i="3"/>
  <c r="F243" i="3"/>
  <c r="CP249" i="3"/>
  <c r="CO249" i="3"/>
  <c r="CN249" i="3"/>
  <c r="CM249" i="3"/>
  <c r="CL249" i="3"/>
  <c r="CK249" i="3"/>
  <c r="CJ249" i="3"/>
  <c r="CI249" i="3"/>
  <c r="CH249" i="3"/>
  <c r="CG249" i="3"/>
  <c r="CF249" i="3"/>
  <c r="CE249" i="3"/>
  <c r="CD249" i="3"/>
  <c r="CC249" i="3"/>
  <c r="CB249" i="3"/>
  <c r="CA249" i="3"/>
  <c r="BZ249" i="3"/>
  <c r="BY249" i="3"/>
  <c r="BX249" i="3"/>
  <c r="BW249" i="3"/>
  <c r="BV249" i="3"/>
  <c r="BU249" i="3"/>
  <c r="BT249" i="3"/>
  <c r="BS249" i="3"/>
  <c r="BR249" i="3"/>
  <c r="BQ249" i="3"/>
  <c r="BP249" i="3"/>
  <c r="BO249" i="3"/>
  <c r="BN249" i="3"/>
  <c r="BM249" i="3"/>
  <c r="BL249" i="3"/>
  <c r="BK249" i="3"/>
  <c r="BJ249" i="3"/>
  <c r="BI249" i="3"/>
  <c r="BH249" i="3"/>
  <c r="BG249" i="3"/>
  <c r="BF249" i="3"/>
  <c r="BE249" i="3"/>
  <c r="BD249" i="3"/>
  <c r="BC249" i="3"/>
  <c r="BB249" i="3"/>
  <c r="BA249" i="3"/>
  <c r="AZ249" i="3"/>
  <c r="AY249" i="3"/>
  <c r="AX249" i="3"/>
  <c r="AW249" i="3"/>
  <c r="AV249" i="3"/>
  <c r="AU249" i="3"/>
  <c r="AT249" i="3"/>
  <c r="AS249" i="3"/>
  <c r="AR249" i="3"/>
  <c r="AQ249" i="3"/>
  <c r="AP249" i="3"/>
  <c r="AO249" i="3"/>
  <c r="AN249" i="3"/>
  <c r="AM249" i="3"/>
  <c r="AL249" i="3"/>
  <c r="AK249" i="3"/>
  <c r="AJ249" i="3"/>
  <c r="AI249" i="3"/>
  <c r="AH249" i="3"/>
  <c r="AG249" i="3"/>
  <c r="AF249" i="3"/>
  <c r="AE249" i="3"/>
  <c r="AD249" i="3"/>
  <c r="AC249" i="3"/>
  <c r="AB249" i="3"/>
  <c r="AA249" i="3"/>
  <c r="Z249" i="3"/>
  <c r="Y249" i="3"/>
  <c r="X249" i="3"/>
  <c r="W249" i="3"/>
  <c r="V249" i="3"/>
  <c r="U249" i="3"/>
  <c r="X246" i="3"/>
  <c r="V246" i="3"/>
  <c r="U246" i="3"/>
  <c r="T249" i="3"/>
  <c r="S249" i="3"/>
  <c r="R249" i="3"/>
  <c r="Q249" i="3"/>
  <c r="P249" i="3"/>
  <c r="O249" i="3"/>
  <c r="N249" i="3"/>
  <c r="M249" i="3"/>
  <c r="L249" i="3"/>
  <c r="K249" i="3"/>
  <c r="T246" i="3"/>
  <c r="S246" i="3"/>
  <c r="R246" i="3"/>
  <c r="Q246" i="3"/>
  <c r="P246" i="3"/>
  <c r="O246" i="3"/>
  <c r="N246" i="3"/>
  <c r="N248" i="3" s="1"/>
  <c r="M246" i="3"/>
  <c r="M248" i="3" s="1"/>
  <c r="L246" i="3"/>
  <c r="L248" i="3" s="1"/>
  <c r="K246" i="3"/>
  <c r="K248" i="3" s="1"/>
  <c r="DL236" i="3"/>
  <c r="DJ236" i="3"/>
  <c r="Y236" i="3"/>
  <c r="Z236" i="3" s="1"/>
  <c r="AA236" i="3" s="1"/>
  <c r="AB236" i="3" s="1"/>
  <c r="AC236" i="3" s="1"/>
  <c r="AD236" i="3" s="1"/>
  <c r="AE236" i="3" s="1"/>
  <c r="AF236" i="3" s="1"/>
  <c r="AG236" i="3" s="1"/>
  <c r="AH236" i="3" s="1"/>
  <c r="AI236" i="3" s="1"/>
  <c r="AJ236" i="3" s="1"/>
  <c r="AK236" i="3" s="1"/>
  <c r="AL236" i="3" s="1"/>
  <c r="AM236" i="3" s="1"/>
  <c r="AN236" i="3" s="1"/>
  <c r="AO236" i="3" s="1"/>
  <c r="AP236" i="3" s="1"/>
  <c r="AQ236" i="3" s="1"/>
  <c r="AR236" i="3" s="1"/>
  <c r="AS236" i="3" s="1"/>
  <c r="AT236" i="3" s="1"/>
  <c r="AU236" i="3" s="1"/>
  <c r="AV236" i="3" s="1"/>
  <c r="AW236" i="3" s="1"/>
  <c r="AX236" i="3" s="1"/>
  <c r="AY236" i="3" s="1"/>
  <c r="AZ236" i="3" s="1"/>
  <c r="BA236" i="3" s="1"/>
  <c r="BB236" i="3" s="1"/>
  <c r="BC236" i="3" s="1"/>
  <c r="BD236" i="3" s="1"/>
  <c r="BE236" i="3" s="1"/>
  <c r="BF236" i="3" s="1"/>
  <c r="BG236" i="3" s="1"/>
  <c r="BH236" i="3" s="1"/>
  <c r="BI236" i="3" s="1"/>
  <c r="BJ236" i="3" s="1"/>
  <c r="BK236" i="3" s="1"/>
  <c r="BL236" i="3" s="1"/>
  <c r="BM236" i="3" s="1"/>
  <c r="BN236" i="3" s="1"/>
  <c r="BO236" i="3" s="1"/>
  <c r="BP236" i="3" s="1"/>
  <c r="BQ236" i="3" s="1"/>
  <c r="BR236" i="3" s="1"/>
  <c r="BS236" i="3" s="1"/>
  <c r="BT236" i="3" s="1"/>
  <c r="BU236" i="3" s="1"/>
  <c r="BV236" i="3" s="1"/>
  <c r="BW236" i="3" s="1"/>
  <c r="BX236" i="3" s="1"/>
  <c r="BY236" i="3" s="1"/>
  <c r="BZ236" i="3" s="1"/>
  <c r="CA236" i="3" s="1"/>
  <c r="CB236" i="3" s="1"/>
  <c r="CC236" i="3" s="1"/>
  <c r="CD236" i="3" s="1"/>
  <c r="CE236" i="3" s="1"/>
  <c r="CF236" i="3" s="1"/>
  <c r="CG236" i="3" s="1"/>
  <c r="CH236" i="3" s="1"/>
  <c r="CI236" i="3" s="1"/>
  <c r="CJ236" i="3" s="1"/>
  <c r="CK236" i="3" s="1"/>
  <c r="CL236" i="3" s="1"/>
  <c r="CM236" i="3" s="1"/>
  <c r="CN236" i="3" s="1"/>
  <c r="CO236" i="3" s="1"/>
  <c r="CP236" i="3" s="1"/>
  <c r="W236" i="3"/>
  <c r="DO236" i="3" s="1"/>
  <c r="V236" i="3"/>
  <c r="DM236" i="3" s="1"/>
  <c r="U236" i="3"/>
  <c r="DK236" i="3" s="1"/>
  <c r="T236" i="3"/>
  <c r="S236" i="3"/>
  <c r="R236" i="3"/>
  <c r="Q236" i="3"/>
  <c r="P236" i="3"/>
  <c r="M236" i="3"/>
  <c r="K236" i="3"/>
  <c r="DK235" i="3"/>
  <c r="EH235" i="3" s="1"/>
  <c r="W234" i="3"/>
  <c r="U43" i="16" s="1"/>
  <c r="V234" i="3"/>
  <c r="U234" i="3"/>
  <c r="S43" i="16" s="1"/>
  <c r="T234" i="3"/>
  <c r="R43" i="16" s="1"/>
  <c r="S234" i="3"/>
  <c r="Q43" i="16" s="1"/>
  <c r="R234" i="3"/>
  <c r="Q234" i="3"/>
  <c r="O43" i="16" s="1"/>
  <c r="P234" i="3"/>
  <c r="O234" i="3"/>
  <c r="M43" i="16" s="1"/>
  <c r="N234" i="3"/>
  <c r="M234" i="3"/>
  <c r="K43" i="16" s="1"/>
  <c r="DZ233" i="3"/>
  <c r="DN233" i="3" s="1"/>
  <c r="U233" i="3"/>
  <c r="DK233" i="3" s="1"/>
  <c r="U232" i="3"/>
  <c r="S45" i="16" s="1"/>
  <c r="L233" i="3"/>
  <c r="J42" i="16" s="1"/>
  <c r="DN235" i="3"/>
  <c r="DO235" i="3" s="1"/>
  <c r="DM235" i="3"/>
  <c r="EI235" i="3" s="1"/>
  <c r="DN234" i="3"/>
  <c r="DM233" i="3"/>
  <c r="EI233" i="3" s="1"/>
  <c r="DN232" i="3"/>
  <c r="DL232" i="3"/>
  <c r="DJ232" i="3"/>
  <c r="W232" i="3"/>
  <c r="U45" i="16" s="1"/>
  <c r="V232" i="3"/>
  <c r="T45" i="16" s="1"/>
  <c r="T232" i="3"/>
  <c r="R45" i="16" s="1"/>
  <c r="S232" i="3"/>
  <c r="R232" i="3"/>
  <c r="P45" i="16" s="1"/>
  <c r="Q232" i="3"/>
  <c r="P232" i="3"/>
  <c r="N45" i="16" s="1"/>
  <c r="O232" i="3"/>
  <c r="M45" i="16" s="1"/>
  <c r="N232" i="3"/>
  <c r="L45" i="16" s="1"/>
  <c r="M232" i="3"/>
  <c r="K45" i="16" s="1"/>
  <c r="K232" i="3"/>
  <c r="I45" i="16" s="1"/>
  <c r="DL230" i="3"/>
  <c r="V230" i="3"/>
  <c r="T41" i="16" s="1"/>
  <c r="T88" i="16" s="1"/>
  <c r="T230" i="3"/>
  <c r="R41" i="16" s="1"/>
  <c r="S230" i="3"/>
  <c r="Q41" i="16" s="1"/>
  <c r="R230" i="3"/>
  <c r="P41" i="16" s="1"/>
  <c r="N230" i="3"/>
  <c r="L41" i="16" s="1"/>
  <c r="L88" i="16" s="1"/>
  <c r="M230" i="3"/>
  <c r="K41" i="16" s="1"/>
  <c r="K230" i="3"/>
  <c r="I41" i="16" s="1"/>
  <c r="DZ229" i="3"/>
  <c r="DN229" i="3" s="1"/>
  <c r="DJ229" i="3"/>
  <c r="DJ230" i="3" s="1"/>
  <c r="U229" i="3"/>
  <c r="U230" i="3" s="1"/>
  <c r="S41" i="16" s="1"/>
  <c r="Q229" i="3"/>
  <c r="Q230" i="3" s="1"/>
  <c r="O41" i="16" s="1"/>
  <c r="O88" i="16" s="1"/>
  <c r="P229" i="3"/>
  <c r="P230" i="3" s="1"/>
  <c r="N41" i="16" s="1"/>
  <c r="O229" i="3"/>
  <c r="O230" i="3" s="1"/>
  <c r="M41" i="16" s="1"/>
  <c r="M88" i="16" s="1"/>
  <c r="L229" i="3"/>
  <c r="L230" i="3" s="1"/>
  <c r="J41" i="16" s="1"/>
  <c r="DM229" i="3"/>
  <c r="EI229" i="3" s="1"/>
  <c r="DN228" i="3"/>
  <c r="DO228" i="3" s="1"/>
  <c r="EJ228" i="3" s="1"/>
  <c r="DM228" i="3"/>
  <c r="EI228" i="3" s="1"/>
  <c r="DK228" i="3"/>
  <c r="EH228" i="3" s="1"/>
  <c r="DK227" i="3"/>
  <c r="EH227" i="3" s="1"/>
  <c r="DK226" i="3"/>
  <c r="EH226" i="3" s="1"/>
  <c r="DK225" i="3"/>
  <c r="DX225" i="3" s="1"/>
  <c r="DK224" i="3"/>
  <c r="DX224" i="3" s="1"/>
  <c r="DK223" i="3"/>
  <c r="DX223" i="3" s="1"/>
  <c r="DZ227" i="3"/>
  <c r="DO226" i="3"/>
  <c r="EJ226" i="3" s="1"/>
  <c r="DO225" i="3"/>
  <c r="EJ225" i="3" s="1"/>
  <c r="DO224" i="3"/>
  <c r="EJ224" i="3" s="1"/>
  <c r="DO223" i="3"/>
  <c r="EJ223" i="3" s="1"/>
  <c r="DM227" i="3"/>
  <c r="EI227" i="3" s="1"/>
  <c r="DM226" i="3"/>
  <c r="EI226" i="3" s="1"/>
  <c r="DM225" i="3"/>
  <c r="EI225" i="3" s="1"/>
  <c r="DM224" i="3"/>
  <c r="EI224" i="3" s="1"/>
  <c r="DM223" i="3"/>
  <c r="W227" i="3"/>
  <c r="W230" i="3" s="1"/>
  <c r="U41" i="16" s="1"/>
  <c r="U88" i="16" s="1"/>
  <c r="DZ225" i="3"/>
  <c r="DZ224" i="3"/>
  <c r="CP226" i="3"/>
  <c r="CO226" i="3"/>
  <c r="CN226" i="3"/>
  <c r="CM226" i="3"/>
  <c r="CL226" i="3"/>
  <c r="CK226" i="3"/>
  <c r="CJ226" i="3"/>
  <c r="CI226" i="3"/>
  <c r="CH226" i="3"/>
  <c r="CG226" i="3"/>
  <c r="CF226" i="3"/>
  <c r="CE226" i="3"/>
  <c r="CD226" i="3"/>
  <c r="CC226" i="3"/>
  <c r="CB226" i="3"/>
  <c r="CA226" i="3"/>
  <c r="BZ226" i="3"/>
  <c r="BY226" i="3"/>
  <c r="BX226" i="3"/>
  <c r="BW226" i="3"/>
  <c r="BV226" i="3"/>
  <c r="BU226" i="3"/>
  <c r="BT226" i="3"/>
  <c r="BS226" i="3"/>
  <c r="BR226" i="3"/>
  <c r="BQ226" i="3"/>
  <c r="BP226" i="3"/>
  <c r="BO226" i="3"/>
  <c r="BN226" i="3"/>
  <c r="BM226" i="3"/>
  <c r="BL226" i="3"/>
  <c r="BK226" i="3"/>
  <c r="BJ226" i="3"/>
  <c r="BI226" i="3"/>
  <c r="BH226" i="3"/>
  <c r="BG226" i="3"/>
  <c r="BF226" i="3"/>
  <c r="BE226" i="3"/>
  <c r="BD226" i="3"/>
  <c r="BC226" i="3"/>
  <c r="BB226" i="3"/>
  <c r="BA226" i="3"/>
  <c r="AZ226" i="3"/>
  <c r="AY226" i="3"/>
  <c r="AX226" i="3"/>
  <c r="AW226" i="3"/>
  <c r="AV226" i="3"/>
  <c r="AU226" i="3"/>
  <c r="AT226" i="3"/>
  <c r="AS226" i="3"/>
  <c r="AR226" i="3"/>
  <c r="AQ226" i="3"/>
  <c r="AP226" i="3"/>
  <c r="AO226" i="3"/>
  <c r="AN226" i="3"/>
  <c r="AM226" i="3"/>
  <c r="AL226" i="3"/>
  <c r="AK226" i="3"/>
  <c r="AJ226" i="3"/>
  <c r="AI226" i="3"/>
  <c r="AH226" i="3"/>
  <c r="AG226" i="3"/>
  <c r="AF226" i="3"/>
  <c r="AE226" i="3"/>
  <c r="AD226" i="3"/>
  <c r="AC226" i="3"/>
  <c r="AB226" i="3"/>
  <c r="AA226" i="3"/>
  <c r="Z226" i="3"/>
  <c r="Y226" i="3"/>
  <c r="X226" i="3"/>
  <c r="DQ226" i="3" s="1"/>
  <c r="CP225" i="3"/>
  <c r="CO225" i="3"/>
  <c r="CN225" i="3"/>
  <c r="CM225" i="3"/>
  <c r="CL225" i="3"/>
  <c r="CK225" i="3"/>
  <c r="CJ225" i="3"/>
  <c r="CI225" i="3"/>
  <c r="CH225" i="3"/>
  <c r="CG225" i="3"/>
  <c r="CF225" i="3"/>
  <c r="CE225" i="3"/>
  <c r="CD225" i="3"/>
  <c r="CC225" i="3"/>
  <c r="CB225" i="3"/>
  <c r="CA225" i="3"/>
  <c r="BZ225" i="3"/>
  <c r="BY225" i="3"/>
  <c r="BX225" i="3"/>
  <c r="BW225" i="3"/>
  <c r="BV225" i="3"/>
  <c r="BU225" i="3"/>
  <c r="BT225" i="3"/>
  <c r="BS225" i="3"/>
  <c r="BR225" i="3"/>
  <c r="BQ225" i="3"/>
  <c r="BP225" i="3"/>
  <c r="BO225" i="3"/>
  <c r="BN225" i="3"/>
  <c r="BM225" i="3"/>
  <c r="BL225" i="3"/>
  <c r="BK225" i="3"/>
  <c r="BJ225" i="3"/>
  <c r="BI225" i="3"/>
  <c r="BH225" i="3"/>
  <c r="BG225" i="3"/>
  <c r="BF225" i="3"/>
  <c r="BE225" i="3"/>
  <c r="BD225" i="3"/>
  <c r="BC225" i="3"/>
  <c r="BB225" i="3"/>
  <c r="BA225" i="3"/>
  <c r="AZ225" i="3"/>
  <c r="AY225" i="3"/>
  <c r="AX225" i="3"/>
  <c r="AW225" i="3"/>
  <c r="AV225" i="3"/>
  <c r="AU225" i="3"/>
  <c r="AT225" i="3"/>
  <c r="AS225" i="3"/>
  <c r="AR225" i="3"/>
  <c r="AQ225" i="3"/>
  <c r="AP225" i="3"/>
  <c r="AO225" i="3"/>
  <c r="AN225" i="3"/>
  <c r="AM225" i="3"/>
  <c r="AL225" i="3"/>
  <c r="AK225" i="3"/>
  <c r="AJ225" i="3"/>
  <c r="AI225" i="3"/>
  <c r="AH225" i="3"/>
  <c r="AG225" i="3"/>
  <c r="AF225" i="3"/>
  <c r="AE225" i="3"/>
  <c r="AD225" i="3"/>
  <c r="AC225" i="3"/>
  <c r="AB225" i="3"/>
  <c r="AA225" i="3"/>
  <c r="Z225" i="3"/>
  <c r="Y225" i="3"/>
  <c r="X225" i="3"/>
  <c r="DZ220" i="3"/>
  <c r="DZ219" i="3"/>
  <c r="DO218" i="3"/>
  <c r="EJ218" i="3" s="1"/>
  <c r="DO217" i="3"/>
  <c r="EJ217" i="3" s="1"/>
  <c r="DM218" i="3"/>
  <c r="DM217" i="3"/>
  <c r="DJ219" i="3"/>
  <c r="W219" i="3"/>
  <c r="DO219" i="3" s="1"/>
  <c r="EJ219" i="3" s="1"/>
  <c r="V219" i="3"/>
  <c r="DM219" i="3" s="1"/>
  <c r="EI219" i="3" s="1"/>
  <c r="U219" i="3"/>
  <c r="T219" i="3"/>
  <c r="S219" i="3"/>
  <c r="R219" i="3"/>
  <c r="Q219" i="3"/>
  <c r="P219" i="3"/>
  <c r="O219" i="3"/>
  <c r="N219" i="3"/>
  <c r="DK218" i="3"/>
  <c r="DX218" i="3" s="1"/>
  <c r="DK217" i="3"/>
  <c r="DX217" i="3" s="1"/>
  <c r="DN215" i="3"/>
  <c r="DN216" i="3" s="1"/>
  <c r="DN212" i="3"/>
  <c r="DN211" i="3"/>
  <c r="DL215" i="3"/>
  <c r="DL216" i="3" s="1"/>
  <c r="DL212" i="3"/>
  <c r="DL211" i="3"/>
  <c r="DJ215" i="3"/>
  <c r="DJ216" i="3" s="1"/>
  <c r="DJ212" i="3"/>
  <c r="DJ211" i="3"/>
  <c r="X217" i="3"/>
  <c r="W215" i="3"/>
  <c r="W216" i="3" s="1"/>
  <c r="V215" i="3"/>
  <c r="V216" i="3" s="1"/>
  <c r="T34" i="16" s="1"/>
  <c r="U215" i="3"/>
  <c r="U216" i="3" s="1"/>
  <c r="T215" i="3"/>
  <c r="T216" i="3" s="1"/>
  <c r="S215" i="3"/>
  <c r="V212" i="3"/>
  <c r="U212" i="3"/>
  <c r="T212" i="3"/>
  <c r="S212" i="3"/>
  <c r="R212" i="3"/>
  <c r="Q212" i="3"/>
  <c r="P212" i="3"/>
  <c r="O212" i="3"/>
  <c r="N212" i="3"/>
  <c r="M212" i="3"/>
  <c r="L212" i="3"/>
  <c r="V211" i="3"/>
  <c r="U211" i="3"/>
  <c r="T211" i="3"/>
  <c r="S211" i="3"/>
  <c r="R211" i="3"/>
  <c r="Q211" i="3"/>
  <c r="P211" i="3"/>
  <c r="O211" i="3"/>
  <c r="N211" i="3"/>
  <c r="M211" i="3"/>
  <c r="L211" i="3"/>
  <c r="K211" i="3"/>
  <c r="S210" i="3"/>
  <c r="R210" i="3"/>
  <c r="Q210" i="3"/>
  <c r="P210" i="3"/>
  <c r="O210" i="3"/>
  <c r="N210" i="3"/>
  <c r="M210" i="3"/>
  <c r="L210" i="3"/>
  <c r="K210" i="3"/>
  <c r="DE208" i="3"/>
  <c r="DD208" i="3"/>
  <c r="F208" i="3"/>
  <c r="U205" i="3"/>
  <c r="V202" i="3" s="1"/>
  <c r="V205" i="3" s="1"/>
  <c r="W202" i="3" s="1"/>
  <c r="W205" i="3" s="1"/>
  <c r="X202" i="3" s="1"/>
  <c r="T203" i="3"/>
  <c r="F200" i="3"/>
  <c r="CP197" i="3"/>
  <c r="CO197" i="3"/>
  <c r="CN197" i="3"/>
  <c r="CM197" i="3"/>
  <c r="CL197" i="3"/>
  <c r="CK197" i="3"/>
  <c r="CJ197" i="3"/>
  <c r="CI197" i="3"/>
  <c r="CH197" i="3"/>
  <c r="CG197" i="3"/>
  <c r="CF197" i="3"/>
  <c r="CE197" i="3"/>
  <c r="CD197" i="3"/>
  <c r="CC197" i="3"/>
  <c r="CB197" i="3"/>
  <c r="CA197" i="3"/>
  <c r="BZ197" i="3"/>
  <c r="BY197" i="3"/>
  <c r="BX197" i="3"/>
  <c r="BW197" i="3"/>
  <c r="BV197" i="3"/>
  <c r="BU197" i="3"/>
  <c r="BT197" i="3"/>
  <c r="BS197" i="3"/>
  <c r="BR197" i="3"/>
  <c r="BQ197" i="3"/>
  <c r="BP197" i="3"/>
  <c r="BO197" i="3"/>
  <c r="BN197" i="3"/>
  <c r="BM197" i="3"/>
  <c r="BL197" i="3"/>
  <c r="BK197" i="3"/>
  <c r="BJ197" i="3"/>
  <c r="BI197" i="3"/>
  <c r="BH197" i="3"/>
  <c r="BG197" i="3"/>
  <c r="BF197" i="3"/>
  <c r="BE197" i="3"/>
  <c r="BD197" i="3"/>
  <c r="BC197" i="3"/>
  <c r="BB197" i="3"/>
  <c r="BA197" i="3"/>
  <c r="AZ197" i="3"/>
  <c r="AY197" i="3"/>
  <c r="AX197" i="3"/>
  <c r="AW197" i="3"/>
  <c r="AV197" i="3"/>
  <c r="AU197" i="3"/>
  <c r="AT197" i="3"/>
  <c r="AS197" i="3"/>
  <c r="AR197" i="3"/>
  <c r="AQ197" i="3"/>
  <c r="AP197" i="3"/>
  <c r="AO197" i="3"/>
  <c r="AN197" i="3"/>
  <c r="AM197" i="3"/>
  <c r="AL197" i="3"/>
  <c r="AK197" i="3"/>
  <c r="AJ197" i="3"/>
  <c r="AI197" i="3"/>
  <c r="AH197" i="3"/>
  <c r="AG197" i="3"/>
  <c r="AF197" i="3"/>
  <c r="AE197" i="3"/>
  <c r="AD197" i="3"/>
  <c r="AC197" i="3"/>
  <c r="AB197" i="3"/>
  <c r="AA197" i="3"/>
  <c r="Z197" i="3"/>
  <c r="Y197" i="3"/>
  <c r="X197" i="3"/>
  <c r="W197" i="3"/>
  <c r="T197" i="3"/>
  <c r="S197" i="3"/>
  <c r="R197" i="3"/>
  <c r="Q197" i="3"/>
  <c r="P197" i="3"/>
  <c r="O197" i="3"/>
  <c r="N197" i="3"/>
  <c r="M197" i="3"/>
  <c r="L197" i="3"/>
  <c r="K197" i="3"/>
  <c r="U196" i="3"/>
  <c r="U197" i="3" s="1"/>
  <c r="V195" i="3"/>
  <c r="V197" i="3" s="1"/>
  <c r="W193" i="3"/>
  <c r="W246" i="3" s="1"/>
  <c r="W192" i="3"/>
  <c r="X191" i="3"/>
  <c r="X190" i="3"/>
  <c r="S192" i="3"/>
  <c r="S247" i="3" s="1"/>
  <c r="S248" i="3" s="1"/>
  <c r="R192" i="3"/>
  <c r="R247" i="3" s="1"/>
  <c r="R248" i="3" s="1"/>
  <c r="Q192" i="3"/>
  <c r="Q247" i="3" s="1"/>
  <c r="Q248" i="3" s="1"/>
  <c r="P192" i="3"/>
  <c r="P247" i="3" s="1"/>
  <c r="P248" i="3" s="1"/>
  <c r="N192" i="3"/>
  <c r="M192" i="3"/>
  <c r="M247" i="3" s="1"/>
  <c r="L192" i="3"/>
  <c r="L247" i="3" s="1"/>
  <c r="K192" i="3"/>
  <c r="K247" i="3" s="1"/>
  <c r="Y191" i="3"/>
  <c r="Y190" i="3"/>
  <c r="V191" i="3"/>
  <c r="V192" i="3" s="1"/>
  <c r="U191" i="3"/>
  <c r="U192" i="3" s="1"/>
  <c r="U247" i="3" s="1"/>
  <c r="U248" i="3" s="1"/>
  <c r="T191" i="3"/>
  <c r="O191" i="3"/>
  <c r="O192" i="3" s="1"/>
  <c r="AD191" i="3"/>
  <c r="AE191" i="3" s="1"/>
  <c r="AF191" i="3" s="1"/>
  <c r="AG191" i="3" s="1"/>
  <c r="AH191" i="3" s="1"/>
  <c r="AI191" i="3" s="1"/>
  <c r="AJ191" i="3" s="1"/>
  <c r="AK191" i="3" s="1"/>
  <c r="AL191" i="3" s="1"/>
  <c r="AM191" i="3" s="1"/>
  <c r="AN191" i="3" s="1"/>
  <c r="AO191" i="3" s="1"/>
  <c r="AP191" i="3" s="1"/>
  <c r="AQ191" i="3" s="1"/>
  <c r="AR191" i="3" s="1"/>
  <c r="AS191" i="3" s="1"/>
  <c r="AT191" i="3" s="1"/>
  <c r="AU191" i="3" s="1"/>
  <c r="AV191" i="3" s="1"/>
  <c r="AW191" i="3" s="1"/>
  <c r="AX191" i="3" s="1"/>
  <c r="AY191" i="3" s="1"/>
  <c r="AZ191" i="3" s="1"/>
  <c r="BA191" i="3" s="1"/>
  <c r="BB191" i="3" s="1"/>
  <c r="BC191" i="3" s="1"/>
  <c r="BD191" i="3" s="1"/>
  <c r="BE191" i="3" s="1"/>
  <c r="BF191" i="3" s="1"/>
  <c r="BG191" i="3" s="1"/>
  <c r="BH191" i="3" s="1"/>
  <c r="BI191" i="3" s="1"/>
  <c r="BJ191" i="3" s="1"/>
  <c r="BK191" i="3" s="1"/>
  <c r="BL191" i="3" s="1"/>
  <c r="BM191" i="3" s="1"/>
  <c r="BN191" i="3" s="1"/>
  <c r="BO191" i="3" s="1"/>
  <c r="BP191" i="3" s="1"/>
  <c r="BQ191" i="3" s="1"/>
  <c r="BR191" i="3" s="1"/>
  <c r="BS191" i="3" s="1"/>
  <c r="BT191" i="3" s="1"/>
  <c r="BU191" i="3" s="1"/>
  <c r="BV191" i="3" s="1"/>
  <c r="BW191" i="3" s="1"/>
  <c r="BX191" i="3" s="1"/>
  <c r="BY191" i="3" s="1"/>
  <c r="BZ191" i="3" s="1"/>
  <c r="CA191" i="3" s="1"/>
  <c r="CB191" i="3" s="1"/>
  <c r="CC191" i="3" s="1"/>
  <c r="CD191" i="3" s="1"/>
  <c r="CE191" i="3" s="1"/>
  <c r="CF191" i="3" s="1"/>
  <c r="CG191" i="3" s="1"/>
  <c r="CH191" i="3" s="1"/>
  <c r="CI191" i="3" s="1"/>
  <c r="CJ191" i="3" s="1"/>
  <c r="CK191" i="3" s="1"/>
  <c r="CL191" i="3" s="1"/>
  <c r="CM191" i="3" s="1"/>
  <c r="CN191" i="3" s="1"/>
  <c r="CO191" i="3" s="1"/>
  <c r="CP191" i="3" s="1"/>
  <c r="AD190" i="3"/>
  <c r="AE190" i="3" s="1"/>
  <c r="AF190" i="3" s="1"/>
  <c r="AG190" i="3" s="1"/>
  <c r="AH190" i="3" s="1"/>
  <c r="AI190" i="3" s="1"/>
  <c r="AJ190" i="3" s="1"/>
  <c r="AK190" i="3" s="1"/>
  <c r="AL190" i="3" s="1"/>
  <c r="AM190" i="3" s="1"/>
  <c r="AN190" i="3" s="1"/>
  <c r="AO190" i="3" s="1"/>
  <c r="AP190" i="3" s="1"/>
  <c r="AQ190" i="3" s="1"/>
  <c r="AR190" i="3" s="1"/>
  <c r="AS190" i="3" s="1"/>
  <c r="AT190" i="3" s="1"/>
  <c r="AU190" i="3" s="1"/>
  <c r="AV190" i="3" s="1"/>
  <c r="AW190" i="3" s="1"/>
  <c r="AX190" i="3" s="1"/>
  <c r="AY190" i="3" s="1"/>
  <c r="AZ190" i="3" s="1"/>
  <c r="BA190" i="3" s="1"/>
  <c r="BB190" i="3" s="1"/>
  <c r="BC190" i="3" s="1"/>
  <c r="BD190" i="3" s="1"/>
  <c r="BE190" i="3" s="1"/>
  <c r="BF190" i="3" s="1"/>
  <c r="BG190" i="3" s="1"/>
  <c r="BH190" i="3" s="1"/>
  <c r="BI190" i="3" s="1"/>
  <c r="BJ190" i="3" s="1"/>
  <c r="BK190" i="3" s="1"/>
  <c r="BL190" i="3" s="1"/>
  <c r="BM190" i="3" s="1"/>
  <c r="BN190" i="3" s="1"/>
  <c r="BO190" i="3" s="1"/>
  <c r="BP190" i="3" s="1"/>
  <c r="BQ190" i="3" s="1"/>
  <c r="BR190" i="3" s="1"/>
  <c r="BS190" i="3" s="1"/>
  <c r="BT190" i="3" s="1"/>
  <c r="BU190" i="3" s="1"/>
  <c r="BV190" i="3" s="1"/>
  <c r="BW190" i="3" s="1"/>
  <c r="BX190" i="3" s="1"/>
  <c r="BY190" i="3" s="1"/>
  <c r="BZ190" i="3" s="1"/>
  <c r="CA190" i="3" s="1"/>
  <c r="CB190" i="3" s="1"/>
  <c r="CC190" i="3" s="1"/>
  <c r="CD190" i="3" s="1"/>
  <c r="CE190" i="3" s="1"/>
  <c r="CF190" i="3" s="1"/>
  <c r="CG190" i="3" s="1"/>
  <c r="CH190" i="3" s="1"/>
  <c r="CI190" i="3" s="1"/>
  <c r="CJ190" i="3" s="1"/>
  <c r="CK190" i="3" s="1"/>
  <c r="CL190" i="3" s="1"/>
  <c r="CM190" i="3" s="1"/>
  <c r="CN190" i="3" s="1"/>
  <c r="CO190" i="3" s="1"/>
  <c r="CP190" i="3" s="1"/>
  <c r="AC189" i="3"/>
  <c r="AD189" i="3" s="1"/>
  <c r="AE189" i="3" s="1"/>
  <c r="AF189" i="3" s="1"/>
  <c r="AG189" i="3" s="1"/>
  <c r="AH189" i="3" s="1"/>
  <c r="AI189" i="3" s="1"/>
  <c r="AJ189" i="3" s="1"/>
  <c r="AK189" i="3" s="1"/>
  <c r="AL189" i="3" s="1"/>
  <c r="AM189" i="3" s="1"/>
  <c r="AN189" i="3" s="1"/>
  <c r="AO189" i="3" s="1"/>
  <c r="AP189" i="3" s="1"/>
  <c r="AQ189" i="3" s="1"/>
  <c r="AR189" i="3" s="1"/>
  <c r="AS189" i="3" s="1"/>
  <c r="AT189" i="3" s="1"/>
  <c r="AU189" i="3" s="1"/>
  <c r="AV189" i="3" s="1"/>
  <c r="AW189" i="3" s="1"/>
  <c r="AX189" i="3" s="1"/>
  <c r="AY189" i="3" s="1"/>
  <c r="AZ189" i="3" s="1"/>
  <c r="BA189" i="3" s="1"/>
  <c r="BB189" i="3" s="1"/>
  <c r="BC189" i="3" s="1"/>
  <c r="BD189" i="3" s="1"/>
  <c r="BE189" i="3" s="1"/>
  <c r="BF189" i="3" s="1"/>
  <c r="BG189" i="3" s="1"/>
  <c r="BH189" i="3" s="1"/>
  <c r="BI189" i="3" s="1"/>
  <c r="BJ189" i="3" s="1"/>
  <c r="BK189" i="3" s="1"/>
  <c r="BL189" i="3" s="1"/>
  <c r="BM189" i="3" s="1"/>
  <c r="BN189" i="3" s="1"/>
  <c r="BO189" i="3" s="1"/>
  <c r="BP189" i="3" s="1"/>
  <c r="BQ189" i="3" s="1"/>
  <c r="BR189" i="3" s="1"/>
  <c r="BS189" i="3" s="1"/>
  <c r="BT189" i="3" s="1"/>
  <c r="BU189" i="3" s="1"/>
  <c r="BV189" i="3" s="1"/>
  <c r="BW189" i="3" s="1"/>
  <c r="BX189" i="3" s="1"/>
  <c r="BY189" i="3" s="1"/>
  <c r="BZ189" i="3" s="1"/>
  <c r="CA189" i="3" s="1"/>
  <c r="CB189" i="3" s="1"/>
  <c r="CC189" i="3" s="1"/>
  <c r="CD189" i="3" s="1"/>
  <c r="CE189" i="3" s="1"/>
  <c r="CF189" i="3" s="1"/>
  <c r="CG189" i="3" s="1"/>
  <c r="CH189" i="3" s="1"/>
  <c r="CI189" i="3" s="1"/>
  <c r="CJ189" i="3" s="1"/>
  <c r="CK189" i="3" s="1"/>
  <c r="CL189" i="3" s="1"/>
  <c r="CM189" i="3" s="1"/>
  <c r="CN189" i="3" s="1"/>
  <c r="CO189" i="3" s="1"/>
  <c r="CP189" i="3" s="1"/>
  <c r="AE188" i="3"/>
  <c r="AF188" i="3" s="1"/>
  <c r="AG188" i="3" s="1"/>
  <c r="AH188" i="3" s="1"/>
  <c r="AI188" i="3" s="1"/>
  <c r="AJ188" i="3" s="1"/>
  <c r="AK188" i="3" s="1"/>
  <c r="AL188" i="3" s="1"/>
  <c r="AM188" i="3" s="1"/>
  <c r="AN188" i="3" s="1"/>
  <c r="AO188" i="3" s="1"/>
  <c r="AP188" i="3" s="1"/>
  <c r="AQ188" i="3" s="1"/>
  <c r="AR188" i="3" s="1"/>
  <c r="AS188" i="3" s="1"/>
  <c r="AT188" i="3" s="1"/>
  <c r="AU188" i="3" s="1"/>
  <c r="AV188" i="3" s="1"/>
  <c r="AW188" i="3" s="1"/>
  <c r="AX188" i="3" s="1"/>
  <c r="AY188" i="3" s="1"/>
  <c r="AZ188" i="3" s="1"/>
  <c r="BA188" i="3" s="1"/>
  <c r="BB188" i="3" s="1"/>
  <c r="BC188" i="3" s="1"/>
  <c r="BD188" i="3" s="1"/>
  <c r="BE188" i="3" s="1"/>
  <c r="BF188" i="3" s="1"/>
  <c r="BG188" i="3" s="1"/>
  <c r="BH188" i="3" s="1"/>
  <c r="BI188" i="3" s="1"/>
  <c r="BJ188" i="3" s="1"/>
  <c r="BK188" i="3" s="1"/>
  <c r="BL188" i="3" s="1"/>
  <c r="BM188" i="3" s="1"/>
  <c r="BN188" i="3" s="1"/>
  <c r="BO188" i="3" s="1"/>
  <c r="BP188" i="3" s="1"/>
  <c r="BQ188" i="3" s="1"/>
  <c r="BR188" i="3" s="1"/>
  <c r="BS188" i="3" s="1"/>
  <c r="BT188" i="3" s="1"/>
  <c r="BU188" i="3" s="1"/>
  <c r="BV188" i="3" s="1"/>
  <c r="BW188" i="3" s="1"/>
  <c r="BX188" i="3" s="1"/>
  <c r="BY188" i="3" s="1"/>
  <c r="BZ188" i="3" s="1"/>
  <c r="CA188" i="3" s="1"/>
  <c r="CB188" i="3" s="1"/>
  <c r="CC188" i="3" s="1"/>
  <c r="CD188" i="3" s="1"/>
  <c r="CE188" i="3" s="1"/>
  <c r="CF188" i="3" s="1"/>
  <c r="CG188" i="3" s="1"/>
  <c r="CH188" i="3" s="1"/>
  <c r="CI188" i="3" s="1"/>
  <c r="CJ188" i="3" s="1"/>
  <c r="CK188" i="3" s="1"/>
  <c r="CL188" i="3" s="1"/>
  <c r="CM188" i="3" s="1"/>
  <c r="CN188" i="3" s="1"/>
  <c r="CO188" i="3" s="1"/>
  <c r="CP188" i="3" s="1"/>
  <c r="J188" i="3"/>
  <c r="AB185" i="3"/>
  <c r="AB192" i="3" s="1"/>
  <c r="AB247" i="3" s="1"/>
  <c r="AB248" i="3" s="1"/>
  <c r="AA185" i="3"/>
  <c r="AA192" i="3" s="1"/>
  <c r="AA247" i="3" s="1"/>
  <c r="AA248" i="3" s="1"/>
  <c r="Z185" i="3"/>
  <c r="Z192" i="3" s="1"/>
  <c r="Z247" i="3" s="1"/>
  <c r="Z248" i="3" s="1"/>
  <c r="Y185" i="3"/>
  <c r="X185" i="3"/>
  <c r="T185" i="3"/>
  <c r="T192" i="3" s="1"/>
  <c r="F182" i="3"/>
  <c r="Q179" i="3"/>
  <c r="Q177" i="3"/>
  <c r="Q168" i="3" s="1"/>
  <c r="N180" i="3"/>
  <c r="M180" i="3"/>
  <c r="L180" i="3"/>
  <c r="K180" i="3"/>
  <c r="U179" i="3"/>
  <c r="V178" i="3"/>
  <c r="P179" i="3"/>
  <c r="O179" i="3"/>
  <c r="N179" i="3"/>
  <c r="N178" i="3" s="1"/>
  <c r="M178" i="3"/>
  <c r="L178" i="3"/>
  <c r="K178" i="3"/>
  <c r="S179" i="3"/>
  <c r="R179" i="3"/>
  <c r="S177" i="3"/>
  <c r="S168" i="3" s="1"/>
  <c r="R177" i="3"/>
  <c r="R168" i="3" s="1"/>
  <c r="P177" i="3"/>
  <c r="P168" i="3" s="1"/>
  <c r="O177" i="3"/>
  <c r="O168" i="3" s="1"/>
  <c r="N173" i="3"/>
  <c r="N340" i="3" s="1"/>
  <c r="M173" i="3"/>
  <c r="M340" i="3" s="1"/>
  <c r="L173" i="3"/>
  <c r="L340" i="3" s="1"/>
  <c r="K173" i="3"/>
  <c r="K340" i="3" s="1"/>
  <c r="S172" i="3"/>
  <c r="S105" i="15" s="1"/>
  <c r="R172" i="3"/>
  <c r="R105" i="15" s="1"/>
  <c r="Q172" i="3"/>
  <c r="Q105" i="15" s="1"/>
  <c r="P172" i="3"/>
  <c r="P105" i="15" s="1"/>
  <c r="O172" i="3"/>
  <c r="O105" i="15" s="1"/>
  <c r="N172" i="3"/>
  <c r="N105" i="15" s="1"/>
  <c r="M172" i="3"/>
  <c r="M105" i="15" s="1"/>
  <c r="L172" i="3"/>
  <c r="L105" i="15" s="1"/>
  <c r="K172" i="3"/>
  <c r="K105" i="15" s="1"/>
  <c r="DF171" i="3"/>
  <c r="DG171" i="3" s="1"/>
  <c r="DD171" i="3"/>
  <c r="DE171" i="3" s="1"/>
  <c r="DO170" i="3"/>
  <c r="DP167" i="3" s="1"/>
  <c r="DP171" i="3" s="1"/>
  <c r="DN170" i="3"/>
  <c r="DO167" i="3" s="1"/>
  <c r="DM170" i="3"/>
  <c r="DN167" i="3" s="1"/>
  <c r="DK170" i="3"/>
  <c r="DL167" i="3" s="1"/>
  <c r="DL170" i="3" s="1"/>
  <c r="DM167" i="3" s="1"/>
  <c r="Y168" i="3"/>
  <c r="X168" i="3"/>
  <c r="W168" i="3"/>
  <c r="V168" i="3"/>
  <c r="U168" i="3"/>
  <c r="T168" i="3"/>
  <c r="N168" i="3"/>
  <c r="N169" i="3" s="1"/>
  <c r="M168" i="3"/>
  <c r="M169" i="3" s="1"/>
  <c r="L168" i="3"/>
  <c r="L169" i="3" s="1"/>
  <c r="K168" i="3"/>
  <c r="K169" i="3" s="1"/>
  <c r="DK167" i="3"/>
  <c r="X167" i="3"/>
  <c r="W167" i="3"/>
  <c r="W180" i="3" s="1"/>
  <c r="V167" i="3"/>
  <c r="V180" i="3" s="1"/>
  <c r="T167" i="3"/>
  <c r="S167" i="3"/>
  <c r="S173" i="3" s="1"/>
  <c r="S340" i="3" s="1"/>
  <c r="R167" i="3"/>
  <c r="R173" i="3" s="1"/>
  <c r="R340" i="3" s="1"/>
  <c r="Q167" i="3"/>
  <c r="Q173" i="3" s="1"/>
  <c r="Q340" i="3" s="1"/>
  <c r="P167" i="3"/>
  <c r="O167" i="3"/>
  <c r="O173" i="3" s="1"/>
  <c r="O340" i="3" s="1"/>
  <c r="DE164" i="3"/>
  <c r="DD164" i="3"/>
  <c r="F164" i="3"/>
  <c r="X157" i="3"/>
  <c r="Y157" i="3" s="1"/>
  <c r="Z157" i="3" s="1"/>
  <c r="AA157" i="3" s="1"/>
  <c r="AB157" i="3" s="1"/>
  <c r="AC157" i="3" s="1"/>
  <c r="AD157" i="3" s="1"/>
  <c r="AE157" i="3" s="1"/>
  <c r="AF157" i="3" s="1"/>
  <c r="AG157" i="3" s="1"/>
  <c r="AH157" i="3" s="1"/>
  <c r="AI157" i="3" s="1"/>
  <c r="AJ157" i="3" s="1"/>
  <c r="AK157" i="3" s="1"/>
  <c r="AL157" i="3" s="1"/>
  <c r="AM157" i="3" s="1"/>
  <c r="AN157" i="3" s="1"/>
  <c r="AO157" i="3" s="1"/>
  <c r="AP157" i="3" s="1"/>
  <c r="AQ157" i="3" s="1"/>
  <c r="AR157" i="3" s="1"/>
  <c r="AS157" i="3" s="1"/>
  <c r="AT157" i="3" s="1"/>
  <c r="AU157" i="3" s="1"/>
  <c r="AV157" i="3" s="1"/>
  <c r="AW157" i="3" s="1"/>
  <c r="AX157" i="3" s="1"/>
  <c r="AY157" i="3" s="1"/>
  <c r="AZ157" i="3" s="1"/>
  <c r="BA157" i="3" s="1"/>
  <c r="BB157" i="3" s="1"/>
  <c r="BC157" i="3" s="1"/>
  <c r="BD157" i="3" s="1"/>
  <c r="BE157" i="3" s="1"/>
  <c r="BF157" i="3" s="1"/>
  <c r="BG157" i="3" s="1"/>
  <c r="BH157" i="3" s="1"/>
  <c r="BI157" i="3" s="1"/>
  <c r="BJ157" i="3" s="1"/>
  <c r="BK157" i="3" s="1"/>
  <c r="BL157" i="3" s="1"/>
  <c r="BM157" i="3" s="1"/>
  <c r="BN157" i="3" s="1"/>
  <c r="BO157" i="3" s="1"/>
  <c r="BP157" i="3" s="1"/>
  <c r="BQ157" i="3" s="1"/>
  <c r="BR157" i="3" s="1"/>
  <c r="BS157" i="3" s="1"/>
  <c r="BT157" i="3" s="1"/>
  <c r="BU157" i="3" s="1"/>
  <c r="BV157" i="3" s="1"/>
  <c r="BW157" i="3" s="1"/>
  <c r="BX157" i="3" s="1"/>
  <c r="BY157" i="3" s="1"/>
  <c r="BZ157" i="3" s="1"/>
  <c r="CA157" i="3" s="1"/>
  <c r="CB157" i="3" s="1"/>
  <c r="CC157" i="3" s="1"/>
  <c r="CD157" i="3" s="1"/>
  <c r="CE157" i="3" s="1"/>
  <c r="CF157" i="3" s="1"/>
  <c r="CG157" i="3" s="1"/>
  <c r="CH157" i="3" s="1"/>
  <c r="CI157" i="3" s="1"/>
  <c r="CJ157" i="3" s="1"/>
  <c r="CK157" i="3" s="1"/>
  <c r="Y156" i="3"/>
  <c r="Z156" i="3" s="1"/>
  <c r="AA156" i="3" s="1"/>
  <c r="V155" i="3"/>
  <c r="V156" i="3" s="1"/>
  <c r="AC156" i="3"/>
  <c r="AD156" i="3" s="1"/>
  <c r="AE156" i="3" s="1"/>
  <c r="AF156" i="3" s="1"/>
  <c r="AG156" i="3" s="1"/>
  <c r="AH156" i="3" s="1"/>
  <c r="AI156" i="3" s="1"/>
  <c r="AJ156" i="3" s="1"/>
  <c r="AK156" i="3" s="1"/>
  <c r="AL156" i="3" s="1"/>
  <c r="AM156" i="3" s="1"/>
  <c r="AN156" i="3" s="1"/>
  <c r="AO156" i="3" s="1"/>
  <c r="AP156" i="3" s="1"/>
  <c r="AQ156" i="3" s="1"/>
  <c r="AR156" i="3" s="1"/>
  <c r="AS156" i="3" s="1"/>
  <c r="AT156" i="3" s="1"/>
  <c r="AU156" i="3" s="1"/>
  <c r="AV156" i="3" s="1"/>
  <c r="AW156" i="3" s="1"/>
  <c r="AX156" i="3" s="1"/>
  <c r="AY156" i="3" s="1"/>
  <c r="AZ156" i="3" s="1"/>
  <c r="BA156" i="3" s="1"/>
  <c r="BB156" i="3" s="1"/>
  <c r="BC156" i="3" s="1"/>
  <c r="BD156" i="3" s="1"/>
  <c r="BE156" i="3" s="1"/>
  <c r="BF156" i="3" s="1"/>
  <c r="BG156" i="3" s="1"/>
  <c r="BH156" i="3" s="1"/>
  <c r="BI156" i="3" s="1"/>
  <c r="BJ156" i="3" s="1"/>
  <c r="BK156" i="3" s="1"/>
  <c r="BL156" i="3" s="1"/>
  <c r="BM156" i="3" s="1"/>
  <c r="BN156" i="3" s="1"/>
  <c r="BO156" i="3" s="1"/>
  <c r="BP156" i="3" s="1"/>
  <c r="BQ156" i="3" s="1"/>
  <c r="BR156" i="3" s="1"/>
  <c r="BS156" i="3" s="1"/>
  <c r="BT156" i="3" s="1"/>
  <c r="BU156" i="3" s="1"/>
  <c r="BV156" i="3" s="1"/>
  <c r="BW156" i="3" s="1"/>
  <c r="BX156" i="3" s="1"/>
  <c r="BY156" i="3" s="1"/>
  <c r="BZ156" i="3" s="1"/>
  <c r="CA156" i="3" s="1"/>
  <c r="CB156" i="3" s="1"/>
  <c r="CC156" i="3" s="1"/>
  <c r="CD156" i="3" s="1"/>
  <c r="CE156" i="3" s="1"/>
  <c r="CF156" i="3" s="1"/>
  <c r="CG156" i="3" s="1"/>
  <c r="CH156" i="3" s="1"/>
  <c r="CI156" i="3" s="1"/>
  <c r="CJ156" i="3" s="1"/>
  <c r="CK156" i="3" s="1"/>
  <c r="CL156" i="3" s="1"/>
  <c r="CM156" i="3" s="1"/>
  <c r="CN156" i="3" s="1"/>
  <c r="CO156" i="3" s="1"/>
  <c r="CP156" i="3" s="1"/>
  <c r="U155" i="3"/>
  <c r="T155" i="3"/>
  <c r="S155" i="3"/>
  <c r="F153" i="3"/>
  <c r="DE145" i="3"/>
  <c r="DD145" i="3"/>
  <c r="F145" i="3"/>
  <c r="W143" i="3"/>
  <c r="DZ142" i="3"/>
  <c r="DY142" i="3"/>
  <c r="DX142" i="3"/>
  <c r="DW142" i="3"/>
  <c r="DV142" i="3"/>
  <c r="DU142" i="3"/>
  <c r="CT141" i="3"/>
  <c r="CS141" i="3"/>
  <c r="CR141" i="3"/>
  <c r="V139" i="3"/>
  <c r="U139" i="3"/>
  <c r="AQ32" i="16" s="1"/>
  <c r="DM138" i="3"/>
  <c r="DY138" i="3" s="1"/>
  <c r="DK138" i="3"/>
  <c r="DX138" i="3" s="1"/>
  <c r="DG138" i="3"/>
  <c r="DE138" i="3"/>
  <c r="DU138" i="3" s="1"/>
  <c r="Z138" i="3"/>
  <c r="Z137" i="3" s="1"/>
  <c r="Y138" i="3"/>
  <c r="Y137" i="3" s="1"/>
  <c r="X138" i="3"/>
  <c r="DQ138" i="3" s="1"/>
  <c r="DQ139" i="3" s="1"/>
  <c r="W138" i="3"/>
  <c r="DO138" i="3" s="1"/>
  <c r="DZ138" i="3" s="1"/>
  <c r="T138" i="3"/>
  <c r="DI138" i="3" s="1"/>
  <c r="S138" i="3"/>
  <c r="R138" i="3"/>
  <c r="Q138" i="3"/>
  <c r="P138" i="3"/>
  <c r="O138" i="3"/>
  <c r="N138" i="3"/>
  <c r="M138" i="3"/>
  <c r="M139" i="3" s="1"/>
  <c r="DP137" i="3"/>
  <c r="DP139" i="3" s="1"/>
  <c r="DN137" i="3"/>
  <c r="DL137" i="3"/>
  <c r="DY137" i="3" s="1"/>
  <c r="DJ137" i="3"/>
  <c r="DX137" i="3" s="1"/>
  <c r="DF137" i="3"/>
  <c r="DD137" i="3"/>
  <c r="DU137" i="3" s="1"/>
  <c r="T137" i="3"/>
  <c r="DH137" i="3" s="1"/>
  <c r="S137" i="3"/>
  <c r="R137" i="3"/>
  <c r="Q137" i="3"/>
  <c r="P137" i="3"/>
  <c r="O137" i="3"/>
  <c r="N137" i="3"/>
  <c r="L137" i="3"/>
  <c r="L139" i="3" s="1"/>
  <c r="L103" i="15" s="1"/>
  <c r="K137" i="3"/>
  <c r="K139" i="3" s="1"/>
  <c r="S131" i="3"/>
  <c r="R131" i="3"/>
  <c r="Q131" i="3"/>
  <c r="P131" i="3"/>
  <c r="O131" i="3"/>
  <c r="N131" i="3"/>
  <c r="M131" i="3"/>
  <c r="L131" i="3"/>
  <c r="K131" i="3"/>
  <c r="DM127" i="3"/>
  <c r="EI127" i="3" s="1"/>
  <c r="DK127" i="3"/>
  <c r="EH127" i="3" s="1"/>
  <c r="DO127" i="3"/>
  <c r="EJ127" i="3" s="1"/>
  <c r="DG126" i="3"/>
  <c r="DE126" i="3"/>
  <c r="DU126" i="3" s="1"/>
  <c r="AG125" i="3"/>
  <c r="AG124" i="3"/>
  <c r="DQ120" i="3"/>
  <c r="DK119" i="3"/>
  <c r="DK117" i="3"/>
  <c r="DK215" i="3" s="1"/>
  <c r="DK216" i="3" s="1"/>
  <c r="DK115" i="3"/>
  <c r="EH115" i="3" s="1"/>
  <c r="DK111" i="3"/>
  <c r="DX111" i="3" s="1"/>
  <c r="DI119" i="3"/>
  <c r="DW119" i="3" s="1"/>
  <c r="DI117" i="3"/>
  <c r="DW117" i="3" s="1"/>
  <c r="DI115" i="3"/>
  <c r="DF119" i="3"/>
  <c r="DF118" i="3" s="1"/>
  <c r="DY118" i="3"/>
  <c r="DN118" i="3"/>
  <c r="DL118" i="3"/>
  <c r="DJ118" i="3"/>
  <c r="DH118" i="3"/>
  <c r="DD118" i="3"/>
  <c r="U118" i="3"/>
  <c r="S26" i="16" s="1"/>
  <c r="T118" i="3"/>
  <c r="R26" i="16" s="1"/>
  <c r="DM117" i="3"/>
  <c r="DM215" i="3" s="1"/>
  <c r="DM115" i="3"/>
  <c r="EI115" i="3" s="1"/>
  <c r="DM111" i="3"/>
  <c r="DY111" i="3" s="1"/>
  <c r="DG117" i="3"/>
  <c r="DV117" i="3" s="1"/>
  <c r="DG115" i="3"/>
  <c r="DE115" i="3"/>
  <c r="R117" i="3"/>
  <c r="R215" i="3" s="1"/>
  <c r="R216" i="3" s="1"/>
  <c r="Q117" i="3"/>
  <c r="Q215" i="3" s="1"/>
  <c r="P117" i="3"/>
  <c r="P215" i="3" s="1"/>
  <c r="O117" i="3"/>
  <c r="O215" i="3" s="1"/>
  <c r="O216" i="3" s="1"/>
  <c r="M34" i="16" s="1"/>
  <c r="N117" i="3"/>
  <c r="M117" i="3"/>
  <c r="M118" i="3" s="1"/>
  <c r="L117" i="3"/>
  <c r="K117" i="3"/>
  <c r="Y120" i="3"/>
  <c r="Z120" i="3" s="1"/>
  <c r="AA120" i="3" s="1"/>
  <c r="AB120" i="3" s="1"/>
  <c r="AC120" i="3" s="1"/>
  <c r="AD120" i="3" s="1"/>
  <c r="AE120" i="3" s="1"/>
  <c r="AF120" i="3" s="1"/>
  <c r="AG120" i="3" s="1"/>
  <c r="AH120" i="3" s="1"/>
  <c r="AI120" i="3" s="1"/>
  <c r="AJ120" i="3" s="1"/>
  <c r="AK120" i="3" s="1"/>
  <c r="AL120" i="3" s="1"/>
  <c r="AM120" i="3" s="1"/>
  <c r="AN120" i="3" s="1"/>
  <c r="AO120" i="3" s="1"/>
  <c r="AP120" i="3" s="1"/>
  <c r="AQ120" i="3" s="1"/>
  <c r="AR120" i="3" s="1"/>
  <c r="AS120" i="3" s="1"/>
  <c r="AT120" i="3" s="1"/>
  <c r="AU120" i="3" s="1"/>
  <c r="AV120" i="3" s="1"/>
  <c r="AW120" i="3" s="1"/>
  <c r="AX120" i="3" s="1"/>
  <c r="AY120" i="3" s="1"/>
  <c r="AZ120" i="3" s="1"/>
  <c r="BA120" i="3" s="1"/>
  <c r="BB120" i="3" s="1"/>
  <c r="BC120" i="3" s="1"/>
  <c r="BD120" i="3" s="1"/>
  <c r="BE120" i="3" s="1"/>
  <c r="BF120" i="3" s="1"/>
  <c r="BG120" i="3" s="1"/>
  <c r="BH120" i="3" s="1"/>
  <c r="BI120" i="3" s="1"/>
  <c r="BJ120" i="3" s="1"/>
  <c r="BK120" i="3" s="1"/>
  <c r="BL120" i="3" s="1"/>
  <c r="BM120" i="3" s="1"/>
  <c r="BN120" i="3" s="1"/>
  <c r="BO120" i="3" s="1"/>
  <c r="BP120" i="3" s="1"/>
  <c r="BQ120" i="3" s="1"/>
  <c r="BR120" i="3" s="1"/>
  <c r="BS120" i="3" s="1"/>
  <c r="BT120" i="3" s="1"/>
  <c r="BU120" i="3" s="1"/>
  <c r="BV120" i="3" s="1"/>
  <c r="BW120" i="3" s="1"/>
  <c r="BX120" i="3" s="1"/>
  <c r="BY120" i="3" s="1"/>
  <c r="BZ120" i="3" s="1"/>
  <c r="CA120" i="3" s="1"/>
  <c r="CB120" i="3" s="1"/>
  <c r="CC120" i="3" s="1"/>
  <c r="CD120" i="3" s="1"/>
  <c r="CE120" i="3" s="1"/>
  <c r="CF120" i="3" s="1"/>
  <c r="CG120" i="3" s="1"/>
  <c r="CH120" i="3" s="1"/>
  <c r="CI120" i="3" s="1"/>
  <c r="CJ120" i="3" s="1"/>
  <c r="CK120" i="3" s="1"/>
  <c r="CL120" i="3" s="1"/>
  <c r="CM120" i="3" s="1"/>
  <c r="CN120" i="3" s="1"/>
  <c r="CO120" i="3" s="1"/>
  <c r="CP120" i="3" s="1"/>
  <c r="DL112" i="3"/>
  <c r="DM112" i="3" s="1"/>
  <c r="DJ112" i="3"/>
  <c r="DJ113" i="3" s="1"/>
  <c r="V113" i="3"/>
  <c r="U113" i="3"/>
  <c r="U34" i="17" s="1"/>
  <c r="T113" i="3"/>
  <c r="R23" i="16" s="1"/>
  <c r="S113" i="3"/>
  <c r="DV112" i="3"/>
  <c r="DU112" i="3"/>
  <c r="DV111" i="3"/>
  <c r="DU111" i="3"/>
  <c r="W112" i="3"/>
  <c r="W111" i="3"/>
  <c r="DO111" i="3" s="1"/>
  <c r="EJ111" i="3" s="1"/>
  <c r="DO117" i="3"/>
  <c r="DO215" i="3" s="1"/>
  <c r="DO115" i="3"/>
  <c r="EJ115" i="3" s="1"/>
  <c r="DN105" i="3"/>
  <c r="DL105" i="3"/>
  <c r="DJ105" i="3"/>
  <c r="DH105" i="3"/>
  <c r="DF105" i="3"/>
  <c r="DD105" i="3"/>
  <c r="V106" i="3"/>
  <c r="EI106" i="3" s="1"/>
  <c r="U106" i="3"/>
  <c r="EH106" i="3" s="1"/>
  <c r="T106" i="3"/>
  <c r="S106" i="3"/>
  <c r="R106" i="3"/>
  <c r="Q106" i="3"/>
  <c r="P106" i="3"/>
  <c r="O106" i="3"/>
  <c r="V105" i="3"/>
  <c r="U105" i="3"/>
  <c r="T105" i="3"/>
  <c r="S105" i="3"/>
  <c r="R105" i="3"/>
  <c r="Q105" i="3"/>
  <c r="P105" i="3"/>
  <c r="O105" i="3"/>
  <c r="N105" i="3"/>
  <c r="M105" i="3"/>
  <c r="L105" i="3"/>
  <c r="DM104" i="3"/>
  <c r="DM212" i="3" s="1"/>
  <c r="DM103" i="3"/>
  <c r="DM211" i="3" s="1"/>
  <c r="DM94" i="3"/>
  <c r="DY94" i="3" s="1"/>
  <c r="DM92" i="3"/>
  <c r="DY92" i="3" s="1"/>
  <c r="DM91" i="3"/>
  <c r="DY91" i="3" s="1"/>
  <c r="DK104" i="3"/>
  <c r="DK212" i="3" s="1"/>
  <c r="DK103" i="3"/>
  <c r="DK211" i="3" s="1"/>
  <c r="DI104" i="3"/>
  <c r="DW104" i="3" s="1"/>
  <c r="DI103" i="3"/>
  <c r="DW103" i="3" s="1"/>
  <c r="DG104" i="3"/>
  <c r="DV104" i="3" s="1"/>
  <c r="DG103" i="3"/>
  <c r="DV103" i="3" s="1"/>
  <c r="DG94" i="3"/>
  <c r="DV94" i="3" s="1"/>
  <c r="DG93" i="3"/>
  <c r="DV93" i="3" s="1"/>
  <c r="DG92" i="3"/>
  <c r="DV92" i="3" s="1"/>
  <c r="DG91" i="3"/>
  <c r="DV91" i="3" s="1"/>
  <c r="DE104" i="3"/>
  <c r="DU104" i="3" s="1"/>
  <c r="DE103" i="3"/>
  <c r="DU103" i="3" s="1"/>
  <c r="DE94" i="3"/>
  <c r="DU94" i="3" s="1"/>
  <c r="DE93" i="3"/>
  <c r="DU93" i="3" s="1"/>
  <c r="DE92" i="3"/>
  <c r="DU92" i="3" s="1"/>
  <c r="DE91" i="3"/>
  <c r="DU91" i="3" s="1"/>
  <c r="K104" i="3"/>
  <c r="K212" i="3" s="1"/>
  <c r="DL100" i="3"/>
  <c r="DL99" i="3"/>
  <c r="DJ100" i="3"/>
  <c r="DX100" i="3" s="1"/>
  <c r="DJ99" i="3"/>
  <c r="DX99" i="3" s="1"/>
  <c r="DH100" i="3"/>
  <c r="DH99" i="3"/>
  <c r="DF99" i="3"/>
  <c r="DD100" i="3"/>
  <c r="DD99" i="3"/>
  <c r="DK94" i="3"/>
  <c r="DX94" i="3" s="1"/>
  <c r="DK93" i="3"/>
  <c r="EH93" i="3" s="1"/>
  <c r="DK92" i="3"/>
  <c r="EH92" i="3" s="1"/>
  <c r="DK91" i="3"/>
  <c r="DX91" i="3" s="1"/>
  <c r="DI94" i="3"/>
  <c r="DW94" i="3" s="1"/>
  <c r="DI93" i="3"/>
  <c r="DW93" i="3" s="1"/>
  <c r="DI92" i="3"/>
  <c r="DW92" i="3" s="1"/>
  <c r="DI91" i="3"/>
  <c r="DW91" i="3" s="1"/>
  <c r="V100" i="3"/>
  <c r="U100" i="3"/>
  <c r="EH100" i="3" s="1"/>
  <c r="T100" i="3"/>
  <c r="R100" i="3"/>
  <c r="P100" i="3"/>
  <c r="O100" i="3"/>
  <c r="N100" i="3"/>
  <c r="M100" i="3"/>
  <c r="L100" i="3"/>
  <c r="K100" i="3"/>
  <c r="V99" i="3"/>
  <c r="U99" i="3"/>
  <c r="T99" i="3"/>
  <c r="S99" i="3"/>
  <c r="R99" i="3"/>
  <c r="Q99" i="3"/>
  <c r="P99" i="3"/>
  <c r="O99" i="3"/>
  <c r="N99" i="3"/>
  <c r="M99" i="3"/>
  <c r="L99" i="3"/>
  <c r="K99" i="3"/>
  <c r="L97" i="3"/>
  <c r="L214" i="3" s="1"/>
  <c r="J33" i="16" s="1"/>
  <c r="K97" i="3"/>
  <c r="K98" i="3" s="1"/>
  <c r="DO92" i="3"/>
  <c r="DO91" i="3"/>
  <c r="EJ91" i="3" s="1"/>
  <c r="K94" i="3"/>
  <c r="W104" i="3"/>
  <c r="W103" i="3"/>
  <c r="W211" i="3" s="1"/>
  <c r="CP100" i="3"/>
  <c r="CO100" i="3"/>
  <c r="CN100" i="3"/>
  <c r="CM100" i="3"/>
  <c r="CL100" i="3"/>
  <c r="CK100" i="3"/>
  <c r="CJ100" i="3"/>
  <c r="CI100" i="3"/>
  <c r="CH100" i="3"/>
  <c r="CG100" i="3"/>
  <c r="CF100" i="3"/>
  <c r="CE100" i="3"/>
  <c r="CD100" i="3"/>
  <c r="CC100" i="3"/>
  <c r="CB100" i="3"/>
  <c r="CA100" i="3"/>
  <c r="BZ100" i="3"/>
  <c r="BY100" i="3"/>
  <c r="BX100" i="3"/>
  <c r="BW100" i="3"/>
  <c r="BV100" i="3"/>
  <c r="BU100" i="3"/>
  <c r="BT100" i="3"/>
  <c r="BS100" i="3"/>
  <c r="BR100" i="3"/>
  <c r="BQ100" i="3"/>
  <c r="BP100" i="3"/>
  <c r="BO100" i="3"/>
  <c r="BN100" i="3"/>
  <c r="BM100" i="3"/>
  <c r="BL100" i="3"/>
  <c r="BK100" i="3"/>
  <c r="BJ100" i="3"/>
  <c r="BI100" i="3"/>
  <c r="BH100" i="3"/>
  <c r="BG100" i="3"/>
  <c r="BF100" i="3"/>
  <c r="BE100" i="3"/>
  <c r="BD100" i="3"/>
  <c r="BC100" i="3"/>
  <c r="BB100" i="3"/>
  <c r="BA100" i="3"/>
  <c r="AZ100" i="3"/>
  <c r="AY100" i="3"/>
  <c r="AX100" i="3"/>
  <c r="AW100" i="3"/>
  <c r="AV100" i="3"/>
  <c r="AU100" i="3"/>
  <c r="AT100" i="3"/>
  <c r="AS100" i="3"/>
  <c r="AR100" i="3"/>
  <c r="AQ100" i="3"/>
  <c r="AP100" i="3"/>
  <c r="AO100" i="3"/>
  <c r="AN100" i="3"/>
  <c r="AM100" i="3"/>
  <c r="AL100" i="3"/>
  <c r="AK100" i="3"/>
  <c r="AJ100" i="3"/>
  <c r="AI100" i="3"/>
  <c r="AH100" i="3"/>
  <c r="AG100" i="3"/>
  <c r="AF100" i="3"/>
  <c r="AE100" i="3"/>
  <c r="AD100" i="3"/>
  <c r="AC100" i="3"/>
  <c r="AB100" i="3"/>
  <c r="AA100" i="3"/>
  <c r="Z100" i="3"/>
  <c r="Y100" i="3"/>
  <c r="X100" i="3"/>
  <c r="W100" i="3"/>
  <c r="CP99" i="3"/>
  <c r="CO99" i="3"/>
  <c r="CN99" i="3"/>
  <c r="CM99" i="3"/>
  <c r="CM119" i="3" s="1"/>
  <c r="CM148" i="3" s="1"/>
  <c r="CL99" i="3"/>
  <c r="CK99" i="3"/>
  <c r="CJ99" i="3"/>
  <c r="CJ119" i="3" s="1"/>
  <c r="CI99" i="3"/>
  <c r="CI119" i="3" s="1"/>
  <c r="CI148" i="3" s="1"/>
  <c r="CH99" i="3"/>
  <c r="CG99" i="3"/>
  <c r="CF99" i="3"/>
  <c r="CE99" i="3"/>
  <c r="CE119" i="3" s="1"/>
  <c r="CE148" i="3" s="1"/>
  <c r="CD99" i="3"/>
  <c r="CC99" i="3"/>
  <c r="CB99" i="3"/>
  <c r="CA99" i="3"/>
  <c r="CA119" i="3" s="1"/>
  <c r="CA148" i="3" s="1"/>
  <c r="BZ99" i="3"/>
  <c r="BY99" i="3"/>
  <c r="BX99" i="3"/>
  <c r="BW99" i="3"/>
  <c r="BW119" i="3" s="1"/>
  <c r="BW148" i="3" s="1"/>
  <c r="BV99" i="3"/>
  <c r="BU99" i="3"/>
  <c r="BT99" i="3"/>
  <c r="BS99" i="3"/>
  <c r="BS119" i="3" s="1"/>
  <c r="BS148" i="3" s="1"/>
  <c r="BR99" i="3"/>
  <c r="BQ99" i="3"/>
  <c r="BP99" i="3"/>
  <c r="BP119" i="3" s="1"/>
  <c r="BO99" i="3"/>
  <c r="BO119" i="3" s="1"/>
  <c r="BO148" i="3" s="1"/>
  <c r="BN99" i="3"/>
  <c r="BM99" i="3"/>
  <c r="BL99" i="3"/>
  <c r="BK99" i="3"/>
  <c r="BK119" i="3" s="1"/>
  <c r="BK148" i="3" s="1"/>
  <c r="BJ99" i="3"/>
  <c r="BI99" i="3"/>
  <c r="BH99" i="3"/>
  <c r="BG99" i="3"/>
  <c r="BG119" i="3" s="1"/>
  <c r="BG148" i="3" s="1"/>
  <c r="BF99" i="3"/>
  <c r="BE99" i="3"/>
  <c r="BD99" i="3"/>
  <c r="BC99" i="3"/>
  <c r="BC119" i="3" s="1"/>
  <c r="BC148" i="3" s="1"/>
  <c r="BB99" i="3"/>
  <c r="BA99" i="3"/>
  <c r="AZ99" i="3"/>
  <c r="AZ119" i="3" s="1"/>
  <c r="AY99" i="3"/>
  <c r="AY119" i="3" s="1"/>
  <c r="AX99" i="3"/>
  <c r="AW99" i="3"/>
  <c r="AV99" i="3"/>
  <c r="AV119" i="3" s="1"/>
  <c r="AV148" i="3" s="1"/>
  <c r="AU99" i="3"/>
  <c r="AT99" i="3"/>
  <c r="AS99" i="3"/>
  <c r="AR99" i="3"/>
  <c r="AQ99" i="3"/>
  <c r="AQ119" i="3" s="1"/>
  <c r="AQ148" i="3" s="1"/>
  <c r="AP99" i="3"/>
  <c r="AO99" i="3"/>
  <c r="AN99" i="3"/>
  <c r="AM99" i="3"/>
  <c r="AL99" i="3"/>
  <c r="AK99" i="3"/>
  <c r="AJ99" i="3"/>
  <c r="AI99" i="3"/>
  <c r="AH99" i="3"/>
  <c r="AG99" i="3"/>
  <c r="AG119" i="3" s="1"/>
  <c r="AG148" i="3" s="1"/>
  <c r="AF99" i="3"/>
  <c r="AE99" i="3"/>
  <c r="AE119" i="3" s="1"/>
  <c r="AD99" i="3"/>
  <c r="AC99" i="3"/>
  <c r="AC119" i="3" s="1"/>
  <c r="AB99" i="3"/>
  <c r="AA99" i="3"/>
  <c r="Z99" i="3"/>
  <c r="Y99" i="3"/>
  <c r="Y119" i="3" s="1"/>
  <c r="DP119" i="3" s="1"/>
  <c r="X99" i="3"/>
  <c r="DQ99" i="3" s="1"/>
  <c r="W99" i="3"/>
  <c r="DN99" i="3" s="1"/>
  <c r="DO99" i="3" s="1"/>
  <c r="EJ99" i="3" s="1"/>
  <c r="W94" i="3"/>
  <c r="W93" i="3"/>
  <c r="V93" i="3"/>
  <c r="DM93" i="3" s="1"/>
  <c r="DY93" i="3" s="1"/>
  <c r="X91" i="3"/>
  <c r="Y91" i="3" s="1"/>
  <c r="Z91" i="3" s="1"/>
  <c r="AA91" i="3" s="1"/>
  <c r="AB91" i="3" s="1"/>
  <c r="AC91" i="3" s="1"/>
  <c r="AD91" i="3" s="1"/>
  <c r="AE91" i="3" s="1"/>
  <c r="AF91" i="3" s="1"/>
  <c r="AG91" i="3" s="1"/>
  <c r="AH91" i="3" s="1"/>
  <c r="AI91" i="3" s="1"/>
  <c r="AJ91" i="3" s="1"/>
  <c r="AK91" i="3" s="1"/>
  <c r="AL91" i="3" s="1"/>
  <c r="AM91" i="3" s="1"/>
  <c r="AN91" i="3" s="1"/>
  <c r="AO91" i="3" s="1"/>
  <c r="AP91" i="3" s="1"/>
  <c r="AQ91" i="3" s="1"/>
  <c r="AR91" i="3" s="1"/>
  <c r="AS91" i="3" s="1"/>
  <c r="AT91" i="3" s="1"/>
  <c r="AU91" i="3" s="1"/>
  <c r="AV91" i="3" s="1"/>
  <c r="AW91" i="3" s="1"/>
  <c r="AX91" i="3" s="1"/>
  <c r="AY91" i="3" s="1"/>
  <c r="AZ91" i="3" s="1"/>
  <c r="BA91" i="3" s="1"/>
  <c r="BB91" i="3" s="1"/>
  <c r="BC91" i="3" s="1"/>
  <c r="BD91" i="3" s="1"/>
  <c r="BE91" i="3" s="1"/>
  <c r="BF91" i="3" s="1"/>
  <c r="BG91" i="3" s="1"/>
  <c r="BH91" i="3" s="1"/>
  <c r="BI91" i="3" s="1"/>
  <c r="BJ91" i="3" s="1"/>
  <c r="BK91" i="3" s="1"/>
  <c r="BL91" i="3" s="1"/>
  <c r="BM91" i="3" s="1"/>
  <c r="BN91" i="3" s="1"/>
  <c r="BO91" i="3" s="1"/>
  <c r="BP91" i="3" s="1"/>
  <c r="BQ91" i="3" s="1"/>
  <c r="BR91" i="3" s="1"/>
  <c r="BS91" i="3" s="1"/>
  <c r="BT91" i="3" s="1"/>
  <c r="BU91" i="3" s="1"/>
  <c r="BV91" i="3" s="1"/>
  <c r="BW91" i="3" s="1"/>
  <c r="BX91" i="3" s="1"/>
  <c r="BY91" i="3" s="1"/>
  <c r="BZ91" i="3" s="1"/>
  <c r="CA91" i="3" s="1"/>
  <c r="CB91" i="3" s="1"/>
  <c r="CC91" i="3" s="1"/>
  <c r="CD91" i="3" s="1"/>
  <c r="CE91" i="3" s="1"/>
  <c r="CF91" i="3" s="1"/>
  <c r="CG91" i="3" s="1"/>
  <c r="CH91" i="3" s="1"/>
  <c r="CI91" i="3" s="1"/>
  <c r="CJ91" i="3" s="1"/>
  <c r="CK91" i="3" s="1"/>
  <c r="CL91" i="3" s="1"/>
  <c r="CM91" i="3" s="1"/>
  <c r="CN91" i="3" s="1"/>
  <c r="CO91" i="3" s="1"/>
  <c r="CP91" i="3" s="1"/>
  <c r="DE85" i="3"/>
  <c r="DD85" i="3"/>
  <c r="F85" i="3"/>
  <c r="U81" i="3"/>
  <c r="DN79" i="3"/>
  <c r="DL79" i="3"/>
  <c r="DJ79" i="3"/>
  <c r="DH79" i="3"/>
  <c r="DF79" i="3"/>
  <c r="DD79" i="3"/>
  <c r="DN78" i="3"/>
  <c r="DL78" i="3"/>
  <c r="DJ78" i="3"/>
  <c r="DH78" i="3"/>
  <c r="DF78" i="3"/>
  <c r="DD78" i="3"/>
  <c r="DN76" i="3"/>
  <c r="DL76" i="3"/>
  <c r="DJ76" i="3"/>
  <c r="DH76" i="3"/>
  <c r="DF76" i="3"/>
  <c r="DD76" i="3"/>
  <c r="DN75" i="3"/>
  <c r="DL75" i="3"/>
  <c r="DJ75" i="3"/>
  <c r="DH75" i="3"/>
  <c r="DF75" i="3"/>
  <c r="DD75" i="3"/>
  <c r="DN74" i="3"/>
  <c r="DL74" i="3"/>
  <c r="DJ74" i="3"/>
  <c r="DH74" i="3"/>
  <c r="DF74" i="3"/>
  <c r="DD74" i="3"/>
  <c r="DN73" i="3"/>
  <c r="DL73" i="3"/>
  <c r="DJ73" i="3"/>
  <c r="DH73" i="3"/>
  <c r="DF73" i="3"/>
  <c r="DD73" i="3"/>
  <c r="DN72" i="3"/>
  <c r="DL72" i="3"/>
  <c r="DJ72" i="3"/>
  <c r="DH72" i="3"/>
  <c r="DF72" i="3"/>
  <c r="DD72" i="3"/>
  <c r="DN71" i="3"/>
  <c r="DL71" i="3"/>
  <c r="DJ71" i="3"/>
  <c r="DH71" i="3"/>
  <c r="DF71" i="3"/>
  <c r="DD71" i="3"/>
  <c r="W79" i="3"/>
  <c r="V79" i="3"/>
  <c r="U79" i="3"/>
  <c r="T79" i="3"/>
  <c r="S79" i="3"/>
  <c r="R79" i="3"/>
  <c r="Q79" i="3"/>
  <c r="P79" i="3"/>
  <c r="O79" i="3"/>
  <c r="N79" i="3"/>
  <c r="M79" i="3"/>
  <c r="L79" i="3"/>
  <c r="K79" i="3"/>
  <c r="V78" i="3"/>
  <c r="U78" i="3"/>
  <c r="T78" i="3"/>
  <c r="S78" i="3"/>
  <c r="R78" i="3"/>
  <c r="Q78" i="3"/>
  <c r="P78" i="3"/>
  <c r="O78" i="3"/>
  <c r="N78" i="3"/>
  <c r="M78" i="3"/>
  <c r="L78" i="3"/>
  <c r="K78" i="3"/>
  <c r="W76" i="3"/>
  <c r="AS61" i="16" s="1"/>
  <c r="V76" i="3"/>
  <c r="AR61" i="16" s="1"/>
  <c r="U76" i="3"/>
  <c r="AQ61" i="16" s="1"/>
  <c r="T76" i="3"/>
  <c r="AP61" i="16" s="1"/>
  <c r="S76" i="3"/>
  <c r="AO61" i="16" s="1"/>
  <c r="R76" i="3"/>
  <c r="AN61" i="16" s="1"/>
  <c r="Q76" i="3"/>
  <c r="AM61" i="16" s="1"/>
  <c r="P76" i="3"/>
  <c r="AL61" i="16" s="1"/>
  <c r="O76" i="3"/>
  <c r="AK61" i="16" s="1"/>
  <c r="N76" i="3"/>
  <c r="AJ61" i="16" s="1"/>
  <c r="M76" i="3"/>
  <c r="L76" i="3"/>
  <c r="K76" i="3"/>
  <c r="W75" i="3"/>
  <c r="AS60" i="16" s="1"/>
  <c r="V75" i="3"/>
  <c r="AR60" i="16" s="1"/>
  <c r="U75" i="3"/>
  <c r="AQ60" i="16" s="1"/>
  <c r="T75" i="3"/>
  <c r="AP60" i="16" s="1"/>
  <c r="S75" i="3"/>
  <c r="AO60" i="16" s="1"/>
  <c r="R75" i="3"/>
  <c r="AN60" i="16" s="1"/>
  <c r="Q75" i="3"/>
  <c r="AM60" i="16" s="1"/>
  <c r="P75" i="3"/>
  <c r="AL60" i="16" s="1"/>
  <c r="O75" i="3"/>
  <c r="AK60" i="16" s="1"/>
  <c r="N75" i="3"/>
  <c r="AJ60" i="16" s="1"/>
  <c r="M75" i="3"/>
  <c r="L75" i="3"/>
  <c r="K75" i="3"/>
  <c r="W74" i="3"/>
  <c r="AS59" i="16" s="1"/>
  <c r="V74" i="3"/>
  <c r="AR59" i="16" s="1"/>
  <c r="U74" i="3"/>
  <c r="AQ59" i="16" s="1"/>
  <c r="T74" i="3"/>
  <c r="AP59" i="16" s="1"/>
  <c r="S74" i="3"/>
  <c r="AO59" i="16" s="1"/>
  <c r="R74" i="3"/>
  <c r="AN59" i="16" s="1"/>
  <c r="Q74" i="3"/>
  <c r="AM59" i="16" s="1"/>
  <c r="P74" i="3"/>
  <c r="AL59" i="16" s="1"/>
  <c r="O74" i="3"/>
  <c r="AK59" i="16" s="1"/>
  <c r="N74" i="3"/>
  <c r="AJ59" i="16" s="1"/>
  <c r="M74" i="3"/>
  <c r="L74" i="3"/>
  <c r="K74" i="3"/>
  <c r="W73" i="3"/>
  <c r="AS58" i="16" s="1"/>
  <c r="V73" i="3"/>
  <c r="AR58" i="16" s="1"/>
  <c r="U73" i="3"/>
  <c r="AQ58" i="16" s="1"/>
  <c r="T73" i="3"/>
  <c r="AP58" i="16" s="1"/>
  <c r="S73" i="3"/>
  <c r="AO58" i="16" s="1"/>
  <c r="R73" i="3"/>
  <c r="AN58" i="16" s="1"/>
  <c r="Q73" i="3"/>
  <c r="AM58" i="16" s="1"/>
  <c r="P73" i="3"/>
  <c r="AL58" i="16" s="1"/>
  <c r="O73" i="3"/>
  <c r="AK58" i="16" s="1"/>
  <c r="N73" i="3"/>
  <c r="AJ58" i="16" s="1"/>
  <c r="M73" i="3"/>
  <c r="L73" i="3"/>
  <c r="K73" i="3"/>
  <c r="W72" i="3"/>
  <c r="AS57" i="16" s="1"/>
  <c r="V72" i="3"/>
  <c r="AR57" i="16" s="1"/>
  <c r="U72" i="3"/>
  <c r="AQ57" i="16" s="1"/>
  <c r="T72" i="3"/>
  <c r="AP57" i="16" s="1"/>
  <c r="S72" i="3"/>
  <c r="AO57" i="16" s="1"/>
  <c r="R72" i="3"/>
  <c r="AN57" i="16" s="1"/>
  <c r="Q72" i="3"/>
  <c r="AM57" i="16" s="1"/>
  <c r="P72" i="3"/>
  <c r="AL57" i="16" s="1"/>
  <c r="O72" i="3"/>
  <c r="AK57" i="16" s="1"/>
  <c r="N72" i="3"/>
  <c r="AJ57" i="16" s="1"/>
  <c r="M72" i="3"/>
  <c r="L72" i="3"/>
  <c r="K72" i="3"/>
  <c r="W71" i="3"/>
  <c r="AS56" i="16" s="1"/>
  <c r="V71" i="3"/>
  <c r="AR56" i="16" s="1"/>
  <c r="U71" i="3"/>
  <c r="AQ56" i="16" s="1"/>
  <c r="T71" i="3"/>
  <c r="AP56" i="16" s="1"/>
  <c r="S71" i="3"/>
  <c r="AO56" i="16" s="1"/>
  <c r="R71" i="3"/>
  <c r="AN56" i="16" s="1"/>
  <c r="Q71" i="3"/>
  <c r="AM56" i="16" s="1"/>
  <c r="P71" i="3"/>
  <c r="AL56" i="16" s="1"/>
  <c r="O71" i="3"/>
  <c r="AK56" i="16" s="1"/>
  <c r="N71" i="3"/>
  <c r="AJ56" i="16" s="1"/>
  <c r="M71" i="3"/>
  <c r="L71" i="3"/>
  <c r="K71" i="3"/>
  <c r="DE68" i="3"/>
  <c r="DD68" i="3"/>
  <c r="F68" i="3"/>
  <c r="L59" i="3"/>
  <c r="L101" i="3" s="1"/>
  <c r="K59" i="3"/>
  <c r="K101" i="3" s="1"/>
  <c r="DO58" i="3"/>
  <c r="DO57" i="3"/>
  <c r="DO54" i="3"/>
  <c r="DZ54" i="3" s="1"/>
  <c r="DO53" i="3"/>
  <c r="DO52" i="3"/>
  <c r="DO51" i="3"/>
  <c r="DO49" i="3"/>
  <c r="DO48" i="3"/>
  <c r="DO47" i="3"/>
  <c r="DO46" i="3"/>
  <c r="DO45" i="3"/>
  <c r="DZ45" i="3" s="1"/>
  <c r="DO44" i="3"/>
  <c r="DM58" i="3"/>
  <c r="DM57" i="3"/>
  <c r="DM52" i="3"/>
  <c r="DY52" i="3" s="1"/>
  <c r="DM51" i="3"/>
  <c r="DY51" i="3" s="1"/>
  <c r="DM49" i="3"/>
  <c r="DY49" i="3" s="1"/>
  <c r="DM48" i="3"/>
  <c r="DM47" i="3"/>
  <c r="DY47" i="3" s="1"/>
  <c r="DM46" i="3"/>
  <c r="DY46" i="3" s="1"/>
  <c r="DM45" i="3"/>
  <c r="DY45" i="3" s="1"/>
  <c r="DM44" i="3"/>
  <c r="DK58" i="3"/>
  <c r="DK57" i="3"/>
  <c r="DK54" i="3"/>
  <c r="DX54" i="3" s="1"/>
  <c r="DK53" i="3"/>
  <c r="DK52" i="3"/>
  <c r="DX52" i="3" s="1"/>
  <c r="DK51" i="3"/>
  <c r="DX51" i="3" s="1"/>
  <c r="DK49" i="3"/>
  <c r="DK48" i="3"/>
  <c r="DX48" i="3" s="1"/>
  <c r="DK47" i="3"/>
  <c r="DK46" i="3"/>
  <c r="DX46" i="3" s="1"/>
  <c r="DK45" i="3"/>
  <c r="DX45" i="3" s="1"/>
  <c r="DK44" i="3"/>
  <c r="DX44" i="3" s="1"/>
  <c r="DI58" i="3"/>
  <c r="DI57" i="3"/>
  <c r="DF58" i="3"/>
  <c r="DF100" i="3" s="1"/>
  <c r="DE58" i="3"/>
  <c r="S58" i="3"/>
  <c r="S100" i="3" s="1"/>
  <c r="Q58" i="3"/>
  <c r="Q100" i="3" s="1"/>
  <c r="DG57" i="3"/>
  <c r="DE57" i="3"/>
  <c r="V54" i="3"/>
  <c r="V53" i="3"/>
  <c r="V50" i="3" s="1"/>
  <c r="DI53" i="3"/>
  <c r="DI52" i="3"/>
  <c r="DW52" i="3" s="1"/>
  <c r="DI51" i="3"/>
  <c r="DW51" i="3" s="1"/>
  <c r="DI49" i="3"/>
  <c r="DW49" i="3" s="1"/>
  <c r="DI48" i="3"/>
  <c r="DI47" i="3"/>
  <c r="DW47" i="3" s="1"/>
  <c r="DI46" i="3"/>
  <c r="DW46" i="3" s="1"/>
  <c r="DI45" i="3"/>
  <c r="DW45" i="3" s="1"/>
  <c r="DI44" i="3"/>
  <c r="DW44" i="3" s="1"/>
  <c r="DG53" i="3"/>
  <c r="DG52" i="3"/>
  <c r="DG51" i="3"/>
  <c r="DV51" i="3" s="1"/>
  <c r="DG49" i="3"/>
  <c r="DV49" i="3" s="1"/>
  <c r="DG48" i="3"/>
  <c r="DV48" i="3" s="1"/>
  <c r="DG47" i="3"/>
  <c r="DV47" i="3" s="1"/>
  <c r="DG46" i="3"/>
  <c r="DV46" i="3" s="1"/>
  <c r="DG45" i="3"/>
  <c r="DV45" i="3" s="1"/>
  <c r="DG44" i="3"/>
  <c r="DV44" i="3" s="1"/>
  <c r="DE53" i="3"/>
  <c r="DE52" i="3"/>
  <c r="DU52" i="3" s="1"/>
  <c r="DE51" i="3"/>
  <c r="DE49" i="3"/>
  <c r="DU49" i="3" s="1"/>
  <c r="DE48" i="3"/>
  <c r="DU48" i="3" s="1"/>
  <c r="DE47" i="3"/>
  <c r="DU47" i="3" s="1"/>
  <c r="DE46" i="3"/>
  <c r="DU46" i="3" s="1"/>
  <c r="DE45" i="3"/>
  <c r="DU45" i="3" s="1"/>
  <c r="DE44" i="3"/>
  <c r="N53" i="3"/>
  <c r="N94" i="17" s="1"/>
  <c r="M53" i="3"/>
  <c r="DN50" i="3"/>
  <c r="DL50" i="3"/>
  <c r="DJ50" i="3"/>
  <c r="DH50" i="3"/>
  <c r="DF50" i="3"/>
  <c r="DD50" i="3"/>
  <c r="W50" i="3"/>
  <c r="U50" i="3"/>
  <c r="T50" i="3"/>
  <c r="S50" i="3"/>
  <c r="R50" i="3"/>
  <c r="Q50" i="3"/>
  <c r="P50" i="3"/>
  <c r="O50" i="3"/>
  <c r="L50" i="3"/>
  <c r="K50" i="3"/>
  <c r="EF48" i="3"/>
  <c r="ED48" i="3"/>
  <c r="EB48" i="3"/>
  <c r="EF47" i="3"/>
  <c r="ED47" i="3"/>
  <c r="EB47" i="3"/>
  <c r="EF46" i="3"/>
  <c r="ED46" i="3"/>
  <c r="EB46" i="3"/>
  <c r="EF45" i="3"/>
  <c r="ED45" i="3"/>
  <c r="EB45" i="3"/>
  <c r="EF44" i="3"/>
  <c r="ED44" i="3"/>
  <c r="EB44" i="3"/>
  <c r="DU51" i="3"/>
  <c r="DN43" i="3"/>
  <c r="DN56" i="3" s="1"/>
  <c r="DL43" i="3"/>
  <c r="DJ43" i="3"/>
  <c r="DJ56" i="3" s="1"/>
  <c r="DJ55" i="3" s="1"/>
  <c r="DH43" i="3"/>
  <c r="DH56" i="3" s="1"/>
  <c r="DH59" i="3" s="1"/>
  <c r="DF43" i="3"/>
  <c r="DF56" i="3" s="1"/>
  <c r="DD43" i="3"/>
  <c r="AH55" i="3"/>
  <c r="AI55" i="3" s="1"/>
  <c r="AJ55" i="3" s="1"/>
  <c r="AK55" i="3" s="1"/>
  <c r="AL55" i="3" s="1"/>
  <c r="AM55" i="3" s="1"/>
  <c r="AN55" i="3" s="1"/>
  <c r="AO55" i="3" s="1"/>
  <c r="AP55" i="3" s="1"/>
  <c r="AQ55" i="3" s="1"/>
  <c r="AR55" i="3" s="1"/>
  <c r="AS55" i="3" s="1"/>
  <c r="AT55" i="3" s="1"/>
  <c r="AU55" i="3" s="1"/>
  <c r="AV55" i="3" s="1"/>
  <c r="AW55" i="3" s="1"/>
  <c r="AX55" i="3" s="1"/>
  <c r="AY55" i="3" s="1"/>
  <c r="AZ55" i="3" s="1"/>
  <c r="BA55" i="3" s="1"/>
  <c r="BB55" i="3" s="1"/>
  <c r="BC55" i="3" s="1"/>
  <c r="BD55" i="3" s="1"/>
  <c r="BE55" i="3" s="1"/>
  <c r="BF55" i="3" s="1"/>
  <c r="BG55" i="3" s="1"/>
  <c r="BH55" i="3" s="1"/>
  <c r="BI55" i="3" s="1"/>
  <c r="BJ55" i="3" s="1"/>
  <c r="BK55" i="3" s="1"/>
  <c r="BL55" i="3" s="1"/>
  <c r="BM55" i="3" s="1"/>
  <c r="BN55" i="3" s="1"/>
  <c r="BO55" i="3" s="1"/>
  <c r="BP55" i="3" s="1"/>
  <c r="BQ55" i="3" s="1"/>
  <c r="BR55" i="3" s="1"/>
  <c r="BS55" i="3" s="1"/>
  <c r="BT55" i="3" s="1"/>
  <c r="BU55" i="3" s="1"/>
  <c r="BV55" i="3" s="1"/>
  <c r="BW55" i="3" s="1"/>
  <c r="BX55" i="3" s="1"/>
  <c r="BY55" i="3" s="1"/>
  <c r="BZ55" i="3" s="1"/>
  <c r="CA55" i="3" s="1"/>
  <c r="CB55" i="3" s="1"/>
  <c r="CC55" i="3" s="1"/>
  <c r="CD55" i="3" s="1"/>
  <c r="CE55" i="3" s="1"/>
  <c r="CF55" i="3" s="1"/>
  <c r="CG55" i="3" s="1"/>
  <c r="CH55" i="3" s="1"/>
  <c r="CI55" i="3" s="1"/>
  <c r="CJ55" i="3" s="1"/>
  <c r="CK55" i="3" s="1"/>
  <c r="CL55" i="3" s="1"/>
  <c r="CM55" i="3" s="1"/>
  <c r="CN55" i="3" s="1"/>
  <c r="CO55" i="3" s="1"/>
  <c r="CP55" i="3" s="1"/>
  <c r="X53" i="3"/>
  <c r="W43" i="3"/>
  <c r="W66" i="3" s="1"/>
  <c r="V43" i="3"/>
  <c r="U43" i="3"/>
  <c r="T43" i="3"/>
  <c r="S43" i="3"/>
  <c r="R43" i="3"/>
  <c r="Q43" i="3"/>
  <c r="P43" i="3"/>
  <c r="O43" i="3"/>
  <c r="N43" i="3"/>
  <c r="M43" i="3"/>
  <c r="L43" i="3"/>
  <c r="K43" i="3"/>
  <c r="DE41" i="3"/>
  <c r="DD41" i="3"/>
  <c r="F41" i="3"/>
  <c r="DO36" i="3"/>
  <c r="EJ36" i="3" s="1"/>
  <c r="DO35" i="3"/>
  <c r="EJ35" i="3" s="1"/>
  <c r="DO33" i="3"/>
  <c r="EJ33" i="3" s="1"/>
  <c r="DO32" i="3"/>
  <c r="DZ32" i="3" s="1"/>
  <c r="DO29" i="3"/>
  <c r="DZ29" i="3" s="1"/>
  <c r="DO28" i="3"/>
  <c r="EJ28" i="3" s="1"/>
  <c r="DO27" i="3"/>
  <c r="EJ27" i="3" s="1"/>
  <c r="DO26" i="3"/>
  <c r="EJ26" i="3" s="1"/>
  <c r="DO25" i="3"/>
  <c r="EJ25" i="3" s="1"/>
  <c r="DO24" i="3"/>
  <c r="DI38" i="3"/>
  <c r="DI37" i="3"/>
  <c r="DI36" i="3"/>
  <c r="DW36" i="3" s="1"/>
  <c r="DI35" i="3"/>
  <c r="DW35" i="3" s="1"/>
  <c r="DI33" i="3"/>
  <c r="DI32" i="3"/>
  <c r="DI31" i="3"/>
  <c r="DW31" i="3" s="1"/>
  <c r="DI29" i="3"/>
  <c r="DI28" i="3"/>
  <c r="DW28" i="3" s="1"/>
  <c r="DI27" i="3"/>
  <c r="DI26" i="3"/>
  <c r="DW26" i="3" s="1"/>
  <c r="DI25" i="3"/>
  <c r="DW25" i="3" s="1"/>
  <c r="DI24" i="3"/>
  <c r="DW24" i="3" s="1"/>
  <c r="DG38" i="3"/>
  <c r="DG37" i="3"/>
  <c r="DG36" i="3"/>
  <c r="DV36" i="3" s="1"/>
  <c r="DG35" i="3"/>
  <c r="DV35" i="3" s="1"/>
  <c r="DG33" i="3"/>
  <c r="DG32" i="3"/>
  <c r="DV32" i="3" s="1"/>
  <c r="DG31" i="3"/>
  <c r="DV31" i="3" s="1"/>
  <c r="DG29" i="3"/>
  <c r="DV29" i="3" s="1"/>
  <c r="DG28" i="3"/>
  <c r="DG27" i="3"/>
  <c r="DV27" i="3" s="1"/>
  <c r="DG26" i="3"/>
  <c r="DG25" i="3"/>
  <c r="DV25" i="3" s="1"/>
  <c r="DG24" i="3"/>
  <c r="DE38" i="3"/>
  <c r="DE37" i="3"/>
  <c r="DE36" i="3"/>
  <c r="DU36" i="3" s="1"/>
  <c r="DE35" i="3"/>
  <c r="DU35" i="3" s="1"/>
  <c r="DE33" i="3"/>
  <c r="DE32" i="3"/>
  <c r="DE31" i="3"/>
  <c r="DU31" i="3" s="1"/>
  <c r="DE29" i="3"/>
  <c r="DU29" i="3" s="1"/>
  <c r="DE28" i="3"/>
  <c r="DU28" i="3" s="1"/>
  <c r="DE27" i="3"/>
  <c r="DU27" i="3" s="1"/>
  <c r="DE26" i="3"/>
  <c r="DU26" i="3" s="1"/>
  <c r="DE25" i="3"/>
  <c r="DU25" i="3" s="1"/>
  <c r="DE24" i="3"/>
  <c r="DU24" i="3" s="1"/>
  <c r="U38" i="3"/>
  <c r="DK38" i="3" s="1"/>
  <c r="Q38" i="3"/>
  <c r="Q34" i="3" s="1"/>
  <c r="Q89" i="3" s="1"/>
  <c r="DK37" i="3"/>
  <c r="EH37" i="3" s="1"/>
  <c r="V37" i="3"/>
  <c r="W37" i="3" s="1"/>
  <c r="DM36" i="3"/>
  <c r="DM35" i="3"/>
  <c r="DM33" i="3"/>
  <c r="EI33" i="3" s="1"/>
  <c r="DM32" i="3"/>
  <c r="EI32" i="3" s="1"/>
  <c r="DM31" i="3"/>
  <c r="EI31" i="3" s="1"/>
  <c r="DM29" i="3"/>
  <c r="DM28" i="3"/>
  <c r="DM27" i="3"/>
  <c r="DM26" i="3"/>
  <c r="DM25" i="3"/>
  <c r="DM24" i="3"/>
  <c r="DY24" i="3" s="1"/>
  <c r="DK36" i="3"/>
  <c r="DK35" i="3"/>
  <c r="EH35" i="3" s="1"/>
  <c r="DK32" i="3"/>
  <c r="DK31" i="3"/>
  <c r="DK29" i="3"/>
  <c r="DK28" i="3"/>
  <c r="DX28" i="3" s="1"/>
  <c r="DK27" i="3"/>
  <c r="DK26" i="3"/>
  <c r="DK25" i="3"/>
  <c r="DX25" i="3" s="1"/>
  <c r="DK24" i="3"/>
  <c r="EH24" i="3" s="1"/>
  <c r="DN34" i="3"/>
  <c r="DN89" i="3" s="1"/>
  <c r="DJ34" i="3"/>
  <c r="DJ89" i="3" s="1"/>
  <c r="DH34" i="3"/>
  <c r="DH89" i="3" s="1"/>
  <c r="DF34" i="3"/>
  <c r="DF89" i="3" s="1"/>
  <c r="DD34" i="3"/>
  <c r="DD89" i="3" s="1"/>
  <c r="X36" i="3"/>
  <c r="T34" i="3"/>
  <c r="T89" i="3" s="1"/>
  <c r="S34" i="3"/>
  <c r="S89" i="3" s="1"/>
  <c r="R34" i="3"/>
  <c r="R89" i="3" s="1"/>
  <c r="P34" i="3"/>
  <c r="O34" i="3"/>
  <c r="O89" i="3" s="1"/>
  <c r="M34" i="3"/>
  <c r="M89" i="3" s="1"/>
  <c r="L34" i="3"/>
  <c r="K34" i="3"/>
  <c r="U33" i="3"/>
  <c r="U30" i="3" s="1"/>
  <c r="U88" i="3" s="1"/>
  <c r="N33" i="3"/>
  <c r="N30" i="3" s="1"/>
  <c r="M33" i="3"/>
  <c r="M30" i="3" s="1"/>
  <c r="M88" i="3" s="1"/>
  <c r="W31" i="3"/>
  <c r="DN30" i="3"/>
  <c r="DN88" i="3" s="1"/>
  <c r="DL30" i="3"/>
  <c r="DJ30" i="3"/>
  <c r="DH30" i="3"/>
  <c r="DH88" i="3" s="1"/>
  <c r="DF30" i="3"/>
  <c r="DF88" i="3" s="1"/>
  <c r="DD30" i="3"/>
  <c r="V30" i="3"/>
  <c r="V88" i="3" s="1"/>
  <c r="T30" i="3"/>
  <c r="T88" i="3" s="1"/>
  <c r="S30" i="3"/>
  <c r="R30" i="3"/>
  <c r="R88" i="3" s="1"/>
  <c r="Q30" i="3"/>
  <c r="Q88" i="3" s="1"/>
  <c r="P30" i="3"/>
  <c r="P88" i="3" s="1"/>
  <c r="O30" i="3"/>
  <c r="L30" i="3"/>
  <c r="K30" i="3"/>
  <c r="EF29" i="3"/>
  <c r="ED29" i="3"/>
  <c r="EB29" i="3"/>
  <c r="EF28" i="3"/>
  <c r="ED28" i="3"/>
  <c r="EB28" i="3"/>
  <c r="EF27" i="3"/>
  <c r="ED27" i="3"/>
  <c r="EB27" i="3"/>
  <c r="EF26" i="3"/>
  <c r="ED26" i="3"/>
  <c r="EB26" i="3"/>
  <c r="EF25" i="3"/>
  <c r="ED25" i="3"/>
  <c r="EB25" i="3"/>
  <c r="EF24" i="3"/>
  <c r="ED24" i="3"/>
  <c r="EB24" i="3"/>
  <c r="DN23" i="3"/>
  <c r="DN87" i="3" s="1"/>
  <c r="DL23" i="3"/>
  <c r="DJ23" i="3"/>
  <c r="DJ87" i="3" s="1"/>
  <c r="DH23" i="3"/>
  <c r="DF23" i="3"/>
  <c r="DF87" i="3" s="1"/>
  <c r="DD23" i="3"/>
  <c r="DD87" i="3" s="1"/>
  <c r="W23" i="3"/>
  <c r="W87" i="3" s="1"/>
  <c r="V23" i="3"/>
  <c r="V87" i="3" s="1"/>
  <c r="U23" i="3"/>
  <c r="T23" i="3"/>
  <c r="T87" i="3" s="1"/>
  <c r="S23" i="3"/>
  <c r="R23" i="3"/>
  <c r="R87" i="3" s="1"/>
  <c r="Q23" i="3"/>
  <c r="P23" i="3"/>
  <c r="P87" i="3" s="1"/>
  <c r="O23" i="3"/>
  <c r="N23" i="3"/>
  <c r="N87" i="3" s="1"/>
  <c r="M23" i="3"/>
  <c r="L23" i="3"/>
  <c r="K23" i="3"/>
  <c r="I62" i="16" s="1"/>
  <c r="DE21" i="3"/>
  <c r="DD21" i="3"/>
  <c r="F21" i="3"/>
  <c r="W19" i="3"/>
  <c r="X19" i="3" s="1"/>
  <c r="Y19" i="3" s="1"/>
  <c r="Z19" i="3" s="1"/>
  <c r="AA19" i="3" s="1"/>
  <c r="AB19" i="3" s="1"/>
  <c r="AC19" i="3" s="1"/>
  <c r="AD19" i="3" s="1"/>
  <c r="AE19" i="3" s="1"/>
  <c r="AF19" i="3" s="1"/>
  <c r="AG19" i="3" s="1"/>
  <c r="AH19" i="3" s="1"/>
  <c r="AI19" i="3" s="1"/>
  <c r="AJ19" i="3" s="1"/>
  <c r="AK19" i="3" s="1"/>
  <c r="AL19" i="3" s="1"/>
  <c r="AM19" i="3" s="1"/>
  <c r="AN19" i="3" s="1"/>
  <c r="AO19" i="3" s="1"/>
  <c r="AP19" i="3" s="1"/>
  <c r="AQ19" i="3" s="1"/>
  <c r="AR19" i="3" s="1"/>
  <c r="AS19" i="3" s="1"/>
  <c r="AT19" i="3" s="1"/>
  <c r="AU19" i="3" s="1"/>
  <c r="AV19" i="3" s="1"/>
  <c r="AW19" i="3" s="1"/>
  <c r="AX19" i="3" s="1"/>
  <c r="AY19" i="3" s="1"/>
  <c r="AZ19" i="3" s="1"/>
  <c r="BA19" i="3" s="1"/>
  <c r="BB19" i="3" s="1"/>
  <c r="BC19" i="3" s="1"/>
  <c r="BD19" i="3" s="1"/>
  <c r="BE19" i="3" s="1"/>
  <c r="BF19" i="3" s="1"/>
  <c r="BG19" i="3" s="1"/>
  <c r="BH19" i="3" s="1"/>
  <c r="BI19" i="3" s="1"/>
  <c r="BJ19" i="3" s="1"/>
  <c r="BK19" i="3" s="1"/>
  <c r="BL19" i="3" s="1"/>
  <c r="BM19" i="3" s="1"/>
  <c r="BN19" i="3" s="1"/>
  <c r="BO19" i="3" s="1"/>
  <c r="BP19" i="3" s="1"/>
  <c r="BQ19" i="3" s="1"/>
  <c r="BR19" i="3" s="1"/>
  <c r="BS19" i="3" s="1"/>
  <c r="BT19" i="3" s="1"/>
  <c r="BU19" i="3" s="1"/>
  <c r="BV19" i="3" s="1"/>
  <c r="BW19" i="3" s="1"/>
  <c r="BX19" i="3" s="1"/>
  <c r="BY19" i="3" s="1"/>
  <c r="BZ19" i="3" s="1"/>
  <c r="CA19" i="3" s="1"/>
  <c r="CB19" i="3" s="1"/>
  <c r="CC19" i="3" s="1"/>
  <c r="CD19" i="3" s="1"/>
  <c r="CE19" i="3" s="1"/>
  <c r="CF19" i="3" s="1"/>
  <c r="CG19" i="3" s="1"/>
  <c r="CH19" i="3" s="1"/>
  <c r="CI19" i="3" s="1"/>
  <c r="CJ19" i="3" s="1"/>
  <c r="CK19" i="3" s="1"/>
  <c r="CL19" i="3" s="1"/>
  <c r="CM19" i="3" s="1"/>
  <c r="CN19" i="3" s="1"/>
  <c r="CO19" i="3" s="1"/>
  <c r="CP19" i="3" s="1"/>
  <c r="U16" i="3"/>
  <c r="V16" i="3" s="1"/>
  <c r="W16" i="3" s="1"/>
  <c r="X16" i="3" s="1"/>
  <c r="Y16" i="3" s="1"/>
  <c r="Z16" i="3" s="1"/>
  <c r="AA16" i="3" s="1"/>
  <c r="AB16" i="3" s="1"/>
  <c r="AC16" i="3" s="1"/>
  <c r="AD16" i="3" s="1"/>
  <c r="AE16" i="3" s="1"/>
  <c r="AF16" i="3" s="1"/>
  <c r="AG16" i="3" s="1"/>
  <c r="AH16" i="3" s="1"/>
  <c r="AI16" i="3" s="1"/>
  <c r="AJ16" i="3" s="1"/>
  <c r="AK16" i="3" s="1"/>
  <c r="AL16" i="3" s="1"/>
  <c r="AM16" i="3" s="1"/>
  <c r="AN16" i="3" s="1"/>
  <c r="AO16" i="3" s="1"/>
  <c r="AP16" i="3" s="1"/>
  <c r="AQ16" i="3" s="1"/>
  <c r="AR16" i="3" s="1"/>
  <c r="AS16" i="3" s="1"/>
  <c r="AT16" i="3" s="1"/>
  <c r="AU16" i="3" s="1"/>
  <c r="AV16" i="3" s="1"/>
  <c r="AW16" i="3" s="1"/>
  <c r="AX16" i="3" s="1"/>
  <c r="AY16" i="3" s="1"/>
  <c r="AZ16" i="3" s="1"/>
  <c r="BA16" i="3" s="1"/>
  <c r="BB16" i="3" s="1"/>
  <c r="BC16" i="3" s="1"/>
  <c r="BD16" i="3" s="1"/>
  <c r="BE16" i="3" s="1"/>
  <c r="BF16" i="3" s="1"/>
  <c r="BG16" i="3" s="1"/>
  <c r="BH16" i="3" s="1"/>
  <c r="BI16" i="3" s="1"/>
  <c r="BJ16" i="3" s="1"/>
  <c r="BK16" i="3" s="1"/>
  <c r="BL16" i="3" s="1"/>
  <c r="BM16" i="3" s="1"/>
  <c r="BN16" i="3" s="1"/>
  <c r="BO16" i="3" s="1"/>
  <c r="BP16" i="3" s="1"/>
  <c r="BQ16" i="3" s="1"/>
  <c r="BR16" i="3" s="1"/>
  <c r="BS16" i="3" s="1"/>
  <c r="BT16" i="3" s="1"/>
  <c r="BU16" i="3" s="1"/>
  <c r="BV16" i="3" s="1"/>
  <c r="BW16" i="3" s="1"/>
  <c r="BX16" i="3" s="1"/>
  <c r="BY16" i="3" s="1"/>
  <c r="BZ16" i="3" s="1"/>
  <c r="CA16" i="3" s="1"/>
  <c r="CB16" i="3" s="1"/>
  <c r="CC16" i="3" s="1"/>
  <c r="CD16" i="3" s="1"/>
  <c r="CE16" i="3" s="1"/>
  <c r="CF16" i="3" s="1"/>
  <c r="CG16" i="3" s="1"/>
  <c r="CH16" i="3" s="1"/>
  <c r="CI16" i="3" s="1"/>
  <c r="CJ16" i="3" s="1"/>
  <c r="CK16" i="3" s="1"/>
  <c r="CL16" i="3" s="1"/>
  <c r="CM16" i="3" s="1"/>
  <c r="CN16" i="3" s="1"/>
  <c r="CO16" i="3" s="1"/>
  <c r="CP16" i="3" s="1"/>
  <c r="U15" i="3"/>
  <c r="V15" i="3" s="1"/>
  <c r="W15" i="3" s="1"/>
  <c r="X15" i="3" s="1"/>
  <c r="Y15" i="3" s="1"/>
  <c r="Z15" i="3" s="1"/>
  <c r="AA15" i="3" s="1"/>
  <c r="AB15" i="3" s="1"/>
  <c r="AC15" i="3" s="1"/>
  <c r="AD15" i="3" s="1"/>
  <c r="AE15" i="3" s="1"/>
  <c r="AF15" i="3" s="1"/>
  <c r="AG15" i="3" s="1"/>
  <c r="AH15" i="3" s="1"/>
  <c r="AI15" i="3" s="1"/>
  <c r="AJ15" i="3" s="1"/>
  <c r="AK15" i="3" s="1"/>
  <c r="AL15" i="3" s="1"/>
  <c r="AM15" i="3" s="1"/>
  <c r="AN15" i="3" s="1"/>
  <c r="AO15" i="3" s="1"/>
  <c r="AP15" i="3" s="1"/>
  <c r="AQ15" i="3" s="1"/>
  <c r="AR15" i="3" s="1"/>
  <c r="AS15" i="3" s="1"/>
  <c r="AT15" i="3" s="1"/>
  <c r="AU15" i="3" s="1"/>
  <c r="AV15" i="3" s="1"/>
  <c r="AW15" i="3" s="1"/>
  <c r="AX15" i="3" s="1"/>
  <c r="AY15" i="3" s="1"/>
  <c r="AZ15" i="3" s="1"/>
  <c r="BA15" i="3" s="1"/>
  <c r="BB15" i="3" s="1"/>
  <c r="BC15" i="3" s="1"/>
  <c r="BD15" i="3" s="1"/>
  <c r="BE15" i="3" s="1"/>
  <c r="BF15" i="3" s="1"/>
  <c r="BG15" i="3" s="1"/>
  <c r="BH15" i="3" s="1"/>
  <c r="BI15" i="3" s="1"/>
  <c r="BJ15" i="3" s="1"/>
  <c r="BK15" i="3" s="1"/>
  <c r="BL15" i="3" s="1"/>
  <c r="BM15" i="3" s="1"/>
  <c r="BN15" i="3" s="1"/>
  <c r="BO15" i="3" s="1"/>
  <c r="BP15" i="3" s="1"/>
  <c r="BQ15" i="3" s="1"/>
  <c r="BR15" i="3" s="1"/>
  <c r="BS15" i="3" s="1"/>
  <c r="BT15" i="3" s="1"/>
  <c r="BU15" i="3" s="1"/>
  <c r="BV15" i="3" s="1"/>
  <c r="BW15" i="3" s="1"/>
  <c r="BX15" i="3" s="1"/>
  <c r="BY15" i="3" s="1"/>
  <c r="BZ15" i="3" s="1"/>
  <c r="CA15" i="3" s="1"/>
  <c r="CB15" i="3" s="1"/>
  <c r="CC15" i="3" s="1"/>
  <c r="CD15" i="3" s="1"/>
  <c r="CE15" i="3" s="1"/>
  <c r="CF15" i="3" s="1"/>
  <c r="CG15" i="3" s="1"/>
  <c r="CH15" i="3" s="1"/>
  <c r="CI15" i="3" s="1"/>
  <c r="CJ15" i="3" s="1"/>
  <c r="CK15" i="3" s="1"/>
  <c r="CL15" i="3" s="1"/>
  <c r="CM15" i="3" s="1"/>
  <c r="CN15" i="3" s="1"/>
  <c r="CO15" i="3" s="1"/>
  <c r="CP15" i="3" s="1"/>
  <c r="U14" i="3"/>
  <c r="V14" i="3" s="1"/>
  <c r="W14" i="3" s="1"/>
  <c r="X14" i="3" s="1"/>
  <c r="Y14" i="3" s="1"/>
  <c r="Z14" i="3" s="1"/>
  <c r="AA14" i="3" s="1"/>
  <c r="AB14" i="3" s="1"/>
  <c r="AC14" i="3" s="1"/>
  <c r="AD14" i="3" s="1"/>
  <c r="AE14" i="3" s="1"/>
  <c r="AF14" i="3" s="1"/>
  <c r="AG14" i="3" s="1"/>
  <c r="AH14" i="3" s="1"/>
  <c r="AI14" i="3" s="1"/>
  <c r="AJ14" i="3" s="1"/>
  <c r="AK14" i="3" s="1"/>
  <c r="AL14" i="3" s="1"/>
  <c r="AM14" i="3" s="1"/>
  <c r="AN14" i="3" s="1"/>
  <c r="AO14" i="3" s="1"/>
  <c r="AP14" i="3" s="1"/>
  <c r="AQ14" i="3" s="1"/>
  <c r="AR14" i="3" s="1"/>
  <c r="AS14" i="3" s="1"/>
  <c r="AT14" i="3" s="1"/>
  <c r="AU14" i="3" s="1"/>
  <c r="AV14" i="3" s="1"/>
  <c r="AW14" i="3" s="1"/>
  <c r="AX14" i="3" s="1"/>
  <c r="AY14" i="3" s="1"/>
  <c r="AZ14" i="3" s="1"/>
  <c r="BA14" i="3" s="1"/>
  <c r="BB14" i="3" s="1"/>
  <c r="BC14" i="3" s="1"/>
  <c r="BD14" i="3" s="1"/>
  <c r="BE14" i="3" s="1"/>
  <c r="BF14" i="3" s="1"/>
  <c r="BG14" i="3" s="1"/>
  <c r="BH14" i="3" s="1"/>
  <c r="BI14" i="3" s="1"/>
  <c r="BJ14" i="3" s="1"/>
  <c r="BK14" i="3" s="1"/>
  <c r="BL14" i="3" s="1"/>
  <c r="BM14" i="3" s="1"/>
  <c r="BN14" i="3" s="1"/>
  <c r="BO14" i="3" s="1"/>
  <c r="BP14" i="3" s="1"/>
  <c r="BQ14" i="3" s="1"/>
  <c r="BR14" i="3" s="1"/>
  <c r="BS14" i="3" s="1"/>
  <c r="BT14" i="3" s="1"/>
  <c r="BU14" i="3" s="1"/>
  <c r="BV14" i="3" s="1"/>
  <c r="BW14" i="3" s="1"/>
  <c r="BX14" i="3" s="1"/>
  <c r="BY14" i="3" s="1"/>
  <c r="BZ14" i="3" s="1"/>
  <c r="CA14" i="3" s="1"/>
  <c r="CB14" i="3" s="1"/>
  <c r="CC14" i="3" s="1"/>
  <c r="CD14" i="3" s="1"/>
  <c r="CE14" i="3" s="1"/>
  <c r="CF14" i="3" s="1"/>
  <c r="CG14" i="3" s="1"/>
  <c r="CH14" i="3" s="1"/>
  <c r="CI14" i="3" s="1"/>
  <c r="CJ14" i="3" s="1"/>
  <c r="CK14" i="3" s="1"/>
  <c r="CL14" i="3" s="1"/>
  <c r="CM14" i="3" s="1"/>
  <c r="CN14" i="3" s="1"/>
  <c r="CO14" i="3" s="1"/>
  <c r="CP14" i="3" s="1"/>
  <c r="U13" i="3"/>
  <c r="U12" i="3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AJ12" i="3" s="1"/>
  <c r="AK12" i="3" s="1"/>
  <c r="AL12" i="3" s="1"/>
  <c r="AM12" i="3" s="1"/>
  <c r="AN12" i="3" s="1"/>
  <c r="AO12" i="3" s="1"/>
  <c r="AP12" i="3" s="1"/>
  <c r="AQ12" i="3" s="1"/>
  <c r="AR12" i="3" s="1"/>
  <c r="AS12" i="3" s="1"/>
  <c r="AT12" i="3" s="1"/>
  <c r="AU12" i="3" s="1"/>
  <c r="AV12" i="3" s="1"/>
  <c r="AW12" i="3" s="1"/>
  <c r="AX12" i="3" s="1"/>
  <c r="AY12" i="3" s="1"/>
  <c r="AZ12" i="3" s="1"/>
  <c r="BA12" i="3" s="1"/>
  <c r="BB12" i="3" s="1"/>
  <c r="BC12" i="3" s="1"/>
  <c r="BD12" i="3" s="1"/>
  <c r="BE12" i="3" s="1"/>
  <c r="BF12" i="3" s="1"/>
  <c r="BG12" i="3" s="1"/>
  <c r="BH12" i="3" s="1"/>
  <c r="BI12" i="3" s="1"/>
  <c r="BJ12" i="3" s="1"/>
  <c r="BK12" i="3" s="1"/>
  <c r="BL12" i="3" s="1"/>
  <c r="BM12" i="3" s="1"/>
  <c r="BN12" i="3" s="1"/>
  <c r="BO12" i="3" s="1"/>
  <c r="BP12" i="3" s="1"/>
  <c r="BQ12" i="3" s="1"/>
  <c r="BR12" i="3" s="1"/>
  <c r="BS12" i="3" s="1"/>
  <c r="BT12" i="3" s="1"/>
  <c r="BU12" i="3" s="1"/>
  <c r="BV12" i="3" s="1"/>
  <c r="BW12" i="3" s="1"/>
  <c r="BX12" i="3" s="1"/>
  <c r="BY12" i="3" s="1"/>
  <c r="BZ12" i="3" s="1"/>
  <c r="CA12" i="3" s="1"/>
  <c r="CB12" i="3" s="1"/>
  <c r="CC12" i="3" s="1"/>
  <c r="CD12" i="3" s="1"/>
  <c r="CE12" i="3" s="1"/>
  <c r="CF12" i="3" s="1"/>
  <c r="CG12" i="3" s="1"/>
  <c r="CH12" i="3" s="1"/>
  <c r="CI12" i="3" s="1"/>
  <c r="CJ12" i="3" s="1"/>
  <c r="CK12" i="3" s="1"/>
  <c r="CL12" i="3" s="1"/>
  <c r="CM12" i="3" s="1"/>
  <c r="CN12" i="3" s="1"/>
  <c r="CO12" i="3" s="1"/>
  <c r="CP12" i="3" s="1"/>
  <c r="U11" i="3"/>
  <c r="V11" i="3" s="1"/>
  <c r="W11" i="3" s="1"/>
  <c r="X11" i="3" s="1"/>
  <c r="Y11" i="3" s="1"/>
  <c r="Z11" i="3" s="1"/>
  <c r="AA11" i="3" s="1"/>
  <c r="AB11" i="3" s="1"/>
  <c r="AC11" i="3" s="1"/>
  <c r="AD11" i="3" s="1"/>
  <c r="AE11" i="3" s="1"/>
  <c r="AF11" i="3" s="1"/>
  <c r="AG11" i="3" s="1"/>
  <c r="AH11" i="3" s="1"/>
  <c r="AI11" i="3" s="1"/>
  <c r="AJ11" i="3" s="1"/>
  <c r="AK11" i="3" s="1"/>
  <c r="AL11" i="3" s="1"/>
  <c r="AM11" i="3" s="1"/>
  <c r="AN11" i="3" s="1"/>
  <c r="AO11" i="3" s="1"/>
  <c r="AP11" i="3" s="1"/>
  <c r="AQ11" i="3" s="1"/>
  <c r="AR11" i="3" s="1"/>
  <c r="AS11" i="3" s="1"/>
  <c r="AT11" i="3" s="1"/>
  <c r="AU11" i="3" s="1"/>
  <c r="AV11" i="3" s="1"/>
  <c r="AW11" i="3" s="1"/>
  <c r="AX11" i="3" s="1"/>
  <c r="AY11" i="3" s="1"/>
  <c r="AZ11" i="3" s="1"/>
  <c r="BA11" i="3" s="1"/>
  <c r="BB11" i="3" s="1"/>
  <c r="BC11" i="3" s="1"/>
  <c r="BD11" i="3" s="1"/>
  <c r="BE11" i="3" s="1"/>
  <c r="BF11" i="3" s="1"/>
  <c r="BG11" i="3" s="1"/>
  <c r="BH11" i="3" s="1"/>
  <c r="BI11" i="3" s="1"/>
  <c r="BJ11" i="3" s="1"/>
  <c r="BK11" i="3" s="1"/>
  <c r="BL11" i="3" s="1"/>
  <c r="BM11" i="3" s="1"/>
  <c r="BN11" i="3" s="1"/>
  <c r="BO11" i="3" s="1"/>
  <c r="BP11" i="3" s="1"/>
  <c r="BQ11" i="3" s="1"/>
  <c r="BR11" i="3" s="1"/>
  <c r="BS11" i="3" s="1"/>
  <c r="BT11" i="3" s="1"/>
  <c r="BU11" i="3" s="1"/>
  <c r="BV11" i="3" s="1"/>
  <c r="BW11" i="3" s="1"/>
  <c r="BX11" i="3" s="1"/>
  <c r="BY11" i="3" s="1"/>
  <c r="BZ11" i="3" s="1"/>
  <c r="CA11" i="3" s="1"/>
  <c r="CB11" i="3" s="1"/>
  <c r="CC11" i="3" s="1"/>
  <c r="CD11" i="3" s="1"/>
  <c r="CE11" i="3" s="1"/>
  <c r="CF11" i="3" s="1"/>
  <c r="CG11" i="3" s="1"/>
  <c r="CH11" i="3" s="1"/>
  <c r="CI11" i="3" s="1"/>
  <c r="CJ11" i="3" s="1"/>
  <c r="CK11" i="3" s="1"/>
  <c r="CL11" i="3" s="1"/>
  <c r="CM11" i="3" s="1"/>
  <c r="CN11" i="3" s="1"/>
  <c r="CO11" i="3" s="1"/>
  <c r="CP11" i="3" s="1"/>
  <c r="V17" i="3"/>
  <c r="W17" i="3" s="1"/>
  <c r="X17" i="3" s="1"/>
  <c r="Y17" i="3" s="1"/>
  <c r="Z17" i="3" s="1"/>
  <c r="AA17" i="3" s="1"/>
  <c r="AB17" i="3" s="1"/>
  <c r="AC17" i="3" s="1"/>
  <c r="AD17" i="3" s="1"/>
  <c r="AE17" i="3" s="1"/>
  <c r="AF17" i="3" s="1"/>
  <c r="AG17" i="3" s="1"/>
  <c r="AH17" i="3" s="1"/>
  <c r="AI17" i="3" s="1"/>
  <c r="AJ17" i="3" s="1"/>
  <c r="AK17" i="3" s="1"/>
  <c r="AL17" i="3" s="1"/>
  <c r="AM17" i="3" s="1"/>
  <c r="AN17" i="3" s="1"/>
  <c r="AO17" i="3" s="1"/>
  <c r="AP17" i="3" s="1"/>
  <c r="AQ17" i="3" s="1"/>
  <c r="AR17" i="3" s="1"/>
  <c r="AS17" i="3" s="1"/>
  <c r="AT17" i="3" s="1"/>
  <c r="AU17" i="3" s="1"/>
  <c r="AV17" i="3" s="1"/>
  <c r="AW17" i="3" s="1"/>
  <c r="AX17" i="3" s="1"/>
  <c r="AY17" i="3" s="1"/>
  <c r="AZ17" i="3" s="1"/>
  <c r="BA17" i="3" s="1"/>
  <c r="BB17" i="3" s="1"/>
  <c r="BC17" i="3" s="1"/>
  <c r="BD17" i="3" s="1"/>
  <c r="BE17" i="3" s="1"/>
  <c r="BF17" i="3" s="1"/>
  <c r="BG17" i="3" s="1"/>
  <c r="BH17" i="3" s="1"/>
  <c r="BI17" i="3" s="1"/>
  <c r="BJ17" i="3" s="1"/>
  <c r="BK17" i="3" s="1"/>
  <c r="BL17" i="3" s="1"/>
  <c r="BM17" i="3" s="1"/>
  <c r="BN17" i="3" s="1"/>
  <c r="BO17" i="3" s="1"/>
  <c r="BP17" i="3" s="1"/>
  <c r="BQ17" i="3" s="1"/>
  <c r="BR17" i="3" s="1"/>
  <c r="BS17" i="3" s="1"/>
  <c r="BT17" i="3" s="1"/>
  <c r="BU17" i="3" s="1"/>
  <c r="BV17" i="3" s="1"/>
  <c r="BW17" i="3" s="1"/>
  <c r="BX17" i="3" s="1"/>
  <c r="BY17" i="3" s="1"/>
  <c r="BZ17" i="3" s="1"/>
  <c r="CA17" i="3" s="1"/>
  <c r="CB17" i="3" s="1"/>
  <c r="CC17" i="3" s="1"/>
  <c r="CD17" i="3" s="1"/>
  <c r="CE17" i="3" s="1"/>
  <c r="CF17" i="3" s="1"/>
  <c r="CG17" i="3" s="1"/>
  <c r="CH17" i="3" s="1"/>
  <c r="CI17" i="3" s="1"/>
  <c r="CJ17" i="3" s="1"/>
  <c r="CK17" i="3" s="1"/>
  <c r="CL17" i="3" s="1"/>
  <c r="CM17" i="3" s="1"/>
  <c r="CN17" i="3" s="1"/>
  <c r="CO17" i="3" s="1"/>
  <c r="CP17" i="3" s="1"/>
  <c r="Y18" i="3"/>
  <c r="Z18" i="3" s="1"/>
  <c r="AA18" i="3" s="1"/>
  <c r="AB18" i="3" s="1"/>
  <c r="AC18" i="3" s="1"/>
  <c r="AD18" i="3" s="1"/>
  <c r="AE18" i="3" s="1"/>
  <c r="AF18" i="3" s="1"/>
  <c r="AG18" i="3" s="1"/>
  <c r="AH18" i="3" s="1"/>
  <c r="AI18" i="3" s="1"/>
  <c r="AJ18" i="3" s="1"/>
  <c r="AK18" i="3" s="1"/>
  <c r="AL18" i="3" s="1"/>
  <c r="AM18" i="3" s="1"/>
  <c r="AN18" i="3" s="1"/>
  <c r="AO18" i="3" s="1"/>
  <c r="AP18" i="3" s="1"/>
  <c r="AQ18" i="3" s="1"/>
  <c r="AR18" i="3" s="1"/>
  <c r="AS18" i="3" s="1"/>
  <c r="AT18" i="3" s="1"/>
  <c r="AU18" i="3" s="1"/>
  <c r="AV18" i="3" s="1"/>
  <c r="AW18" i="3" s="1"/>
  <c r="AX18" i="3" s="1"/>
  <c r="AY18" i="3" s="1"/>
  <c r="AZ18" i="3" s="1"/>
  <c r="BA18" i="3" s="1"/>
  <c r="BB18" i="3" s="1"/>
  <c r="BC18" i="3" s="1"/>
  <c r="BD18" i="3" s="1"/>
  <c r="BE18" i="3" s="1"/>
  <c r="BF18" i="3" s="1"/>
  <c r="BG18" i="3" s="1"/>
  <c r="BH18" i="3" s="1"/>
  <c r="BI18" i="3" s="1"/>
  <c r="BJ18" i="3" s="1"/>
  <c r="BK18" i="3" s="1"/>
  <c r="BL18" i="3" s="1"/>
  <c r="BM18" i="3" s="1"/>
  <c r="BN18" i="3" s="1"/>
  <c r="BO18" i="3" s="1"/>
  <c r="BP18" i="3" s="1"/>
  <c r="BQ18" i="3" s="1"/>
  <c r="BR18" i="3" s="1"/>
  <c r="BS18" i="3" s="1"/>
  <c r="BT18" i="3" s="1"/>
  <c r="BU18" i="3" s="1"/>
  <c r="BV18" i="3" s="1"/>
  <c r="BW18" i="3" s="1"/>
  <c r="BX18" i="3" s="1"/>
  <c r="BY18" i="3" s="1"/>
  <c r="BZ18" i="3" s="1"/>
  <c r="CA18" i="3" s="1"/>
  <c r="CB18" i="3" s="1"/>
  <c r="CC18" i="3" s="1"/>
  <c r="CD18" i="3" s="1"/>
  <c r="CE18" i="3" s="1"/>
  <c r="CF18" i="3" s="1"/>
  <c r="CG18" i="3" s="1"/>
  <c r="CH18" i="3" s="1"/>
  <c r="CI18" i="3" s="1"/>
  <c r="CJ18" i="3" s="1"/>
  <c r="CK18" i="3" s="1"/>
  <c r="CL18" i="3" s="1"/>
  <c r="CM18" i="3" s="1"/>
  <c r="CN18" i="3" s="1"/>
  <c r="CO18" i="3" s="1"/>
  <c r="CP18" i="3" s="1"/>
  <c r="W13" i="3"/>
  <c r="X13" i="3" s="1"/>
  <c r="Y13" i="3" s="1"/>
  <c r="Z13" i="3" s="1"/>
  <c r="AA13" i="3" s="1"/>
  <c r="AB13" i="3" s="1"/>
  <c r="AC13" i="3" s="1"/>
  <c r="AD13" i="3" s="1"/>
  <c r="AE13" i="3" s="1"/>
  <c r="AF13" i="3" s="1"/>
  <c r="AG13" i="3" s="1"/>
  <c r="AH13" i="3" s="1"/>
  <c r="AI13" i="3" s="1"/>
  <c r="AJ13" i="3" s="1"/>
  <c r="AK13" i="3" s="1"/>
  <c r="AL13" i="3" s="1"/>
  <c r="AM13" i="3" s="1"/>
  <c r="AN13" i="3" s="1"/>
  <c r="AO13" i="3" s="1"/>
  <c r="AP13" i="3" s="1"/>
  <c r="AQ13" i="3" s="1"/>
  <c r="AR13" i="3" s="1"/>
  <c r="AS13" i="3" s="1"/>
  <c r="AT13" i="3" s="1"/>
  <c r="AU13" i="3" s="1"/>
  <c r="AV13" i="3" s="1"/>
  <c r="AW13" i="3" s="1"/>
  <c r="AX13" i="3" s="1"/>
  <c r="AY13" i="3" s="1"/>
  <c r="AZ13" i="3" s="1"/>
  <c r="BA13" i="3" s="1"/>
  <c r="BB13" i="3" s="1"/>
  <c r="BC13" i="3" s="1"/>
  <c r="BD13" i="3" s="1"/>
  <c r="BE13" i="3" s="1"/>
  <c r="BF13" i="3" s="1"/>
  <c r="BG13" i="3" s="1"/>
  <c r="BH13" i="3" s="1"/>
  <c r="BI13" i="3" s="1"/>
  <c r="BJ13" i="3" s="1"/>
  <c r="BK13" i="3" s="1"/>
  <c r="BL13" i="3" s="1"/>
  <c r="BM13" i="3" s="1"/>
  <c r="BN13" i="3" s="1"/>
  <c r="BO13" i="3" s="1"/>
  <c r="BP13" i="3" s="1"/>
  <c r="BQ13" i="3" s="1"/>
  <c r="BR13" i="3" s="1"/>
  <c r="BS13" i="3" s="1"/>
  <c r="BT13" i="3" s="1"/>
  <c r="BU13" i="3" s="1"/>
  <c r="BV13" i="3" s="1"/>
  <c r="BW13" i="3" s="1"/>
  <c r="BX13" i="3" s="1"/>
  <c r="BY13" i="3" s="1"/>
  <c r="BZ13" i="3" s="1"/>
  <c r="CA13" i="3" s="1"/>
  <c r="CB13" i="3" s="1"/>
  <c r="CC13" i="3" s="1"/>
  <c r="CD13" i="3" s="1"/>
  <c r="CE13" i="3" s="1"/>
  <c r="CF13" i="3" s="1"/>
  <c r="CG13" i="3" s="1"/>
  <c r="CH13" i="3" s="1"/>
  <c r="CI13" i="3" s="1"/>
  <c r="CJ13" i="3" s="1"/>
  <c r="CK13" i="3" s="1"/>
  <c r="CL13" i="3" s="1"/>
  <c r="CM13" i="3" s="1"/>
  <c r="CN13" i="3" s="1"/>
  <c r="CO13" i="3" s="1"/>
  <c r="CP13" i="3" s="1"/>
  <c r="F9" i="3"/>
  <c r="F7" i="3"/>
  <c r="G6" i="3"/>
  <c r="DG3" i="3"/>
  <c r="DF3" i="3"/>
  <c r="G3" i="3"/>
  <c r="G164" i="21" s="1"/>
  <c r="U90" i="26"/>
  <c r="U89" i="26"/>
  <c r="U39" i="26"/>
  <c r="V88" i="26"/>
  <c r="V87" i="26"/>
  <c r="V86" i="26"/>
  <c r="V85" i="26"/>
  <c r="V84" i="26"/>
  <c r="V83" i="26"/>
  <c r="V82" i="26"/>
  <c r="V81" i="26"/>
  <c r="V80" i="26"/>
  <c r="V79" i="26"/>
  <c r="V78" i="26"/>
  <c r="V77" i="26"/>
  <c r="V76" i="26"/>
  <c r="V75" i="26"/>
  <c r="V74" i="26"/>
  <c r="V73" i="26"/>
  <c r="V72" i="26"/>
  <c r="R88" i="26"/>
  <c r="U88" i="26" s="1"/>
  <c r="R87" i="26"/>
  <c r="U87" i="26" s="1"/>
  <c r="R86" i="26"/>
  <c r="U86" i="26" s="1"/>
  <c r="R85" i="26"/>
  <c r="U85" i="26" s="1"/>
  <c r="R84" i="26"/>
  <c r="U84" i="26" s="1"/>
  <c r="R83" i="26"/>
  <c r="U83" i="26" s="1"/>
  <c r="R82" i="26"/>
  <c r="U82" i="26" s="1"/>
  <c r="R81" i="26"/>
  <c r="U81" i="26" s="1"/>
  <c r="R80" i="26"/>
  <c r="U80" i="26" s="1"/>
  <c r="R79" i="26"/>
  <c r="U79" i="26" s="1"/>
  <c r="R78" i="26"/>
  <c r="U78" i="26" s="1"/>
  <c r="R77" i="26"/>
  <c r="U77" i="26" s="1"/>
  <c r="R76" i="26"/>
  <c r="R75" i="26"/>
  <c r="U75" i="26" s="1"/>
  <c r="R74" i="26"/>
  <c r="U74" i="26" s="1"/>
  <c r="R73" i="26"/>
  <c r="R72" i="26"/>
  <c r="U72" i="26" s="1"/>
  <c r="R71" i="26"/>
  <c r="R70" i="26"/>
  <c r="U70" i="26" s="1"/>
  <c r="R69" i="26"/>
  <c r="R68" i="26"/>
  <c r="R67" i="26"/>
  <c r="R66" i="26"/>
  <c r="U66" i="26" s="1"/>
  <c r="R65" i="26"/>
  <c r="U65" i="26" s="1"/>
  <c r="R64" i="26"/>
  <c r="U64" i="26" s="1"/>
  <c r="R63" i="26"/>
  <c r="U63" i="26" s="1"/>
  <c r="R62" i="26"/>
  <c r="U62" i="26" s="1"/>
  <c r="R61" i="26"/>
  <c r="R60" i="26"/>
  <c r="U60" i="26" s="1"/>
  <c r="R59" i="26"/>
  <c r="U59" i="26" s="1"/>
  <c r="R58" i="26"/>
  <c r="U58" i="26" s="1"/>
  <c r="R57" i="26"/>
  <c r="U57" i="26" s="1"/>
  <c r="R56" i="26"/>
  <c r="U56" i="26" s="1"/>
  <c r="R55" i="26"/>
  <c r="U55" i="26" s="1"/>
  <c r="R54" i="26"/>
  <c r="U54" i="26" s="1"/>
  <c r="R53" i="26"/>
  <c r="U53" i="26" s="1"/>
  <c r="R52" i="26"/>
  <c r="U52" i="26" s="1"/>
  <c r="K88" i="26"/>
  <c r="K80" i="26"/>
  <c r="K79" i="26"/>
  <c r="K78" i="26"/>
  <c r="K55" i="26"/>
  <c r="K53" i="26"/>
  <c r="K52" i="26"/>
  <c r="K33" i="26"/>
  <c r="AA82" i="26"/>
  <c r="AA80" i="26"/>
  <c r="I79" i="26"/>
  <c r="AA76" i="26"/>
  <c r="AA74" i="26"/>
  <c r="AA73" i="26"/>
  <c r="AA72" i="26"/>
  <c r="W72" i="26"/>
  <c r="T70" i="26"/>
  <c r="I69" i="26"/>
  <c r="Q69" i="26"/>
  <c r="AC69" i="26" s="1"/>
  <c r="Q68" i="26"/>
  <c r="V68" i="26" s="1"/>
  <c r="Q67" i="26"/>
  <c r="N68" i="26"/>
  <c r="N67" i="26"/>
  <c r="L68" i="26"/>
  <c r="L67" i="26"/>
  <c r="L66" i="26"/>
  <c r="AA66" i="26" s="1"/>
  <c r="X69" i="26"/>
  <c r="W69" i="26"/>
  <c r="X68" i="26"/>
  <c r="W68" i="26"/>
  <c r="X67" i="26"/>
  <c r="W67" i="26"/>
  <c r="AA65" i="26"/>
  <c r="AA64" i="26"/>
  <c r="AA63" i="26"/>
  <c r="V65" i="26"/>
  <c r="V62" i="26"/>
  <c r="L62" i="26"/>
  <c r="AA61" i="26"/>
  <c r="Q61" i="26"/>
  <c r="AC61" i="26" s="1"/>
  <c r="AA59" i="26"/>
  <c r="AA58" i="26"/>
  <c r="AA57" i="26"/>
  <c r="V58" i="26"/>
  <c r="T57" i="26"/>
  <c r="V56" i="26"/>
  <c r="J56" i="26"/>
  <c r="AA55" i="26"/>
  <c r="AA54" i="26"/>
  <c r="AA53" i="26"/>
  <c r="AA52" i="26"/>
  <c r="AA49" i="26"/>
  <c r="AA48" i="26"/>
  <c r="V54" i="26"/>
  <c r="V52" i="26"/>
  <c r="V51" i="26"/>
  <c r="Q51" i="26"/>
  <c r="J51" i="26"/>
  <c r="I51" i="26" s="1"/>
  <c r="AA51" i="26" s="1"/>
  <c r="R50" i="26"/>
  <c r="U50" i="26" s="1"/>
  <c r="R49" i="26"/>
  <c r="U49" i="26" s="1"/>
  <c r="R48" i="26"/>
  <c r="U48" i="26" s="1"/>
  <c r="R47" i="26"/>
  <c r="U47" i="26" s="1"/>
  <c r="R46" i="26"/>
  <c r="U46" i="26" s="1"/>
  <c r="R45" i="26"/>
  <c r="U45" i="26" s="1"/>
  <c r="R44" i="26"/>
  <c r="R43" i="26"/>
  <c r="U43" i="26" s="1"/>
  <c r="R42" i="26"/>
  <c r="U42" i="26" s="1"/>
  <c r="R41" i="26"/>
  <c r="U41" i="26" s="1"/>
  <c r="R40" i="26"/>
  <c r="L50" i="26"/>
  <c r="AA50" i="26" s="1"/>
  <c r="V49" i="26"/>
  <c r="V48" i="26" s="1"/>
  <c r="V47" i="26"/>
  <c r="T47" i="26" s="1"/>
  <c r="T46" i="26"/>
  <c r="I47" i="26"/>
  <c r="AA46" i="26"/>
  <c r="AA45" i="26"/>
  <c r="AA44" i="26"/>
  <c r="AA43" i="26"/>
  <c r="AA42" i="26"/>
  <c r="J46" i="26"/>
  <c r="V45" i="26"/>
  <c r="V44" i="26"/>
  <c r="V43" i="26"/>
  <c r="V42" i="26"/>
  <c r="I41" i="26"/>
  <c r="V40" i="26"/>
  <c r="V39" i="26"/>
  <c r="AA39" i="26"/>
  <c r="T38" i="26"/>
  <c r="R38" i="26"/>
  <c r="U38" i="26" s="1"/>
  <c r="R37" i="26"/>
  <c r="R36" i="26"/>
  <c r="U36" i="26" s="1"/>
  <c r="R35" i="26"/>
  <c r="U35" i="26" s="1"/>
  <c r="R34" i="26"/>
  <c r="U34" i="26" s="1"/>
  <c r="R33" i="26"/>
  <c r="U33" i="26" s="1"/>
  <c r="R32" i="26"/>
  <c r="U32" i="26" s="1"/>
  <c r="R31" i="26"/>
  <c r="U31" i="26" s="1"/>
  <c r="R30" i="26"/>
  <c r="R29" i="26"/>
  <c r="U29" i="26" s="1"/>
  <c r="R28" i="26"/>
  <c r="U28" i="26" s="1"/>
  <c r="R27" i="26"/>
  <c r="U27" i="26" s="1"/>
  <c r="J38" i="26"/>
  <c r="AA37" i="26"/>
  <c r="AA36" i="26"/>
  <c r="V37" i="26"/>
  <c r="V36" i="26"/>
  <c r="Q37" i="26"/>
  <c r="AA34" i="26"/>
  <c r="AA33" i="26"/>
  <c r="AA32" i="26"/>
  <c r="AA31" i="26"/>
  <c r="AA30" i="26"/>
  <c r="V34" i="26"/>
  <c r="V32" i="26"/>
  <c r="V31" i="26"/>
  <c r="Q30" i="26"/>
  <c r="AC30" i="26" s="1"/>
  <c r="AA28" i="26"/>
  <c r="AA27" i="26"/>
  <c r="V28" i="26"/>
  <c r="AC87" i="26"/>
  <c r="AC86" i="26"/>
  <c r="AC85" i="26"/>
  <c r="AC84" i="26"/>
  <c r="AC83" i="26"/>
  <c r="AC82" i="26"/>
  <c r="AC81" i="26"/>
  <c r="AC80" i="26"/>
  <c r="AB80" i="26"/>
  <c r="AC79" i="26"/>
  <c r="AB79" i="26"/>
  <c r="AC78" i="26"/>
  <c r="AC77" i="26"/>
  <c r="AC76" i="26"/>
  <c r="AC75" i="26"/>
  <c r="AC74" i="26"/>
  <c r="AB74" i="26"/>
  <c r="AC73" i="26"/>
  <c r="AB73" i="26"/>
  <c r="AC72" i="26"/>
  <c r="AB72" i="26"/>
  <c r="AC71" i="26"/>
  <c r="AB71" i="26"/>
  <c r="AC70" i="26"/>
  <c r="AC66" i="26"/>
  <c r="AC65" i="26"/>
  <c r="AB65" i="26"/>
  <c r="AC64" i="26"/>
  <c r="AC63" i="26"/>
  <c r="AC62" i="26"/>
  <c r="AC60" i="26"/>
  <c r="AB60" i="26"/>
  <c r="I60" i="26" s="1"/>
  <c r="AC59" i="26"/>
  <c r="AB59" i="26"/>
  <c r="AC58" i="26"/>
  <c r="K58" i="26" s="1"/>
  <c r="AC57" i="26"/>
  <c r="K57" i="26" s="1"/>
  <c r="AB57" i="26"/>
  <c r="AC56" i="26"/>
  <c r="AC55" i="26"/>
  <c r="AB55" i="26"/>
  <c r="AC54" i="26"/>
  <c r="AC53" i="26"/>
  <c r="AB53" i="26"/>
  <c r="AC52" i="26"/>
  <c r="AB52" i="26"/>
  <c r="AC50" i="26"/>
  <c r="AC49" i="26"/>
  <c r="AC48" i="26"/>
  <c r="AC47" i="26"/>
  <c r="AB47" i="26"/>
  <c r="AC46" i="26"/>
  <c r="AB46" i="26"/>
  <c r="AC45" i="26"/>
  <c r="K45" i="26" s="1"/>
  <c r="AC44" i="26"/>
  <c r="AB44" i="26"/>
  <c r="AC43" i="26"/>
  <c r="AB43" i="26"/>
  <c r="AC42" i="26"/>
  <c r="AB42" i="26"/>
  <c r="AC41" i="26"/>
  <c r="AB41" i="26"/>
  <c r="AC40" i="26"/>
  <c r="AB40" i="26"/>
  <c r="AC39" i="26"/>
  <c r="K39" i="26" s="1"/>
  <c r="AC38" i="26"/>
  <c r="AC36" i="26"/>
  <c r="AB36" i="26"/>
  <c r="AC35" i="26"/>
  <c r="AC34" i="26"/>
  <c r="AC33" i="26"/>
  <c r="AB33" i="26"/>
  <c r="AC32" i="26"/>
  <c r="AC31" i="26"/>
  <c r="AC29" i="26"/>
  <c r="AC28" i="26"/>
  <c r="AC27" i="26"/>
  <c r="AB27" i="26"/>
  <c r="I27" i="26"/>
  <c r="AL346" i="3"/>
  <c r="AU28" i="27"/>
  <c r="N139" i="3"/>
  <c r="L133" i="21"/>
  <c r="L134" i="21" s="1"/>
  <c r="S23" i="16"/>
  <c r="AT28" i="27"/>
  <c r="Y82" i="27"/>
  <c r="Z82" i="27" s="1"/>
  <c r="AA82" i="27" s="1"/>
  <c r="AB82" i="27" s="1"/>
  <c r="AC82" i="27" s="1"/>
  <c r="AD82" i="27" s="1"/>
  <c r="W118" i="25"/>
  <c r="L77" i="3"/>
  <c r="O45" i="16"/>
  <c r="Q31" i="27"/>
  <c r="S216" i="3"/>
  <c r="S204" i="3" s="1"/>
  <c r="S205" i="3" s="1"/>
  <c r="AK28" i="27"/>
  <c r="S178" i="25"/>
  <c r="X129" i="25"/>
  <c r="Y129" i="25" s="1"/>
  <c r="V130" i="25"/>
  <c r="U60" i="27"/>
  <c r="Q61" i="27"/>
  <c r="S25" i="27"/>
  <c r="R60" i="27"/>
  <c r="X90" i="27"/>
  <c r="U68" i="23"/>
  <c r="U102" i="23" s="1"/>
  <c r="DF21" i="3"/>
  <c r="L98" i="3"/>
  <c r="DQ115" i="3"/>
  <c r="AZ148" i="3"/>
  <c r="Y256" i="3"/>
  <c r="AU8" i="16" s="1"/>
  <c r="N335" i="3"/>
  <c r="K27" i="27" l="1"/>
  <c r="W52" i="43"/>
  <c r="AM52" i="43"/>
  <c r="BC52" i="43"/>
  <c r="BS52" i="43"/>
  <c r="CI52" i="43"/>
  <c r="CY52" i="43"/>
  <c r="P52" i="43"/>
  <c r="AF52" i="43"/>
  <c r="AV52" i="43"/>
  <c r="BL52" i="43"/>
  <c r="CB52" i="43"/>
  <c r="CR52" i="43"/>
  <c r="DH52" i="43"/>
  <c r="O50" i="43"/>
  <c r="AE50" i="43"/>
  <c r="AU50" i="43"/>
  <c r="BK50" i="43"/>
  <c r="CA50" i="43"/>
  <c r="CQ50" i="43"/>
  <c r="DG50" i="43"/>
  <c r="X50" i="43"/>
  <c r="AN50" i="43"/>
  <c r="BD50" i="43"/>
  <c r="BT50" i="43"/>
  <c r="CJ50" i="43"/>
  <c r="AY49" i="43"/>
  <c r="BQ49" i="43"/>
  <c r="CM49" i="43"/>
  <c r="AK48" i="43"/>
  <c r="BM48" i="43"/>
  <c r="CS48" i="43"/>
  <c r="R48" i="43"/>
  <c r="AV48" i="43"/>
  <c r="CB48" i="43"/>
  <c r="X47" i="43"/>
  <c r="AV47" i="43"/>
  <c r="BN47" i="43"/>
  <c r="CJ47" i="43"/>
  <c r="DH47" i="43"/>
  <c r="AC47" i="43"/>
  <c r="AY47" i="43"/>
  <c r="BW47" i="43"/>
  <c r="CO47" i="43"/>
  <c r="AS46" i="43"/>
  <c r="BQ46" i="43"/>
  <c r="CU46" i="43"/>
  <c r="AB46" i="43"/>
  <c r="AZ46" i="43"/>
  <c r="Z45" i="43"/>
  <c r="BN45" i="43"/>
  <c r="DB45" i="43"/>
  <c r="BA45" i="43"/>
  <c r="AM44" i="43"/>
  <c r="CI44" i="43"/>
  <c r="V44" i="43"/>
  <c r="BL44" i="43"/>
  <c r="AX43" i="43"/>
  <c r="CL43" i="43"/>
  <c r="AK43" i="43"/>
  <c r="X42" i="43"/>
  <c r="AQ42" i="43"/>
  <c r="DE42" i="43"/>
  <c r="DC41" i="43"/>
  <c r="BN40" i="43"/>
  <c r="CJ38" i="43"/>
  <c r="CN36" i="43"/>
  <c r="CE35" i="43"/>
  <c r="DD34" i="43"/>
  <c r="AU40" i="43"/>
  <c r="CD40" i="43"/>
  <c r="R40" i="43"/>
  <c r="BN42" i="43"/>
  <c r="BY42" i="43"/>
  <c r="AC42" i="43"/>
  <c r="AB42" i="43"/>
  <c r="DF44" i="43"/>
  <c r="CX44" i="43"/>
  <c r="BR44" i="43"/>
  <c r="AL44" i="43"/>
  <c r="DE44" i="43"/>
  <c r="BY44" i="43"/>
  <c r="AS44" i="43"/>
  <c r="DD46" i="43"/>
  <c r="CF46" i="43"/>
  <c r="BJ46" i="43"/>
  <c r="AN46" i="43"/>
  <c r="T46" i="43"/>
  <c r="CW46" i="43"/>
  <c r="CA46" i="43"/>
  <c r="BG46" i="43"/>
  <c r="AK46" i="43"/>
  <c r="O46" i="43"/>
  <c r="DF48" i="43"/>
  <c r="DJ48" i="43"/>
  <c r="CP48" i="43"/>
  <c r="BT48" i="43"/>
  <c r="AX48" i="43"/>
  <c r="AD48" i="43"/>
  <c r="DG48" i="43"/>
  <c r="CK48" i="43"/>
  <c r="BQ48" i="43"/>
  <c r="AU48" i="43"/>
  <c r="Y48" i="43"/>
  <c r="DD50" i="43"/>
  <c r="DB50" i="43"/>
  <c r="CB119" i="3"/>
  <c r="CB148" i="3" s="1"/>
  <c r="AI46" i="43"/>
  <c r="BO46" i="43"/>
  <c r="CM46" i="43"/>
  <c r="P46" i="43"/>
  <c r="AV46" i="43"/>
  <c r="BT46" i="43"/>
  <c r="DF46" i="43"/>
  <c r="AC44" i="43"/>
  <c r="BS44" i="43"/>
  <c r="P44" i="43"/>
  <c r="BB44" i="43"/>
  <c r="CR44" i="43"/>
  <c r="AA42" i="43"/>
  <c r="CO42" i="43"/>
  <c r="CT42" i="43"/>
  <c r="AX40" i="43"/>
  <c r="AC40" i="43"/>
  <c r="AT38" i="43"/>
  <c r="AX36" i="43"/>
  <c r="DD33" i="43"/>
  <c r="BG33" i="43"/>
  <c r="CV37" i="43"/>
  <c r="BW37" i="43"/>
  <c r="BP39" i="43"/>
  <c r="AQ39" i="43"/>
  <c r="AZ41" i="43"/>
  <c r="CM41" i="43"/>
  <c r="AA41" i="43"/>
  <c r="DG43" i="43"/>
  <c r="CO43" i="43"/>
  <c r="BI43" i="43"/>
  <c r="AC43" i="43"/>
  <c r="CT43" i="43"/>
  <c r="BN43" i="43"/>
  <c r="AH43" i="43"/>
  <c r="DG45" i="43"/>
  <c r="DE45" i="43"/>
  <c r="BY45" i="43"/>
  <c r="AS45" i="43"/>
  <c r="DJ45" i="43"/>
  <c r="CD45" i="43"/>
  <c r="AX45" i="43"/>
  <c r="R45" i="43"/>
  <c r="DG47" i="43"/>
  <c r="CW47" i="43"/>
  <c r="CG47" i="43"/>
  <c r="BQ47" i="43"/>
  <c r="BA47" i="43"/>
  <c r="AK47" i="43"/>
  <c r="U47" i="43"/>
  <c r="DB47" i="43"/>
  <c r="CL47" i="43"/>
  <c r="BV47" i="43"/>
  <c r="BF47" i="43"/>
  <c r="AP47" i="43"/>
  <c r="Z47" i="43"/>
  <c r="DG49" i="43"/>
  <c r="DE49" i="43"/>
  <c r="CO49" i="43"/>
  <c r="BY49" i="43"/>
  <c r="BI49" i="43"/>
  <c r="AS49" i="43"/>
  <c r="AC49" i="43"/>
  <c r="DJ49" i="43"/>
  <c r="CT49" i="43"/>
  <c r="CD49" i="43"/>
  <c r="BN49" i="43"/>
  <c r="AX49" i="43"/>
  <c r="AH49" i="43"/>
  <c r="R49" i="43"/>
  <c r="CH18" i="43"/>
  <c r="DU113" i="3"/>
  <c r="DV113" i="3"/>
  <c r="L35" i="25"/>
  <c r="L54" i="25" s="1"/>
  <c r="M194" i="3"/>
  <c r="W59" i="25"/>
  <c r="W73" i="25" s="1"/>
  <c r="M87" i="27"/>
  <c r="N87" i="27" s="1"/>
  <c r="AP16" i="16"/>
  <c r="S336" i="3"/>
  <c r="K298" i="3"/>
  <c r="CA24" i="23"/>
  <c r="R21" i="27"/>
  <c r="T25" i="27"/>
  <c r="U31" i="25"/>
  <c r="CJ3" i="43"/>
  <c r="M53" i="23"/>
  <c r="DO289" i="3"/>
  <c r="DZ111" i="3"/>
  <c r="EA111" i="3" s="1"/>
  <c r="CN28" i="25"/>
  <c r="BF31" i="27"/>
  <c r="N83" i="27"/>
  <c r="N120" i="27" s="1"/>
  <c r="BE22" i="23"/>
  <c r="BO31" i="27"/>
  <c r="CM24" i="23"/>
  <c r="W3" i="43"/>
  <c r="L21" i="43"/>
  <c r="K276" i="3"/>
  <c r="AG16" i="16" s="1"/>
  <c r="AG15" i="16" s="1"/>
  <c r="S194" i="3"/>
  <c r="X71" i="23"/>
  <c r="Y71" i="23" s="1"/>
  <c r="Z71" i="23" s="1"/>
  <c r="AA71" i="23" s="1"/>
  <c r="AB71" i="23" s="1"/>
  <c r="AC71" i="23" s="1"/>
  <c r="AD71" i="23" s="1"/>
  <c r="AE71" i="23" s="1"/>
  <c r="AF71" i="23" s="1"/>
  <c r="AG71" i="23" s="1"/>
  <c r="AH71" i="23" s="1"/>
  <c r="AI71" i="23" s="1"/>
  <c r="AJ71" i="23" s="1"/>
  <c r="AK71" i="23" s="1"/>
  <c r="AL71" i="23" s="1"/>
  <c r="AM71" i="23" s="1"/>
  <c r="AN71" i="23" s="1"/>
  <c r="AO71" i="23" s="1"/>
  <c r="AP71" i="23" s="1"/>
  <c r="AQ71" i="23" s="1"/>
  <c r="AR71" i="23" s="1"/>
  <c r="AS71" i="23" s="1"/>
  <c r="AT71" i="23" s="1"/>
  <c r="AU71" i="23" s="1"/>
  <c r="AV71" i="23" s="1"/>
  <c r="AW71" i="23" s="1"/>
  <c r="AX71" i="23" s="1"/>
  <c r="AY71" i="23" s="1"/>
  <c r="AZ71" i="23" s="1"/>
  <c r="BA71" i="23" s="1"/>
  <c r="BB71" i="23" s="1"/>
  <c r="BC71" i="23" s="1"/>
  <c r="BD71" i="23" s="1"/>
  <c r="BE71" i="23" s="1"/>
  <c r="BF71" i="23" s="1"/>
  <c r="BG71" i="23" s="1"/>
  <c r="BH71" i="23" s="1"/>
  <c r="BI71" i="23" s="1"/>
  <c r="BJ71" i="23" s="1"/>
  <c r="BK71" i="23" s="1"/>
  <c r="BL71" i="23" s="1"/>
  <c r="BM71" i="23" s="1"/>
  <c r="BN71" i="23" s="1"/>
  <c r="BO71" i="23" s="1"/>
  <c r="BP71" i="23" s="1"/>
  <c r="BQ71" i="23" s="1"/>
  <c r="BR71" i="23" s="1"/>
  <c r="BS71" i="23" s="1"/>
  <c r="BT71" i="23" s="1"/>
  <c r="BU71" i="23" s="1"/>
  <c r="BV71" i="23" s="1"/>
  <c r="BW71" i="23" s="1"/>
  <c r="BX71" i="23" s="1"/>
  <c r="BY71" i="23" s="1"/>
  <c r="BZ71" i="23" s="1"/>
  <c r="CA71" i="23" s="1"/>
  <c r="CB71" i="23" s="1"/>
  <c r="CC71" i="23" s="1"/>
  <c r="CD71" i="23" s="1"/>
  <c r="CE71" i="23" s="1"/>
  <c r="CF71" i="23" s="1"/>
  <c r="CG71" i="23" s="1"/>
  <c r="CH71" i="23" s="1"/>
  <c r="CI71" i="23" s="1"/>
  <c r="CJ71" i="23" s="1"/>
  <c r="CK71" i="23" s="1"/>
  <c r="CL71" i="23" s="1"/>
  <c r="CM71" i="23" s="1"/>
  <c r="CN71" i="23" s="1"/>
  <c r="CO71" i="23" s="1"/>
  <c r="CP71" i="23" s="1"/>
  <c r="P35" i="27"/>
  <c r="P48" i="27" s="1"/>
  <c r="P55" i="27" s="1"/>
  <c r="M30" i="27"/>
  <c r="CC31" i="27"/>
  <c r="BD28" i="27"/>
  <c r="V30" i="27"/>
  <c r="L106" i="21"/>
  <c r="AV31" i="27"/>
  <c r="BW346" i="3"/>
  <c r="BR346" i="3"/>
  <c r="BD3" i="43"/>
  <c r="BA3" i="43"/>
  <c r="P135" i="15"/>
  <c r="P136" i="15" s="1"/>
  <c r="P137" i="15" s="1"/>
  <c r="P138" i="15" s="1"/>
  <c r="P139" i="15" s="1"/>
  <c r="P140" i="15" s="1"/>
  <c r="S55" i="27"/>
  <c r="W55" i="27"/>
  <c r="X55" i="27" s="1"/>
  <c r="Y55" i="27" s="1"/>
  <c r="Z55" i="27" s="1"/>
  <c r="W84" i="27"/>
  <c r="DK16" i="43"/>
  <c r="AE16" i="43"/>
  <c r="BV20" i="43"/>
  <c r="AO20" i="43"/>
  <c r="BY22" i="43"/>
  <c r="DJ22" i="43"/>
  <c r="AW24" i="43"/>
  <c r="CH24" i="43"/>
  <c r="AN25" i="43"/>
  <c r="O25" i="43"/>
  <c r="CW26" i="43"/>
  <c r="AH26" i="43"/>
  <c r="CR27" i="43"/>
  <c r="AV27" i="43"/>
  <c r="DI28" i="43"/>
  <c r="AS28" i="43"/>
  <c r="CJ29" i="43"/>
  <c r="AN29" i="43"/>
  <c r="O29" i="43"/>
  <c r="BA30" i="43"/>
  <c r="BV30" i="43"/>
  <c r="CR31" i="43"/>
  <c r="BP31" i="43"/>
  <c r="DC31" i="43"/>
  <c r="AQ31" i="43"/>
  <c r="CI32" i="43"/>
  <c r="BC32" i="43"/>
  <c r="CN32" i="43"/>
  <c r="AB32" i="43"/>
  <c r="DB33" i="43"/>
  <c r="CT33" i="43"/>
  <c r="BX33" i="43"/>
  <c r="BB33" i="43"/>
  <c r="AH33" i="43"/>
  <c r="DK33" i="43"/>
  <c r="CU33" i="43"/>
  <c r="CE33" i="43"/>
  <c r="BO33" i="43"/>
  <c r="AY33" i="43"/>
  <c r="AI33" i="43"/>
  <c r="S33" i="43"/>
  <c r="CW34" i="43"/>
  <c r="CG34" i="43"/>
  <c r="BA34" i="43"/>
  <c r="U34" i="43"/>
  <c r="CL34" i="43"/>
  <c r="BF34" i="43"/>
  <c r="AJ34" i="43"/>
  <c r="N34" i="43"/>
  <c r="DF35" i="43"/>
  <c r="CV35" i="43"/>
  <c r="CF35" i="43"/>
  <c r="BP35" i="43"/>
  <c r="AZ35" i="43"/>
  <c r="AJ35" i="43"/>
  <c r="T35" i="43"/>
  <c r="DC35" i="43"/>
  <c r="CM35" i="43"/>
  <c r="BW35" i="43"/>
  <c r="BG35" i="43"/>
  <c r="AQ35" i="43"/>
  <c r="AA35" i="43"/>
  <c r="DG36" i="43"/>
  <c r="CW36" i="43"/>
  <c r="CA36" i="43"/>
  <c r="BG36" i="43"/>
  <c r="AK36" i="43"/>
  <c r="O36" i="43"/>
  <c r="CR36" i="43"/>
  <c r="BV36" i="43"/>
  <c r="AZ36" i="43"/>
  <c r="AF36" i="43"/>
  <c r="DF37" i="43"/>
  <c r="DD37" i="43"/>
  <c r="CN37" i="43"/>
  <c r="BX37" i="43"/>
  <c r="BH37" i="43"/>
  <c r="AR37" i="43"/>
  <c r="AB37" i="43"/>
  <c r="DK37" i="43"/>
  <c r="CU37" i="43"/>
  <c r="CE37" i="43"/>
  <c r="BO37" i="43"/>
  <c r="AY37" i="43"/>
  <c r="AI37" i="43"/>
  <c r="S37" i="43"/>
  <c r="DI38" i="43"/>
  <c r="CW38" i="43"/>
  <c r="CC38" i="43"/>
  <c r="BG38" i="43"/>
  <c r="AK38" i="43"/>
  <c r="Q38" i="43"/>
  <c r="CR38" i="43"/>
  <c r="BV38" i="43"/>
  <c r="BB38" i="43"/>
  <c r="AF38" i="43"/>
  <c r="DF39" i="43"/>
  <c r="DD39" i="43"/>
  <c r="CN39" i="43"/>
  <c r="BX39" i="43"/>
  <c r="BH39" i="43"/>
  <c r="AR39" i="43"/>
  <c r="AB39" i="43"/>
  <c r="DK39" i="43"/>
  <c r="CU39" i="43"/>
  <c r="CE39" i="43"/>
  <c r="BO39" i="43"/>
  <c r="AY39" i="43"/>
  <c r="AI39" i="43"/>
  <c r="S39" i="43"/>
  <c r="DC40" i="43"/>
  <c r="CS40" i="43"/>
  <c r="BW40" i="43"/>
  <c r="BC40" i="43"/>
  <c r="AI40" i="43"/>
  <c r="S40" i="43"/>
  <c r="CZ40" i="43"/>
  <c r="CJ40" i="43"/>
  <c r="BT40" i="43"/>
  <c r="BD40" i="43"/>
  <c r="AN40" i="43"/>
  <c r="X40" i="43"/>
  <c r="DF41" i="43"/>
  <c r="DD41" i="43"/>
  <c r="CN41" i="43"/>
  <c r="BX41" i="43"/>
  <c r="BH41" i="43"/>
  <c r="AR41" i="43"/>
  <c r="AB41" i="43"/>
  <c r="DK41" i="43"/>
  <c r="CU41" i="43"/>
  <c r="CE41" i="43"/>
  <c r="BO41" i="43"/>
  <c r="AY41" i="43"/>
  <c r="AI41" i="43"/>
  <c r="S41" i="43"/>
  <c r="DB42" i="43"/>
  <c r="DH42" i="43"/>
  <c r="CR42" i="43"/>
  <c r="CB42" i="43"/>
  <c r="BL42" i="43"/>
  <c r="AV42" i="43"/>
  <c r="DC42" i="43"/>
  <c r="CM42" i="43"/>
  <c r="BW42" i="43"/>
  <c r="BG42" i="43"/>
  <c r="BQ24" i="23"/>
  <c r="AA39" i="43"/>
  <c r="BG39" i="43"/>
  <c r="CM39" i="43"/>
  <c r="T39" i="43"/>
  <c r="AZ39" i="43"/>
  <c r="CF39" i="43"/>
  <c r="X38" i="43"/>
  <c r="BN38" i="43"/>
  <c r="DF38" i="43"/>
  <c r="AY38" i="43"/>
  <c r="CO38" i="43"/>
  <c r="AA37" i="43"/>
  <c r="BG37" i="43"/>
  <c r="CM37" i="43"/>
  <c r="T37" i="43"/>
  <c r="AZ37" i="43"/>
  <c r="CF37" i="43"/>
  <c r="AB36" i="43"/>
  <c r="BT36" i="43"/>
  <c r="DJ36" i="43"/>
  <c r="BC36" i="43"/>
  <c r="CU36" i="43"/>
  <c r="AI35" i="43"/>
  <c r="BO35" i="43"/>
  <c r="CU35" i="43"/>
  <c r="AB35" i="43"/>
  <c r="BH35" i="43"/>
  <c r="CN35" i="43"/>
  <c r="AB34" i="43"/>
  <c r="BX34" i="43"/>
  <c r="AM34" i="43"/>
  <c r="CY34" i="43"/>
  <c r="AQ33" i="43"/>
  <c r="BW33" i="43"/>
  <c r="DC33" i="43"/>
  <c r="AR33" i="43"/>
  <c r="CH33" i="43"/>
  <c r="BH32" i="43"/>
  <c r="CK32" i="43"/>
  <c r="AJ31" i="43"/>
  <c r="BE30" i="43"/>
  <c r="BJ28" i="43"/>
  <c r="DH27" i="43"/>
  <c r="CA25" i="43"/>
  <c r="BP21" i="43"/>
  <c r="BG23" i="43"/>
  <c r="DF68" i="3"/>
  <c r="DF208" i="3"/>
  <c r="DZ25" i="3"/>
  <c r="DX211" i="3"/>
  <c r="L338" i="3"/>
  <c r="K29" i="21"/>
  <c r="M29" i="21"/>
  <c r="Q29" i="21"/>
  <c r="Q46" i="21" s="1"/>
  <c r="U29" i="21"/>
  <c r="BY3" i="43"/>
  <c r="U54" i="43"/>
  <c r="AC54" i="43"/>
  <c r="AK54" i="43"/>
  <c r="AS54" i="43"/>
  <c r="BA54" i="43"/>
  <c r="BI54" i="43"/>
  <c r="BQ54" i="43"/>
  <c r="BY54" i="43"/>
  <c r="CG54" i="43"/>
  <c r="CW54" i="43"/>
  <c r="N54" i="43"/>
  <c r="V54" i="43"/>
  <c r="AD54" i="43"/>
  <c r="AL54" i="43"/>
  <c r="AT54" i="43"/>
  <c r="BB54" i="43"/>
  <c r="BJ54" i="43"/>
  <c r="BR54" i="43"/>
  <c r="BZ54" i="43"/>
  <c r="CI54" i="43"/>
  <c r="CY54" i="43"/>
  <c r="CH54" i="43"/>
  <c r="CP54" i="43"/>
  <c r="CX54" i="43"/>
  <c r="U52" i="43"/>
  <c r="AC52" i="43"/>
  <c r="AK52" i="43"/>
  <c r="AS52" i="43"/>
  <c r="BA52" i="43"/>
  <c r="BI52" i="43"/>
  <c r="BQ52" i="43"/>
  <c r="BY52" i="43"/>
  <c r="CG52" i="43"/>
  <c r="CO52" i="43"/>
  <c r="CW52" i="43"/>
  <c r="DE52" i="43"/>
  <c r="N52" i="43"/>
  <c r="V52" i="43"/>
  <c r="AD52" i="43"/>
  <c r="AL52" i="43"/>
  <c r="AT52" i="43"/>
  <c r="BB52" i="43"/>
  <c r="BJ52" i="43"/>
  <c r="BR52" i="43"/>
  <c r="BZ52" i="43"/>
  <c r="CH52" i="43"/>
  <c r="CP52" i="43"/>
  <c r="CX52" i="43"/>
  <c r="DF52" i="43"/>
  <c r="U50" i="43"/>
  <c r="AC50" i="43"/>
  <c r="AK50" i="43"/>
  <c r="AS50" i="43"/>
  <c r="BA50" i="43"/>
  <c r="BI50" i="43"/>
  <c r="BQ50" i="43"/>
  <c r="BY50" i="43"/>
  <c r="CG50" i="43"/>
  <c r="CO50" i="43"/>
  <c r="CW50" i="43"/>
  <c r="DE50" i="43"/>
  <c r="N50" i="43"/>
  <c r="V50" i="43"/>
  <c r="AD50" i="43"/>
  <c r="AL50" i="43"/>
  <c r="AT50" i="43"/>
  <c r="BB50" i="43"/>
  <c r="BJ50" i="43"/>
  <c r="BR50" i="43"/>
  <c r="BZ50" i="43"/>
  <c r="CH50" i="43"/>
  <c r="CP50" i="43"/>
  <c r="CX50" i="43"/>
  <c r="DF50" i="43"/>
  <c r="U48" i="43"/>
  <c r="AE48" i="43"/>
  <c r="AO48" i="43"/>
  <c r="BA48" i="43"/>
  <c r="BK48" i="43"/>
  <c r="BU48" i="43"/>
  <c r="CG48" i="43"/>
  <c r="CQ48" i="43"/>
  <c r="DA48" i="43"/>
  <c r="N48" i="43"/>
  <c r="X48" i="43"/>
  <c r="AH48" i="43"/>
  <c r="AT48" i="43"/>
  <c r="BD48" i="43"/>
  <c r="BN48" i="43"/>
  <c r="BZ48" i="43"/>
  <c r="CJ48" i="43"/>
  <c r="CT48" i="43"/>
  <c r="U46" i="43"/>
  <c r="AE46" i="43"/>
  <c r="AQ46" i="43"/>
  <c r="BA46" i="43"/>
  <c r="BK46" i="43"/>
  <c r="BW46" i="43"/>
  <c r="CG46" i="43"/>
  <c r="CQ46" i="43"/>
  <c r="DC46" i="43"/>
  <c r="N46" i="43"/>
  <c r="X46" i="43"/>
  <c r="AJ46" i="43"/>
  <c r="AT46" i="43"/>
  <c r="BD46" i="43"/>
  <c r="BP46" i="43"/>
  <c r="BZ46" i="43"/>
  <c r="CN46" i="43"/>
  <c r="U44" i="43"/>
  <c r="AK44" i="43"/>
  <c r="BA44" i="43"/>
  <c r="BQ44" i="43"/>
  <c r="CG44" i="43"/>
  <c r="CW44" i="43"/>
  <c r="N44" i="43"/>
  <c r="AD44" i="43"/>
  <c r="AT44" i="43"/>
  <c r="BJ44" i="43"/>
  <c r="BZ44" i="43"/>
  <c r="CP44" i="43"/>
  <c r="P42" i="43"/>
  <c r="O42" i="43"/>
  <c r="U42" i="43"/>
  <c r="AK42" i="43"/>
  <c r="BA42" i="43"/>
  <c r="BQ42" i="43"/>
  <c r="CG42" i="43"/>
  <c r="CW42" i="43"/>
  <c r="AP42" i="43"/>
  <c r="BF42" i="43"/>
  <c r="BV42" i="43"/>
  <c r="CL42" i="43"/>
  <c r="P40" i="43"/>
  <c r="AF40" i="43"/>
  <c r="AV40" i="43"/>
  <c r="BL40" i="43"/>
  <c r="CB40" i="43"/>
  <c r="CR40" i="43"/>
  <c r="DH40" i="43"/>
  <c r="AA40" i="43"/>
  <c r="AQ40" i="43"/>
  <c r="BM40" i="43"/>
  <c r="CI40" i="43"/>
  <c r="V38" i="43"/>
  <c r="AP38" i="43"/>
  <c r="BL38" i="43"/>
  <c r="CH38" i="43"/>
  <c r="DB38" i="43"/>
  <c r="AA38" i="43"/>
  <c r="AW38" i="43"/>
  <c r="BQ38" i="43"/>
  <c r="CM38" i="43"/>
  <c r="T36" i="43"/>
  <c r="AP36" i="43"/>
  <c r="BL36" i="43"/>
  <c r="CF36" i="43"/>
  <c r="DB36" i="43"/>
  <c r="AA36" i="43"/>
  <c r="AU36" i="43"/>
  <c r="BQ36" i="43"/>
  <c r="CM36" i="43"/>
  <c r="Z34" i="43"/>
  <c r="AT34" i="43"/>
  <c r="BV34" i="43"/>
  <c r="DB34" i="43"/>
  <c r="AK34" i="43"/>
  <c r="BQ34" i="43"/>
  <c r="Z32" i="43"/>
  <c r="BF32" i="43"/>
  <c r="CL32" i="43"/>
  <c r="U32" i="43"/>
  <c r="BA32" i="43"/>
  <c r="BN30" i="43"/>
  <c r="AT28" i="43"/>
  <c r="AC28" i="43"/>
  <c r="R26" i="43"/>
  <c r="CX26" i="43"/>
  <c r="AL24" i="43"/>
  <c r="BN22" i="43"/>
  <c r="V18" i="43"/>
  <c r="AT16" i="43"/>
  <c r="CH16" i="43"/>
  <c r="CY16" i="43"/>
  <c r="CE16" i="43"/>
  <c r="BK16" i="43"/>
  <c r="AM16" i="43"/>
  <c r="S16" i="43"/>
  <c r="AL16" i="43"/>
  <c r="CX16" i="43"/>
  <c r="CQ16" i="43"/>
  <c r="BO16" i="43"/>
  <c r="AI16" i="43"/>
  <c r="N16" i="43"/>
  <c r="BZ16" i="43"/>
  <c r="CI16" i="43"/>
  <c r="AY16" i="43"/>
  <c r="O16" i="43"/>
  <c r="BR16" i="43"/>
  <c r="CU16" i="43"/>
  <c r="BC16" i="43"/>
  <c r="W16" i="43"/>
  <c r="BB16" i="43"/>
  <c r="BS16" i="43"/>
  <c r="V16" i="43"/>
  <c r="CA16" i="43"/>
  <c r="DA18" i="43"/>
  <c r="CC18" i="43"/>
  <c r="BI18" i="43"/>
  <c r="AO18" i="43"/>
  <c r="Q18" i="43"/>
  <c r="CT18" i="43"/>
  <c r="BZ18" i="43"/>
  <c r="BB18" i="43"/>
  <c r="AH18" i="43"/>
  <c r="N18" i="43"/>
  <c r="DI18" i="43"/>
  <c r="CK18" i="43"/>
  <c r="BE18" i="43"/>
  <c r="AC18" i="43"/>
  <c r="CX18" i="43"/>
  <c r="BR18" i="43"/>
  <c r="AT18" i="43"/>
  <c r="R18" i="43"/>
  <c r="BY18" i="43"/>
  <c r="AS18" i="43"/>
  <c r="DF18" i="43"/>
  <c r="BN18" i="43"/>
  <c r="AD18" i="43"/>
  <c r="CO18" i="43"/>
  <c r="AW18" i="43"/>
  <c r="DJ18" i="43"/>
  <c r="CD18" i="43"/>
  <c r="AL18" i="43"/>
  <c r="CS18" i="43"/>
  <c r="Y18" i="43"/>
  <c r="AX18" i="43"/>
  <c r="DE18" i="43"/>
  <c r="AG18" i="43"/>
  <c r="BJ18" i="43"/>
  <c r="CO20" i="43"/>
  <c r="BU20" i="43"/>
  <c r="BA20" i="43"/>
  <c r="AC20" i="43"/>
  <c r="DF20" i="43"/>
  <c r="CL20" i="43"/>
  <c r="BR20" i="43"/>
  <c r="BB20" i="43"/>
  <c r="AL20" i="43"/>
  <c r="V20" i="43"/>
  <c r="CK20" i="43"/>
  <c r="BI20" i="43"/>
  <c r="AK20" i="43"/>
  <c r="DB20" i="43"/>
  <c r="BZ20" i="43"/>
  <c r="BF20" i="43"/>
  <c r="AH20" i="43"/>
  <c r="N20" i="43"/>
  <c r="CW20" i="43"/>
  <c r="BE20" i="43"/>
  <c r="U20" i="43"/>
  <c r="CD20" i="43"/>
  <c r="AX20" i="43"/>
  <c r="Z20" i="43"/>
  <c r="DA20" i="43"/>
  <c r="BQ20" i="43"/>
  <c r="Y20" i="43"/>
  <c r="CP20" i="43"/>
  <c r="BJ20" i="43"/>
  <c r="AD20" i="43"/>
  <c r="BY20" i="43"/>
  <c r="CT20" i="43"/>
  <c r="AP20" i="43"/>
  <c r="CG20" i="43"/>
  <c r="DJ20" i="43"/>
  <c r="AT20" i="43"/>
  <c r="DA22" i="43"/>
  <c r="CK22" i="43"/>
  <c r="BU22" i="43"/>
  <c r="BE22" i="43"/>
  <c r="AO22" i="43"/>
  <c r="Y22" i="43"/>
  <c r="DF22" i="43"/>
  <c r="CP22" i="43"/>
  <c r="BZ22" i="43"/>
  <c r="BJ22" i="43"/>
  <c r="AT22" i="43"/>
  <c r="AD22" i="43"/>
  <c r="N22" i="43"/>
  <c r="DE22" i="43"/>
  <c r="CG22" i="43"/>
  <c r="BM22" i="43"/>
  <c r="AS22" i="43"/>
  <c r="U22" i="43"/>
  <c r="CX22" i="43"/>
  <c r="CD22" i="43"/>
  <c r="BF22" i="43"/>
  <c r="AL22" i="43"/>
  <c r="R22" i="43"/>
  <c r="DI22" i="43"/>
  <c r="CC22" i="43"/>
  <c r="BA22" i="43"/>
  <c r="AC22" i="43"/>
  <c r="CT22" i="43"/>
  <c r="BR22" i="43"/>
  <c r="AP22" i="43"/>
  <c r="CO22" i="43"/>
  <c r="BI22" i="43"/>
  <c r="AG22" i="43"/>
  <c r="DB22" i="43"/>
  <c r="BV22" i="43"/>
  <c r="AX22" i="43"/>
  <c r="V22" i="43"/>
  <c r="CS22" i="43"/>
  <c r="AK22" i="43"/>
  <c r="CH22" i="43"/>
  <c r="Z22" i="43"/>
  <c r="CW22" i="43"/>
  <c r="AW22" i="43"/>
  <c r="CL22" i="43"/>
  <c r="AH22" i="43"/>
  <c r="CW24" i="43"/>
  <c r="CG24" i="43"/>
  <c r="BQ24" i="43"/>
  <c r="BA24" i="43"/>
  <c r="AK24" i="43"/>
  <c r="U24" i="43"/>
  <c r="DB24" i="43"/>
  <c r="CL24" i="43"/>
  <c r="BV24" i="43"/>
  <c r="BF24" i="43"/>
  <c r="AP24" i="43"/>
  <c r="Z24" i="43"/>
  <c r="CS24" i="43"/>
  <c r="BY24" i="43"/>
  <c r="BE24" i="43"/>
  <c r="AG24" i="43"/>
  <c r="DJ24" i="43"/>
  <c r="CP24" i="43"/>
  <c r="BR24" i="43"/>
  <c r="AX24" i="43"/>
  <c r="AD24" i="43"/>
  <c r="DI24" i="43"/>
  <c r="CK24" i="43"/>
  <c r="BI24" i="43"/>
  <c r="AC24" i="43"/>
  <c r="CX24" i="43"/>
  <c r="BZ24" i="43"/>
  <c r="AT24" i="43"/>
  <c r="R24" i="43"/>
  <c r="CO24" i="43"/>
  <c r="BM24" i="43"/>
  <c r="AO24" i="43"/>
  <c r="DF24" i="43"/>
  <c r="CD24" i="43"/>
  <c r="BB24" i="43"/>
  <c r="V24" i="43"/>
  <c r="BU24" i="43"/>
  <c r="Q24" i="43"/>
  <c r="BJ24" i="43"/>
  <c r="CC24" i="43"/>
  <c r="Y24" i="43"/>
  <c r="BN24" i="43"/>
  <c r="N24" i="43"/>
  <c r="DI26" i="43"/>
  <c r="CS26" i="43"/>
  <c r="CC26" i="43"/>
  <c r="BM26" i="43"/>
  <c r="AW26" i="43"/>
  <c r="DA26" i="43"/>
  <c r="CG26" i="43"/>
  <c r="BI26" i="43"/>
  <c r="AO26" i="43"/>
  <c r="Y26" i="43"/>
  <c r="DF26" i="43"/>
  <c r="CP26" i="43"/>
  <c r="BZ26" i="43"/>
  <c r="BJ26" i="43"/>
  <c r="AT26" i="43"/>
  <c r="AD26" i="43"/>
  <c r="N26" i="43"/>
  <c r="DE26" i="43"/>
  <c r="BY26" i="43"/>
  <c r="BA26" i="43"/>
  <c r="AC26" i="43"/>
  <c r="DB26" i="43"/>
  <c r="CH26" i="43"/>
  <c r="BN26" i="43"/>
  <c r="AP26" i="43"/>
  <c r="V26" i="43"/>
  <c r="CK26" i="43"/>
  <c r="BE26" i="43"/>
  <c r="AG26" i="43"/>
  <c r="DJ26" i="43"/>
  <c r="CL26" i="43"/>
  <c r="BR26" i="43"/>
  <c r="AX26" i="43"/>
  <c r="Z26" i="43"/>
  <c r="BU26" i="43"/>
  <c r="U26" i="43"/>
  <c r="CD26" i="43"/>
  <c r="AL26" i="43"/>
  <c r="CO26" i="43"/>
  <c r="AK26" i="43"/>
  <c r="CT26" i="43"/>
  <c r="BB26" i="43"/>
  <c r="CW28" i="43"/>
  <c r="CG28" i="43"/>
  <c r="BQ28" i="43"/>
  <c r="BA28" i="43"/>
  <c r="AK28" i="43"/>
  <c r="U28" i="43"/>
  <c r="DB28" i="43"/>
  <c r="CL28" i="43"/>
  <c r="BV28" i="43"/>
  <c r="BF28" i="43"/>
  <c r="AP28" i="43"/>
  <c r="Z28" i="43"/>
  <c r="CS28" i="43"/>
  <c r="BY28" i="43"/>
  <c r="BE28" i="43"/>
  <c r="AG28" i="43"/>
  <c r="DJ28" i="43"/>
  <c r="CP28" i="43"/>
  <c r="BR28" i="43"/>
  <c r="AX28" i="43"/>
  <c r="AD28" i="43"/>
  <c r="DA28" i="43"/>
  <c r="CC28" i="43"/>
  <c r="BI28" i="43"/>
  <c r="AO28" i="43"/>
  <c r="Q28" i="43"/>
  <c r="CT28" i="43"/>
  <c r="BZ28" i="43"/>
  <c r="BB28" i="43"/>
  <c r="AH28" i="43"/>
  <c r="N28" i="43"/>
  <c r="CO28" i="43"/>
  <c r="AW28" i="43"/>
  <c r="DF28" i="43"/>
  <c r="BN28" i="43"/>
  <c r="V28" i="43"/>
  <c r="DE28" i="43"/>
  <c r="BM28" i="43"/>
  <c r="Y28" i="43"/>
  <c r="CD28" i="43"/>
  <c r="AL28" i="43"/>
  <c r="DI30" i="43"/>
  <c r="CS30" i="43"/>
  <c r="CC30" i="43"/>
  <c r="BM30" i="43"/>
  <c r="AW30" i="43"/>
  <c r="AG30" i="43"/>
  <c r="Q30" i="43"/>
  <c r="CX30" i="43"/>
  <c r="CH30" i="43"/>
  <c r="BR30" i="43"/>
  <c r="BB30" i="43"/>
  <c r="AL30" i="43"/>
  <c r="V30" i="43"/>
  <c r="DA30" i="43"/>
  <c r="CG30" i="43"/>
  <c r="BI30" i="43"/>
  <c r="AO30" i="43"/>
  <c r="U30" i="43"/>
  <c r="CT30" i="43"/>
  <c r="BZ30" i="43"/>
  <c r="BF30" i="43"/>
  <c r="AH30" i="43"/>
  <c r="N30" i="43"/>
  <c r="DE30" i="43"/>
  <c r="CK30" i="43"/>
  <c r="BQ30" i="43"/>
  <c r="AS30" i="43"/>
  <c r="Y30" i="43"/>
  <c r="DB30" i="43"/>
  <c r="CD30" i="43"/>
  <c r="BJ30" i="43"/>
  <c r="AP30" i="43"/>
  <c r="R30" i="43"/>
  <c r="BU30" i="43"/>
  <c r="AC30" i="43"/>
  <c r="CL30" i="43"/>
  <c r="AT30" i="43"/>
  <c r="BY30" i="43"/>
  <c r="AK30" i="43"/>
  <c r="CP30" i="43"/>
  <c r="AX30" i="43"/>
  <c r="DE32" i="43"/>
  <c r="CW32" i="43"/>
  <c r="CO32" i="43"/>
  <c r="CG32" i="43"/>
  <c r="DI32" i="43"/>
  <c r="CY32" i="43"/>
  <c r="CM32" i="43"/>
  <c r="CC32" i="43"/>
  <c r="BU32" i="43"/>
  <c r="BM32" i="43"/>
  <c r="BE32" i="43"/>
  <c r="AW32" i="43"/>
  <c r="AO32" i="43"/>
  <c r="AG32" i="43"/>
  <c r="Y32" i="43"/>
  <c r="Q32" i="43"/>
  <c r="DF32" i="43"/>
  <c r="CX32" i="43"/>
  <c r="CP32" i="43"/>
  <c r="CH32" i="43"/>
  <c r="BZ32" i="43"/>
  <c r="BR32" i="43"/>
  <c r="BJ32" i="43"/>
  <c r="BB32" i="43"/>
  <c r="AT32" i="43"/>
  <c r="AL32" i="43"/>
  <c r="AD32" i="43"/>
  <c r="V32" i="43"/>
  <c r="N32" i="43"/>
  <c r="DK32" i="43"/>
  <c r="DA32" i="43"/>
  <c r="CQ32" i="43"/>
  <c r="CE32" i="43"/>
  <c r="BW32" i="43"/>
  <c r="BO32" i="43"/>
  <c r="BG32" i="43"/>
  <c r="AY32" i="43"/>
  <c r="AQ32" i="43"/>
  <c r="AI32" i="43"/>
  <c r="AA32" i="43"/>
  <c r="S32" i="43"/>
  <c r="DH32" i="43"/>
  <c r="CZ32" i="43"/>
  <c r="CR32" i="43"/>
  <c r="CJ32" i="43"/>
  <c r="CB32" i="43"/>
  <c r="BT32" i="43"/>
  <c r="BL32" i="43"/>
  <c r="BD32" i="43"/>
  <c r="AV32" i="43"/>
  <c r="AN32" i="43"/>
  <c r="AF32" i="43"/>
  <c r="X32" i="43"/>
  <c r="P32" i="43"/>
  <c r="CS32" i="43"/>
  <c r="BY32" i="43"/>
  <c r="BI32" i="43"/>
  <c r="AS32" i="43"/>
  <c r="AC32" i="43"/>
  <c r="DJ32" i="43"/>
  <c r="CT32" i="43"/>
  <c r="CD32" i="43"/>
  <c r="BN32" i="43"/>
  <c r="AX32" i="43"/>
  <c r="AH32" i="43"/>
  <c r="R32" i="43"/>
  <c r="CU32" i="43"/>
  <c r="CA32" i="43"/>
  <c r="BK32" i="43"/>
  <c r="AU32" i="43"/>
  <c r="AE32" i="43"/>
  <c r="O32" i="43"/>
  <c r="CV32" i="43"/>
  <c r="CF32" i="43"/>
  <c r="BP32" i="43"/>
  <c r="AZ32" i="43"/>
  <c r="AJ32" i="43"/>
  <c r="T32" i="43"/>
  <c r="DI34" i="43"/>
  <c r="DA34" i="43"/>
  <c r="CS34" i="43"/>
  <c r="CK34" i="43"/>
  <c r="CC34" i="43"/>
  <c r="BU34" i="43"/>
  <c r="BM34" i="43"/>
  <c r="BE34" i="43"/>
  <c r="AW34" i="43"/>
  <c r="AO34" i="43"/>
  <c r="AG34" i="43"/>
  <c r="Y34" i="43"/>
  <c r="Q34" i="43"/>
  <c r="DF34" i="43"/>
  <c r="CX34" i="43"/>
  <c r="CP34" i="43"/>
  <c r="CH34" i="43"/>
  <c r="BZ34" i="43"/>
  <c r="BR34" i="43"/>
  <c r="BJ34" i="43"/>
  <c r="DK34" i="43"/>
  <c r="DC34" i="43"/>
  <c r="CU34" i="43"/>
  <c r="CM34" i="43"/>
  <c r="CE34" i="43"/>
  <c r="BW34" i="43"/>
  <c r="BO34" i="43"/>
  <c r="BG34" i="43"/>
  <c r="AY34" i="43"/>
  <c r="AQ34" i="43"/>
  <c r="AI34" i="43"/>
  <c r="AA34" i="43"/>
  <c r="S34" i="43"/>
  <c r="DH34" i="43"/>
  <c r="CZ34" i="43"/>
  <c r="CR34" i="43"/>
  <c r="CJ34" i="43"/>
  <c r="CB34" i="43"/>
  <c r="BT34" i="43"/>
  <c r="BL34" i="43"/>
  <c r="BD34" i="43"/>
  <c r="AV34" i="43"/>
  <c r="AN34" i="43"/>
  <c r="AF34" i="43"/>
  <c r="X34" i="43"/>
  <c r="P34" i="43"/>
  <c r="DE34" i="43"/>
  <c r="CO34" i="43"/>
  <c r="BY34" i="43"/>
  <c r="BI34" i="43"/>
  <c r="AS34" i="43"/>
  <c r="AC34" i="43"/>
  <c r="DJ34" i="43"/>
  <c r="CT34" i="43"/>
  <c r="CD34" i="43"/>
  <c r="BN34" i="43"/>
  <c r="AZ34" i="43"/>
  <c r="AP34" i="43"/>
  <c r="AD34" i="43"/>
  <c r="T34" i="43"/>
  <c r="DG34" i="43"/>
  <c r="CQ34" i="43"/>
  <c r="CA34" i="43"/>
  <c r="BK34" i="43"/>
  <c r="AU34" i="43"/>
  <c r="AE34" i="43"/>
  <c r="O34" i="43"/>
  <c r="CV34" i="43"/>
  <c r="CF34" i="43"/>
  <c r="BP34" i="43"/>
  <c r="BB34" i="43"/>
  <c r="AR34" i="43"/>
  <c r="AH34" i="43"/>
  <c r="V34" i="43"/>
  <c r="DI36" i="43"/>
  <c r="DA36" i="43"/>
  <c r="CS36" i="43"/>
  <c r="CK36" i="43"/>
  <c r="CC36" i="43"/>
  <c r="BU36" i="43"/>
  <c r="BM36" i="43"/>
  <c r="BE36" i="43"/>
  <c r="AW36" i="43"/>
  <c r="AO36" i="43"/>
  <c r="AG36" i="43"/>
  <c r="Y36" i="43"/>
  <c r="Q36" i="43"/>
  <c r="DF36" i="43"/>
  <c r="CX36" i="43"/>
  <c r="CP36" i="43"/>
  <c r="CH36" i="43"/>
  <c r="BZ36" i="43"/>
  <c r="BR36" i="43"/>
  <c r="BJ36" i="43"/>
  <c r="BB36" i="43"/>
  <c r="AT36" i="43"/>
  <c r="AL36" i="43"/>
  <c r="AD36" i="43"/>
  <c r="V36" i="43"/>
  <c r="N36" i="43"/>
  <c r="DK36" i="43"/>
  <c r="CY36" i="43"/>
  <c r="CO36" i="43"/>
  <c r="CE36" i="43"/>
  <c r="BS36" i="43"/>
  <c r="BI36" i="43"/>
  <c r="AY36" i="43"/>
  <c r="AM36" i="43"/>
  <c r="AC36" i="43"/>
  <c r="S36" i="43"/>
  <c r="DD36" i="43"/>
  <c r="CT36" i="43"/>
  <c r="CJ36" i="43"/>
  <c r="BX36" i="43"/>
  <c r="BN36" i="43"/>
  <c r="BD36" i="43"/>
  <c r="AR36" i="43"/>
  <c r="AH36" i="43"/>
  <c r="X36" i="43"/>
  <c r="DC36" i="43"/>
  <c r="CQ36" i="43"/>
  <c r="CG36" i="43"/>
  <c r="BW36" i="43"/>
  <c r="BK36" i="43"/>
  <c r="BA36" i="43"/>
  <c r="AQ36" i="43"/>
  <c r="AE36" i="43"/>
  <c r="U36" i="43"/>
  <c r="DH36" i="43"/>
  <c r="CV36" i="43"/>
  <c r="CL36" i="43"/>
  <c r="CB36" i="43"/>
  <c r="BP36" i="43"/>
  <c r="BF36" i="43"/>
  <c r="AV36" i="43"/>
  <c r="AJ36" i="43"/>
  <c r="Z36" i="43"/>
  <c r="P36" i="43"/>
  <c r="DG38" i="43"/>
  <c r="CY38" i="43"/>
  <c r="CQ38" i="43"/>
  <c r="CI38" i="43"/>
  <c r="CA38" i="43"/>
  <c r="BS38" i="43"/>
  <c r="BK38" i="43"/>
  <c r="BC38" i="43"/>
  <c r="AU38" i="43"/>
  <c r="AM38" i="43"/>
  <c r="AE38" i="43"/>
  <c r="W38" i="43"/>
  <c r="O38" i="43"/>
  <c r="DD38" i="43"/>
  <c r="CV38" i="43"/>
  <c r="CN38" i="43"/>
  <c r="CF38" i="43"/>
  <c r="BX38" i="43"/>
  <c r="BP38" i="43"/>
  <c r="BH38" i="43"/>
  <c r="AZ38" i="43"/>
  <c r="AR38" i="43"/>
  <c r="AJ38" i="43"/>
  <c r="AB38" i="43"/>
  <c r="T38" i="43"/>
  <c r="DC38" i="43"/>
  <c r="CS38" i="43"/>
  <c r="CG38" i="43"/>
  <c r="BW38" i="43"/>
  <c r="BM38" i="43"/>
  <c r="BA38" i="43"/>
  <c r="AQ38" i="43"/>
  <c r="AG38" i="43"/>
  <c r="U38" i="43"/>
  <c r="DH38" i="43"/>
  <c r="CX38" i="43"/>
  <c r="CL38" i="43"/>
  <c r="CB38" i="43"/>
  <c r="BR38" i="43"/>
  <c r="BF38" i="43"/>
  <c r="AV38" i="43"/>
  <c r="AL38" i="43"/>
  <c r="Z38" i="43"/>
  <c r="P38" i="43"/>
  <c r="DE38" i="43"/>
  <c r="CU38" i="43"/>
  <c r="CK38" i="43"/>
  <c r="BY38" i="43"/>
  <c r="BO38" i="43"/>
  <c r="BE38" i="43"/>
  <c r="AS38" i="43"/>
  <c r="AI38" i="43"/>
  <c r="Y38" i="43"/>
  <c r="DJ38" i="43"/>
  <c r="CZ38" i="43"/>
  <c r="CP38" i="43"/>
  <c r="CD38" i="43"/>
  <c r="BT38" i="43"/>
  <c r="BJ38" i="43"/>
  <c r="AX38" i="43"/>
  <c r="AN38" i="43"/>
  <c r="AD38" i="43"/>
  <c r="R38" i="43"/>
  <c r="DE40" i="43"/>
  <c r="CW40" i="43"/>
  <c r="CO40" i="43"/>
  <c r="CG40" i="43"/>
  <c r="BY40" i="43"/>
  <c r="BQ40" i="43"/>
  <c r="BI40" i="43"/>
  <c r="BA40" i="43"/>
  <c r="AS40" i="43"/>
  <c r="DI40" i="43"/>
  <c r="CY40" i="43"/>
  <c r="CM40" i="43"/>
  <c r="CC40" i="43"/>
  <c r="BS40" i="43"/>
  <c r="BG40" i="43"/>
  <c r="AW40" i="43"/>
  <c r="AM40" i="43"/>
  <c r="AE40" i="43"/>
  <c r="W40" i="43"/>
  <c r="O40" i="43"/>
  <c r="DD40" i="43"/>
  <c r="CV40" i="43"/>
  <c r="CN40" i="43"/>
  <c r="CF40" i="43"/>
  <c r="BX40" i="43"/>
  <c r="BP40" i="43"/>
  <c r="BH40" i="43"/>
  <c r="AZ40" i="43"/>
  <c r="AR40" i="43"/>
  <c r="AJ40" i="43"/>
  <c r="AB40" i="43"/>
  <c r="T40" i="43"/>
  <c r="DK40" i="43"/>
  <c r="DA40" i="43"/>
  <c r="CQ40" i="43"/>
  <c r="CE40" i="43"/>
  <c r="BU40" i="43"/>
  <c r="BK40" i="43"/>
  <c r="AY40" i="43"/>
  <c r="AO40" i="43"/>
  <c r="AG40" i="43"/>
  <c r="Y40" i="43"/>
  <c r="Q40" i="43"/>
  <c r="DF40" i="43"/>
  <c r="CX40" i="43"/>
  <c r="CP40" i="43"/>
  <c r="CH40" i="43"/>
  <c r="BZ40" i="43"/>
  <c r="BR40" i="43"/>
  <c r="BJ40" i="43"/>
  <c r="BB40" i="43"/>
  <c r="AT40" i="43"/>
  <c r="AL40" i="43"/>
  <c r="AD40" i="43"/>
  <c r="V40" i="43"/>
  <c r="N40" i="43"/>
  <c r="DD42" i="43"/>
  <c r="CV42" i="43"/>
  <c r="CN42" i="43"/>
  <c r="CF42" i="43"/>
  <c r="BX42" i="43"/>
  <c r="BP42" i="43"/>
  <c r="BH42" i="43"/>
  <c r="AZ42" i="43"/>
  <c r="AR42" i="43"/>
  <c r="DG42" i="43"/>
  <c r="CY42" i="43"/>
  <c r="CQ42" i="43"/>
  <c r="CI42" i="43"/>
  <c r="CA42" i="43"/>
  <c r="BS42" i="43"/>
  <c r="BK42" i="43"/>
  <c r="BC42" i="43"/>
  <c r="AU42" i="43"/>
  <c r="AM42" i="43"/>
  <c r="AE42" i="43"/>
  <c r="W42" i="43"/>
  <c r="AD42" i="43"/>
  <c r="Q42" i="43"/>
  <c r="AF42" i="43"/>
  <c r="R42" i="43"/>
  <c r="DF42" i="43"/>
  <c r="CX42" i="43"/>
  <c r="CP42" i="43"/>
  <c r="CH42" i="43"/>
  <c r="BZ42" i="43"/>
  <c r="BR42" i="43"/>
  <c r="BJ42" i="43"/>
  <c r="BB42" i="43"/>
  <c r="AT42" i="43"/>
  <c r="DI42" i="43"/>
  <c r="DA42" i="43"/>
  <c r="CS42" i="43"/>
  <c r="CK42" i="43"/>
  <c r="CC42" i="43"/>
  <c r="BU42" i="43"/>
  <c r="BM42" i="43"/>
  <c r="BE42" i="43"/>
  <c r="AW42" i="43"/>
  <c r="AO42" i="43"/>
  <c r="AG42" i="43"/>
  <c r="Y42" i="43"/>
  <c r="AH42" i="43"/>
  <c r="S42" i="43"/>
  <c r="AJ42" i="43"/>
  <c r="T42" i="43"/>
  <c r="DJ44" i="43"/>
  <c r="DB44" i="43"/>
  <c r="CT44" i="43"/>
  <c r="CL44" i="43"/>
  <c r="CD44" i="43"/>
  <c r="BV44" i="43"/>
  <c r="BN44" i="43"/>
  <c r="BF44" i="43"/>
  <c r="AX44" i="43"/>
  <c r="AP44" i="43"/>
  <c r="AH44" i="43"/>
  <c r="Z44" i="43"/>
  <c r="R44" i="43"/>
  <c r="DI44" i="43"/>
  <c r="DA44" i="43"/>
  <c r="CS44" i="43"/>
  <c r="CK44" i="43"/>
  <c r="CC44" i="43"/>
  <c r="BU44" i="43"/>
  <c r="BM44" i="43"/>
  <c r="BE44" i="43"/>
  <c r="AW44" i="43"/>
  <c r="AO44" i="43"/>
  <c r="AG44" i="43"/>
  <c r="Y44" i="43"/>
  <c r="Q44" i="43"/>
  <c r="DD44" i="43"/>
  <c r="CV44" i="43"/>
  <c r="CN44" i="43"/>
  <c r="CF44" i="43"/>
  <c r="BX44" i="43"/>
  <c r="BP44" i="43"/>
  <c r="BH44" i="43"/>
  <c r="AZ44" i="43"/>
  <c r="AR44" i="43"/>
  <c r="AJ44" i="43"/>
  <c r="AB44" i="43"/>
  <c r="T44" i="43"/>
  <c r="DK44" i="43"/>
  <c r="DC44" i="43"/>
  <c r="CU44" i="43"/>
  <c r="CM44" i="43"/>
  <c r="CE44" i="43"/>
  <c r="BW44" i="43"/>
  <c r="BO44" i="43"/>
  <c r="BG44" i="43"/>
  <c r="AY44" i="43"/>
  <c r="AQ44" i="43"/>
  <c r="AI44" i="43"/>
  <c r="AA44" i="43"/>
  <c r="S44" i="43"/>
  <c r="DH46" i="43"/>
  <c r="CZ46" i="43"/>
  <c r="CR46" i="43"/>
  <c r="CJ46" i="43"/>
  <c r="DJ46" i="43"/>
  <c r="DB46" i="43"/>
  <c r="CT46" i="43"/>
  <c r="CL46" i="43"/>
  <c r="CD46" i="43"/>
  <c r="BV46" i="43"/>
  <c r="BN46" i="43"/>
  <c r="BF46" i="43"/>
  <c r="AX46" i="43"/>
  <c r="AP46" i="43"/>
  <c r="AH46" i="43"/>
  <c r="Z46" i="43"/>
  <c r="R46" i="43"/>
  <c r="DI46" i="43"/>
  <c r="DA46" i="43"/>
  <c r="CS46" i="43"/>
  <c r="CK46" i="43"/>
  <c r="CC46" i="43"/>
  <c r="BU46" i="43"/>
  <c r="BM46" i="43"/>
  <c r="BE46" i="43"/>
  <c r="AW46" i="43"/>
  <c r="AO46" i="43"/>
  <c r="AG46" i="43"/>
  <c r="Y46" i="43"/>
  <c r="Q46" i="43"/>
  <c r="DD48" i="43"/>
  <c r="CV48" i="43"/>
  <c r="CN48" i="43"/>
  <c r="CF48" i="43"/>
  <c r="BX48" i="43"/>
  <c r="BP48" i="43"/>
  <c r="BH48" i="43"/>
  <c r="AZ48" i="43"/>
  <c r="AR48" i="43"/>
  <c r="AJ48" i="43"/>
  <c r="AB48" i="43"/>
  <c r="T48" i="43"/>
  <c r="DK48" i="43"/>
  <c r="DC48" i="43"/>
  <c r="CU48" i="43"/>
  <c r="CM48" i="43"/>
  <c r="CE48" i="43"/>
  <c r="BW48" i="43"/>
  <c r="BO48" i="43"/>
  <c r="BG48" i="43"/>
  <c r="AY48" i="43"/>
  <c r="AQ48" i="43"/>
  <c r="AI48" i="43"/>
  <c r="AA48" i="43"/>
  <c r="S48" i="43"/>
  <c r="L50" i="23"/>
  <c r="AP32" i="43"/>
  <c r="BV32" i="43"/>
  <c r="DB32" i="43"/>
  <c r="AK32" i="43"/>
  <c r="BQ32" i="43"/>
  <c r="DC32" i="43"/>
  <c r="Z30" i="43"/>
  <c r="DF30" i="43"/>
  <c r="CO30" i="43"/>
  <c r="CH28" i="43"/>
  <c r="BU28" i="43"/>
  <c r="BF26" i="43"/>
  <c r="AS26" i="43"/>
  <c r="CT24" i="43"/>
  <c r="DE24" i="43"/>
  <c r="Q22" i="43"/>
  <c r="R20" i="43"/>
  <c r="AS20" i="43"/>
  <c r="CP18" i="43"/>
  <c r="AU16" i="43"/>
  <c r="DH3" i="3"/>
  <c r="DH85" i="3" s="1"/>
  <c r="DF164" i="3"/>
  <c r="DL237" i="3"/>
  <c r="DJ286" i="3"/>
  <c r="R292" i="3"/>
  <c r="AM17" i="16"/>
  <c r="V331" i="3"/>
  <c r="L333" i="3"/>
  <c r="K338" i="3"/>
  <c r="K341" i="3" s="1"/>
  <c r="U21" i="25"/>
  <c r="K35" i="25"/>
  <c r="K54" i="25" s="1"/>
  <c r="W35" i="25"/>
  <c r="S105" i="25"/>
  <c r="X3" i="43"/>
  <c r="S52" i="43"/>
  <c r="AA52" i="43"/>
  <c r="AI52" i="43"/>
  <c r="AQ52" i="43"/>
  <c r="AY52" i="43"/>
  <c r="BG52" i="43"/>
  <c r="BO52" i="43"/>
  <c r="BW52" i="43"/>
  <c r="CE52" i="43"/>
  <c r="CM52" i="43"/>
  <c r="CU52" i="43"/>
  <c r="DC52" i="43"/>
  <c r="DK52" i="43"/>
  <c r="T52" i="43"/>
  <c r="AB52" i="43"/>
  <c r="AJ52" i="43"/>
  <c r="AR52" i="43"/>
  <c r="AZ52" i="43"/>
  <c r="BH52" i="43"/>
  <c r="BP52" i="43"/>
  <c r="BX52" i="43"/>
  <c r="CF52" i="43"/>
  <c r="CN52" i="43"/>
  <c r="CV52" i="43"/>
  <c r="S50" i="43"/>
  <c r="AA50" i="43"/>
  <c r="AI50" i="43"/>
  <c r="AQ50" i="43"/>
  <c r="AY50" i="43"/>
  <c r="BG50" i="43"/>
  <c r="BO50" i="43"/>
  <c r="BW50" i="43"/>
  <c r="CE50" i="43"/>
  <c r="CM50" i="43"/>
  <c r="CU50" i="43"/>
  <c r="DC50" i="43"/>
  <c r="DK50" i="43"/>
  <c r="T50" i="43"/>
  <c r="AB50" i="43"/>
  <c r="AJ50" i="43"/>
  <c r="AR50" i="43"/>
  <c r="AZ50" i="43"/>
  <c r="BH50" i="43"/>
  <c r="BP50" i="43"/>
  <c r="BX50" i="43"/>
  <c r="CF50" i="43"/>
  <c r="CN50" i="43"/>
  <c r="CV50" i="43"/>
  <c r="Q48" i="43"/>
  <c r="AC48" i="43"/>
  <c r="AM48" i="43"/>
  <c r="AW48" i="43"/>
  <c r="BI48" i="43"/>
  <c r="BS48" i="43"/>
  <c r="CC48" i="43"/>
  <c r="CO48" i="43"/>
  <c r="CY48" i="43"/>
  <c r="DI48" i="43"/>
  <c r="V48" i="43"/>
  <c r="AF48" i="43"/>
  <c r="AP48" i="43"/>
  <c r="BB48" i="43"/>
  <c r="BL48" i="43"/>
  <c r="BV48" i="43"/>
  <c r="CH48" i="43"/>
  <c r="CR48" i="43"/>
  <c r="DB48" i="43"/>
  <c r="S46" i="43"/>
  <c r="AC46" i="43"/>
  <c r="AM46" i="43"/>
  <c r="AY46" i="43"/>
  <c r="BI46" i="43"/>
  <c r="BS46" i="43"/>
  <c r="CE46" i="43"/>
  <c r="CO46" i="43"/>
  <c r="CY46" i="43"/>
  <c r="DK46" i="43"/>
  <c r="V46" i="43"/>
  <c r="AF46" i="43"/>
  <c r="AR46" i="43"/>
  <c r="BB46" i="43"/>
  <c r="BL46" i="43"/>
  <c r="BX46" i="43"/>
  <c r="CH46" i="43"/>
  <c r="CX46" i="43"/>
  <c r="O44" i="43"/>
  <c r="AE44" i="43"/>
  <c r="AU44" i="43"/>
  <c r="BK44" i="43"/>
  <c r="CA44" i="43"/>
  <c r="CQ44" i="43"/>
  <c r="DG44" i="43"/>
  <c r="X44" i="43"/>
  <c r="AN44" i="43"/>
  <c r="BD44" i="43"/>
  <c r="BT44" i="43"/>
  <c r="CJ44" i="43"/>
  <c r="CZ44" i="43"/>
  <c r="N42" i="43"/>
  <c r="AN42" i="43"/>
  <c r="AL42" i="43"/>
  <c r="AI42" i="43"/>
  <c r="AY42" i="43"/>
  <c r="BO42" i="43"/>
  <c r="CE42" i="43"/>
  <c r="CU42" i="43"/>
  <c r="DK42" i="43"/>
  <c r="BD42" i="43"/>
  <c r="BT42" i="43"/>
  <c r="CJ42" i="43"/>
  <c r="CZ42" i="43"/>
  <c r="Z40" i="43"/>
  <c r="AP40" i="43"/>
  <c r="BF40" i="43"/>
  <c r="BV40" i="43"/>
  <c r="CL40" i="43"/>
  <c r="DB40" i="43"/>
  <c r="U40" i="43"/>
  <c r="AK40" i="43"/>
  <c r="BE40" i="43"/>
  <c r="CA40" i="43"/>
  <c r="CU40" i="43"/>
  <c r="N38" i="43"/>
  <c r="AH38" i="43"/>
  <c r="BD38" i="43"/>
  <c r="BZ38" i="43"/>
  <c r="CT38" i="43"/>
  <c r="S38" i="43"/>
  <c r="AO38" i="43"/>
  <c r="BI38" i="43"/>
  <c r="CE38" i="43"/>
  <c r="DA38" i="43"/>
  <c r="R36" i="43"/>
  <c r="AN36" i="43"/>
  <c r="BH36" i="43"/>
  <c r="CD36" i="43"/>
  <c r="CZ36" i="43"/>
  <c r="W36" i="43"/>
  <c r="AS36" i="43"/>
  <c r="BO36" i="43"/>
  <c r="CI36" i="43"/>
  <c r="DE36" i="43"/>
  <c r="R34" i="43"/>
  <c r="AL34" i="43"/>
  <c r="BH34" i="43"/>
  <c r="CN34" i="43"/>
  <c r="W34" i="43"/>
  <c r="BC34" i="43"/>
  <c r="CI34" i="43"/>
  <c r="AR32" i="43"/>
  <c r="BX32" i="43"/>
  <c r="DD32" i="43"/>
  <c r="AM32" i="43"/>
  <c r="BS32" i="43"/>
  <c r="DG32" i="43"/>
  <c r="AD30" i="43"/>
  <c r="DJ30" i="43"/>
  <c r="CW30" i="43"/>
  <c r="R28" i="43"/>
  <c r="CX28" i="43"/>
  <c r="CK28" i="43"/>
  <c r="BV26" i="43"/>
  <c r="BQ26" i="43"/>
  <c r="AH24" i="43"/>
  <c r="AS24" i="43"/>
  <c r="BB22" i="43"/>
  <c r="BQ22" i="43"/>
  <c r="BN20" i="43"/>
  <c r="DE20" i="43"/>
  <c r="BM18" i="43"/>
  <c r="DG16" i="43"/>
  <c r="BD17" i="43"/>
  <c r="CJ17" i="43"/>
  <c r="BD19" i="43"/>
  <c r="DG19" i="43"/>
  <c r="AZ21" i="43"/>
  <c r="DC21" i="43"/>
  <c r="CZ29" i="43"/>
  <c r="W27" i="43"/>
  <c r="CJ25" i="43"/>
  <c r="CZ25" i="43"/>
  <c r="DO93" i="3"/>
  <c r="EJ93" i="3" s="1"/>
  <c r="X93" i="3"/>
  <c r="Q335" i="3"/>
  <c r="CF23" i="43"/>
  <c r="AI17" i="43"/>
  <c r="U63" i="27"/>
  <c r="DO94" i="3"/>
  <c r="DZ94" i="3" s="1"/>
  <c r="X94" i="3"/>
  <c r="Y94" i="3" s="1"/>
  <c r="Z94" i="3" s="1"/>
  <c r="AA94" i="3" s="1"/>
  <c r="AB94" i="3" s="1"/>
  <c r="AC94" i="3" s="1"/>
  <c r="AD94" i="3" s="1"/>
  <c r="AE94" i="3" s="1"/>
  <c r="AF94" i="3" s="1"/>
  <c r="AG94" i="3" s="1"/>
  <c r="AH94" i="3" s="1"/>
  <c r="AI94" i="3" s="1"/>
  <c r="AJ94" i="3" s="1"/>
  <c r="AK94" i="3" s="1"/>
  <c r="AL94" i="3" s="1"/>
  <c r="AM94" i="3" s="1"/>
  <c r="AN94" i="3" s="1"/>
  <c r="AO94" i="3" s="1"/>
  <c r="AP94" i="3" s="1"/>
  <c r="AQ94" i="3" s="1"/>
  <c r="AR94" i="3" s="1"/>
  <c r="AS94" i="3" s="1"/>
  <c r="AT94" i="3" s="1"/>
  <c r="AU94" i="3" s="1"/>
  <c r="AV94" i="3" s="1"/>
  <c r="AW94" i="3" s="1"/>
  <c r="AX94" i="3" s="1"/>
  <c r="AY94" i="3" s="1"/>
  <c r="AZ94" i="3" s="1"/>
  <c r="BA94" i="3" s="1"/>
  <c r="BB94" i="3" s="1"/>
  <c r="BC94" i="3" s="1"/>
  <c r="BD94" i="3" s="1"/>
  <c r="BE94" i="3" s="1"/>
  <c r="BF94" i="3" s="1"/>
  <c r="BG94" i="3" s="1"/>
  <c r="BH94" i="3" s="1"/>
  <c r="BI94" i="3" s="1"/>
  <c r="BJ94" i="3" s="1"/>
  <c r="BK94" i="3" s="1"/>
  <c r="BL94" i="3" s="1"/>
  <c r="BM94" i="3" s="1"/>
  <c r="BN94" i="3" s="1"/>
  <c r="BO94" i="3" s="1"/>
  <c r="BP94" i="3" s="1"/>
  <c r="BQ94" i="3" s="1"/>
  <c r="BR94" i="3" s="1"/>
  <c r="BS94" i="3" s="1"/>
  <c r="BT94" i="3" s="1"/>
  <c r="BU94" i="3" s="1"/>
  <c r="BV94" i="3" s="1"/>
  <c r="BW94" i="3" s="1"/>
  <c r="BX94" i="3" s="1"/>
  <c r="BY94" i="3" s="1"/>
  <c r="BZ94" i="3" s="1"/>
  <c r="CA94" i="3" s="1"/>
  <c r="CB94" i="3" s="1"/>
  <c r="CC94" i="3" s="1"/>
  <c r="CD94" i="3" s="1"/>
  <c r="CE94" i="3" s="1"/>
  <c r="CF94" i="3" s="1"/>
  <c r="CG94" i="3" s="1"/>
  <c r="CH94" i="3" s="1"/>
  <c r="CI94" i="3" s="1"/>
  <c r="CJ94" i="3" s="1"/>
  <c r="CK94" i="3" s="1"/>
  <c r="CL94" i="3" s="1"/>
  <c r="CM94" i="3" s="1"/>
  <c r="CN94" i="3" s="1"/>
  <c r="CO94" i="3" s="1"/>
  <c r="CP94" i="3" s="1"/>
  <c r="BO28" i="25"/>
  <c r="AS24" i="16"/>
  <c r="BT48" i="23"/>
  <c r="Y131" i="21"/>
  <c r="DJ59" i="3"/>
  <c r="DJ101" i="3" s="1"/>
  <c r="N292" i="3"/>
  <c r="N35" i="17" s="1"/>
  <c r="M337" i="3"/>
  <c r="EE47" i="3"/>
  <c r="P139" i="3"/>
  <c r="Q140" i="3" s="1"/>
  <c r="X321" i="3"/>
  <c r="AS11" i="16"/>
  <c r="V336" i="3"/>
  <c r="DN292" i="3"/>
  <c r="L27" i="23"/>
  <c r="L36" i="23" s="1"/>
  <c r="L38" i="23" s="1"/>
  <c r="L39" i="23" s="1"/>
  <c r="N27" i="23"/>
  <c r="N36" i="23" s="1"/>
  <c r="N38" i="23" s="1"/>
  <c r="N39" i="23" s="1"/>
  <c r="R27" i="23"/>
  <c r="R36" i="23" s="1"/>
  <c r="R38" i="23" s="1"/>
  <c r="R39" i="23" s="1"/>
  <c r="V27" i="23"/>
  <c r="V21" i="25"/>
  <c r="R35" i="25"/>
  <c r="R54" i="25" s="1"/>
  <c r="T23" i="43"/>
  <c r="BT19" i="43"/>
  <c r="BV87" i="25"/>
  <c r="N113" i="15"/>
  <c r="BV31" i="27"/>
  <c r="J31" i="27"/>
  <c r="BA28" i="27"/>
  <c r="AG31" i="27"/>
  <c r="BT28" i="27"/>
  <c r="I27" i="27"/>
  <c r="CE31" i="27"/>
  <c r="S31" i="27"/>
  <c r="BJ28" i="27"/>
  <c r="CE22" i="23"/>
  <c r="X31" i="27"/>
  <c r="BG28" i="27"/>
  <c r="CN31" i="27"/>
  <c r="AQ24" i="16"/>
  <c r="R27" i="27"/>
  <c r="AP31" i="27"/>
  <c r="CG28" i="27"/>
  <c r="U28" i="27"/>
  <c r="BM31" i="27"/>
  <c r="T30" i="27"/>
  <c r="AN28" i="27"/>
  <c r="AY31" i="27"/>
  <c r="CP28" i="27"/>
  <c r="AD28" i="27"/>
  <c r="CF31" i="27"/>
  <c r="CI28" i="27"/>
  <c r="V27" i="27"/>
  <c r="CL31" i="27"/>
  <c r="Z31" i="27"/>
  <c r="BQ28" i="27"/>
  <c r="AW31" i="27"/>
  <c r="CJ28" i="27"/>
  <c r="X28" i="27"/>
  <c r="AI31" i="27"/>
  <c r="BZ28" i="27"/>
  <c r="N28" i="27"/>
  <c r="CJ31" i="27"/>
  <c r="T31" i="27"/>
  <c r="AQ38" i="16"/>
  <c r="N23" i="21"/>
  <c r="T54" i="27"/>
  <c r="T27" i="27"/>
  <c r="Y336" i="3"/>
  <c r="Z289" i="3"/>
  <c r="Z336" i="3" s="1"/>
  <c r="S331" i="3"/>
  <c r="U292" i="3"/>
  <c r="DK229" i="3"/>
  <c r="DO139" i="3"/>
  <c r="N34" i="27"/>
  <c r="N47" i="27" s="1"/>
  <c r="N54" i="27" s="1"/>
  <c r="AB28" i="25"/>
  <c r="DK234" i="3"/>
  <c r="AT87" i="16"/>
  <c r="AT26" i="16" s="1"/>
  <c r="S335" i="3"/>
  <c r="N296" i="3"/>
  <c r="AJ25" i="16" s="1"/>
  <c r="X37" i="23"/>
  <c r="Y37" i="23" s="1"/>
  <c r="Z37" i="23" s="1"/>
  <c r="AA37" i="23" s="1"/>
  <c r="AB37" i="23" s="1"/>
  <c r="AC37" i="23" s="1"/>
  <c r="L77" i="43"/>
  <c r="L61" i="43"/>
  <c r="L46" i="43"/>
  <c r="L39" i="43"/>
  <c r="R11" i="45"/>
  <c r="R38" i="45"/>
  <c r="DK289" i="3"/>
  <c r="N332" i="3"/>
  <c r="L194" i="3"/>
  <c r="DE139" i="3"/>
  <c r="DF41" i="3"/>
  <c r="DF145" i="3"/>
  <c r="DF253" i="3"/>
  <c r="DL37" i="3"/>
  <c r="DM37" i="3" s="1"/>
  <c r="EI37" i="3" s="1"/>
  <c r="Y79" i="23"/>
  <c r="U26" i="21"/>
  <c r="K98" i="15"/>
  <c r="U103" i="15"/>
  <c r="Y291" i="3"/>
  <c r="Z291" i="3" s="1"/>
  <c r="R180" i="3"/>
  <c r="DF70" i="3"/>
  <c r="DX47" i="3"/>
  <c r="AQ346" i="3"/>
  <c r="BM346" i="3"/>
  <c r="V119" i="3"/>
  <c r="V118" i="3" s="1"/>
  <c r="AG11" i="16"/>
  <c r="AK11" i="16"/>
  <c r="AO11" i="16"/>
  <c r="BA47" i="23"/>
  <c r="N21" i="25"/>
  <c r="CG87" i="25"/>
  <c r="AB42" i="16"/>
  <c r="AF42" i="16"/>
  <c r="L11" i="45"/>
  <c r="O331" i="3"/>
  <c r="CJ148" i="3"/>
  <c r="EI93" i="3"/>
  <c r="DF39" i="3"/>
  <c r="DF82" i="3" s="1"/>
  <c r="DF85" i="3"/>
  <c r="V81" i="3"/>
  <c r="Y73" i="23"/>
  <c r="Z73" i="23" s="1"/>
  <c r="CC50" i="27"/>
  <c r="EE44" i="3"/>
  <c r="EH218" i="3"/>
  <c r="W23" i="21"/>
  <c r="S81" i="23"/>
  <c r="S86" i="23" s="1"/>
  <c r="S87" i="23" s="1"/>
  <c r="DK33" i="3"/>
  <c r="EH33" i="3" s="1"/>
  <c r="DF172" i="3"/>
  <c r="DF134" i="3" s="1"/>
  <c r="DF141" i="3" s="1"/>
  <c r="K63" i="26"/>
  <c r="K66" i="26"/>
  <c r="L28" i="43"/>
  <c r="AD16" i="43"/>
  <c r="BJ16" i="43"/>
  <c r="CP16" i="43"/>
  <c r="DC16" i="43"/>
  <c r="CM16" i="43"/>
  <c r="BW16" i="43"/>
  <c r="BG16" i="43"/>
  <c r="AQ16" i="43"/>
  <c r="AA16" i="43"/>
  <c r="DH16" i="43"/>
  <c r="CW18" i="43"/>
  <c r="CG18" i="43"/>
  <c r="BQ18" i="43"/>
  <c r="BA18" i="43"/>
  <c r="AK18" i="43"/>
  <c r="U18" i="43"/>
  <c r="DB18" i="43"/>
  <c r="CL18" i="43"/>
  <c r="BV18" i="43"/>
  <c r="BF18" i="43"/>
  <c r="AP18" i="43"/>
  <c r="Z18" i="43"/>
  <c r="DI20" i="43"/>
  <c r="CS20" i="43"/>
  <c r="CC20" i="43"/>
  <c r="BM20" i="43"/>
  <c r="AW20" i="43"/>
  <c r="AG20" i="43"/>
  <c r="Q20" i="43"/>
  <c r="CX20" i="43"/>
  <c r="CH20" i="43"/>
  <c r="AG9" i="16"/>
  <c r="U64" i="21"/>
  <c r="V102" i="21"/>
  <c r="X50" i="21"/>
  <c r="Y50" i="21" s="1"/>
  <c r="Z50" i="21" s="1"/>
  <c r="Z60" i="21"/>
  <c r="Z73" i="21" s="1"/>
  <c r="Z86" i="21" s="1"/>
  <c r="AD9" i="16"/>
  <c r="AD12" i="16" s="1"/>
  <c r="AE9" i="16"/>
  <c r="AE12" i="16" s="1"/>
  <c r="EI104" i="3"/>
  <c r="DX93" i="3"/>
  <c r="M132" i="3"/>
  <c r="AI30" i="16" s="1"/>
  <c r="Q132" i="3"/>
  <c r="AM30" i="16" s="1"/>
  <c r="DZ27" i="3"/>
  <c r="K28" i="26"/>
  <c r="K49" i="26"/>
  <c r="EH117" i="3"/>
  <c r="O139" i="3"/>
  <c r="P29" i="21"/>
  <c r="P47" i="21" s="1"/>
  <c r="M27" i="23"/>
  <c r="M36" i="23" s="1"/>
  <c r="M38" i="23" s="1"/>
  <c r="M39" i="23" s="1"/>
  <c r="Q27" i="23"/>
  <c r="Q36" i="23" s="1"/>
  <c r="Q38" i="23" s="1"/>
  <c r="Q39" i="23" s="1"/>
  <c r="U27" i="23"/>
  <c r="T21" i="25"/>
  <c r="BS87" i="25"/>
  <c r="CZ3" i="43"/>
  <c r="BT3" i="43"/>
  <c r="AN3" i="43"/>
  <c r="DA3" i="43"/>
  <c r="AW3" i="43"/>
  <c r="CK3" i="43"/>
  <c r="N49" i="43"/>
  <c r="V49" i="43"/>
  <c r="AD49" i="43"/>
  <c r="AL49" i="43"/>
  <c r="AT49" i="43"/>
  <c r="BB49" i="43"/>
  <c r="BJ49" i="43"/>
  <c r="BR49" i="43"/>
  <c r="BZ49" i="43"/>
  <c r="CH49" i="43"/>
  <c r="CP49" i="43"/>
  <c r="CX49" i="43"/>
  <c r="DF49" i="43"/>
  <c r="Q49" i="43"/>
  <c r="Y49" i="43"/>
  <c r="AG49" i="43"/>
  <c r="AO49" i="43"/>
  <c r="AW49" i="43"/>
  <c r="BE49" i="43"/>
  <c r="BM49" i="43"/>
  <c r="BU49" i="43"/>
  <c r="CC49" i="43"/>
  <c r="CK49" i="43"/>
  <c r="CS49" i="43"/>
  <c r="DA49" i="43"/>
  <c r="DI49" i="43"/>
  <c r="N47" i="43"/>
  <c r="V47" i="43"/>
  <c r="AD47" i="43"/>
  <c r="AL47" i="43"/>
  <c r="AT47" i="43"/>
  <c r="BB47" i="43"/>
  <c r="BJ47" i="43"/>
  <c r="BR47" i="43"/>
  <c r="BZ47" i="43"/>
  <c r="CH47" i="43"/>
  <c r="CP47" i="43"/>
  <c r="CX47" i="43"/>
  <c r="DF47" i="43"/>
  <c r="Q47" i="43"/>
  <c r="Y47" i="43"/>
  <c r="AG47" i="43"/>
  <c r="AO47" i="43"/>
  <c r="AW47" i="43"/>
  <c r="BE47" i="43"/>
  <c r="BM47" i="43"/>
  <c r="BU47" i="43"/>
  <c r="CC47" i="43"/>
  <c r="CK47" i="43"/>
  <c r="CS47" i="43"/>
  <c r="DA47" i="43"/>
  <c r="DI47" i="43"/>
  <c r="N45" i="43"/>
  <c r="V45" i="43"/>
  <c r="AD45" i="43"/>
  <c r="AL45" i="43"/>
  <c r="AT45" i="43"/>
  <c r="BB45" i="43"/>
  <c r="BJ45" i="43"/>
  <c r="BR45" i="43"/>
  <c r="BZ45" i="43"/>
  <c r="CH45" i="43"/>
  <c r="CP45" i="43"/>
  <c r="CX45" i="43"/>
  <c r="DF45" i="43"/>
  <c r="Q45" i="43"/>
  <c r="Y45" i="43"/>
  <c r="AG45" i="43"/>
  <c r="AO45" i="43"/>
  <c r="AW45" i="43"/>
  <c r="BE45" i="43"/>
  <c r="BM45" i="43"/>
  <c r="BU45" i="43"/>
  <c r="CC45" i="43"/>
  <c r="CK45" i="43"/>
  <c r="CS45" i="43"/>
  <c r="DA45" i="43"/>
  <c r="DI45" i="43"/>
  <c r="N43" i="43"/>
  <c r="V43" i="43"/>
  <c r="AD43" i="43"/>
  <c r="AL43" i="43"/>
  <c r="AT43" i="43"/>
  <c r="BB43" i="43"/>
  <c r="BJ43" i="43"/>
  <c r="BR43" i="43"/>
  <c r="BZ43" i="43"/>
  <c r="CH43" i="43"/>
  <c r="CP43" i="43"/>
  <c r="CX43" i="43"/>
  <c r="DF43" i="43"/>
  <c r="Q43" i="43"/>
  <c r="Y43" i="43"/>
  <c r="AG43" i="43"/>
  <c r="AO43" i="43"/>
  <c r="AW43" i="43"/>
  <c r="BE43" i="43"/>
  <c r="BM43" i="43"/>
  <c r="BU43" i="43"/>
  <c r="CC43" i="43"/>
  <c r="CK43" i="43"/>
  <c r="CS43" i="43"/>
  <c r="DA43" i="43"/>
  <c r="DI43" i="43"/>
  <c r="O41" i="43"/>
  <c r="W41" i="43"/>
  <c r="AE41" i="43"/>
  <c r="AM41" i="43"/>
  <c r="AU41" i="43"/>
  <c r="BC41" i="43"/>
  <c r="BK41" i="43"/>
  <c r="BS41" i="43"/>
  <c r="CA41" i="43"/>
  <c r="CI41" i="43"/>
  <c r="CQ41" i="43"/>
  <c r="CY41" i="43"/>
  <c r="DG41" i="43"/>
  <c r="P41" i="43"/>
  <c r="X41" i="43"/>
  <c r="AF41" i="43"/>
  <c r="AN41" i="43"/>
  <c r="AV41" i="43"/>
  <c r="BD41" i="43"/>
  <c r="BL41" i="43"/>
  <c r="BT41" i="43"/>
  <c r="CB41" i="43"/>
  <c r="CJ41" i="43"/>
  <c r="CR41" i="43"/>
  <c r="CZ41" i="43"/>
  <c r="DH41" i="43"/>
  <c r="O39" i="43"/>
  <c r="W39" i="43"/>
  <c r="AE39" i="43"/>
  <c r="AM39" i="43"/>
  <c r="AU39" i="43"/>
  <c r="BC39" i="43"/>
  <c r="BK39" i="43"/>
  <c r="BS39" i="43"/>
  <c r="CA39" i="43"/>
  <c r="CI39" i="43"/>
  <c r="CQ39" i="43"/>
  <c r="CY39" i="43"/>
  <c r="DG39" i="43"/>
  <c r="P39" i="43"/>
  <c r="X39" i="43"/>
  <c r="AF39" i="43"/>
  <c r="AN39" i="43"/>
  <c r="AV39" i="43"/>
  <c r="BD39" i="43"/>
  <c r="BL39" i="43"/>
  <c r="BT39" i="43"/>
  <c r="CB39" i="43"/>
  <c r="CJ39" i="43"/>
  <c r="CR39" i="43"/>
  <c r="CZ39" i="43"/>
  <c r="DH39" i="43"/>
  <c r="O37" i="43"/>
  <c r="W37" i="43"/>
  <c r="AE37" i="43"/>
  <c r="AM37" i="43"/>
  <c r="AU37" i="43"/>
  <c r="BC37" i="43"/>
  <c r="BK37" i="43"/>
  <c r="BS37" i="43"/>
  <c r="CA37" i="43"/>
  <c r="CI37" i="43"/>
  <c r="CQ37" i="43"/>
  <c r="CY37" i="43"/>
  <c r="DG37" i="43"/>
  <c r="P37" i="43"/>
  <c r="X37" i="43"/>
  <c r="AF37" i="43"/>
  <c r="AN37" i="43"/>
  <c r="AV37" i="43"/>
  <c r="BD37" i="43"/>
  <c r="BL37" i="43"/>
  <c r="BT37" i="43"/>
  <c r="CB37" i="43"/>
  <c r="CJ37" i="43"/>
  <c r="CR37" i="43"/>
  <c r="CZ37" i="43"/>
  <c r="DH37" i="43"/>
  <c r="O35" i="43"/>
  <c r="W35" i="43"/>
  <c r="AE35" i="43"/>
  <c r="AM35" i="43"/>
  <c r="AU35" i="43"/>
  <c r="BC35" i="43"/>
  <c r="BK35" i="43"/>
  <c r="BS35" i="43"/>
  <c r="CA35" i="43"/>
  <c r="CI35" i="43"/>
  <c r="CQ35" i="43"/>
  <c r="CY35" i="43"/>
  <c r="DG35" i="43"/>
  <c r="P35" i="43"/>
  <c r="X35" i="43"/>
  <c r="AF35" i="43"/>
  <c r="AN35" i="43"/>
  <c r="AV35" i="43"/>
  <c r="BD35" i="43"/>
  <c r="BL35" i="43"/>
  <c r="BT35" i="43"/>
  <c r="CB35" i="43"/>
  <c r="CJ35" i="43"/>
  <c r="CR35" i="43"/>
  <c r="CZ35" i="43"/>
  <c r="DH35" i="43"/>
  <c r="O33" i="43"/>
  <c r="W33" i="43"/>
  <c r="AE33" i="43"/>
  <c r="AM33" i="43"/>
  <c r="AU33" i="43"/>
  <c r="BC33" i="43"/>
  <c r="BK33" i="43"/>
  <c r="BS33" i="43"/>
  <c r="CA33" i="43"/>
  <c r="CI33" i="43"/>
  <c r="CQ33" i="43"/>
  <c r="CY33" i="43"/>
  <c r="DG33" i="43"/>
  <c r="R33" i="43"/>
  <c r="AB33" i="43"/>
  <c r="AL33" i="43"/>
  <c r="AX33" i="43"/>
  <c r="BH33" i="43"/>
  <c r="BR33" i="43"/>
  <c r="CD33" i="43"/>
  <c r="CN33" i="43"/>
  <c r="CX33" i="43"/>
  <c r="DJ33" i="43"/>
  <c r="AA31" i="43"/>
  <c r="BG31" i="43"/>
  <c r="CM31" i="43"/>
  <c r="T31" i="43"/>
  <c r="AZ31" i="43"/>
  <c r="CF31" i="43"/>
  <c r="AU29" i="43"/>
  <c r="DG29" i="43"/>
  <c r="BT29" i="43"/>
  <c r="BC27" i="43"/>
  <c r="P27" i="43"/>
  <c r="CB27" i="43"/>
  <c r="AU25" i="43"/>
  <c r="DG25" i="43"/>
  <c r="BT25" i="43"/>
  <c r="BW21" i="43"/>
  <c r="AJ21" i="43"/>
  <c r="CV21" i="43"/>
  <c r="AA23" i="43"/>
  <c r="CM23" i="43"/>
  <c r="AZ23" i="43"/>
  <c r="O19" i="43"/>
  <c r="CA19" i="43"/>
  <c r="AN19" i="43"/>
  <c r="CZ19" i="43"/>
  <c r="BO17" i="43"/>
  <c r="AB17" i="43"/>
  <c r="N50" i="3"/>
  <c r="N56" i="3" s="1"/>
  <c r="DX117" i="3"/>
  <c r="DK78" i="3"/>
  <c r="DF133" i="3"/>
  <c r="DF135" i="3" s="1"/>
  <c r="K95" i="3"/>
  <c r="K96" i="3" s="1"/>
  <c r="DE99" i="3"/>
  <c r="DU99" i="3" s="1"/>
  <c r="DD133" i="3"/>
  <c r="DD135" i="3" s="1"/>
  <c r="O237" i="3"/>
  <c r="M47" i="16" s="1"/>
  <c r="M89" i="16" s="1"/>
  <c r="S237" i="3"/>
  <c r="Q47" i="16" s="1"/>
  <c r="Q89" i="16" s="1"/>
  <c r="AL16" i="16"/>
  <c r="AL15" i="16" s="1"/>
  <c r="AN17" i="16"/>
  <c r="AR17" i="16"/>
  <c r="R337" i="3"/>
  <c r="CR3" i="43"/>
  <c r="BL3" i="43"/>
  <c r="AF3" i="43"/>
  <c r="CM3" i="43"/>
  <c r="AI3" i="43"/>
  <c r="BS3" i="43"/>
  <c r="P45" i="43"/>
  <c r="X45" i="43"/>
  <c r="AF45" i="43"/>
  <c r="AN45" i="43"/>
  <c r="AV45" i="43"/>
  <c r="BD45" i="43"/>
  <c r="BL45" i="43"/>
  <c r="BT45" i="43"/>
  <c r="CB45" i="43"/>
  <c r="CJ45" i="43"/>
  <c r="CR45" i="43"/>
  <c r="CZ45" i="43"/>
  <c r="DH45" i="43"/>
  <c r="S45" i="43"/>
  <c r="AA45" i="43"/>
  <c r="AI45" i="43"/>
  <c r="AQ45" i="43"/>
  <c r="AY45" i="43"/>
  <c r="BG45" i="43"/>
  <c r="BO45" i="43"/>
  <c r="BW45" i="43"/>
  <c r="CE45" i="43"/>
  <c r="CM45" i="43"/>
  <c r="CU45" i="43"/>
  <c r="DC45" i="43"/>
  <c r="DK45" i="43"/>
  <c r="P43" i="43"/>
  <c r="X43" i="43"/>
  <c r="AF43" i="43"/>
  <c r="AN43" i="43"/>
  <c r="AV43" i="43"/>
  <c r="BD43" i="43"/>
  <c r="BL43" i="43"/>
  <c r="BT43" i="43"/>
  <c r="CB43" i="43"/>
  <c r="CJ43" i="43"/>
  <c r="CR43" i="43"/>
  <c r="CZ43" i="43"/>
  <c r="DH43" i="43"/>
  <c r="S43" i="43"/>
  <c r="AA43" i="43"/>
  <c r="AI43" i="43"/>
  <c r="AQ43" i="43"/>
  <c r="AY43" i="43"/>
  <c r="BG43" i="43"/>
  <c r="BO43" i="43"/>
  <c r="BW43" i="43"/>
  <c r="CE43" i="43"/>
  <c r="CM43" i="43"/>
  <c r="CU43" i="43"/>
  <c r="DC43" i="43"/>
  <c r="DK43" i="43"/>
  <c r="Q41" i="43"/>
  <c r="Y41" i="43"/>
  <c r="AG41" i="43"/>
  <c r="AO41" i="43"/>
  <c r="AW41" i="43"/>
  <c r="BE41" i="43"/>
  <c r="BM41" i="43"/>
  <c r="BU41" i="43"/>
  <c r="CC41" i="43"/>
  <c r="CK41" i="43"/>
  <c r="CS41" i="43"/>
  <c r="DA41" i="43"/>
  <c r="DI41" i="43"/>
  <c r="R41" i="43"/>
  <c r="Z41" i="43"/>
  <c r="AH41" i="43"/>
  <c r="AP41" i="43"/>
  <c r="AX41" i="43"/>
  <c r="BF41" i="43"/>
  <c r="BN41" i="43"/>
  <c r="BV41" i="43"/>
  <c r="CD41" i="43"/>
  <c r="CL41" i="43"/>
  <c r="CT41" i="43"/>
  <c r="DB41" i="43"/>
  <c r="DJ41" i="43"/>
  <c r="Q39" i="43"/>
  <c r="Y39" i="43"/>
  <c r="AG39" i="43"/>
  <c r="AO39" i="43"/>
  <c r="AW39" i="43"/>
  <c r="BE39" i="43"/>
  <c r="BM39" i="43"/>
  <c r="BU39" i="43"/>
  <c r="CC39" i="43"/>
  <c r="CK39" i="43"/>
  <c r="CS39" i="43"/>
  <c r="DA39" i="43"/>
  <c r="DI39" i="43"/>
  <c r="R39" i="43"/>
  <c r="Z39" i="43"/>
  <c r="AH39" i="43"/>
  <c r="AP39" i="43"/>
  <c r="AX39" i="43"/>
  <c r="BF39" i="43"/>
  <c r="BN39" i="43"/>
  <c r="BV39" i="43"/>
  <c r="CD39" i="43"/>
  <c r="CL39" i="43"/>
  <c r="CT39" i="43"/>
  <c r="DB39" i="43"/>
  <c r="DJ39" i="43"/>
  <c r="Q37" i="43"/>
  <c r="Y37" i="43"/>
  <c r="AG37" i="43"/>
  <c r="AO37" i="43"/>
  <c r="AW37" i="43"/>
  <c r="BE37" i="43"/>
  <c r="BM37" i="43"/>
  <c r="BU37" i="43"/>
  <c r="CC37" i="43"/>
  <c r="CK37" i="43"/>
  <c r="CS37" i="43"/>
  <c r="DA37" i="43"/>
  <c r="DI37" i="43"/>
  <c r="R37" i="43"/>
  <c r="Z37" i="43"/>
  <c r="AH37" i="43"/>
  <c r="AP37" i="43"/>
  <c r="AX37" i="43"/>
  <c r="BF37" i="43"/>
  <c r="BN37" i="43"/>
  <c r="BV37" i="43"/>
  <c r="CD37" i="43"/>
  <c r="CL37" i="43"/>
  <c r="CT37" i="43"/>
  <c r="DB37" i="43"/>
  <c r="DJ37" i="43"/>
  <c r="Q35" i="43"/>
  <c r="Y35" i="43"/>
  <c r="AG35" i="43"/>
  <c r="AO35" i="43"/>
  <c r="AW35" i="43"/>
  <c r="BE35" i="43"/>
  <c r="BM35" i="43"/>
  <c r="BU35" i="43"/>
  <c r="CC35" i="43"/>
  <c r="CK35" i="43"/>
  <c r="CS35" i="43"/>
  <c r="DA35" i="43"/>
  <c r="DI35" i="43"/>
  <c r="R35" i="43"/>
  <c r="Z35" i="43"/>
  <c r="AH35" i="43"/>
  <c r="AP35" i="43"/>
  <c r="AX35" i="43"/>
  <c r="BF35" i="43"/>
  <c r="BN35" i="43"/>
  <c r="BV35" i="43"/>
  <c r="CD35" i="43"/>
  <c r="CL35" i="43"/>
  <c r="CT35" i="43"/>
  <c r="DB35" i="43"/>
  <c r="DJ35" i="43"/>
  <c r="Q33" i="43"/>
  <c r="Y33" i="43"/>
  <c r="AG33" i="43"/>
  <c r="AO33" i="43"/>
  <c r="AW33" i="43"/>
  <c r="BE33" i="43"/>
  <c r="BM33" i="43"/>
  <c r="BU33" i="43"/>
  <c r="CC33" i="43"/>
  <c r="CK33" i="43"/>
  <c r="CS33" i="43"/>
  <c r="DA33" i="43"/>
  <c r="DI33" i="43"/>
  <c r="T33" i="43"/>
  <c r="AD33" i="43"/>
  <c r="AP33" i="43"/>
  <c r="AZ33" i="43"/>
  <c r="BJ33" i="43"/>
  <c r="BV33" i="43"/>
  <c r="CF33" i="43"/>
  <c r="CP33" i="43"/>
  <c r="AI31" i="43"/>
  <c r="BO31" i="43"/>
  <c r="CU31" i="43"/>
  <c r="AB31" i="43"/>
  <c r="BH31" i="43"/>
  <c r="BK29" i="43"/>
  <c r="X29" i="43"/>
  <c r="BS27" i="43"/>
  <c r="AF27" i="43"/>
  <c r="BK25" i="43"/>
  <c r="X25" i="43"/>
  <c r="AA21" i="43"/>
  <c r="CM21" i="43"/>
  <c r="AQ23" i="43"/>
  <c r="DC23" i="43"/>
  <c r="AE19" i="43"/>
  <c r="CQ19" i="43"/>
  <c r="S17" i="43"/>
  <c r="CE17" i="43"/>
  <c r="AJ15" i="43"/>
  <c r="DD15" i="43"/>
  <c r="CE15" i="43"/>
  <c r="CZ17" i="43"/>
  <c r="BT17" i="43"/>
  <c r="AN17" i="43"/>
  <c r="T17" i="43"/>
  <c r="DC17" i="43"/>
  <c r="CM17" i="43"/>
  <c r="BW17" i="43"/>
  <c r="BG17" i="43"/>
  <c r="AQ17" i="43"/>
  <c r="AA17" i="43"/>
  <c r="CR17" i="43"/>
  <c r="BL17" i="43"/>
  <c r="AF17" i="43"/>
  <c r="P17" i="43"/>
  <c r="CY17" i="43"/>
  <c r="CI17" i="43"/>
  <c r="BS17" i="43"/>
  <c r="BC17" i="43"/>
  <c r="AM17" i="43"/>
  <c r="W17" i="43"/>
  <c r="DH17" i="43"/>
  <c r="CB17" i="43"/>
  <c r="AV17" i="43"/>
  <c r="X17" i="43"/>
  <c r="DG17" i="43"/>
  <c r="CQ17" i="43"/>
  <c r="CA17" i="43"/>
  <c r="BK17" i="43"/>
  <c r="AU17" i="43"/>
  <c r="AE17" i="43"/>
  <c r="O17" i="43"/>
  <c r="DH19" i="43"/>
  <c r="CR19" i="43"/>
  <c r="CB19" i="43"/>
  <c r="BL19" i="43"/>
  <c r="AV19" i="43"/>
  <c r="AF19" i="43"/>
  <c r="P19" i="43"/>
  <c r="CY19" i="43"/>
  <c r="CI19" i="43"/>
  <c r="BS19" i="43"/>
  <c r="BC19" i="43"/>
  <c r="AM19" i="43"/>
  <c r="W19" i="43"/>
  <c r="DD19" i="43"/>
  <c r="CN19" i="43"/>
  <c r="BX19" i="43"/>
  <c r="BH19" i="43"/>
  <c r="AR19" i="43"/>
  <c r="AB19" i="43"/>
  <c r="DK19" i="43"/>
  <c r="CU19" i="43"/>
  <c r="CE19" i="43"/>
  <c r="BO19" i="43"/>
  <c r="AY19" i="43"/>
  <c r="AI19" i="43"/>
  <c r="S19" i="43"/>
  <c r="CV19" i="43"/>
  <c r="CF19" i="43"/>
  <c r="BP19" i="43"/>
  <c r="AZ19" i="43"/>
  <c r="AJ19" i="43"/>
  <c r="T19" i="43"/>
  <c r="DC19" i="43"/>
  <c r="CM19" i="43"/>
  <c r="BW19" i="43"/>
  <c r="BG19" i="43"/>
  <c r="AQ19" i="43"/>
  <c r="AA19" i="43"/>
  <c r="DD21" i="43"/>
  <c r="CN21" i="43"/>
  <c r="BX21" i="43"/>
  <c r="BH21" i="43"/>
  <c r="AR21" i="43"/>
  <c r="AB21" i="43"/>
  <c r="DK21" i="43"/>
  <c r="CU21" i="43"/>
  <c r="CE21" i="43"/>
  <c r="BO21" i="43"/>
  <c r="AY21" i="43"/>
  <c r="AI21" i="43"/>
  <c r="S21" i="43"/>
  <c r="CZ21" i="43"/>
  <c r="CJ21" i="43"/>
  <c r="BT21" i="43"/>
  <c r="BD21" i="43"/>
  <c r="AN21" i="43"/>
  <c r="X21" i="43"/>
  <c r="DG21" i="43"/>
  <c r="CQ21" i="43"/>
  <c r="CA21" i="43"/>
  <c r="BK21" i="43"/>
  <c r="AU21" i="43"/>
  <c r="AE21" i="43"/>
  <c r="O21" i="43"/>
  <c r="DH21" i="43"/>
  <c r="CR21" i="43"/>
  <c r="CB21" i="43"/>
  <c r="BL21" i="43"/>
  <c r="AV21" i="43"/>
  <c r="AF21" i="43"/>
  <c r="P21" i="43"/>
  <c r="CY21" i="43"/>
  <c r="CI21" i="43"/>
  <c r="BS21" i="43"/>
  <c r="BC21" i="43"/>
  <c r="AM21" i="43"/>
  <c r="W21" i="43"/>
  <c r="DD23" i="43"/>
  <c r="CN23" i="43"/>
  <c r="BX23" i="43"/>
  <c r="BH23" i="43"/>
  <c r="AR23" i="43"/>
  <c r="AB23" i="43"/>
  <c r="DK23" i="43"/>
  <c r="CU23" i="43"/>
  <c r="CE23" i="43"/>
  <c r="BO23" i="43"/>
  <c r="AY23" i="43"/>
  <c r="AI23" i="43"/>
  <c r="S23" i="43"/>
  <c r="CZ23" i="43"/>
  <c r="CJ23" i="43"/>
  <c r="BT23" i="43"/>
  <c r="BD23" i="43"/>
  <c r="AN23" i="43"/>
  <c r="X23" i="43"/>
  <c r="DG23" i="43"/>
  <c r="CQ23" i="43"/>
  <c r="CA23" i="43"/>
  <c r="BK23" i="43"/>
  <c r="AU23" i="43"/>
  <c r="AE23" i="43"/>
  <c r="O23" i="43"/>
  <c r="DH23" i="43"/>
  <c r="CR23" i="43"/>
  <c r="CB23" i="43"/>
  <c r="BL23" i="43"/>
  <c r="AV23" i="43"/>
  <c r="AF23" i="43"/>
  <c r="P23" i="43"/>
  <c r="CY23" i="43"/>
  <c r="CI23" i="43"/>
  <c r="BS23" i="43"/>
  <c r="BC23" i="43"/>
  <c r="AM23" i="43"/>
  <c r="W23" i="43"/>
  <c r="DH25" i="43"/>
  <c r="CR25" i="43"/>
  <c r="CB25" i="43"/>
  <c r="BL25" i="43"/>
  <c r="AV25" i="43"/>
  <c r="AF25" i="43"/>
  <c r="P25" i="43"/>
  <c r="CY25" i="43"/>
  <c r="CI25" i="43"/>
  <c r="BS25" i="43"/>
  <c r="BC25" i="43"/>
  <c r="AM25" i="43"/>
  <c r="W25" i="43"/>
  <c r="DD25" i="43"/>
  <c r="CN25" i="43"/>
  <c r="BX25" i="43"/>
  <c r="BH25" i="43"/>
  <c r="AR25" i="43"/>
  <c r="AB25" i="43"/>
  <c r="DK25" i="43"/>
  <c r="CU25" i="43"/>
  <c r="CE25" i="43"/>
  <c r="BO25" i="43"/>
  <c r="AY25" i="43"/>
  <c r="AI25" i="43"/>
  <c r="S25" i="43"/>
  <c r="CV25" i="43"/>
  <c r="CF25" i="43"/>
  <c r="BP25" i="43"/>
  <c r="AZ25" i="43"/>
  <c r="AJ25" i="43"/>
  <c r="T25" i="43"/>
  <c r="DC25" i="43"/>
  <c r="CM25" i="43"/>
  <c r="BW25" i="43"/>
  <c r="BG25" i="43"/>
  <c r="AQ25" i="43"/>
  <c r="AA25" i="43"/>
  <c r="CZ27" i="43"/>
  <c r="CJ27" i="43"/>
  <c r="BT27" i="43"/>
  <c r="BD27" i="43"/>
  <c r="AN27" i="43"/>
  <c r="X27" i="43"/>
  <c r="DG27" i="43"/>
  <c r="CQ27" i="43"/>
  <c r="CA27" i="43"/>
  <c r="BK27" i="43"/>
  <c r="AU27" i="43"/>
  <c r="AE27" i="43"/>
  <c r="O27" i="43"/>
  <c r="CV27" i="43"/>
  <c r="CF27" i="43"/>
  <c r="BP27" i="43"/>
  <c r="AZ27" i="43"/>
  <c r="AJ27" i="43"/>
  <c r="T27" i="43"/>
  <c r="DC27" i="43"/>
  <c r="CM27" i="43"/>
  <c r="BW27" i="43"/>
  <c r="BG27" i="43"/>
  <c r="AQ27" i="43"/>
  <c r="AA27" i="43"/>
  <c r="DD27" i="43"/>
  <c r="CN27" i="43"/>
  <c r="BX27" i="43"/>
  <c r="BH27" i="43"/>
  <c r="AR27" i="43"/>
  <c r="AB27" i="43"/>
  <c r="DK27" i="43"/>
  <c r="CU27" i="43"/>
  <c r="CE27" i="43"/>
  <c r="BO27" i="43"/>
  <c r="AY27" i="43"/>
  <c r="AI27" i="43"/>
  <c r="S27" i="43"/>
  <c r="DH29" i="43"/>
  <c r="CR29" i="43"/>
  <c r="CB29" i="43"/>
  <c r="BL29" i="43"/>
  <c r="AV29" i="43"/>
  <c r="AF29" i="43"/>
  <c r="P29" i="43"/>
  <c r="CY29" i="43"/>
  <c r="CI29" i="43"/>
  <c r="BS29" i="43"/>
  <c r="BC29" i="43"/>
  <c r="AM29" i="43"/>
  <c r="W29" i="43"/>
  <c r="DD29" i="43"/>
  <c r="CN29" i="43"/>
  <c r="BX29" i="43"/>
  <c r="BH29" i="43"/>
  <c r="AR29" i="43"/>
  <c r="AB29" i="43"/>
  <c r="DK29" i="43"/>
  <c r="CU29" i="43"/>
  <c r="CE29" i="43"/>
  <c r="BO29" i="43"/>
  <c r="AY29" i="43"/>
  <c r="AI29" i="43"/>
  <c r="S29" i="43"/>
  <c r="CV29" i="43"/>
  <c r="CF29" i="43"/>
  <c r="BP29" i="43"/>
  <c r="AZ29" i="43"/>
  <c r="AJ29" i="43"/>
  <c r="T29" i="43"/>
  <c r="DC29" i="43"/>
  <c r="CM29" i="43"/>
  <c r="BW29" i="43"/>
  <c r="BG29" i="43"/>
  <c r="AQ29" i="43"/>
  <c r="AA29" i="43"/>
  <c r="CZ31" i="43"/>
  <c r="CJ31" i="43"/>
  <c r="CB31" i="43"/>
  <c r="BT31" i="43"/>
  <c r="BL31" i="43"/>
  <c r="BD31" i="43"/>
  <c r="AV31" i="43"/>
  <c r="AN31" i="43"/>
  <c r="AF31" i="43"/>
  <c r="X31" i="43"/>
  <c r="P31" i="43"/>
  <c r="DG31" i="43"/>
  <c r="CY31" i="43"/>
  <c r="CQ31" i="43"/>
  <c r="CI31" i="43"/>
  <c r="CA31" i="43"/>
  <c r="BS31" i="43"/>
  <c r="BK31" i="43"/>
  <c r="BC31" i="43"/>
  <c r="AU31" i="43"/>
  <c r="AM31" i="43"/>
  <c r="AE31" i="43"/>
  <c r="W31" i="43"/>
  <c r="O31" i="43"/>
  <c r="CV31" i="43"/>
  <c r="CH31" i="43"/>
  <c r="BZ31" i="43"/>
  <c r="BR31" i="43"/>
  <c r="BJ31" i="43"/>
  <c r="BB31" i="43"/>
  <c r="AT31" i="43"/>
  <c r="AL31" i="43"/>
  <c r="AD31" i="43"/>
  <c r="V31" i="43"/>
  <c r="N31" i="43"/>
  <c r="DE31" i="43"/>
  <c r="CW31" i="43"/>
  <c r="CO31" i="43"/>
  <c r="CG31" i="43"/>
  <c r="BY31" i="43"/>
  <c r="BQ31" i="43"/>
  <c r="BI31" i="43"/>
  <c r="BA31" i="43"/>
  <c r="AS31" i="43"/>
  <c r="AK31" i="43"/>
  <c r="AC31" i="43"/>
  <c r="U31" i="43"/>
  <c r="DD31" i="43"/>
  <c r="CN31" i="43"/>
  <c r="CD31" i="43"/>
  <c r="BV31" i="43"/>
  <c r="BN31" i="43"/>
  <c r="BF31" i="43"/>
  <c r="AX31" i="43"/>
  <c r="AP31" i="43"/>
  <c r="AH31" i="43"/>
  <c r="Z31" i="43"/>
  <c r="R31" i="43"/>
  <c r="DI31" i="43"/>
  <c r="DA31" i="43"/>
  <c r="CS31" i="43"/>
  <c r="CK31" i="43"/>
  <c r="CC31" i="43"/>
  <c r="BU31" i="43"/>
  <c r="BM31" i="43"/>
  <c r="BE31" i="43"/>
  <c r="AW31" i="43"/>
  <c r="AO31" i="43"/>
  <c r="AG31" i="43"/>
  <c r="Y31" i="43"/>
  <c r="Q31" i="43"/>
  <c r="DH33" i="43"/>
  <c r="CZ33" i="43"/>
  <c r="CR33" i="43"/>
  <c r="CJ33" i="43"/>
  <c r="CB33" i="43"/>
  <c r="BT33" i="43"/>
  <c r="BL33" i="43"/>
  <c r="BD33" i="43"/>
  <c r="AV33" i="43"/>
  <c r="AN33" i="43"/>
  <c r="AF33" i="43"/>
  <c r="X33" i="43"/>
  <c r="P33" i="43"/>
  <c r="DJ97" i="3"/>
  <c r="O62" i="16"/>
  <c r="DG100" i="3"/>
  <c r="DV100" i="3" s="1"/>
  <c r="DM100" i="3"/>
  <c r="EI100" i="3" s="1"/>
  <c r="R139" i="3"/>
  <c r="AN32" i="16" s="1"/>
  <c r="AN38" i="16" s="1"/>
  <c r="DN237" i="3"/>
  <c r="AN16" i="16"/>
  <c r="AN15" i="16" s="1"/>
  <c r="AR16" i="16"/>
  <c r="AR15" i="16" s="1"/>
  <c r="V335" i="3"/>
  <c r="S337" i="3"/>
  <c r="Q296" i="3"/>
  <c r="O34" i="27"/>
  <c r="O47" i="27" s="1"/>
  <c r="K21" i="25"/>
  <c r="O21" i="25"/>
  <c r="S21" i="25"/>
  <c r="W21" i="25"/>
  <c r="DH3" i="43"/>
  <c r="CB3" i="43"/>
  <c r="AV3" i="43"/>
  <c r="P3" i="43"/>
  <c r="BK3" i="43"/>
  <c r="DC3" i="43"/>
  <c r="AE3" i="43"/>
  <c r="AB9" i="16"/>
  <c r="AB12" i="16" s="1"/>
  <c r="AB81" i="16" s="1"/>
  <c r="AD42" i="16"/>
  <c r="T49" i="43"/>
  <c r="AB49" i="43"/>
  <c r="AJ49" i="43"/>
  <c r="AR49" i="43"/>
  <c r="AZ49" i="43"/>
  <c r="BH49" i="43"/>
  <c r="BP49" i="43"/>
  <c r="BX49" i="43"/>
  <c r="CF49" i="43"/>
  <c r="CN49" i="43"/>
  <c r="CV49" i="43"/>
  <c r="DD49" i="43"/>
  <c r="O49" i="43"/>
  <c r="W49" i="43"/>
  <c r="AE49" i="43"/>
  <c r="AM49" i="43"/>
  <c r="AU49" i="43"/>
  <c r="BC49" i="43"/>
  <c r="BK49" i="43"/>
  <c r="BS49" i="43"/>
  <c r="CA49" i="43"/>
  <c r="CI49" i="43"/>
  <c r="CQ49" i="43"/>
  <c r="CY49" i="43"/>
  <c r="T47" i="43"/>
  <c r="AB47" i="43"/>
  <c r="AJ47" i="43"/>
  <c r="AR47" i="43"/>
  <c r="AZ47" i="43"/>
  <c r="BH47" i="43"/>
  <c r="BP47" i="43"/>
  <c r="BX47" i="43"/>
  <c r="CF47" i="43"/>
  <c r="CN47" i="43"/>
  <c r="CV47" i="43"/>
  <c r="DD47" i="43"/>
  <c r="O47" i="43"/>
  <c r="W47" i="43"/>
  <c r="AE47" i="43"/>
  <c r="AM47" i="43"/>
  <c r="AU47" i="43"/>
  <c r="BC47" i="43"/>
  <c r="BK47" i="43"/>
  <c r="BS47" i="43"/>
  <c r="CA47" i="43"/>
  <c r="CI47" i="43"/>
  <c r="CQ47" i="43"/>
  <c r="CY47" i="43"/>
  <c r="T45" i="43"/>
  <c r="AB45" i="43"/>
  <c r="AJ45" i="43"/>
  <c r="AR45" i="43"/>
  <c r="AZ45" i="43"/>
  <c r="BH45" i="43"/>
  <c r="BP45" i="43"/>
  <c r="BX45" i="43"/>
  <c r="CF45" i="43"/>
  <c r="CN45" i="43"/>
  <c r="CV45" i="43"/>
  <c r="DD45" i="43"/>
  <c r="O45" i="43"/>
  <c r="W45" i="43"/>
  <c r="AE45" i="43"/>
  <c r="AM45" i="43"/>
  <c r="AU45" i="43"/>
  <c r="BC45" i="43"/>
  <c r="BK45" i="43"/>
  <c r="BS45" i="43"/>
  <c r="CA45" i="43"/>
  <c r="CI45" i="43"/>
  <c r="CQ45" i="43"/>
  <c r="CY45" i="43"/>
  <c r="T43" i="43"/>
  <c r="AB43" i="43"/>
  <c r="AJ43" i="43"/>
  <c r="AR43" i="43"/>
  <c r="AZ43" i="43"/>
  <c r="BH43" i="43"/>
  <c r="BP43" i="43"/>
  <c r="BX43" i="43"/>
  <c r="CF43" i="43"/>
  <c r="CN43" i="43"/>
  <c r="CV43" i="43"/>
  <c r="DD43" i="43"/>
  <c r="O43" i="43"/>
  <c r="W43" i="43"/>
  <c r="AE43" i="43"/>
  <c r="AM43" i="43"/>
  <c r="AU43" i="43"/>
  <c r="BC43" i="43"/>
  <c r="BK43" i="43"/>
  <c r="BS43" i="43"/>
  <c r="CA43" i="43"/>
  <c r="CI43" i="43"/>
  <c r="CQ43" i="43"/>
  <c r="CY43" i="43"/>
  <c r="U41" i="43"/>
  <c r="AC41" i="43"/>
  <c r="AK41" i="43"/>
  <c r="AS41" i="43"/>
  <c r="BA41" i="43"/>
  <c r="BI41" i="43"/>
  <c r="BQ41" i="43"/>
  <c r="BY41" i="43"/>
  <c r="CG41" i="43"/>
  <c r="CO41" i="43"/>
  <c r="CW41" i="43"/>
  <c r="DE41" i="43"/>
  <c r="N41" i="43"/>
  <c r="V41" i="43"/>
  <c r="AD41" i="43"/>
  <c r="AL41" i="43"/>
  <c r="AT41" i="43"/>
  <c r="BB41" i="43"/>
  <c r="BJ41" i="43"/>
  <c r="BR41" i="43"/>
  <c r="BZ41" i="43"/>
  <c r="CH41" i="43"/>
  <c r="CP41" i="43"/>
  <c r="CX41" i="43"/>
  <c r="U39" i="43"/>
  <c r="AC39" i="43"/>
  <c r="AK39" i="43"/>
  <c r="AS39" i="43"/>
  <c r="BA39" i="43"/>
  <c r="BI39" i="43"/>
  <c r="BQ39" i="43"/>
  <c r="BY39" i="43"/>
  <c r="CG39" i="43"/>
  <c r="CO39" i="43"/>
  <c r="CW39" i="43"/>
  <c r="DE39" i="43"/>
  <c r="N39" i="43"/>
  <c r="V39" i="43"/>
  <c r="AD39" i="43"/>
  <c r="AL39" i="43"/>
  <c r="AT39" i="43"/>
  <c r="BB39" i="43"/>
  <c r="BJ39" i="43"/>
  <c r="BR39" i="43"/>
  <c r="BZ39" i="43"/>
  <c r="CH39" i="43"/>
  <c r="CP39" i="43"/>
  <c r="CX39" i="43"/>
  <c r="U37" i="43"/>
  <c r="AC37" i="43"/>
  <c r="AK37" i="43"/>
  <c r="AS37" i="43"/>
  <c r="BA37" i="43"/>
  <c r="BI37" i="43"/>
  <c r="BQ37" i="43"/>
  <c r="BY37" i="43"/>
  <c r="CG37" i="43"/>
  <c r="CO37" i="43"/>
  <c r="CW37" i="43"/>
  <c r="DE37" i="43"/>
  <c r="N37" i="43"/>
  <c r="V37" i="43"/>
  <c r="AD37" i="43"/>
  <c r="AL37" i="43"/>
  <c r="AT37" i="43"/>
  <c r="BB37" i="43"/>
  <c r="BJ37" i="43"/>
  <c r="BR37" i="43"/>
  <c r="BZ37" i="43"/>
  <c r="CH37" i="43"/>
  <c r="CP37" i="43"/>
  <c r="CX37" i="43"/>
  <c r="U35" i="43"/>
  <c r="AC35" i="43"/>
  <c r="AK35" i="43"/>
  <c r="AS35" i="43"/>
  <c r="BA35" i="43"/>
  <c r="BI35" i="43"/>
  <c r="BQ35" i="43"/>
  <c r="BY35" i="43"/>
  <c r="CG35" i="43"/>
  <c r="CO35" i="43"/>
  <c r="CW35" i="43"/>
  <c r="DE35" i="43"/>
  <c r="N35" i="43"/>
  <c r="V35" i="43"/>
  <c r="AD35" i="43"/>
  <c r="AL35" i="43"/>
  <c r="AT35" i="43"/>
  <c r="BB35" i="43"/>
  <c r="BJ35" i="43"/>
  <c r="BR35" i="43"/>
  <c r="BZ35" i="43"/>
  <c r="CH35" i="43"/>
  <c r="CP35" i="43"/>
  <c r="CX35" i="43"/>
  <c r="U33" i="43"/>
  <c r="AC33" i="43"/>
  <c r="AK33" i="43"/>
  <c r="AS33" i="43"/>
  <c r="BA33" i="43"/>
  <c r="BI33" i="43"/>
  <c r="BQ33" i="43"/>
  <c r="BY33" i="43"/>
  <c r="CG33" i="43"/>
  <c r="CO33" i="43"/>
  <c r="CW33" i="43"/>
  <c r="DE33" i="43"/>
  <c r="N33" i="43"/>
  <c r="Z33" i="43"/>
  <c r="AJ33" i="43"/>
  <c r="AT33" i="43"/>
  <c r="BF33" i="43"/>
  <c r="BP33" i="43"/>
  <c r="BZ33" i="43"/>
  <c r="CL33" i="43"/>
  <c r="CV33" i="43"/>
  <c r="DF33" i="43"/>
  <c r="S31" i="43"/>
  <c r="AY31" i="43"/>
  <c r="CE31" i="43"/>
  <c r="DK31" i="43"/>
  <c r="AR31" i="43"/>
  <c r="BX31" i="43"/>
  <c r="AE29" i="43"/>
  <c r="CQ29" i="43"/>
  <c r="BD29" i="43"/>
  <c r="AM27" i="43"/>
  <c r="CY27" i="43"/>
  <c r="BL27" i="43"/>
  <c r="AE25" i="43"/>
  <c r="CQ25" i="43"/>
  <c r="BD25" i="43"/>
  <c r="BG21" i="43"/>
  <c r="T21" i="43"/>
  <c r="CF21" i="43"/>
  <c r="BW23" i="43"/>
  <c r="AJ23" i="43"/>
  <c r="CV23" i="43"/>
  <c r="BK19" i="43"/>
  <c r="X19" i="43"/>
  <c r="CJ19" i="43"/>
  <c r="AY17" i="43"/>
  <c r="DK17" i="43"/>
  <c r="BX15" i="43"/>
  <c r="W36" i="45"/>
  <c r="EE27" i="3"/>
  <c r="DE78" i="3"/>
  <c r="EH216" i="3"/>
  <c r="W81" i="21"/>
  <c r="U53" i="23"/>
  <c r="V53" i="23"/>
  <c r="K11" i="17"/>
  <c r="K13" i="17" s="1"/>
  <c r="K43" i="17" s="1"/>
  <c r="T11" i="17"/>
  <c r="AD24" i="16"/>
  <c r="AD27" i="16" s="1"/>
  <c r="AH24" i="16"/>
  <c r="AL24" i="16"/>
  <c r="AN24" i="16"/>
  <c r="AP24" i="16"/>
  <c r="M11" i="16"/>
  <c r="K24" i="16"/>
  <c r="O24" i="16"/>
  <c r="P24" i="16"/>
  <c r="AE33" i="16"/>
  <c r="N50" i="16"/>
  <c r="L16" i="43"/>
  <c r="L38" i="43"/>
  <c r="L54" i="43"/>
  <c r="L80" i="43"/>
  <c r="L31" i="43"/>
  <c r="L51" i="43"/>
  <c r="Y85" i="27"/>
  <c r="Z85" i="27" s="1"/>
  <c r="AA85" i="27" s="1"/>
  <c r="AB85" i="27" s="1"/>
  <c r="AC85" i="27" s="1"/>
  <c r="AD85" i="27" s="1"/>
  <c r="AE85" i="27" s="1"/>
  <c r="AF85" i="27" s="1"/>
  <c r="AG85" i="27" s="1"/>
  <c r="AH85" i="27" s="1"/>
  <c r="AI85" i="27" s="1"/>
  <c r="AJ85" i="27" s="1"/>
  <c r="AK85" i="27" s="1"/>
  <c r="AL85" i="27" s="1"/>
  <c r="AM85" i="27" s="1"/>
  <c r="AN85" i="27" s="1"/>
  <c r="AO85" i="27" s="1"/>
  <c r="AP85" i="27" s="1"/>
  <c r="AQ85" i="27" s="1"/>
  <c r="AR85" i="27" s="1"/>
  <c r="AS85" i="27" s="1"/>
  <c r="AT85" i="27" s="1"/>
  <c r="AU85" i="27" s="1"/>
  <c r="AV85" i="27" s="1"/>
  <c r="AW85" i="27" s="1"/>
  <c r="AX85" i="27" s="1"/>
  <c r="AY85" i="27" s="1"/>
  <c r="AZ85" i="27" s="1"/>
  <c r="BA85" i="27" s="1"/>
  <c r="BB85" i="27" s="1"/>
  <c r="BC85" i="27" s="1"/>
  <c r="BD85" i="27" s="1"/>
  <c r="BE85" i="27" s="1"/>
  <c r="BF85" i="27" s="1"/>
  <c r="BG85" i="27" s="1"/>
  <c r="BH85" i="27" s="1"/>
  <c r="BI85" i="27" s="1"/>
  <c r="BJ85" i="27" s="1"/>
  <c r="BK85" i="27" s="1"/>
  <c r="BL85" i="27" s="1"/>
  <c r="BM85" i="27" s="1"/>
  <c r="BN85" i="27" s="1"/>
  <c r="BO85" i="27" s="1"/>
  <c r="BP85" i="27" s="1"/>
  <c r="BQ85" i="27" s="1"/>
  <c r="BR85" i="27" s="1"/>
  <c r="BS85" i="27" s="1"/>
  <c r="BT85" i="27" s="1"/>
  <c r="BU85" i="27" s="1"/>
  <c r="BV85" i="27" s="1"/>
  <c r="BW85" i="27" s="1"/>
  <c r="BX85" i="27" s="1"/>
  <c r="BY85" i="27" s="1"/>
  <c r="BZ85" i="27" s="1"/>
  <c r="CA85" i="27" s="1"/>
  <c r="CB85" i="27" s="1"/>
  <c r="CC85" i="27" s="1"/>
  <c r="CD85" i="27" s="1"/>
  <c r="CE85" i="27" s="1"/>
  <c r="CF85" i="27" s="1"/>
  <c r="CG85" i="27" s="1"/>
  <c r="CH85" i="27" s="1"/>
  <c r="CI85" i="27" s="1"/>
  <c r="CJ85" i="27" s="1"/>
  <c r="CK85" i="27" s="1"/>
  <c r="CL85" i="27" s="1"/>
  <c r="CM85" i="27" s="1"/>
  <c r="CN85" i="27" s="1"/>
  <c r="CO85" i="27" s="1"/>
  <c r="CP85" i="27" s="1"/>
  <c r="Y89" i="27"/>
  <c r="Z89" i="27" s="1"/>
  <c r="AA89" i="27" s="1"/>
  <c r="AB89" i="27" s="1"/>
  <c r="AC89" i="27" s="1"/>
  <c r="X99" i="27"/>
  <c r="AH18" i="16"/>
  <c r="AH19" i="16" s="1"/>
  <c r="AH82" i="16" s="1"/>
  <c r="V30" i="26"/>
  <c r="M25" i="25"/>
  <c r="M92" i="25" s="1"/>
  <c r="Z77" i="25"/>
  <c r="AA77" i="25" s="1"/>
  <c r="AB77" i="25" s="1"/>
  <c r="AC77" i="25" s="1"/>
  <c r="AD77" i="25" s="1"/>
  <c r="AE77" i="25" s="1"/>
  <c r="AF77" i="25" s="1"/>
  <c r="AG77" i="25" s="1"/>
  <c r="AH77" i="25" s="1"/>
  <c r="AI77" i="25" s="1"/>
  <c r="AJ77" i="25" s="1"/>
  <c r="AK77" i="25" s="1"/>
  <c r="AL77" i="25" s="1"/>
  <c r="AM77" i="25" s="1"/>
  <c r="AN77" i="25" s="1"/>
  <c r="AO77" i="25" s="1"/>
  <c r="AP77" i="25" s="1"/>
  <c r="AQ77" i="25" s="1"/>
  <c r="AR77" i="25" s="1"/>
  <c r="AS77" i="25" s="1"/>
  <c r="AT77" i="25" s="1"/>
  <c r="AU77" i="25" s="1"/>
  <c r="AV77" i="25" s="1"/>
  <c r="N105" i="25"/>
  <c r="W31" i="45"/>
  <c r="Y135" i="21"/>
  <c r="Y133" i="21" s="1"/>
  <c r="DH164" i="3"/>
  <c r="Q154" i="25"/>
  <c r="Q155" i="25" s="1"/>
  <c r="R119" i="25"/>
  <c r="T173" i="25"/>
  <c r="U173" i="25" s="1"/>
  <c r="S183" i="25"/>
  <c r="S181" i="25" s="1"/>
  <c r="M346" i="3"/>
  <c r="BZ346" i="3"/>
  <c r="BJ346" i="3"/>
  <c r="AT346" i="3"/>
  <c r="AD346" i="3"/>
  <c r="N346" i="3"/>
  <c r="S346" i="3"/>
  <c r="AI346" i="3"/>
  <c r="AY346" i="3"/>
  <c r="BO346" i="3"/>
  <c r="CE346" i="3"/>
  <c r="L114" i="15"/>
  <c r="L113" i="15"/>
  <c r="R114" i="15"/>
  <c r="R113" i="15"/>
  <c r="M50" i="16"/>
  <c r="M40" i="16"/>
  <c r="AA60" i="21"/>
  <c r="L67" i="27"/>
  <c r="U54" i="27"/>
  <c r="U27" i="27"/>
  <c r="Y168" i="25"/>
  <c r="Y203" i="25" s="1"/>
  <c r="D44" i="15"/>
  <c r="D45" i="15" s="1"/>
  <c r="N103" i="15"/>
  <c r="O140" i="3"/>
  <c r="CM346" i="3"/>
  <c r="BG346" i="3"/>
  <c r="AA346" i="3"/>
  <c r="V346" i="3"/>
  <c r="BB346" i="3"/>
  <c r="CH346" i="3"/>
  <c r="K47" i="26"/>
  <c r="EH26" i="3"/>
  <c r="DX26" i="3"/>
  <c r="EH28" i="3"/>
  <c r="EE28" i="3"/>
  <c r="EI26" i="3"/>
  <c r="DY26" i="3"/>
  <c r="DM73" i="3"/>
  <c r="DZ36" i="3"/>
  <c r="EI36" i="3"/>
  <c r="DV52" i="3"/>
  <c r="DG50" i="3"/>
  <c r="T19" i="16"/>
  <c r="DM54" i="3"/>
  <c r="DY54" i="3" s="1"/>
  <c r="DX49" i="3"/>
  <c r="DK76" i="3"/>
  <c r="L107" i="3"/>
  <c r="S34" i="17"/>
  <c r="Q23" i="16"/>
  <c r="Q24" i="16" s="1"/>
  <c r="DK112" i="3"/>
  <c r="DK113" i="3" s="1"/>
  <c r="EH113" i="3" s="1"/>
  <c r="DV137" i="3"/>
  <c r="DF139" i="3"/>
  <c r="V103" i="15"/>
  <c r="AR32" i="16"/>
  <c r="AS33" i="16" s="1"/>
  <c r="R178" i="3"/>
  <c r="W178" i="3"/>
  <c r="V179" i="3"/>
  <c r="O194" i="3"/>
  <c r="O247" i="3"/>
  <c r="O248" i="3" s="1"/>
  <c r="J40" i="16"/>
  <c r="R40" i="16"/>
  <c r="R88" i="16"/>
  <c r="L43" i="16"/>
  <c r="N237" i="3"/>
  <c r="L47" i="16" s="1"/>
  <c r="L89" i="16" s="1"/>
  <c r="AK17" i="16"/>
  <c r="O292" i="3"/>
  <c r="O35" i="17" s="1"/>
  <c r="AL17" i="16"/>
  <c r="P332" i="3"/>
  <c r="BW59" i="21"/>
  <c r="BX59" i="21" s="1"/>
  <c r="BY59" i="21" s="1"/>
  <c r="BZ59" i="21" s="1"/>
  <c r="CA59" i="21" s="1"/>
  <c r="CB59" i="21" s="1"/>
  <c r="CC59" i="21" s="1"/>
  <c r="CD59" i="21" s="1"/>
  <c r="CE59" i="21" s="1"/>
  <c r="CF59" i="21" s="1"/>
  <c r="CG59" i="21" s="1"/>
  <c r="CH59" i="21" s="1"/>
  <c r="CI59" i="21" s="1"/>
  <c r="CJ59" i="21" s="1"/>
  <c r="CK59" i="21" s="1"/>
  <c r="CL59" i="21" s="1"/>
  <c r="CM59" i="21" s="1"/>
  <c r="CN59" i="21" s="1"/>
  <c r="CO59" i="21" s="1"/>
  <c r="CP59" i="21" s="1"/>
  <c r="BV72" i="21"/>
  <c r="BV85" i="21" s="1"/>
  <c r="B84" i="21"/>
  <c r="B58" i="21"/>
  <c r="Y122" i="21"/>
  <c r="X145" i="21"/>
  <c r="BX22" i="23"/>
  <c r="BZ25" i="23"/>
  <c r="Z24" i="23"/>
  <c r="W24" i="23"/>
  <c r="AB21" i="23"/>
  <c r="BS25" i="23"/>
  <c r="BC21" i="23"/>
  <c r="L61" i="27"/>
  <c r="L68" i="27" s="1"/>
  <c r="L35" i="27"/>
  <c r="T61" i="27"/>
  <c r="T68" i="27" s="1"/>
  <c r="T35" i="27"/>
  <c r="L31" i="27"/>
  <c r="BO28" i="27"/>
  <c r="BC28" i="27"/>
  <c r="P31" i="27"/>
  <c r="CB31" i="27"/>
  <c r="AA28" i="27"/>
  <c r="CM28" i="27"/>
  <c r="AZ31" i="27"/>
  <c r="O28" i="27"/>
  <c r="CA28" i="27"/>
  <c r="BD31" i="27"/>
  <c r="V28" i="27"/>
  <c r="AL28" i="27"/>
  <c r="BB28" i="27"/>
  <c r="BR28" i="27"/>
  <c r="CH28" i="27"/>
  <c r="N30" i="27"/>
  <c r="K31" i="27"/>
  <c r="AA31" i="27"/>
  <c r="AQ31" i="27"/>
  <c r="BG31" i="27"/>
  <c r="BW31" i="27"/>
  <c r="CM31" i="27"/>
  <c r="P28" i="27"/>
  <c r="AF28" i="27"/>
  <c r="AV28" i="27"/>
  <c r="BL28" i="27"/>
  <c r="CB28" i="27"/>
  <c r="L30" i="27"/>
  <c r="I31" i="27"/>
  <c r="Y31" i="27"/>
  <c r="AO31" i="27"/>
  <c r="BE31" i="27"/>
  <c r="BU31" i="27"/>
  <c r="CK31" i="27"/>
  <c r="M28" i="27"/>
  <c r="AC28" i="27"/>
  <c r="AS28" i="27"/>
  <c r="BI28" i="27"/>
  <c r="BY28" i="27"/>
  <c r="CO28" i="27"/>
  <c r="U30" i="27"/>
  <c r="R31" i="27"/>
  <c r="AH31" i="27"/>
  <c r="AX31" i="27"/>
  <c r="BN31" i="27"/>
  <c r="CD31" i="27"/>
  <c r="X79" i="27"/>
  <c r="Y74" i="27" s="1"/>
  <c r="Y79" i="27" s="1"/>
  <c r="Z74" i="27" s="1"/>
  <c r="Z79" i="27" s="1"/>
  <c r="AA74" i="27" s="1"/>
  <c r="T81" i="25"/>
  <c r="T91" i="25" s="1"/>
  <c r="T35" i="25"/>
  <c r="CA28" i="25"/>
  <c r="K27" i="25"/>
  <c r="AG28" i="25"/>
  <c r="BH28" i="25"/>
  <c r="S76" i="25"/>
  <c r="T62" i="25"/>
  <c r="AF51" i="16"/>
  <c r="AD51" i="16"/>
  <c r="L79" i="43"/>
  <c r="L83" i="43"/>
  <c r="L65" i="43"/>
  <c r="L55" i="43"/>
  <c r="L43" i="43"/>
  <c r="L35" i="43"/>
  <c r="L27" i="43"/>
  <c r="L17" i="43"/>
  <c r="L76" i="43"/>
  <c r="L60" i="43"/>
  <c r="L50" i="43"/>
  <c r="L42" i="43"/>
  <c r="L34" i="43"/>
  <c r="L24" i="43"/>
  <c r="I38" i="45"/>
  <c r="I11" i="45"/>
  <c r="T44" i="45"/>
  <c r="DJ109" i="3"/>
  <c r="DJ116" i="3" s="1"/>
  <c r="O63" i="27"/>
  <c r="X234" i="3"/>
  <c r="N321" i="3"/>
  <c r="N323" i="3" s="1"/>
  <c r="U27" i="25"/>
  <c r="V105" i="25"/>
  <c r="L114" i="3"/>
  <c r="L119" i="3" s="1"/>
  <c r="DQ283" i="3"/>
  <c r="Y283" i="3"/>
  <c r="Z283" i="3" s="1"/>
  <c r="AA283" i="3" s="1"/>
  <c r="AB283" i="3" s="1"/>
  <c r="AC283" i="3" s="1"/>
  <c r="AD283" i="3" s="1"/>
  <c r="AE283" i="3" s="1"/>
  <c r="AF283" i="3" s="1"/>
  <c r="AG283" i="3" s="1"/>
  <c r="AH283" i="3" s="1"/>
  <c r="AI283" i="3" s="1"/>
  <c r="AJ283" i="3" s="1"/>
  <c r="AK283" i="3" s="1"/>
  <c r="AL283" i="3" s="1"/>
  <c r="AM283" i="3" s="1"/>
  <c r="AN283" i="3" s="1"/>
  <c r="AO283" i="3" s="1"/>
  <c r="AP283" i="3" s="1"/>
  <c r="AQ283" i="3" s="1"/>
  <c r="AR283" i="3" s="1"/>
  <c r="AS283" i="3" s="1"/>
  <c r="AT283" i="3" s="1"/>
  <c r="AU283" i="3" s="1"/>
  <c r="AV283" i="3" s="1"/>
  <c r="AW283" i="3" s="1"/>
  <c r="AX283" i="3" s="1"/>
  <c r="AY283" i="3" s="1"/>
  <c r="AZ283" i="3" s="1"/>
  <c r="BA283" i="3" s="1"/>
  <c r="BB283" i="3" s="1"/>
  <c r="BC283" i="3" s="1"/>
  <c r="BD283" i="3" s="1"/>
  <c r="BE283" i="3" s="1"/>
  <c r="BF283" i="3" s="1"/>
  <c r="BG283" i="3" s="1"/>
  <c r="BH283" i="3" s="1"/>
  <c r="BI283" i="3" s="1"/>
  <c r="BJ283" i="3" s="1"/>
  <c r="BK283" i="3" s="1"/>
  <c r="BL283" i="3" s="1"/>
  <c r="BM283" i="3" s="1"/>
  <c r="BN283" i="3" s="1"/>
  <c r="BO283" i="3" s="1"/>
  <c r="BP283" i="3" s="1"/>
  <c r="BQ283" i="3" s="1"/>
  <c r="BR283" i="3" s="1"/>
  <c r="BS283" i="3" s="1"/>
  <c r="BT283" i="3" s="1"/>
  <c r="BU283" i="3" s="1"/>
  <c r="BV283" i="3" s="1"/>
  <c r="BW283" i="3" s="1"/>
  <c r="BX283" i="3" s="1"/>
  <c r="BY283" i="3" s="1"/>
  <c r="BZ283" i="3" s="1"/>
  <c r="CA283" i="3" s="1"/>
  <c r="CB283" i="3" s="1"/>
  <c r="CC283" i="3" s="1"/>
  <c r="CD283" i="3" s="1"/>
  <c r="CE283" i="3" s="1"/>
  <c r="CF283" i="3" s="1"/>
  <c r="CG283" i="3" s="1"/>
  <c r="CH283" i="3" s="1"/>
  <c r="CI283" i="3" s="1"/>
  <c r="CJ283" i="3" s="1"/>
  <c r="CK283" i="3" s="1"/>
  <c r="CL283" i="3" s="1"/>
  <c r="CM283" i="3" s="1"/>
  <c r="CN283" i="3" s="1"/>
  <c r="CO283" i="3" s="1"/>
  <c r="CP283" i="3" s="1"/>
  <c r="E23" i="23"/>
  <c r="U23" i="23" s="1"/>
  <c r="BC24" i="23"/>
  <c r="D41" i="25"/>
  <c r="D33" i="21"/>
  <c r="BI346" i="3"/>
  <c r="AK346" i="3"/>
  <c r="AS346" i="3"/>
  <c r="BA346" i="3"/>
  <c r="AG346" i="3"/>
  <c r="CL346" i="3"/>
  <c r="DZ24" i="3"/>
  <c r="EJ24" i="3"/>
  <c r="DH97" i="3"/>
  <c r="DH107" i="3" s="1"/>
  <c r="DH114" i="3" s="1"/>
  <c r="DH120" i="3" s="1"/>
  <c r="Z256" i="3"/>
  <c r="AV8" i="16" s="1"/>
  <c r="DO227" i="3"/>
  <c r="EJ227" i="3" s="1"/>
  <c r="EJ235" i="3"/>
  <c r="P194" i="3"/>
  <c r="EH236" i="3"/>
  <c r="S198" i="3"/>
  <c r="DL139" i="3"/>
  <c r="U194" i="3"/>
  <c r="U198" i="3" s="1"/>
  <c r="DM139" i="3"/>
  <c r="DX92" i="3"/>
  <c r="DX35" i="3"/>
  <c r="G85" i="3"/>
  <c r="DG58" i="3"/>
  <c r="K63" i="27"/>
  <c r="O118" i="25"/>
  <c r="O129" i="25" s="1"/>
  <c r="BX25" i="23"/>
  <c r="BJ22" i="23"/>
  <c r="AG21" i="23"/>
  <c r="U39" i="16"/>
  <c r="U40" i="16" s="1"/>
  <c r="DG79" i="3"/>
  <c r="BL24" i="23"/>
  <c r="AX21" i="23"/>
  <c r="M130" i="21"/>
  <c r="M131" i="21" s="1"/>
  <c r="M237" i="3"/>
  <c r="K47" i="16" s="1"/>
  <c r="K46" i="16" s="1"/>
  <c r="J88" i="16"/>
  <c r="Q180" i="3"/>
  <c r="P34" i="16"/>
  <c r="L95" i="3"/>
  <c r="L96" i="3" s="1"/>
  <c r="CL24" i="23"/>
  <c r="BX21" i="23"/>
  <c r="S21" i="23"/>
  <c r="Q45" i="16"/>
  <c r="N132" i="3"/>
  <c r="AJ30" i="16" s="1"/>
  <c r="EI24" i="3"/>
  <c r="DX24" i="3"/>
  <c r="EH104" i="3"/>
  <c r="EI103" i="3"/>
  <c r="DY36" i="3"/>
  <c r="DG72" i="3"/>
  <c r="T21" i="23"/>
  <c r="V38" i="3"/>
  <c r="V34" i="3" s="1"/>
  <c r="N22" i="23"/>
  <c r="DY31" i="3"/>
  <c r="BB25" i="23"/>
  <c r="U34" i="3"/>
  <c r="U89" i="3" s="1"/>
  <c r="DZ28" i="3"/>
  <c r="K43" i="26"/>
  <c r="R346" i="3"/>
  <c r="Z346" i="3"/>
  <c r="AH346" i="3"/>
  <c r="AP346" i="3"/>
  <c r="AX346" i="3"/>
  <c r="BF346" i="3"/>
  <c r="BN346" i="3"/>
  <c r="BV346" i="3"/>
  <c r="CD346" i="3"/>
  <c r="CP346" i="3"/>
  <c r="S168" i="25"/>
  <c r="S184" i="25" s="1"/>
  <c r="L132" i="3"/>
  <c r="AH30" i="16" s="1"/>
  <c r="AL69" i="25"/>
  <c r="AM69" i="25" s="1"/>
  <c r="K72" i="26"/>
  <c r="K74" i="26"/>
  <c r="U37" i="26"/>
  <c r="K69" i="26"/>
  <c r="U61" i="26"/>
  <c r="DM23" i="3"/>
  <c r="DM87" i="3" s="1"/>
  <c r="DN77" i="3"/>
  <c r="DM71" i="3"/>
  <c r="X180" i="3"/>
  <c r="S178" i="3"/>
  <c r="Q50" i="16"/>
  <c r="EH211" i="3"/>
  <c r="DY211" i="3"/>
  <c r="DO234" i="3"/>
  <c r="EJ234" i="3" s="1"/>
  <c r="DN286" i="3"/>
  <c r="DN293" i="3" s="1"/>
  <c r="AJ16" i="16"/>
  <c r="AJ15" i="16" s="1"/>
  <c r="DM276" i="3"/>
  <c r="DO276" i="3"/>
  <c r="AH16" i="16"/>
  <c r="AH15" i="16" s="1"/>
  <c r="DL286" i="3"/>
  <c r="DK284" i="3"/>
  <c r="DM284" i="3"/>
  <c r="DO284" i="3"/>
  <c r="AI16" i="16"/>
  <c r="AI15" i="16" s="1"/>
  <c r="AM16" i="16"/>
  <c r="AM15" i="16" s="1"/>
  <c r="AO16" i="16"/>
  <c r="AO15" i="16" s="1"/>
  <c r="O332" i="3"/>
  <c r="O333" i="3" s="1"/>
  <c r="Q332" i="3"/>
  <c r="AO17" i="16"/>
  <c r="AQ17" i="16"/>
  <c r="W332" i="3"/>
  <c r="Q331" i="3"/>
  <c r="R336" i="3"/>
  <c r="AP17" i="16"/>
  <c r="V332" i="3"/>
  <c r="V333" i="3" s="1"/>
  <c r="Q337" i="3"/>
  <c r="T337" i="3"/>
  <c r="U337" i="3"/>
  <c r="W337" i="3"/>
  <c r="M332" i="3"/>
  <c r="M333" i="3" s="1"/>
  <c r="DJ292" i="3"/>
  <c r="DL292" i="3"/>
  <c r="K296" i="3"/>
  <c r="AG25" i="16" s="1"/>
  <c r="M296" i="3"/>
  <c r="M99" i="15" s="1"/>
  <c r="O296" i="3"/>
  <c r="S296" i="3"/>
  <c r="S99" i="15" s="1"/>
  <c r="L296" i="3"/>
  <c r="L99" i="15" s="1"/>
  <c r="R296" i="3"/>
  <c r="R99" i="15" s="1"/>
  <c r="S323" i="3"/>
  <c r="Y46" i="21"/>
  <c r="Z46" i="21" s="1"/>
  <c r="M25" i="21"/>
  <c r="Q106" i="21"/>
  <c r="BU43" i="23"/>
  <c r="BV43" i="23" s="1"/>
  <c r="BW43" i="23" s="1"/>
  <c r="V22" i="23"/>
  <c r="K34" i="27"/>
  <c r="K47" i="27" s="1"/>
  <c r="M79" i="27"/>
  <c r="N74" i="27" s="1"/>
  <c r="N79" i="27" s="1"/>
  <c r="O74" i="27" s="1"/>
  <c r="O79" i="27" s="1"/>
  <c r="P74" i="27" s="1"/>
  <c r="P79" i="27" s="1"/>
  <c r="S11" i="17"/>
  <c r="S13" i="17" s="1"/>
  <c r="H10" i="45"/>
  <c r="H11" i="45" s="1"/>
  <c r="DF59" i="3"/>
  <c r="DF101" i="3" s="1"/>
  <c r="DF97" i="3"/>
  <c r="DF107" i="3" s="1"/>
  <c r="DF114" i="3" s="1"/>
  <c r="N155" i="21"/>
  <c r="O119" i="21"/>
  <c r="P119" i="21" s="1"/>
  <c r="P155" i="21" s="1"/>
  <c r="M50" i="23"/>
  <c r="M55" i="23"/>
  <c r="Q49" i="23"/>
  <c r="Q50" i="23" s="1"/>
  <c r="S67" i="27"/>
  <c r="S27" i="27"/>
  <c r="W63" i="27"/>
  <c r="W27" i="27"/>
  <c r="W67" i="27"/>
  <c r="P68" i="27"/>
  <c r="Q68" i="27"/>
  <c r="T63" i="27"/>
  <c r="T64" i="27" s="1"/>
  <c r="Z56" i="27"/>
  <c r="AA49" i="27"/>
  <c r="AB49" i="27" s="1"/>
  <c r="AC185" i="3"/>
  <c r="AC192" i="3" s="1"/>
  <c r="AC247" i="3" s="1"/>
  <c r="AC248" i="3" s="1"/>
  <c r="U167" i="25"/>
  <c r="U178" i="25" s="1"/>
  <c r="T178" i="25"/>
  <c r="P216" i="3"/>
  <c r="P61" i="15" s="1"/>
  <c r="L95" i="27"/>
  <c r="L104" i="27"/>
  <c r="L105" i="27" s="1"/>
  <c r="DM99" i="3"/>
  <c r="EI99" i="3" s="1"/>
  <c r="P178" i="3"/>
  <c r="AS16" i="16"/>
  <c r="AS15" i="16" s="1"/>
  <c r="P298" i="3"/>
  <c r="K41" i="26"/>
  <c r="S286" i="3"/>
  <c r="AK16" i="16"/>
  <c r="AK15" i="16" s="1"/>
  <c r="AQ16" i="16"/>
  <c r="AQ15" i="16" s="1"/>
  <c r="N183" i="25"/>
  <c r="N181" i="25" s="1"/>
  <c r="N182" i="25" s="1"/>
  <c r="DH41" i="3"/>
  <c r="V49" i="23"/>
  <c r="V50" i="23" s="1"/>
  <c r="U36" i="23"/>
  <c r="U42" i="23" s="1"/>
  <c r="U44" i="23" s="1"/>
  <c r="V68" i="23"/>
  <c r="V102" i="23" s="1"/>
  <c r="L27" i="27"/>
  <c r="V67" i="27"/>
  <c r="R61" i="15"/>
  <c r="M94" i="27"/>
  <c r="M95" i="27" s="1"/>
  <c r="V292" i="3"/>
  <c r="DM289" i="3"/>
  <c r="DM292" i="3" s="1"/>
  <c r="M336" i="3"/>
  <c r="M338" i="3" s="1"/>
  <c r="M341" i="3" s="1"/>
  <c r="V337" i="3"/>
  <c r="W336" i="3"/>
  <c r="W331" i="3"/>
  <c r="T332" i="3"/>
  <c r="R335" i="3"/>
  <c r="Q292" i="3"/>
  <c r="Q35" i="17" s="1"/>
  <c r="DO290" i="3"/>
  <c r="N331" i="3"/>
  <c r="W335" i="3"/>
  <c r="U335" i="3"/>
  <c r="R331" i="3"/>
  <c r="O335" i="3"/>
  <c r="O338" i="3" s="1"/>
  <c r="O341" i="3" s="1"/>
  <c r="K286" i="3"/>
  <c r="K293" i="3" s="1"/>
  <c r="V173" i="3"/>
  <c r="V340" i="3" s="1"/>
  <c r="EH215" i="3"/>
  <c r="S169" i="3"/>
  <c r="DD139" i="3"/>
  <c r="DZ117" i="3"/>
  <c r="DK105" i="3"/>
  <c r="DX105" i="3" s="1"/>
  <c r="W106" i="3"/>
  <c r="DX104" i="3"/>
  <c r="DO103" i="3"/>
  <c r="EJ103" i="3" s="1"/>
  <c r="L102" i="3"/>
  <c r="DM78" i="3"/>
  <c r="DI71" i="3"/>
  <c r="T39" i="3"/>
  <c r="L140" i="21"/>
  <c r="L141" i="21" s="1"/>
  <c r="L25" i="27"/>
  <c r="K25" i="27"/>
  <c r="U68" i="27"/>
  <c r="U21" i="27"/>
  <c r="O174" i="25"/>
  <c r="P174" i="25" s="1"/>
  <c r="M183" i="25"/>
  <c r="M181" i="25" s="1"/>
  <c r="M182" i="25" s="1"/>
  <c r="W183" i="25"/>
  <c r="W184" i="25" s="1"/>
  <c r="R30" i="25"/>
  <c r="BX28" i="25"/>
  <c r="AR28" i="25"/>
  <c r="L28" i="25"/>
  <c r="K113" i="15"/>
  <c r="L98" i="15"/>
  <c r="Q27" i="25"/>
  <c r="K81" i="23"/>
  <c r="K82" i="23" s="1"/>
  <c r="AR25" i="23"/>
  <c r="CP22" i="23"/>
  <c r="CI21" i="23"/>
  <c r="AK24" i="23"/>
  <c r="T22" i="23"/>
  <c r="S23" i="21"/>
  <c r="O180" i="3"/>
  <c r="AH32" i="16"/>
  <c r="DM53" i="3"/>
  <c r="DE50" i="3"/>
  <c r="DU50" i="3" s="1"/>
  <c r="DO23" i="3"/>
  <c r="DO87" i="3" s="1"/>
  <c r="W172" i="25"/>
  <c r="O30" i="25"/>
  <c r="L72" i="23"/>
  <c r="M72" i="23" s="1"/>
  <c r="AM25" i="23"/>
  <c r="CK22" i="23"/>
  <c r="CD21" i="23"/>
  <c r="AF24" i="23"/>
  <c r="O22" i="23"/>
  <c r="P26" i="21"/>
  <c r="AI17" i="16"/>
  <c r="P336" i="3"/>
  <c r="L237" i="3"/>
  <c r="J47" i="16" s="1"/>
  <c r="J89" i="16" s="1"/>
  <c r="DK50" i="3"/>
  <c r="DX50" i="3" s="1"/>
  <c r="DY44" i="3"/>
  <c r="DZ26" i="3"/>
  <c r="L132" i="25"/>
  <c r="L133" i="25" s="1"/>
  <c r="BI28" i="25"/>
  <c r="BM25" i="23"/>
  <c r="BF24" i="23"/>
  <c r="AY22" i="23"/>
  <c r="AR21" i="23"/>
  <c r="U25" i="23"/>
  <c r="V24" i="21"/>
  <c r="AS17" i="16"/>
  <c r="EH111" i="3"/>
  <c r="DK71" i="3"/>
  <c r="EE45" i="3"/>
  <c r="DI23" i="3"/>
  <c r="DI87" i="3" s="1"/>
  <c r="EE24" i="3"/>
  <c r="Q23" i="21"/>
  <c r="DE75" i="3"/>
  <c r="DE117" i="3"/>
  <c r="DU117" i="3" s="1"/>
  <c r="DY103" i="3"/>
  <c r="AB17" i="21"/>
  <c r="EC44" i="3"/>
  <c r="W97" i="27"/>
  <c r="W102" i="27" s="1"/>
  <c r="W103" i="27" s="1"/>
  <c r="BY21" i="23"/>
  <c r="EH224" i="3"/>
  <c r="BL22" i="23"/>
  <c r="Q181" i="25"/>
  <c r="Q182" i="25" s="1"/>
  <c r="BA21" i="23"/>
  <c r="M129" i="25"/>
  <c r="M130" i="25" s="1"/>
  <c r="EE26" i="3"/>
  <c r="DD131" i="3"/>
  <c r="EI92" i="3"/>
  <c r="K132" i="3"/>
  <c r="AG30" i="16" s="1"/>
  <c r="EJ32" i="3"/>
  <c r="EE46" i="3"/>
  <c r="K31" i="26"/>
  <c r="K46" i="26"/>
  <c r="EC28" i="3"/>
  <c r="DI34" i="3"/>
  <c r="DW34" i="3" s="1"/>
  <c r="EJ29" i="3"/>
  <c r="L70" i="3"/>
  <c r="N70" i="3"/>
  <c r="AJ62" i="16" s="1"/>
  <c r="P70" i="3"/>
  <c r="AL62" i="16" s="1"/>
  <c r="R62" i="16"/>
  <c r="K77" i="3"/>
  <c r="U77" i="3"/>
  <c r="DE71" i="3"/>
  <c r="DI43" i="3"/>
  <c r="DW43" i="3" s="1"/>
  <c r="DO73" i="3"/>
  <c r="EI111" i="3"/>
  <c r="O169" i="3"/>
  <c r="DX216" i="3"/>
  <c r="O40" i="16"/>
  <c r="T40" i="16"/>
  <c r="K237" i="3"/>
  <c r="I47" i="16" s="1"/>
  <c r="I89" i="16" s="1"/>
  <c r="T237" i="3"/>
  <c r="R47" i="16" s="1"/>
  <c r="R89" i="16" s="1"/>
  <c r="DO232" i="3"/>
  <c r="EJ232" i="3" s="1"/>
  <c r="DM232" i="3"/>
  <c r="EI232" i="3" s="1"/>
  <c r="DK232" i="3"/>
  <c r="DX232" i="3" s="1"/>
  <c r="T29" i="21"/>
  <c r="O25" i="21"/>
  <c r="Y99" i="21"/>
  <c r="Z52" i="21"/>
  <c r="AA52" i="21" s="1"/>
  <c r="AB52" i="21" s="1"/>
  <c r="M67" i="21"/>
  <c r="S130" i="21"/>
  <c r="S131" i="21" s="1"/>
  <c r="X138" i="21"/>
  <c r="X139" i="21" s="1"/>
  <c r="BB42" i="23"/>
  <c r="BC42" i="23" s="1"/>
  <c r="BD42" i="23" s="1"/>
  <c r="BE42" i="23" s="1"/>
  <c r="T36" i="23"/>
  <c r="T38" i="23" s="1"/>
  <c r="T39" i="23" s="1"/>
  <c r="L55" i="23"/>
  <c r="J21" i="27"/>
  <c r="N21" i="27"/>
  <c r="X48" i="27"/>
  <c r="Y48" i="27" s="1"/>
  <c r="J34" i="27"/>
  <c r="J47" i="27" s="1"/>
  <c r="R34" i="27"/>
  <c r="T34" i="27"/>
  <c r="V34" i="27"/>
  <c r="I35" i="27"/>
  <c r="I48" i="27" s="1"/>
  <c r="K35" i="27"/>
  <c r="K48" i="27" s="1"/>
  <c r="K50" i="27" s="1"/>
  <c r="M35" i="27"/>
  <c r="M48" i="27" s="1"/>
  <c r="O35" i="27"/>
  <c r="O48" i="27" s="1"/>
  <c r="Q35" i="27"/>
  <c r="Q48" i="27" s="1"/>
  <c r="S35" i="27"/>
  <c r="U35" i="27"/>
  <c r="W35" i="27"/>
  <c r="AU49" i="27"/>
  <c r="AV49" i="27" s="1"/>
  <c r="R94" i="27"/>
  <c r="R95" i="27" s="1"/>
  <c r="P34" i="25"/>
  <c r="P55" i="25" s="1"/>
  <c r="V35" i="25"/>
  <c r="M27" i="25"/>
  <c r="BT74" i="25"/>
  <c r="BU74" i="25" s="1"/>
  <c r="AW90" i="25"/>
  <c r="R134" i="25"/>
  <c r="R132" i="25" s="1"/>
  <c r="L139" i="25"/>
  <c r="L140" i="25" s="1"/>
  <c r="O11" i="17"/>
  <c r="O13" i="17" s="1"/>
  <c r="O14" i="17" s="1"/>
  <c r="U11" i="17"/>
  <c r="W11" i="17"/>
  <c r="L11" i="17"/>
  <c r="L13" i="17" s="1"/>
  <c r="P11" i="17"/>
  <c r="P13" i="17" s="1"/>
  <c r="AR24" i="16"/>
  <c r="AB51" i="16"/>
  <c r="AB50" i="16"/>
  <c r="CN15" i="43"/>
  <c r="BH15" i="43"/>
  <c r="T15" i="43"/>
  <c r="AZ15" i="43"/>
  <c r="DK15" i="43"/>
  <c r="DF16" i="43"/>
  <c r="R16" i="43"/>
  <c r="Z16" i="43"/>
  <c r="AH16" i="43"/>
  <c r="AP16" i="43"/>
  <c r="AX16" i="43"/>
  <c r="BF16" i="43"/>
  <c r="BN16" i="43"/>
  <c r="BV16" i="43"/>
  <c r="CD16" i="43"/>
  <c r="CL16" i="43"/>
  <c r="CT16" i="43"/>
  <c r="DB16" i="43"/>
  <c r="DI16" i="43"/>
  <c r="DE16" i="43"/>
  <c r="DA16" i="43"/>
  <c r="CW16" i="43"/>
  <c r="CS16" i="43"/>
  <c r="CO16" i="43"/>
  <c r="CK16" i="43"/>
  <c r="CG16" i="43"/>
  <c r="CC16" i="43"/>
  <c r="BY16" i="43"/>
  <c r="BU16" i="43"/>
  <c r="BQ16" i="43"/>
  <c r="BM16" i="43"/>
  <c r="BI16" i="43"/>
  <c r="BE16" i="43"/>
  <c r="BA16" i="43"/>
  <c r="AW16" i="43"/>
  <c r="AS16" i="43"/>
  <c r="AO16" i="43"/>
  <c r="AK16" i="43"/>
  <c r="AG16" i="43"/>
  <c r="AC16" i="43"/>
  <c r="Y16" i="43"/>
  <c r="U16" i="43"/>
  <c r="Q16" i="43"/>
  <c r="DJ16" i="43"/>
  <c r="DD17" i="43"/>
  <c r="CV17" i="43"/>
  <c r="CN17" i="43"/>
  <c r="CF17" i="43"/>
  <c r="BX17" i="43"/>
  <c r="BP17" i="43"/>
  <c r="BH17" i="43"/>
  <c r="AZ17" i="43"/>
  <c r="AR17" i="43"/>
  <c r="AJ17" i="43"/>
  <c r="AD17" i="43"/>
  <c r="Z17" i="43"/>
  <c r="V17" i="43"/>
  <c r="R17" i="43"/>
  <c r="N17" i="43"/>
  <c r="DI17" i="43"/>
  <c r="DE17" i="43"/>
  <c r="DA17" i="43"/>
  <c r="CW17" i="43"/>
  <c r="CS17" i="43"/>
  <c r="CO17" i="43"/>
  <c r="CK17" i="43"/>
  <c r="CG17" i="43"/>
  <c r="CC17" i="43"/>
  <c r="BY17" i="43"/>
  <c r="BU17" i="43"/>
  <c r="BQ17" i="43"/>
  <c r="BM17" i="43"/>
  <c r="BI17" i="43"/>
  <c r="BE17" i="43"/>
  <c r="BA17" i="43"/>
  <c r="AW17" i="43"/>
  <c r="AS17" i="43"/>
  <c r="AO17" i="43"/>
  <c r="AK17" i="43"/>
  <c r="AG17" i="43"/>
  <c r="AC17" i="43"/>
  <c r="Y17" i="43"/>
  <c r="U17" i="43"/>
  <c r="Q17" i="43"/>
  <c r="DK18" i="43"/>
  <c r="DG18" i="43"/>
  <c r="DC18" i="43"/>
  <c r="CY18" i="43"/>
  <c r="CU18" i="43"/>
  <c r="CQ18" i="43"/>
  <c r="CM18" i="43"/>
  <c r="CI18" i="43"/>
  <c r="CE18" i="43"/>
  <c r="CA18" i="43"/>
  <c r="BW18" i="43"/>
  <c r="BS18" i="43"/>
  <c r="BO18" i="43"/>
  <c r="BK18" i="43"/>
  <c r="BG18" i="43"/>
  <c r="BC18" i="43"/>
  <c r="AY18" i="43"/>
  <c r="AU18" i="43"/>
  <c r="AQ18" i="43"/>
  <c r="AM18" i="43"/>
  <c r="AI18" i="43"/>
  <c r="AE18" i="43"/>
  <c r="AA18" i="43"/>
  <c r="W18" i="43"/>
  <c r="S18" i="43"/>
  <c r="O18" i="43"/>
  <c r="DH18" i="43"/>
  <c r="DD18" i="43"/>
  <c r="CZ18" i="43"/>
  <c r="CV18" i="43"/>
  <c r="CR18" i="43"/>
  <c r="CN18" i="43"/>
  <c r="CJ18" i="43"/>
  <c r="CF18" i="43"/>
  <c r="CB18" i="43"/>
  <c r="BX18" i="43"/>
  <c r="BT18" i="43"/>
  <c r="BP18" i="43"/>
  <c r="BL18" i="43"/>
  <c r="BH18" i="43"/>
  <c r="BD18" i="43"/>
  <c r="AZ18" i="43"/>
  <c r="AV18" i="43"/>
  <c r="AR18" i="43"/>
  <c r="AN18" i="43"/>
  <c r="AJ18" i="43"/>
  <c r="AF18" i="43"/>
  <c r="AB18" i="43"/>
  <c r="X18" i="43"/>
  <c r="T18" i="43"/>
  <c r="P18" i="43"/>
  <c r="DJ19" i="43"/>
  <c r="DF19" i="43"/>
  <c r="DB19" i="43"/>
  <c r="CX19" i="43"/>
  <c r="CT19" i="43"/>
  <c r="CP19" i="43"/>
  <c r="CL19" i="43"/>
  <c r="CH19" i="43"/>
  <c r="CD19" i="43"/>
  <c r="BZ19" i="43"/>
  <c r="BV19" i="43"/>
  <c r="BR19" i="43"/>
  <c r="BN19" i="43"/>
  <c r="BJ19" i="43"/>
  <c r="BF19" i="43"/>
  <c r="BB19" i="43"/>
  <c r="AX19" i="43"/>
  <c r="AT19" i="43"/>
  <c r="AP19" i="43"/>
  <c r="AL19" i="43"/>
  <c r="AH19" i="43"/>
  <c r="AD19" i="43"/>
  <c r="Z19" i="43"/>
  <c r="V19" i="43"/>
  <c r="R19" i="43"/>
  <c r="N19" i="43"/>
  <c r="DI19" i="43"/>
  <c r="DE19" i="43"/>
  <c r="DA19" i="43"/>
  <c r="CW19" i="43"/>
  <c r="CS19" i="43"/>
  <c r="CO19" i="43"/>
  <c r="CK19" i="43"/>
  <c r="CG19" i="43"/>
  <c r="CC19" i="43"/>
  <c r="BY19" i="43"/>
  <c r="BU19" i="43"/>
  <c r="BQ19" i="43"/>
  <c r="BM19" i="43"/>
  <c r="BI19" i="43"/>
  <c r="BE19" i="43"/>
  <c r="BA19" i="43"/>
  <c r="AW19" i="43"/>
  <c r="AS19" i="43"/>
  <c r="AO19" i="43"/>
  <c r="AK19" i="43"/>
  <c r="AG19" i="43"/>
  <c r="AC19" i="43"/>
  <c r="Y19" i="43"/>
  <c r="U19" i="43"/>
  <c r="Q19" i="43"/>
  <c r="DK20" i="43"/>
  <c r="DG20" i="43"/>
  <c r="DC20" i="43"/>
  <c r="CY20" i="43"/>
  <c r="CU20" i="43"/>
  <c r="CQ20" i="43"/>
  <c r="CM20" i="43"/>
  <c r="CI20" i="43"/>
  <c r="CE20" i="43"/>
  <c r="CA20" i="43"/>
  <c r="BW20" i="43"/>
  <c r="BS20" i="43"/>
  <c r="BO20" i="43"/>
  <c r="BK20" i="43"/>
  <c r="BG20" i="43"/>
  <c r="BC20" i="43"/>
  <c r="AY20" i="43"/>
  <c r="AU20" i="43"/>
  <c r="AQ20" i="43"/>
  <c r="AM20" i="43"/>
  <c r="AI20" i="43"/>
  <c r="AE20" i="43"/>
  <c r="AA20" i="43"/>
  <c r="W20" i="43"/>
  <c r="S20" i="43"/>
  <c r="O20" i="43"/>
  <c r="DH20" i="43"/>
  <c r="DD20" i="43"/>
  <c r="CZ20" i="43"/>
  <c r="CV20" i="43"/>
  <c r="CR20" i="43"/>
  <c r="CN20" i="43"/>
  <c r="CJ20" i="43"/>
  <c r="CF20" i="43"/>
  <c r="CB20" i="43"/>
  <c r="BX20" i="43"/>
  <c r="BT20" i="43"/>
  <c r="BP20" i="43"/>
  <c r="BL20" i="43"/>
  <c r="BH20" i="43"/>
  <c r="BD20" i="43"/>
  <c r="AZ20" i="43"/>
  <c r="AV20" i="43"/>
  <c r="AR20" i="43"/>
  <c r="AN20" i="43"/>
  <c r="AJ20" i="43"/>
  <c r="AF20" i="43"/>
  <c r="AB20" i="43"/>
  <c r="X20" i="43"/>
  <c r="T20" i="43"/>
  <c r="P20" i="43"/>
  <c r="DJ21" i="43"/>
  <c r="DF21" i="43"/>
  <c r="DB21" i="43"/>
  <c r="CX21" i="43"/>
  <c r="CT21" i="43"/>
  <c r="CP21" i="43"/>
  <c r="CL21" i="43"/>
  <c r="CH21" i="43"/>
  <c r="CD21" i="43"/>
  <c r="BZ21" i="43"/>
  <c r="BV21" i="43"/>
  <c r="BR21" i="43"/>
  <c r="BN21" i="43"/>
  <c r="BJ21" i="43"/>
  <c r="BF21" i="43"/>
  <c r="BB21" i="43"/>
  <c r="AX21" i="43"/>
  <c r="AT21" i="43"/>
  <c r="AP21" i="43"/>
  <c r="AL21" i="43"/>
  <c r="AH21" i="43"/>
  <c r="AD21" i="43"/>
  <c r="Z21" i="43"/>
  <c r="V21" i="43"/>
  <c r="R21" i="43"/>
  <c r="N21" i="43"/>
  <c r="DI21" i="43"/>
  <c r="DE21" i="43"/>
  <c r="DA21" i="43"/>
  <c r="CW21" i="43"/>
  <c r="CS21" i="43"/>
  <c r="CO21" i="43"/>
  <c r="CK21" i="43"/>
  <c r="CG21" i="43"/>
  <c r="CC21" i="43"/>
  <c r="BY21" i="43"/>
  <c r="BU21" i="43"/>
  <c r="BQ21" i="43"/>
  <c r="BM21" i="43"/>
  <c r="BI21" i="43"/>
  <c r="BE21" i="43"/>
  <c r="BA21" i="43"/>
  <c r="AW21" i="43"/>
  <c r="AS21" i="43"/>
  <c r="AO21" i="43"/>
  <c r="AK21" i="43"/>
  <c r="AG21" i="43"/>
  <c r="AC21" i="43"/>
  <c r="Y21" i="43"/>
  <c r="U21" i="43"/>
  <c r="Q21" i="43"/>
  <c r="DK22" i="43"/>
  <c r="DG22" i="43"/>
  <c r="DC22" i="43"/>
  <c r="CY22" i="43"/>
  <c r="CU22" i="43"/>
  <c r="CQ22" i="43"/>
  <c r="CM22" i="43"/>
  <c r="CI22" i="43"/>
  <c r="CE22" i="43"/>
  <c r="CA22" i="43"/>
  <c r="BW22" i="43"/>
  <c r="BS22" i="43"/>
  <c r="BO22" i="43"/>
  <c r="BK22" i="43"/>
  <c r="BG22" i="43"/>
  <c r="BC22" i="43"/>
  <c r="AY22" i="43"/>
  <c r="AU22" i="43"/>
  <c r="AQ22" i="43"/>
  <c r="AM22" i="43"/>
  <c r="AI22" i="43"/>
  <c r="AE22" i="43"/>
  <c r="AA22" i="43"/>
  <c r="W22" i="43"/>
  <c r="S22" i="43"/>
  <c r="O22" i="43"/>
  <c r="DH22" i="43"/>
  <c r="DD22" i="43"/>
  <c r="CZ22" i="43"/>
  <c r="CV22" i="43"/>
  <c r="CR22" i="43"/>
  <c r="CN22" i="43"/>
  <c r="CJ22" i="43"/>
  <c r="CF22" i="43"/>
  <c r="CB22" i="43"/>
  <c r="BX22" i="43"/>
  <c r="BT22" i="43"/>
  <c r="BP22" i="43"/>
  <c r="BL22" i="43"/>
  <c r="BH22" i="43"/>
  <c r="BD22" i="43"/>
  <c r="AZ22" i="43"/>
  <c r="AV22" i="43"/>
  <c r="AR22" i="43"/>
  <c r="AN22" i="43"/>
  <c r="AJ22" i="43"/>
  <c r="AF22" i="43"/>
  <c r="AB22" i="43"/>
  <c r="X22" i="43"/>
  <c r="T22" i="43"/>
  <c r="P22" i="43"/>
  <c r="DJ23" i="43"/>
  <c r="DF23" i="43"/>
  <c r="DB23" i="43"/>
  <c r="CX23" i="43"/>
  <c r="CT23" i="43"/>
  <c r="CP23" i="43"/>
  <c r="CL23" i="43"/>
  <c r="CH23" i="43"/>
  <c r="CD23" i="43"/>
  <c r="BZ23" i="43"/>
  <c r="BV23" i="43"/>
  <c r="BR23" i="43"/>
  <c r="BN23" i="43"/>
  <c r="BJ23" i="43"/>
  <c r="BF23" i="43"/>
  <c r="BB23" i="43"/>
  <c r="AX23" i="43"/>
  <c r="AT23" i="43"/>
  <c r="AP23" i="43"/>
  <c r="AL23" i="43"/>
  <c r="AH23" i="43"/>
  <c r="AD23" i="43"/>
  <c r="Z23" i="43"/>
  <c r="V23" i="43"/>
  <c r="R23" i="43"/>
  <c r="N23" i="43"/>
  <c r="DI23" i="43"/>
  <c r="DE23" i="43"/>
  <c r="DA23" i="43"/>
  <c r="CW23" i="43"/>
  <c r="CS23" i="43"/>
  <c r="CO23" i="43"/>
  <c r="CK23" i="43"/>
  <c r="CG23" i="43"/>
  <c r="CC23" i="43"/>
  <c r="BY23" i="43"/>
  <c r="BU23" i="43"/>
  <c r="BQ23" i="43"/>
  <c r="BM23" i="43"/>
  <c r="BI23" i="43"/>
  <c r="BE23" i="43"/>
  <c r="BA23" i="43"/>
  <c r="AW23" i="43"/>
  <c r="AS23" i="43"/>
  <c r="AO23" i="43"/>
  <c r="AK23" i="43"/>
  <c r="AG23" i="43"/>
  <c r="AC23" i="43"/>
  <c r="Y23" i="43"/>
  <c r="U23" i="43"/>
  <c r="Q23" i="43"/>
  <c r="DK24" i="43"/>
  <c r="DG24" i="43"/>
  <c r="DC24" i="43"/>
  <c r="CY24" i="43"/>
  <c r="CU24" i="43"/>
  <c r="CQ24" i="43"/>
  <c r="CM24" i="43"/>
  <c r="CI24" i="43"/>
  <c r="CE24" i="43"/>
  <c r="CA24" i="43"/>
  <c r="BW24" i="43"/>
  <c r="BS24" i="43"/>
  <c r="BO24" i="43"/>
  <c r="BK24" i="43"/>
  <c r="BG24" i="43"/>
  <c r="BC24" i="43"/>
  <c r="AY24" i="43"/>
  <c r="AU24" i="43"/>
  <c r="AQ24" i="43"/>
  <c r="AM24" i="43"/>
  <c r="AI24" i="43"/>
  <c r="AE24" i="43"/>
  <c r="AA24" i="43"/>
  <c r="W24" i="43"/>
  <c r="S24" i="43"/>
  <c r="O24" i="43"/>
  <c r="DH24" i="43"/>
  <c r="DD24" i="43"/>
  <c r="CZ24" i="43"/>
  <c r="CV24" i="43"/>
  <c r="CR24" i="43"/>
  <c r="CN24" i="43"/>
  <c r="CJ24" i="43"/>
  <c r="CF24" i="43"/>
  <c r="CB24" i="43"/>
  <c r="BX24" i="43"/>
  <c r="BT24" i="43"/>
  <c r="BP24" i="43"/>
  <c r="BL24" i="43"/>
  <c r="BH24" i="43"/>
  <c r="BD24" i="43"/>
  <c r="AZ24" i="43"/>
  <c r="AV24" i="43"/>
  <c r="AR24" i="43"/>
  <c r="AN24" i="43"/>
  <c r="AJ24" i="43"/>
  <c r="AF24" i="43"/>
  <c r="AB24" i="43"/>
  <c r="X24" i="43"/>
  <c r="T24" i="43"/>
  <c r="P24" i="43"/>
  <c r="DJ25" i="43"/>
  <c r="DF25" i="43"/>
  <c r="DB25" i="43"/>
  <c r="CX25" i="43"/>
  <c r="CT25" i="43"/>
  <c r="CP25" i="43"/>
  <c r="CL25" i="43"/>
  <c r="CH25" i="43"/>
  <c r="CD25" i="43"/>
  <c r="BZ25" i="43"/>
  <c r="BV25" i="43"/>
  <c r="BR25" i="43"/>
  <c r="BN25" i="43"/>
  <c r="BJ25" i="43"/>
  <c r="BF25" i="43"/>
  <c r="BB25" i="43"/>
  <c r="AX25" i="43"/>
  <c r="AT25" i="43"/>
  <c r="AP25" i="43"/>
  <c r="AL25" i="43"/>
  <c r="AH25" i="43"/>
  <c r="AD25" i="43"/>
  <c r="Z25" i="43"/>
  <c r="V25" i="43"/>
  <c r="R25" i="43"/>
  <c r="N25" i="43"/>
  <c r="DI25" i="43"/>
  <c r="DE25" i="43"/>
  <c r="DA25" i="43"/>
  <c r="CW25" i="43"/>
  <c r="CS25" i="43"/>
  <c r="CO25" i="43"/>
  <c r="CK25" i="43"/>
  <c r="CG25" i="43"/>
  <c r="CC25" i="43"/>
  <c r="BY25" i="43"/>
  <c r="BU25" i="43"/>
  <c r="BQ25" i="43"/>
  <c r="BM25" i="43"/>
  <c r="BI25" i="43"/>
  <c r="BE25" i="43"/>
  <c r="BA25" i="43"/>
  <c r="AW25" i="43"/>
  <c r="AS25" i="43"/>
  <c r="AO25" i="43"/>
  <c r="AK25" i="43"/>
  <c r="AG25" i="43"/>
  <c r="AC25" i="43"/>
  <c r="Y25" i="43"/>
  <c r="U25" i="43"/>
  <c r="Q25" i="43"/>
  <c r="DK26" i="43"/>
  <c r="DG26" i="43"/>
  <c r="DC26" i="43"/>
  <c r="CY26" i="43"/>
  <c r="CU26" i="43"/>
  <c r="CQ26" i="43"/>
  <c r="CM26" i="43"/>
  <c r="CI26" i="43"/>
  <c r="CE26" i="43"/>
  <c r="CA26" i="43"/>
  <c r="BW26" i="43"/>
  <c r="BS26" i="43"/>
  <c r="BO26" i="43"/>
  <c r="BK26" i="43"/>
  <c r="BG26" i="43"/>
  <c r="BC26" i="43"/>
  <c r="AY26" i="43"/>
  <c r="AU26" i="43"/>
  <c r="AQ26" i="43"/>
  <c r="AM26" i="43"/>
  <c r="AI26" i="43"/>
  <c r="AE26" i="43"/>
  <c r="AA26" i="43"/>
  <c r="W26" i="43"/>
  <c r="S26" i="43"/>
  <c r="O26" i="43"/>
  <c r="DH26" i="43"/>
  <c r="DD26" i="43"/>
  <c r="CZ26" i="43"/>
  <c r="CV26" i="43"/>
  <c r="CR26" i="43"/>
  <c r="CN26" i="43"/>
  <c r="CJ26" i="43"/>
  <c r="CF26" i="43"/>
  <c r="CB26" i="43"/>
  <c r="BX26" i="43"/>
  <c r="BT26" i="43"/>
  <c r="BP26" i="43"/>
  <c r="BL26" i="43"/>
  <c r="BH26" i="43"/>
  <c r="BD26" i="43"/>
  <c r="AZ26" i="43"/>
  <c r="AV26" i="43"/>
  <c r="AR26" i="43"/>
  <c r="AN26" i="43"/>
  <c r="AJ26" i="43"/>
  <c r="AF26" i="43"/>
  <c r="AB26" i="43"/>
  <c r="X26" i="43"/>
  <c r="T26" i="43"/>
  <c r="P26" i="43"/>
  <c r="DJ27" i="43"/>
  <c r="DF27" i="43"/>
  <c r="DB27" i="43"/>
  <c r="CX27" i="43"/>
  <c r="CT27" i="43"/>
  <c r="CP27" i="43"/>
  <c r="CL27" i="43"/>
  <c r="CH27" i="43"/>
  <c r="CD27" i="43"/>
  <c r="BZ27" i="43"/>
  <c r="BV27" i="43"/>
  <c r="BR27" i="43"/>
  <c r="BN27" i="43"/>
  <c r="BJ27" i="43"/>
  <c r="BF27" i="43"/>
  <c r="BB27" i="43"/>
  <c r="AX27" i="43"/>
  <c r="AT27" i="43"/>
  <c r="AP27" i="43"/>
  <c r="AL27" i="43"/>
  <c r="AH27" i="43"/>
  <c r="AD27" i="43"/>
  <c r="Z27" i="43"/>
  <c r="V27" i="43"/>
  <c r="R27" i="43"/>
  <c r="N27" i="43"/>
  <c r="DI27" i="43"/>
  <c r="DE27" i="43"/>
  <c r="DA27" i="43"/>
  <c r="CW27" i="43"/>
  <c r="CS27" i="43"/>
  <c r="CO27" i="43"/>
  <c r="CK27" i="43"/>
  <c r="CG27" i="43"/>
  <c r="CC27" i="43"/>
  <c r="BY27" i="43"/>
  <c r="BU27" i="43"/>
  <c r="BQ27" i="43"/>
  <c r="BM27" i="43"/>
  <c r="BI27" i="43"/>
  <c r="BE27" i="43"/>
  <c r="BA27" i="43"/>
  <c r="AW27" i="43"/>
  <c r="AS27" i="43"/>
  <c r="AO27" i="43"/>
  <c r="AK27" i="43"/>
  <c r="AG27" i="43"/>
  <c r="AC27" i="43"/>
  <c r="Y27" i="43"/>
  <c r="U27" i="43"/>
  <c r="Q27" i="43"/>
  <c r="DK28" i="43"/>
  <c r="DG28" i="43"/>
  <c r="DC28" i="43"/>
  <c r="CY28" i="43"/>
  <c r="CU28" i="43"/>
  <c r="CQ28" i="43"/>
  <c r="CM28" i="43"/>
  <c r="CI28" i="43"/>
  <c r="CE28" i="43"/>
  <c r="CA28" i="43"/>
  <c r="BW28" i="43"/>
  <c r="BS28" i="43"/>
  <c r="BO28" i="43"/>
  <c r="BK28" i="43"/>
  <c r="BG28" i="43"/>
  <c r="BC28" i="43"/>
  <c r="AY28" i="43"/>
  <c r="AU28" i="43"/>
  <c r="AQ28" i="43"/>
  <c r="AM28" i="43"/>
  <c r="AI28" i="43"/>
  <c r="AE28" i="43"/>
  <c r="AA28" i="43"/>
  <c r="W28" i="43"/>
  <c r="S28" i="43"/>
  <c r="O28" i="43"/>
  <c r="DH28" i="43"/>
  <c r="DD28" i="43"/>
  <c r="CZ28" i="43"/>
  <c r="CV28" i="43"/>
  <c r="CR28" i="43"/>
  <c r="CN28" i="43"/>
  <c r="CJ28" i="43"/>
  <c r="CF28" i="43"/>
  <c r="CB28" i="43"/>
  <c r="BX28" i="43"/>
  <c r="BT28" i="43"/>
  <c r="BP28" i="43"/>
  <c r="BL28" i="43"/>
  <c r="BH28" i="43"/>
  <c r="BD28" i="43"/>
  <c r="AZ28" i="43"/>
  <c r="AV28" i="43"/>
  <c r="AR28" i="43"/>
  <c r="AN28" i="43"/>
  <c r="AJ28" i="43"/>
  <c r="AF28" i="43"/>
  <c r="AB28" i="43"/>
  <c r="X28" i="43"/>
  <c r="T28" i="43"/>
  <c r="P28" i="43"/>
  <c r="DJ29" i="43"/>
  <c r="DF29" i="43"/>
  <c r="DB29" i="43"/>
  <c r="CX29" i="43"/>
  <c r="CT29" i="43"/>
  <c r="CP29" i="43"/>
  <c r="CL29" i="43"/>
  <c r="CH29" i="43"/>
  <c r="CD29" i="43"/>
  <c r="BZ29" i="43"/>
  <c r="BV29" i="43"/>
  <c r="BR29" i="43"/>
  <c r="BN29" i="43"/>
  <c r="BJ29" i="43"/>
  <c r="BF29" i="43"/>
  <c r="BB29" i="43"/>
  <c r="AX29" i="43"/>
  <c r="AT29" i="43"/>
  <c r="AP29" i="43"/>
  <c r="AL29" i="43"/>
  <c r="AH29" i="43"/>
  <c r="AD29" i="43"/>
  <c r="Z29" i="43"/>
  <c r="V29" i="43"/>
  <c r="R29" i="43"/>
  <c r="N29" i="43"/>
  <c r="DI29" i="43"/>
  <c r="DE29" i="43"/>
  <c r="DA29" i="43"/>
  <c r="CW29" i="43"/>
  <c r="CS29" i="43"/>
  <c r="CO29" i="43"/>
  <c r="CK29" i="43"/>
  <c r="CG29" i="43"/>
  <c r="CC29" i="43"/>
  <c r="BY29" i="43"/>
  <c r="BU29" i="43"/>
  <c r="BQ29" i="43"/>
  <c r="BM29" i="43"/>
  <c r="BI29" i="43"/>
  <c r="BE29" i="43"/>
  <c r="BA29" i="43"/>
  <c r="AW29" i="43"/>
  <c r="AS29" i="43"/>
  <c r="AO29" i="43"/>
  <c r="AK29" i="43"/>
  <c r="AG29" i="43"/>
  <c r="AC29" i="43"/>
  <c r="Y29" i="43"/>
  <c r="U29" i="43"/>
  <c r="Q29" i="43"/>
  <c r="DK30" i="43"/>
  <c r="DG30" i="43"/>
  <c r="DC30" i="43"/>
  <c r="CY30" i="43"/>
  <c r="CU30" i="43"/>
  <c r="CQ30" i="43"/>
  <c r="CM30" i="43"/>
  <c r="CI30" i="43"/>
  <c r="CE30" i="43"/>
  <c r="CA30" i="43"/>
  <c r="BW30" i="43"/>
  <c r="BS30" i="43"/>
  <c r="BO30" i="43"/>
  <c r="BK30" i="43"/>
  <c r="BG30" i="43"/>
  <c r="BC30" i="43"/>
  <c r="AY30" i="43"/>
  <c r="AU30" i="43"/>
  <c r="AQ30" i="43"/>
  <c r="AM30" i="43"/>
  <c r="AI30" i="43"/>
  <c r="AE30" i="43"/>
  <c r="AA30" i="43"/>
  <c r="W30" i="43"/>
  <c r="S30" i="43"/>
  <c r="O30" i="43"/>
  <c r="DH30" i="43"/>
  <c r="DD30" i="43"/>
  <c r="CZ30" i="43"/>
  <c r="CV30" i="43"/>
  <c r="CR30" i="43"/>
  <c r="CN30" i="43"/>
  <c r="CJ30" i="43"/>
  <c r="CF30" i="43"/>
  <c r="CB30" i="43"/>
  <c r="BX30" i="43"/>
  <c r="BT30" i="43"/>
  <c r="BP30" i="43"/>
  <c r="BL30" i="43"/>
  <c r="BH30" i="43"/>
  <c r="BD30" i="43"/>
  <c r="AZ30" i="43"/>
  <c r="AV30" i="43"/>
  <c r="AR30" i="43"/>
  <c r="AN30" i="43"/>
  <c r="AJ30" i="43"/>
  <c r="AF30" i="43"/>
  <c r="AB30" i="43"/>
  <c r="X30" i="43"/>
  <c r="T30" i="43"/>
  <c r="P30" i="43"/>
  <c r="DJ31" i="43"/>
  <c r="DF31" i="43"/>
  <c r="DB31" i="43"/>
  <c r="CX31" i="43"/>
  <c r="CT31" i="43"/>
  <c r="CP31" i="43"/>
  <c r="CL31" i="43"/>
  <c r="N39" i="45"/>
  <c r="U100" i="21"/>
  <c r="V100" i="21"/>
  <c r="U80" i="21"/>
  <c r="O118" i="21"/>
  <c r="N130" i="21"/>
  <c r="N131" i="21" s="1"/>
  <c r="R53" i="23"/>
  <c r="R49" i="23"/>
  <c r="R50" i="23" s="1"/>
  <c r="M83" i="23"/>
  <c r="N27" i="27"/>
  <c r="P27" i="27"/>
  <c r="P63" i="27"/>
  <c r="DO37" i="3"/>
  <c r="EJ37" i="3" s="1"/>
  <c r="W81" i="3"/>
  <c r="X37" i="3"/>
  <c r="DO216" i="3"/>
  <c r="EJ216" i="3" s="1"/>
  <c r="DZ215" i="3"/>
  <c r="V194" i="3"/>
  <c r="V198" i="3" s="1"/>
  <c r="V247" i="3"/>
  <c r="V248" i="3" s="1"/>
  <c r="T50" i="16" s="1"/>
  <c r="AO25" i="16"/>
  <c r="L297" i="3"/>
  <c r="AA125" i="21"/>
  <c r="Z135" i="21"/>
  <c r="W125" i="21"/>
  <c r="X84" i="23"/>
  <c r="X81" i="23"/>
  <c r="X172" i="25"/>
  <c r="Y167" i="25"/>
  <c r="Y172" i="25" s="1"/>
  <c r="Z174" i="25"/>
  <c r="AA174" i="25" s="1"/>
  <c r="DZ51" i="3"/>
  <c r="X264" i="3"/>
  <c r="DQ264" i="3" s="1"/>
  <c r="DQ225" i="3"/>
  <c r="Y262" i="3"/>
  <c r="Z262" i="3" s="1"/>
  <c r="AA262" i="3" s="1"/>
  <c r="AB262" i="3" s="1"/>
  <c r="AC262" i="3" s="1"/>
  <c r="AD262" i="3" s="1"/>
  <c r="AE262" i="3" s="1"/>
  <c r="AF262" i="3" s="1"/>
  <c r="AG262" i="3" s="1"/>
  <c r="AH262" i="3" s="1"/>
  <c r="AI262" i="3" s="1"/>
  <c r="AJ262" i="3" s="1"/>
  <c r="AK262" i="3" s="1"/>
  <c r="AL262" i="3" s="1"/>
  <c r="AM262" i="3" s="1"/>
  <c r="AN262" i="3" s="1"/>
  <c r="AO262" i="3" s="1"/>
  <c r="AP262" i="3" s="1"/>
  <c r="AQ262" i="3" s="1"/>
  <c r="AR262" i="3" s="1"/>
  <c r="AS262" i="3" s="1"/>
  <c r="AT262" i="3" s="1"/>
  <c r="AU262" i="3" s="1"/>
  <c r="AV262" i="3" s="1"/>
  <c r="AW262" i="3" s="1"/>
  <c r="AX262" i="3" s="1"/>
  <c r="AY262" i="3" s="1"/>
  <c r="AZ262" i="3" s="1"/>
  <c r="BA262" i="3" s="1"/>
  <c r="BB262" i="3" s="1"/>
  <c r="BC262" i="3" s="1"/>
  <c r="BD262" i="3" s="1"/>
  <c r="BE262" i="3" s="1"/>
  <c r="BF262" i="3" s="1"/>
  <c r="BG262" i="3" s="1"/>
  <c r="BH262" i="3" s="1"/>
  <c r="BI262" i="3" s="1"/>
  <c r="BJ262" i="3" s="1"/>
  <c r="BK262" i="3" s="1"/>
  <c r="BL262" i="3" s="1"/>
  <c r="BM262" i="3" s="1"/>
  <c r="BN262" i="3" s="1"/>
  <c r="BO262" i="3" s="1"/>
  <c r="BP262" i="3" s="1"/>
  <c r="BQ262" i="3" s="1"/>
  <c r="BR262" i="3" s="1"/>
  <c r="BS262" i="3" s="1"/>
  <c r="BT262" i="3" s="1"/>
  <c r="BU262" i="3" s="1"/>
  <c r="BV262" i="3" s="1"/>
  <c r="BW262" i="3" s="1"/>
  <c r="BX262" i="3" s="1"/>
  <c r="BY262" i="3" s="1"/>
  <c r="BZ262" i="3" s="1"/>
  <c r="CA262" i="3" s="1"/>
  <c r="CB262" i="3" s="1"/>
  <c r="CC262" i="3" s="1"/>
  <c r="CD262" i="3" s="1"/>
  <c r="CE262" i="3" s="1"/>
  <c r="CF262" i="3" s="1"/>
  <c r="CG262" i="3" s="1"/>
  <c r="CH262" i="3" s="1"/>
  <c r="CI262" i="3" s="1"/>
  <c r="CJ262" i="3" s="1"/>
  <c r="CK262" i="3" s="1"/>
  <c r="CL262" i="3" s="1"/>
  <c r="CM262" i="3" s="1"/>
  <c r="CN262" i="3" s="1"/>
  <c r="CO262" i="3" s="1"/>
  <c r="CP262" i="3" s="1"/>
  <c r="DQ262" i="3"/>
  <c r="X9" i="17"/>
  <c r="X11" i="17" s="1"/>
  <c r="DQ272" i="3"/>
  <c r="Y274" i="3"/>
  <c r="Z274" i="3" s="1"/>
  <c r="AA274" i="3" s="1"/>
  <c r="AB274" i="3" s="1"/>
  <c r="AC274" i="3" s="1"/>
  <c r="AD274" i="3" s="1"/>
  <c r="AE274" i="3" s="1"/>
  <c r="AF274" i="3" s="1"/>
  <c r="AG274" i="3" s="1"/>
  <c r="AH274" i="3" s="1"/>
  <c r="AI274" i="3" s="1"/>
  <c r="AJ274" i="3" s="1"/>
  <c r="AK274" i="3" s="1"/>
  <c r="AL274" i="3" s="1"/>
  <c r="AM274" i="3" s="1"/>
  <c r="AN274" i="3" s="1"/>
  <c r="AO274" i="3" s="1"/>
  <c r="AP274" i="3" s="1"/>
  <c r="AQ274" i="3" s="1"/>
  <c r="AR274" i="3" s="1"/>
  <c r="AS274" i="3" s="1"/>
  <c r="AT274" i="3" s="1"/>
  <c r="AU274" i="3" s="1"/>
  <c r="AV274" i="3" s="1"/>
  <c r="AW274" i="3" s="1"/>
  <c r="AX274" i="3" s="1"/>
  <c r="AY274" i="3" s="1"/>
  <c r="AZ274" i="3" s="1"/>
  <c r="BA274" i="3" s="1"/>
  <c r="BB274" i="3" s="1"/>
  <c r="BC274" i="3" s="1"/>
  <c r="BD274" i="3" s="1"/>
  <c r="BE274" i="3" s="1"/>
  <c r="BF274" i="3" s="1"/>
  <c r="BG274" i="3" s="1"/>
  <c r="BH274" i="3" s="1"/>
  <c r="BI274" i="3" s="1"/>
  <c r="BJ274" i="3" s="1"/>
  <c r="BK274" i="3" s="1"/>
  <c r="BL274" i="3" s="1"/>
  <c r="BM274" i="3" s="1"/>
  <c r="BN274" i="3" s="1"/>
  <c r="BO274" i="3" s="1"/>
  <c r="BP274" i="3" s="1"/>
  <c r="BQ274" i="3" s="1"/>
  <c r="BR274" i="3" s="1"/>
  <c r="BS274" i="3" s="1"/>
  <c r="BT274" i="3" s="1"/>
  <c r="BU274" i="3" s="1"/>
  <c r="BV274" i="3" s="1"/>
  <c r="BW274" i="3" s="1"/>
  <c r="BX274" i="3" s="1"/>
  <c r="BY274" i="3" s="1"/>
  <c r="BZ274" i="3" s="1"/>
  <c r="CA274" i="3" s="1"/>
  <c r="CB274" i="3" s="1"/>
  <c r="CC274" i="3" s="1"/>
  <c r="CD274" i="3" s="1"/>
  <c r="CE274" i="3" s="1"/>
  <c r="CF274" i="3" s="1"/>
  <c r="CG274" i="3" s="1"/>
  <c r="CH274" i="3" s="1"/>
  <c r="CI274" i="3" s="1"/>
  <c r="CJ274" i="3" s="1"/>
  <c r="CK274" i="3" s="1"/>
  <c r="CL274" i="3" s="1"/>
  <c r="CM274" i="3" s="1"/>
  <c r="CN274" i="3" s="1"/>
  <c r="CO274" i="3" s="1"/>
  <c r="CP274" i="3" s="1"/>
  <c r="DQ274" i="3"/>
  <c r="Y278" i="3"/>
  <c r="Z278" i="3" s="1"/>
  <c r="AA278" i="3" s="1"/>
  <c r="AB278" i="3" s="1"/>
  <c r="AC278" i="3" s="1"/>
  <c r="AD278" i="3" s="1"/>
  <c r="AE278" i="3" s="1"/>
  <c r="AF278" i="3" s="1"/>
  <c r="AG278" i="3" s="1"/>
  <c r="AH278" i="3" s="1"/>
  <c r="AI278" i="3" s="1"/>
  <c r="AJ278" i="3" s="1"/>
  <c r="AK278" i="3" s="1"/>
  <c r="AL278" i="3" s="1"/>
  <c r="AM278" i="3" s="1"/>
  <c r="AN278" i="3" s="1"/>
  <c r="AO278" i="3" s="1"/>
  <c r="AP278" i="3" s="1"/>
  <c r="AQ278" i="3" s="1"/>
  <c r="AR278" i="3" s="1"/>
  <c r="AS278" i="3" s="1"/>
  <c r="AT278" i="3" s="1"/>
  <c r="AU278" i="3" s="1"/>
  <c r="AV278" i="3" s="1"/>
  <c r="AW278" i="3" s="1"/>
  <c r="AX278" i="3" s="1"/>
  <c r="AY278" i="3" s="1"/>
  <c r="AZ278" i="3" s="1"/>
  <c r="BA278" i="3" s="1"/>
  <c r="BB278" i="3" s="1"/>
  <c r="BC278" i="3" s="1"/>
  <c r="BD278" i="3" s="1"/>
  <c r="BE278" i="3" s="1"/>
  <c r="BF278" i="3" s="1"/>
  <c r="BG278" i="3" s="1"/>
  <c r="BH278" i="3" s="1"/>
  <c r="BI278" i="3" s="1"/>
  <c r="BJ278" i="3" s="1"/>
  <c r="BK278" i="3" s="1"/>
  <c r="BL278" i="3" s="1"/>
  <c r="BM278" i="3" s="1"/>
  <c r="BN278" i="3" s="1"/>
  <c r="BO278" i="3" s="1"/>
  <c r="BP278" i="3" s="1"/>
  <c r="BQ278" i="3" s="1"/>
  <c r="BR278" i="3" s="1"/>
  <c r="BS278" i="3" s="1"/>
  <c r="BT278" i="3" s="1"/>
  <c r="BU278" i="3" s="1"/>
  <c r="BV278" i="3" s="1"/>
  <c r="BW278" i="3" s="1"/>
  <c r="BX278" i="3" s="1"/>
  <c r="BY278" i="3" s="1"/>
  <c r="BZ278" i="3" s="1"/>
  <c r="CA278" i="3" s="1"/>
  <c r="CB278" i="3" s="1"/>
  <c r="CC278" i="3" s="1"/>
  <c r="CD278" i="3" s="1"/>
  <c r="CE278" i="3" s="1"/>
  <c r="CF278" i="3" s="1"/>
  <c r="CG278" i="3" s="1"/>
  <c r="CH278" i="3" s="1"/>
  <c r="CI278" i="3" s="1"/>
  <c r="CJ278" i="3" s="1"/>
  <c r="CK278" i="3" s="1"/>
  <c r="CL278" i="3" s="1"/>
  <c r="CM278" i="3" s="1"/>
  <c r="CN278" i="3" s="1"/>
  <c r="CO278" i="3" s="1"/>
  <c r="CP278" i="3" s="1"/>
  <c r="DQ278" i="3"/>
  <c r="Y280" i="3"/>
  <c r="Z280" i="3" s="1"/>
  <c r="AA280" i="3" s="1"/>
  <c r="AB280" i="3" s="1"/>
  <c r="AC280" i="3" s="1"/>
  <c r="AD280" i="3" s="1"/>
  <c r="AE280" i="3" s="1"/>
  <c r="AF280" i="3" s="1"/>
  <c r="AG280" i="3" s="1"/>
  <c r="AH280" i="3" s="1"/>
  <c r="AI280" i="3" s="1"/>
  <c r="AJ280" i="3" s="1"/>
  <c r="AK280" i="3" s="1"/>
  <c r="AL280" i="3" s="1"/>
  <c r="AM280" i="3" s="1"/>
  <c r="AN280" i="3" s="1"/>
  <c r="AO280" i="3" s="1"/>
  <c r="AP280" i="3" s="1"/>
  <c r="AQ280" i="3" s="1"/>
  <c r="AR280" i="3" s="1"/>
  <c r="AS280" i="3" s="1"/>
  <c r="AT280" i="3" s="1"/>
  <c r="AU280" i="3" s="1"/>
  <c r="AV280" i="3" s="1"/>
  <c r="AW280" i="3" s="1"/>
  <c r="AX280" i="3" s="1"/>
  <c r="AY280" i="3" s="1"/>
  <c r="AZ280" i="3" s="1"/>
  <c r="BA280" i="3" s="1"/>
  <c r="BB280" i="3" s="1"/>
  <c r="BC280" i="3" s="1"/>
  <c r="BD280" i="3" s="1"/>
  <c r="BE280" i="3" s="1"/>
  <c r="BF280" i="3" s="1"/>
  <c r="BG280" i="3" s="1"/>
  <c r="BH280" i="3" s="1"/>
  <c r="BI280" i="3" s="1"/>
  <c r="BJ280" i="3" s="1"/>
  <c r="BK280" i="3" s="1"/>
  <c r="BL280" i="3" s="1"/>
  <c r="BM280" i="3" s="1"/>
  <c r="BN280" i="3" s="1"/>
  <c r="BO280" i="3" s="1"/>
  <c r="BP280" i="3" s="1"/>
  <c r="BQ280" i="3" s="1"/>
  <c r="BR280" i="3" s="1"/>
  <c r="BS280" i="3" s="1"/>
  <c r="BT280" i="3" s="1"/>
  <c r="BU280" i="3" s="1"/>
  <c r="BV280" i="3" s="1"/>
  <c r="BW280" i="3" s="1"/>
  <c r="BX280" i="3" s="1"/>
  <c r="BY280" i="3" s="1"/>
  <c r="BZ280" i="3" s="1"/>
  <c r="CA280" i="3" s="1"/>
  <c r="CB280" i="3" s="1"/>
  <c r="CC280" i="3" s="1"/>
  <c r="CD280" i="3" s="1"/>
  <c r="CE280" i="3" s="1"/>
  <c r="CF280" i="3" s="1"/>
  <c r="CG280" i="3" s="1"/>
  <c r="CH280" i="3" s="1"/>
  <c r="CI280" i="3" s="1"/>
  <c r="CJ280" i="3" s="1"/>
  <c r="CK280" i="3" s="1"/>
  <c r="CL280" i="3" s="1"/>
  <c r="CM280" i="3" s="1"/>
  <c r="CN280" i="3" s="1"/>
  <c r="CO280" i="3" s="1"/>
  <c r="CP280" i="3" s="1"/>
  <c r="DQ280" i="3"/>
  <c r="AF9" i="16"/>
  <c r="AF12" i="16" s="1"/>
  <c r="AF81" i="16" s="1"/>
  <c r="AF1" i="16" s="1"/>
  <c r="Y35" i="3"/>
  <c r="Z35" i="3" s="1"/>
  <c r="AA35" i="3" s="1"/>
  <c r="AB35" i="3" s="1"/>
  <c r="AC35" i="3" s="1"/>
  <c r="AD35" i="3" s="1"/>
  <c r="DQ35" i="3"/>
  <c r="Y53" i="3"/>
  <c r="Z53" i="3" s="1"/>
  <c r="AA53" i="3" s="1"/>
  <c r="AB53" i="3" s="1"/>
  <c r="AC53" i="3" s="1"/>
  <c r="AD53" i="3" s="1"/>
  <c r="AE53" i="3" s="1"/>
  <c r="AF53" i="3" s="1"/>
  <c r="AG53" i="3" s="1"/>
  <c r="AH53" i="3" s="1"/>
  <c r="AI53" i="3" s="1"/>
  <c r="AJ53" i="3" s="1"/>
  <c r="AK53" i="3" s="1"/>
  <c r="AL53" i="3" s="1"/>
  <c r="AM53" i="3" s="1"/>
  <c r="AN53" i="3" s="1"/>
  <c r="AO53" i="3" s="1"/>
  <c r="AP53" i="3" s="1"/>
  <c r="AQ53" i="3" s="1"/>
  <c r="AR53" i="3" s="1"/>
  <c r="AS53" i="3" s="1"/>
  <c r="AT53" i="3" s="1"/>
  <c r="AU53" i="3" s="1"/>
  <c r="AV53" i="3" s="1"/>
  <c r="AW53" i="3" s="1"/>
  <c r="AX53" i="3" s="1"/>
  <c r="AY53" i="3" s="1"/>
  <c r="AZ53" i="3" s="1"/>
  <c r="BA53" i="3" s="1"/>
  <c r="BB53" i="3" s="1"/>
  <c r="BC53" i="3" s="1"/>
  <c r="BD53" i="3" s="1"/>
  <c r="BE53" i="3" s="1"/>
  <c r="BF53" i="3" s="1"/>
  <c r="BG53" i="3" s="1"/>
  <c r="BH53" i="3" s="1"/>
  <c r="BI53" i="3" s="1"/>
  <c r="BJ53" i="3" s="1"/>
  <c r="BK53" i="3" s="1"/>
  <c r="BL53" i="3" s="1"/>
  <c r="BM53" i="3" s="1"/>
  <c r="BN53" i="3" s="1"/>
  <c r="BO53" i="3" s="1"/>
  <c r="BP53" i="3" s="1"/>
  <c r="BQ53" i="3" s="1"/>
  <c r="BR53" i="3" s="1"/>
  <c r="BS53" i="3" s="1"/>
  <c r="BT53" i="3" s="1"/>
  <c r="BU53" i="3" s="1"/>
  <c r="BV53" i="3" s="1"/>
  <c r="BW53" i="3" s="1"/>
  <c r="BX53" i="3" s="1"/>
  <c r="BY53" i="3" s="1"/>
  <c r="BZ53" i="3" s="1"/>
  <c r="CA53" i="3" s="1"/>
  <c r="CB53" i="3" s="1"/>
  <c r="CC53" i="3" s="1"/>
  <c r="CD53" i="3" s="1"/>
  <c r="CE53" i="3" s="1"/>
  <c r="CF53" i="3" s="1"/>
  <c r="CG53" i="3" s="1"/>
  <c r="CH53" i="3" s="1"/>
  <c r="CI53" i="3" s="1"/>
  <c r="CJ53" i="3" s="1"/>
  <c r="CK53" i="3" s="1"/>
  <c r="CL53" i="3" s="1"/>
  <c r="CM53" i="3" s="1"/>
  <c r="CN53" i="3" s="1"/>
  <c r="CO53" i="3" s="1"/>
  <c r="CP53" i="3" s="1"/>
  <c r="DQ53" i="3"/>
  <c r="DH77" i="3"/>
  <c r="DZ48" i="3"/>
  <c r="DO75" i="3"/>
  <c r="Y268" i="3"/>
  <c r="Z268" i="3" s="1"/>
  <c r="AA268" i="3" s="1"/>
  <c r="AB268" i="3" s="1"/>
  <c r="AC268" i="3" s="1"/>
  <c r="AD268" i="3" s="1"/>
  <c r="AE268" i="3" s="1"/>
  <c r="AF268" i="3" s="1"/>
  <c r="AG268" i="3" s="1"/>
  <c r="AH268" i="3" s="1"/>
  <c r="AI268" i="3" s="1"/>
  <c r="AJ268" i="3" s="1"/>
  <c r="AK268" i="3" s="1"/>
  <c r="AL268" i="3" s="1"/>
  <c r="AM268" i="3" s="1"/>
  <c r="AN268" i="3" s="1"/>
  <c r="AO268" i="3" s="1"/>
  <c r="AP268" i="3" s="1"/>
  <c r="AQ268" i="3" s="1"/>
  <c r="AR268" i="3" s="1"/>
  <c r="AS268" i="3" s="1"/>
  <c r="AT268" i="3" s="1"/>
  <c r="AU268" i="3" s="1"/>
  <c r="AV268" i="3" s="1"/>
  <c r="AW268" i="3" s="1"/>
  <c r="AX268" i="3" s="1"/>
  <c r="AY268" i="3" s="1"/>
  <c r="AZ268" i="3" s="1"/>
  <c r="BA268" i="3" s="1"/>
  <c r="BB268" i="3" s="1"/>
  <c r="BC268" i="3" s="1"/>
  <c r="BD268" i="3" s="1"/>
  <c r="BE268" i="3" s="1"/>
  <c r="BF268" i="3" s="1"/>
  <c r="BG268" i="3" s="1"/>
  <c r="BH268" i="3" s="1"/>
  <c r="BI268" i="3" s="1"/>
  <c r="BJ268" i="3" s="1"/>
  <c r="BK268" i="3" s="1"/>
  <c r="BL268" i="3" s="1"/>
  <c r="BM268" i="3" s="1"/>
  <c r="BN268" i="3" s="1"/>
  <c r="BO268" i="3" s="1"/>
  <c r="BP268" i="3" s="1"/>
  <c r="BQ268" i="3" s="1"/>
  <c r="BR268" i="3" s="1"/>
  <c r="BS268" i="3" s="1"/>
  <c r="BT268" i="3" s="1"/>
  <c r="BU268" i="3" s="1"/>
  <c r="BV268" i="3" s="1"/>
  <c r="BW268" i="3" s="1"/>
  <c r="BX268" i="3" s="1"/>
  <c r="BY268" i="3" s="1"/>
  <c r="BZ268" i="3" s="1"/>
  <c r="CA268" i="3" s="1"/>
  <c r="CB268" i="3" s="1"/>
  <c r="CC268" i="3" s="1"/>
  <c r="CD268" i="3" s="1"/>
  <c r="CE268" i="3" s="1"/>
  <c r="CF268" i="3" s="1"/>
  <c r="CG268" i="3" s="1"/>
  <c r="CH268" i="3" s="1"/>
  <c r="CI268" i="3" s="1"/>
  <c r="CJ268" i="3" s="1"/>
  <c r="CK268" i="3" s="1"/>
  <c r="CL268" i="3" s="1"/>
  <c r="CM268" i="3" s="1"/>
  <c r="CN268" i="3" s="1"/>
  <c r="CO268" i="3" s="1"/>
  <c r="CP268" i="3" s="1"/>
  <c r="DQ268" i="3"/>
  <c r="Y162" i="21"/>
  <c r="AA289" i="3"/>
  <c r="X162" i="21"/>
  <c r="S134" i="25"/>
  <c r="S132" i="25" s="1"/>
  <c r="DH21" i="3"/>
  <c r="DY232" i="3"/>
  <c r="DZ232" i="3" s="1"/>
  <c r="N286" i="3"/>
  <c r="P46" i="21"/>
  <c r="AB168" i="21"/>
  <c r="Z162" i="21"/>
  <c r="U55" i="27"/>
  <c r="Y90" i="27"/>
  <c r="Z90" i="27" s="1"/>
  <c r="AA90" i="27" s="1"/>
  <c r="AB90" i="27" s="1"/>
  <c r="AC90" i="27" s="1"/>
  <c r="AD90" i="27" s="1"/>
  <c r="K67" i="27"/>
  <c r="U67" i="27"/>
  <c r="J27" i="27"/>
  <c r="X59" i="25"/>
  <c r="L78" i="23"/>
  <c r="L79" i="23" s="1"/>
  <c r="DX229" i="3"/>
  <c r="L60" i="15"/>
  <c r="X183" i="25"/>
  <c r="X184" i="25" s="1"/>
  <c r="O61" i="15"/>
  <c r="AJ32" i="16"/>
  <c r="AJ38" i="16" s="1"/>
  <c r="P296" i="3"/>
  <c r="T292" i="3"/>
  <c r="T35" i="17" s="1"/>
  <c r="P292" i="3"/>
  <c r="P35" i="17" s="1"/>
  <c r="N336" i="3"/>
  <c r="N338" i="3" s="1"/>
  <c r="N341" i="3" s="1"/>
  <c r="X288" i="3"/>
  <c r="P337" i="3"/>
  <c r="U336" i="3"/>
  <c r="Q336" i="3"/>
  <c r="U331" i="3"/>
  <c r="T335" i="3"/>
  <c r="R332" i="3"/>
  <c r="P335" i="3"/>
  <c r="W292" i="3"/>
  <c r="S292" i="3"/>
  <c r="M292" i="3"/>
  <c r="M35" i="17" s="1"/>
  <c r="DO288" i="3"/>
  <c r="DK288" i="3"/>
  <c r="DK292" i="3" s="1"/>
  <c r="X331" i="3"/>
  <c r="U332" i="3"/>
  <c r="T331" i="3"/>
  <c r="S332" i="3"/>
  <c r="P331" i="3"/>
  <c r="Y272" i="3"/>
  <c r="L260" i="3"/>
  <c r="L286" i="3" s="1"/>
  <c r="L293" i="3" s="1"/>
  <c r="W237" i="3"/>
  <c r="U47" i="16" s="1"/>
  <c r="U46" i="16" s="1"/>
  <c r="R194" i="3"/>
  <c r="V171" i="3"/>
  <c r="DL171" i="3" s="1"/>
  <c r="DX215" i="3"/>
  <c r="EJ215" i="3"/>
  <c r="Q194" i="3"/>
  <c r="K194" i="3"/>
  <c r="S180" i="3"/>
  <c r="V169" i="3"/>
  <c r="Q169" i="3"/>
  <c r="EJ117" i="3"/>
  <c r="DM105" i="3"/>
  <c r="BP148" i="3"/>
  <c r="DK139" i="3"/>
  <c r="DE131" i="3"/>
  <c r="DU131" i="3" s="1"/>
  <c r="DL113" i="3"/>
  <c r="G208" i="3"/>
  <c r="EJ94" i="3"/>
  <c r="DG78" i="3"/>
  <c r="T70" i="3"/>
  <c r="U56" i="3"/>
  <c r="R39" i="3"/>
  <c r="W162" i="21"/>
  <c r="S135" i="21"/>
  <c r="X136" i="21"/>
  <c r="T118" i="21"/>
  <c r="U89" i="21"/>
  <c r="V63" i="21"/>
  <c r="W64" i="21"/>
  <c r="X64" i="21" s="1"/>
  <c r="Y64" i="21" s="1"/>
  <c r="W63" i="21"/>
  <c r="L83" i="23"/>
  <c r="Z68" i="23"/>
  <c r="T27" i="23"/>
  <c r="W109" i="27"/>
  <c r="V109" i="27"/>
  <c r="CD48" i="27"/>
  <c r="P25" i="27"/>
  <c r="W25" i="27"/>
  <c r="W64" i="27" s="1"/>
  <c r="O25" i="27"/>
  <c r="X179" i="25"/>
  <c r="R183" i="25"/>
  <c r="R181" i="25" s="1"/>
  <c r="Q134" i="25"/>
  <c r="Q135" i="25" s="1"/>
  <c r="L130" i="25"/>
  <c r="N31" i="25"/>
  <c r="CF28" i="25"/>
  <c r="BP28" i="25"/>
  <c r="AZ28" i="25"/>
  <c r="AJ28" i="25"/>
  <c r="T28" i="25"/>
  <c r="P27" i="25"/>
  <c r="U58" i="25"/>
  <c r="U72" i="25" s="1"/>
  <c r="G83" i="17"/>
  <c r="Q30" i="25"/>
  <c r="AI28" i="25"/>
  <c r="CH31" i="27"/>
  <c r="BZ31" i="27"/>
  <c r="BR31" i="27"/>
  <c r="BJ31" i="27"/>
  <c r="BB31" i="27"/>
  <c r="AT31" i="27"/>
  <c r="AL31" i="27"/>
  <c r="AD31" i="27"/>
  <c r="V31" i="27"/>
  <c r="N31" i="27"/>
  <c r="Y30" i="27"/>
  <c r="Q30" i="27"/>
  <c r="I30" i="27"/>
  <c r="CK28" i="27"/>
  <c r="CC28" i="27"/>
  <c r="BU28" i="27"/>
  <c r="BM28" i="27"/>
  <c r="BE28" i="27"/>
  <c r="AW28" i="27"/>
  <c r="AO28" i="27"/>
  <c r="AG28" i="27"/>
  <c r="Y28" i="27"/>
  <c r="Q28" i="27"/>
  <c r="I28" i="27"/>
  <c r="CN25" i="23"/>
  <c r="BH25" i="23"/>
  <c r="CG24" i="23"/>
  <c r="BA24" i="23"/>
  <c r="BZ22" i="23"/>
  <c r="AT22" i="23"/>
  <c r="BS21" i="23"/>
  <c r="AM21" i="23"/>
  <c r="AI22" i="23"/>
  <c r="P25" i="23"/>
  <c r="N21" i="23"/>
  <c r="AH38" i="16"/>
  <c r="DY104" i="3"/>
  <c r="DO43" i="3"/>
  <c r="DK79" i="3"/>
  <c r="DI73" i="3"/>
  <c r="DG74" i="3"/>
  <c r="R77" i="3"/>
  <c r="G95" i="15"/>
  <c r="R178" i="25"/>
  <c r="E29" i="25"/>
  <c r="T29" i="25" s="1"/>
  <c r="BM28" i="25"/>
  <c r="O27" i="25"/>
  <c r="Q97" i="27"/>
  <c r="Q98" i="27" s="1"/>
  <c r="CO31" i="27"/>
  <c r="CG31" i="27"/>
  <c r="BY31" i="27"/>
  <c r="BQ31" i="27"/>
  <c r="BI31" i="27"/>
  <c r="BA31" i="27"/>
  <c r="AS31" i="27"/>
  <c r="AK31" i="27"/>
  <c r="AC31" i="27"/>
  <c r="U31" i="27"/>
  <c r="M31" i="27"/>
  <c r="X30" i="27"/>
  <c r="P30" i="27"/>
  <c r="CN28" i="27"/>
  <c r="CF28" i="27"/>
  <c r="BX28" i="27"/>
  <c r="BP28" i="27"/>
  <c r="BH28" i="27"/>
  <c r="AZ28" i="27"/>
  <c r="AR28" i="27"/>
  <c r="AJ28" i="27"/>
  <c r="AB28" i="27"/>
  <c r="T28" i="27"/>
  <c r="L28" i="27"/>
  <c r="CI25" i="23"/>
  <c r="BC25" i="23"/>
  <c r="CB24" i="23"/>
  <c r="AV24" i="23"/>
  <c r="BU22" i="23"/>
  <c r="AO22" i="23"/>
  <c r="BN21" i="23"/>
  <c r="AH25" i="23"/>
  <c r="AD22" i="23"/>
  <c r="U24" i="23"/>
  <c r="AA168" i="21"/>
  <c r="V27" i="21"/>
  <c r="T24" i="21"/>
  <c r="T336" i="3"/>
  <c r="X295" i="3"/>
  <c r="Q237" i="3"/>
  <c r="O47" i="16" s="1"/>
  <c r="O89" i="16" s="1"/>
  <c r="U34" i="16"/>
  <c r="O178" i="3"/>
  <c r="DI105" i="3"/>
  <c r="DW105" i="3" s="1"/>
  <c r="DM72" i="3"/>
  <c r="DK73" i="3"/>
  <c r="DE72" i="3"/>
  <c r="BB36" i="23"/>
  <c r="L137" i="25"/>
  <c r="L138" i="25" s="1"/>
  <c r="Z63" i="25"/>
  <c r="CO28" i="25"/>
  <c r="AC28" i="25"/>
  <c r="S82" i="27"/>
  <c r="E29" i="27"/>
  <c r="CI31" i="27"/>
  <c r="CA31" i="27"/>
  <c r="BS31" i="27"/>
  <c r="BK31" i="27"/>
  <c r="BC31" i="27"/>
  <c r="AU31" i="27"/>
  <c r="AM31" i="27"/>
  <c r="AE31" i="27"/>
  <c r="W31" i="27"/>
  <c r="O31" i="27"/>
  <c r="Z30" i="27"/>
  <c r="R30" i="27"/>
  <c r="J30" i="27"/>
  <c r="CL28" i="27"/>
  <c r="CD28" i="27"/>
  <c r="BV28" i="27"/>
  <c r="BN28" i="27"/>
  <c r="BF28" i="27"/>
  <c r="AX28" i="27"/>
  <c r="AP28" i="27"/>
  <c r="AH28" i="27"/>
  <c r="Z28" i="27"/>
  <c r="R28" i="27"/>
  <c r="J28" i="27"/>
  <c r="CC25" i="23"/>
  <c r="AW25" i="23"/>
  <c r="BV24" i="23"/>
  <c r="AP24" i="23"/>
  <c r="BO22" i="23"/>
  <c r="CN21" i="23"/>
  <c r="BH21" i="23"/>
  <c r="AB25" i="23"/>
  <c r="X22" i="23"/>
  <c r="O24" i="23"/>
  <c r="V162" i="21"/>
  <c r="R26" i="21"/>
  <c r="P23" i="21"/>
  <c r="EH225" i="3"/>
  <c r="DD172" i="3"/>
  <c r="R132" i="3"/>
  <c r="AN30" i="16" s="1"/>
  <c r="DM79" i="3"/>
  <c r="DG71" i="3"/>
  <c r="DE74" i="3"/>
  <c r="N77" i="3"/>
  <c r="W70" i="3"/>
  <c r="AT8" i="16"/>
  <c r="P132" i="25"/>
  <c r="P133" i="25" s="1"/>
  <c r="Z168" i="21"/>
  <c r="Z119" i="21"/>
  <c r="Z155" i="21" s="1"/>
  <c r="EC47" i="3"/>
  <c r="U27" i="21"/>
  <c r="X51" i="21"/>
  <c r="X77" i="21" s="1"/>
  <c r="DG76" i="3"/>
  <c r="DX227" i="3"/>
  <c r="DF131" i="3"/>
  <c r="W22" i="23"/>
  <c r="CF22" i="23"/>
  <c r="AA24" i="23"/>
  <c r="EH223" i="3"/>
  <c r="Q178" i="3"/>
  <c r="BT31" i="27"/>
  <c r="AN31" i="27"/>
  <c r="K30" i="27"/>
  <c r="BK28" i="27"/>
  <c r="AE28" i="27"/>
  <c r="AL25" i="23"/>
  <c r="AK25" i="23"/>
  <c r="DG105" i="3"/>
  <c r="DV105" i="3" s="1"/>
  <c r="BP31" i="27"/>
  <c r="AJ31" i="27"/>
  <c r="W30" i="27"/>
  <c r="BW28" i="27"/>
  <c r="AQ28" i="27"/>
  <c r="K28" i="27"/>
  <c r="CB22" i="23"/>
  <c r="T24" i="23"/>
  <c r="V69" i="26"/>
  <c r="BL31" i="27"/>
  <c r="AF31" i="27"/>
  <c r="S30" i="27"/>
  <c r="BS28" i="27"/>
  <c r="AM28" i="27"/>
  <c r="AT25" i="23"/>
  <c r="AW21" i="23"/>
  <c r="AB31" i="27"/>
  <c r="AI24" i="23"/>
  <c r="CI346" i="3"/>
  <c r="CA346" i="3"/>
  <c r="BS346" i="3"/>
  <c r="BK346" i="3"/>
  <c r="BC346" i="3"/>
  <c r="AU346" i="3"/>
  <c r="AM346" i="3"/>
  <c r="AE346" i="3"/>
  <c r="W346" i="3"/>
  <c r="O346" i="3"/>
  <c r="L346" i="3"/>
  <c r="P346" i="3"/>
  <c r="T346" i="3"/>
  <c r="X346" i="3"/>
  <c r="AB346" i="3"/>
  <c r="AF346" i="3"/>
  <c r="AJ346" i="3"/>
  <c r="AN346" i="3"/>
  <c r="AR346" i="3"/>
  <c r="AV346" i="3"/>
  <c r="AZ346" i="3"/>
  <c r="BD346" i="3"/>
  <c r="BH346" i="3"/>
  <c r="BL346" i="3"/>
  <c r="BP346" i="3"/>
  <c r="BT346" i="3"/>
  <c r="BX346" i="3"/>
  <c r="CB346" i="3"/>
  <c r="CF346" i="3"/>
  <c r="CJ346" i="3"/>
  <c r="CN346" i="3"/>
  <c r="D29" i="15"/>
  <c r="D31" i="23"/>
  <c r="W119" i="25"/>
  <c r="W154" i="25" s="1"/>
  <c r="CC346" i="3"/>
  <c r="AW346" i="3"/>
  <c r="Q346" i="3"/>
  <c r="P132" i="3"/>
  <c r="AL30" i="16" s="1"/>
  <c r="EH94" i="3"/>
  <c r="O132" i="3"/>
  <c r="AK30" i="16" s="1"/>
  <c r="AC37" i="26"/>
  <c r="K37" i="26" s="1"/>
  <c r="Q181" i="3"/>
  <c r="EC46" i="3"/>
  <c r="S132" i="3"/>
  <c r="AO30" i="16" s="1"/>
  <c r="K67" i="21"/>
  <c r="R90" i="3"/>
  <c r="P13" i="16" s="1"/>
  <c r="P81" i="16" s="1"/>
  <c r="DQ32" i="3"/>
  <c r="Y36" i="3"/>
  <c r="Z36" i="3" s="1"/>
  <c r="AA36" i="3" s="1"/>
  <c r="AB36" i="3" s="1"/>
  <c r="AC36" i="3" s="1"/>
  <c r="AD36" i="3" s="1"/>
  <c r="AE36" i="3" s="1"/>
  <c r="AF36" i="3" s="1"/>
  <c r="AG36" i="3" s="1"/>
  <c r="AH36" i="3" s="1"/>
  <c r="AI36" i="3" s="1"/>
  <c r="AJ36" i="3" s="1"/>
  <c r="AK36" i="3" s="1"/>
  <c r="AL36" i="3" s="1"/>
  <c r="AM36" i="3" s="1"/>
  <c r="AN36" i="3" s="1"/>
  <c r="AO36" i="3" s="1"/>
  <c r="AP36" i="3" s="1"/>
  <c r="AQ36" i="3" s="1"/>
  <c r="AR36" i="3" s="1"/>
  <c r="AS36" i="3" s="1"/>
  <c r="AT36" i="3" s="1"/>
  <c r="AU36" i="3" s="1"/>
  <c r="AV36" i="3" s="1"/>
  <c r="AW36" i="3" s="1"/>
  <c r="AX36" i="3" s="1"/>
  <c r="AY36" i="3" s="1"/>
  <c r="AZ36" i="3" s="1"/>
  <c r="BA36" i="3" s="1"/>
  <c r="BB36" i="3" s="1"/>
  <c r="BC36" i="3" s="1"/>
  <c r="BD36" i="3" s="1"/>
  <c r="BE36" i="3" s="1"/>
  <c r="BF36" i="3" s="1"/>
  <c r="BG36" i="3" s="1"/>
  <c r="BH36" i="3" s="1"/>
  <c r="BI36" i="3" s="1"/>
  <c r="BJ36" i="3" s="1"/>
  <c r="BK36" i="3" s="1"/>
  <c r="BL36" i="3" s="1"/>
  <c r="BM36" i="3" s="1"/>
  <c r="BN36" i="3" s="1"/>
  <c r="BO36" i="3" s="1"/>
  <c r="BP36" i="3" s="1"/>
  <c r="BQ36" i="3" s="1"/>
  <c r="BR36" i="3" s="1"/>
  <c r="BS36" i="3" s="1"/>
  <c r="BT36" i="3" s="1"/>
  <c r="BU36" i="3" s="1"/>
  <c r="BV36" i="3" s="1"/>
  <c r="BW36" i="3" s="1"/>
  <c r="BX36" i="3" s="1"/>
  <c r="BY36" i="3" s="1"/>
  <c r="BZ36" i="3" s="1"/>
  <c r="CA36" i="3" s="1"/>
  <c r="CB36" i="3" s="1"/>
  <c r="CC36" i="3" s="1"/>
  <c r="CD36" i="3" s="1"/>
  <c r="CE36" i="3" s="1"/>
  <c r="CF36" i="3" s="1"/>
  <c r="CG36" i="3" s="1"/>
  <c r="CH36" i="3" s="1"/>
  <c r="CI36" i="3" s="1"/>
  <c r="CJ36" i="3" s="1"/>
  <c r="CK36" i="3" s="1"/>
  <c r="CL36" i="3" s="1"/>
  <c r="CM36" i="3" s="1"/>
  <c r="CN36" i="3" s="1"/>
  <c r="CO36" i="3" s="1"/>
  <c r="CP36" i="3" s="1"/>
  <c r="DQ36" i="3"/>
  <c r="EC48" i="3"/>
  <c r="DZ44" i="3"/>
  <c r="DO71" i="3"/>
  <c r="DO72" i="3"/>
  <c r="DZ47" i="3"/>
  <c r="DO74" i="3"/>
  <c r="DZ49" i="3"/>
  <c r="DO76" i="3"/>
  <c r="DZ52" i="3"/>
  <c r="DO79" i="3"/>
  <c r="Q139" i="3"/>
  <c r="S139" i="3"/>
  <c r="S103" i="15" s="1"/>
  <c r="X170" i="3"/>
  <c r="Y167" i="3" s="1"/>
  <c r="R169" i="3"/>
  <c r="X192" i="3"/>
  <c r="X247" i="3" s="1"/>
  <c r="X248" i="3" s="1"/>
  <c r="V50" i="16" s="1"/>
  <c r="L213" i="3"/>
  <c r="EH212" i="3"/>
  <c r="Y217" i="3"/>
  <c r="Z217" i="3" s="1"/>
  <c r="AA217" i="3" s="1"/>
  <c r="AB217" i="3" s="1"/>
  <c r="AC217" i="3" s="1"/>
  <c r="AD217" i="3" s="1"/>
  <c r="AE217" i="3" s="1"/>
  <c r="AF217" i="3" s="1"/>
  <c r="AG217" i="3" s="1"/>
  <c r="AH217" i="3" s="1"/>
  <c r="AI217" i="3" s="1"/>
  <c r="AJ217" i="3" s="1"/>
  <c r="AK217" i="3" s="1"/>
  <c r="AL217" i="3" s="1"/>
  <c r="AM217" i="3" s="1"/>
  <c r="AN217" i="3" s="1"/>
  <c r="AO217" i="3" s="1"/>
  <c r="AP217" i="3" s="1"/>
  <c r="AQ217" i="3" s="1"/>
  <c r="AR217" i="3" s="1"/>
  <c r="AS217" i="3" s="1"/>
  <c r="AT217" i="3" s="1"/>
  <c r="AU217" i="3" s="1"/>
  <c r="AV217" i="3" s="1"/>
  <c r="AW217" i="3" s="1"/>
  <c r="AX217" i="3" s="1"/>
  <c r="AY217" i="3" s="1"/>
  <c r="AZ217" i="3" s="1"/>
  <c r="BA217" i="3" s="1"/>
  <c r="BB217" i="3" s="1"/>
  <c r="BC217" i="3" s="1"/>
  <c r="BD217" i="3" s="1"/>
  <c r="BE217" i="3" s="1"/>
  <c r="BF217" i="3" s="1"/>
  <c r="BG217" i="3" s="1"/>
  <c r="BH217" i="3" s="1"/>
  <c r="BI217" i="3" s="1"/>
  <c r="BJ217" i="3" s="1"/>
  <c r="BK217" i="3" s="1"/>
  <c r="BL217" i="3" s="1"/>
  <c r="BM217" i="3" s="1"/>
  <c r="BN217" i="3" s="1"/>
  <c r="BO217" i="3" s="1"/>
  <c r="BP217" i="3" s="1"/>
  <c r="BQ217" i="3" s="1"/>
  <c r="BR217" i="3" s="1"/>
  <c r="BS217" i="3" s="1"/>
  <c r="BT217" i="3" s="1"/>
  <c r="BU217" i="3" s="1"/>
  <c r="BV217" i="3" s="1"/>
  <c r="BW217" i="3" s="1"/>
  <c r="BX217" i="3" s="1"/>
  <c r="BY217" i="3" s="1"/>
  <c r="BZ217" i="3" s="1"/>
  <c r="CA217" i="3" s="1"/>
  <c r="CB217" i="3" s="1"/>
  <c r="CC217" i="3" s="1"/>
  <c r="CD217" i="3" s="1"/>
  <c r="CE217" i="3" s="1"/>
  <c r="CF217" i="3" s="1"/>
  <c r="CG217" i="3" s="1"/>
  <c r="CH217" i="3" s="1"/>
  <c r="CI217" i="3" s="1"/>
  <c r="CJ217" i="3" s="1"/>
  <c r="CK217" i="3" s="1"/>
  <c r="CL217" i="3" s="1"/>
  <c r="CM217" i="3" s="1"/>
  <c r="CN217" i="3" s="1"/>
  <c r="CO217" i="3" s="1"/>
  <c r="CP217" i="3" s="1"/>
  <c r="DQ217" i="3"/>
  <c r="DX212" i="3"/>
  <c r="S50" i="16"/>
  <c r="Y257" i="3"/>
  <c r="Z257" i="3" s="1"/>
  <c r="AA257" i="3" s="1"/>
  <c r="AB257" i="3" s="1"/>
  <c r="AC257" i="3" s="1"/>
  <c r="AD257" i="3" s="1"/>
  <c r="AE257" i="3" s="1"/>
  <c r="AF257" i="3" s="1"/>
  <c r="AG257" i="3" s="1"/>
  <c r="AH257" i="3" s="1"/>
  <c r="AI257" i="3" s="1"/>
  <c r="AJ257" i="3" s="1"/>
  <c r="AK257" i="3" s="1"/>
  <c r="AL257" i="3" s="1"/>
  <c r="AM257" i="3" s="1"/>
  <c r="AN257" i="3" s="1"/>
  <c r="AO257" i="3" s="1"/>
  <c r="AP257" i="3" s="1"/>
  <c r="AQ257" i="3" s="1"/>
  <c r="AR257" i="3" s="1"/>
  <c r="AS257" i="3" s="1"/>
  <c r="AT257" i="3" s="1"/>
  <c r="AU257" i="3" s="1"/>
  <c r="AV257" i="3" s="1"/>
  <c r="AW257" i="3" s="1"/>
  <c r="AX257" i="3" s="1"/>
  <c r="AY257" i="3" s="1"/>
  <c r="AZ257" i="3" s="1"/>
  <c r="BA257" i="3" s="1"/>
  <c r="BB257" i="3" s="1"/>
  <c r="BC257" i="3" s="1"/>
  <c r="BD257" i="3" s="1"/>
  <c r="BE257" i="3" s="1"/>
  <c r="BF257" i="3" s="1"/>
  <c r="BG257" i="3" s="1"/>
  <c r="BH257" i="3" s="1"/>
  <c r="BI257" i="3" s="1"/>
  <c r="BJ257" i="3" s="1"/>
  <c r="BK257" i="3" s="1"/>
  <c r="BL257" i="3" s="1"/>
  <c r="BM257" i="3" s="1"/>
  <c r="BN257" i="3" s="1"/>
  <c r="BO257" i="3" s="1"/>
  <c r="BP257" i="3" s="1"/>
  <c r="BQ257" i="3" s="1"/>
  <c r="BR257" i="3" s="1"/>
  <c r="BS257" i="3" s="1"/>
  <c r="BT257" i="3" s="1"/>
  <c r="BU257" i="3" s="1"/>
  <c r="BV257" i="3" s="1"/>
  <c r="BW257" i="3" s="1"/>
  <c r="BX257" i="3" s="1"/>
  <c r="BY257" i="3" s="1"/>
  <c r="BZ257" i="3" s="1"/>
  <c r="CA257" i="3" s="1"/>
  <c r="CB257" i="3" s="1"/>
  <c r="CC257" i="3" s="1"/>
  <c r="CD257" i="3" s="1"/>
  <c r="CE257" i="3" s="1"/>
  <c r="CF257" i="3" s="1"/>
  <c r="CG257" i="3" s="1"/>
  <c r="CH257" i="3" s="1"/>
  <c r="CI257" i="3" s="1"/>
  <c r="CJ257" i="3" s="1"/>
  <c r="CK257" i="3" s="1"/>
  <c r="CL257" i="3" s="1"/>
  <c r="CM257" i="3" s="1"/>
  <c r="CN257" i="3" s="1"/>
  <c r="CO257" i="3" s="1"/>
  <c r="CP257" i="3" s="1"/>
  <c r="Y258" i="3"/>
  <c r="Z258" i="3" s="1"/>
  <c r="AA258" i="3" s="1"/>
  <c r="AB258" i="3" s="1"/>
  <c r="AC258" i="3" s="1"/>
  <c r="AD258" i="3" s="1"/>
  <c r="AE258" i="3" s="1"/>
  <c r="AF258" i="3" s="1"/>
  <c r="AG258" i="3" s="1"/>
  <c r="AH258" i="3" s="1"/>
  <c r="AI258" i="3" s="1"/>
  <c r="AJ258" i="3" s="1"/>
  <c r="AK258" i="3" s="1"/>
  <c r="AL258" i="3" s="1"/>
  <c r="AM258" i="3" s="1"/>
  <c r="AN258" i="3" s="1"/>
  <c r="AO258" i="3" s="1"/>
  <c r="AP258" i="3" s="1"/>
  <c r="AQ258" i="3" s="1"/>
  <c r="AR258" i="3" s="1"/>
  <c r="AS258" i="3" s="1"/>
  <c r="AT258" i="3" s="1"/>
  <c r="AU258" i="3" s="1"/>
  <c r="AV258" i="3" s="1"/>
  <c r="AW258" i="3" s="1"/>
  <c r="AX258" i="3" s="1"/>
  <c r="AY258" i="3" s="1"/>
  <c r="AZ258" i="3" s="1"/>
  <c r="BA258" i="3" s="1"/>
  <c r="BB258" i="3" s="1"/>
  <c r="BC258" i="3" s="1"/>
  <c r="BD258" i="3" s="1"/>
  <c r="BE258" i="3" s="1"/>
  <c r="BF258" i="3" s="1"/>
  <c r="BG258" i="3" s="1"/>
  <c r="BH258" i="3" s="1"/>
  <c r="BI258" i="3" s="1"/>
  <c r="BJ258" i="3" s="1"/>
  <c r="BK258" i="3" s="1"/>
  <c r="BL258" i="3" s="1"/>
  <c r="BM258" i="3" s="1"/>
  <c r="BN258" i="3" s="1"/>
  <c r="BO258" i="3" s="1"/>
  <c r="BP258" i="3" s="1"/>
  <c r="BQ258" i="3" s="1"/>
  <c r="BR258" i="3" s="1"/>
  <c r="BS258" i="3" s="1"/>
  <c r="BT258" i="3" s="1"/>
  <c r="BU258" i="3" s="1"/>
  <c r="BV258" i="3" s="1"/>
  <c r="BW258" i="3" s="1"/>
  <c r="BX258" i="3" s="1"/>
  <c r="BY258" i="3" s="1"/>
  <c r="BZ258" i="3" s="1"/>
  <c r="CA258" i="3" s="1"/>
  <c r="CB258" i="3" s="1"/>
  <c r="CC258" i="3" s="1"/>
  <c r="CD258" i="3" s="1"/>
  <c r="CE258" i="3" s="1"/>
  <c r="CF258" i="3" s="1"/>
  <c r="CG258" i="3" s="1"/>
  <c r="CH258" i="3" s="1"/>
  <c r="CI258" i="3" s="1"/>
  <c r="CJ258" i="3" s="1"/>
  <c r="CK258" i="3" s="1"/>
  <c r="CL258" i="3" s="1"/>
  <c r="CM258" i="3" s="1"/>
  <c r="CN258" i="3" s="1"/>
  <c r="CO258" i="3" s="1"/>
  <c r="CP258" i="3" s="1"/>
  <c r="Y259" i="3"/>
  <c r="Z259" i="3" s="1"/>
  <c r="DQ259" i="3"/>
  <c r="S298" i="3"/>
  <c r="Y266" i="3"/>
  <c r="Z266" i="3" s="1"/>
  <c r="AA266" i="3" s="1"/>
  <c r="AB266" i="3" s="1"/>
  <c r="AC266" i="3" s="1"/>
  <c r="AD266" i="3" s="1"/>
  <c r="AE266" i="3" s="1"/>
  <c r="AF266" i="3" s="1"/>
  <c r="AG266" i="3" s="1"/>
  <c r="AH266" i="3" s="1"/>
  <c r="AI266" i="3" s="1"/>
  <c r="AJ266" i="3" s="1"/>
  <c r="AK266" i="3" s="1"/>
  <c r="AL266" i="3" s="1"/>
  <c r="AM266" i="3" s="1"/>
  <c r="AN266" i="3" s="1"/>
  <c r="AO266" i="3" s="1"/>
  <c r="AP266" i="3" s="1"/>
  <c r="AQ266" i="3" s="1"/>
  <c r="AR266" i="3" s="1"/>
  <c r="AS266" i="3" s="1"/>
  <c r="AT266" i="3" s="1"/>
  <c r="AU266" i="3" s="1"/>
  <c r="AV266" i="3" s="1"/>
  <c r="AW266" i="3" s="1"/>
  <c r="AX266" i="3" s="1"/>
  <c r="AY266" i="3" s="1"/>
  <c r="AZ266" i="3" s="1"/>
  <c r="BA266" i="3" s="1"/>
  <c r="BB266" i="3" s="1"/>
  <c r="BC266" i="3" s="1"/>
  <c r="BD266" i="3" s="1"/>
  <c r="BE266" i="3" s="1"/>
  <c r="BF266" i="3" s="1"/>
  <c r="BG266" i="3" s="1"/>
  <c r="BH266" i="3" s="1"/>
  <c r="BI266" i="3" s="1"/>
  <c r="BJ266" i="3" s="1"/>
  <c r="BK266" i="3" s="1"/>
  <c r="BL266" i="3" s="1"/>
  <c r="BM266" i="3" s="1"/>
  <c r="BN266" i="3" s="1"/>
  <c r="BO266" i="3" s="1"/>
  <c r="BP266" i="3" s="1"/>
  <c r="BQ266" i="3" s="1"/>
  <c r="BR266" i="3" s="1"/>
  <c r="BS266" i="3" s="1"/>
  <c r="BT266" i="3" s="1"/>
  <c r="BU266" i="3" s="1"/>
  <c r="BV266" i="3" s="1"/>
  <c r="BW266" i="3" s="1"/>
  <c r="BX266" i="3" s="1"/>
  <c r="BY266" i="3" s="1"/>
  <c r="BZ266" i="3" s="1"/>
  <c r="CA266" i="3" s="1"/>
  <c r="CB266" i="3" s="1"/>
  <c r="CC266" i="3" s="1"/>
  <c r="CD266" i="3" s="1"/>
  <c r="CE266" i="3" s="1"/>
  <c r="CF266" i="3" s="1"/>
  <c r="CG266" i="3" s="1"/>
  <c r="CH266" i="3" s="1"/>
  <c r="CI266" i="3" s="1"/>
  <c r="CJ266" i="3" s="1"/>
  <c r="CK266" i="3" s="1"/>
  <c r="CL266" i="3" s="1"/>
  <c r="CM266" i="3" s="1"/>
  <c r="CN266" i="3" s="1"/>
  <c r="CO266" i="3" s="1"/>
  <c r="CP266" i="3" s="1"/>
  <c r="DQ266" i="3"/>
  <c r="DK269" i="3"/>
  <c r="DO269" i="3"/>
  <c r="AP11" i="16"/>
  <c r="Y273" i="3"/>
  <c r="Z273" i="3" s="1"/>
  <c r="AA273" i="3" s="1"/>
  <c r="AB273" i="3" s="1"/>
  <c r="AC273" i="3" s="1"/>
  <c r="AD273" i="3" s="1"/>
  <c r="AE273" i="3" s="1"/>
  <c r="AF273" i="3" s="1"/>
  <c r="AG273" i="3" s="1"/>
  <c r="AH273" i="3" s="1"/>
  <c r="AI273" i="3" s="1"/>
  <c r="AJ273" i="3" s="1"/>
  <c r="AK273" i="3" s="1"/>
  <c r="AL273" i="3" s="1"/>
  <c r="AM273" i="3" s="1"/>
  <c r="AN273" i="3" s="1"/>
  <c r="AO273" i="3" s="1"/>
  <c r="AP273" i="3" s="1"/>
  <c r="AQ273" i="3" s="1"/>
  <c r="AR273" i="3" s="1"/>
  <c r="AS273" i="3" s="1"/>
  <c r="AT273" i="3" s="1"/>
  <c r="AU273" i="3" s="1"/>
  <c r="AV273" i="3" s="1"/>
  <c r="AW273" i="3" s="1"/>
  <c r="AX273" i="3" s="1"/>
  <c r="AY273" i="3" s="1"/>
  <c r="AZ273" i="3" s="1"/>
  <c r="BA273" i="3" s="1"/>
  <c r="BB273" i="3" s="1"/>
  <c r="BC273" i="3" s="1"/>
  <c r="BD273" i="3" s="1"/>
  <c r="BE273" i="3" s="1"/>
  <c r="BF273" i="3" s="1"/>
  <c r="BG273" i="3" s="1"/>
  <c r="BH273" i="3" s="1"/>
  <c r="BI273" i="3" s="1"/>
  <c r="BJ273" i="3" s="1"/>
  <c r="BK273" i="3" s="1"/>
  <c r="BL273" i="3" s="1"/>
  <c r="BM273" i="3" s="1"/>
  <c r="BN273" i="3" s="1"/>
  <c r="BO273" i="3" s="1"/>
  <c r="BP273" i="3" s="1"/>
  <c r="BQ273" i="3" s="1"/>
  <c r="BR273" i="3" s="1"/>
  <c r="BS273" i="3" s="1"/>
  <c r="BT273" i="3" s="1"/>
  <c r="BU273" i="3" s="1"/>
  <c r="BV273" i="3" s="1"/>
  <c r="BW273" i="3" s="1"/>
  <c r="BX273" i="3" s="1"/>
  <c r="BY273" i="3" s="1"/>
  <c r="BZ273" i="3" s="1"/>
  <c r="CA273" i="3" s="1"/>
  <c r="CB273" i="3" s="1"/>
  <c r="CC273" i="3" s="1"/>
  <c r="CD273" i="3" s="1"/>
  <c r="CE273" i="3" s="1"/>
  <c r="CF273" i="3" s="1"/>
  <c r="CG273" i="3" s="1"/>
  <c r="CH273" i="3" s="1"/>
  <c r="CI273" i="3" s="1"/>
  <c r="CJ273" i="3" s="1"/>
  <c r="CK273" i="3" s="1"/>
  <c r="CL273" i="3" s="1"/>
  <c r="CM273" i="3" s="1"/>
  <c r="CN273" i="3" s="1"/>
  <c r="CO273" i="3" s="1"/>
  <c r="CP273" i="3" s="1"/>
  <c r="DQ273" i="3"/>
  <c r="Y275" i="3"/>
  <c r="Z275" i="3" s="1"/>
  <c r="AA275" i="3" s="1"/>
  <c r="AB275" i="3" s="1"/>
  <c r="AC275" i="3" s="1"/>
  <c r="AD275" i="3" s="1"/>
  <c r="AE275" i="3" s="1"/>
  <c r="AF275" i="3" s="1"/>
  <c r="AG275" i="3" s="1"/>
  <c r="AH275" i="3" s="1"/>
  <c r="AI275" i="3" s="1"/>
  <c r="AJ275" i="3" s="1"/>
  <c r="AK275" i="3" s="1"/>
  <c r="AL275" i="3" s="1"/>
  <c r="AM275" i="3" s="1"/>
  <c r="AN275" i="3" s="1"/>
  <c r="AO275" i="3" s="1"/>
  <c r="AP275" i="3" s="1"/>
  <c r="AQ275" i="3" s="1"/>
  <c r="AR275" i="3" s="1"/>
  <c r="AS275" i="3" s="1"/>
  <c r="AT275" i="3" s="1"/>
  <c r="AU275" i="3" s="1"/>
  <c r="AV275" i="3" s="1"/>
  <c r="AW275" i="3" s="1"/>
  <c r="AX275" i="3" s="1"/>
  <c r="AY275" i="3" s="1"/>
  <c r="AZ275" i="3" s="1"/>
  <c r="BA275" i="3" s="1"/>
  <c r="BB275" i="3" s="1"/>
  <c r="BC275" i="3" s="1"/>
  <c r="BD275" i="3" s="1"/>
  <c r="BE275" i="3" s="1"/>
  <c r="BF275" i="3" s="1"/>
  <c r="BG275" i="3" s="1"/>
  <c r="BH275" i="3" s="1"/>
  <c r="BI275" i="3" s="1"/>
  <c r="BJ275" i="3" s="1"/>
  <c r="BK275" i="3" s="1"/>
  <c r="BL275" i="3" s="1"/>
  <c r="BM275" i="3" s="1"/>
  <c r="BN275" i="3" s="1"/>
  <c r="BO275" i="3" s="1"/>
  <c r="BP275" i="3" s="1"/>
  <c r="BQ275" i="3" s="1"/>
  <c r="BR275" i="3" s="1"/>
  <c r="BS275" i="3" s="1"/>
  <c r="BT275" i="3" s="1"/>
  <c r="BU275" i="3" s="1"/>
  <c r="BV275" i="3" s="1"/>
  <c r="BW275" i="3" s="1"/>
  <c r="BX275" i="3" s="1"/>
  <c r="BY275" i="3" s="1"/>
  <c r="BZ275" i="3" s="1"/>
  <c r="CA275" i="3" s="1"/>
  <c r="CB275" i="3" s="1"/>
  <c r="CC275" i="3" s="1"/>
  <c r="CD275" i="3" s="1"/>
  <c r="CE275" i="3" s="1"/>
  <c r="CF275" i="3" s="1"/>
  <c r="CG275" i="3" s="1"/>
  <c r="CH275" i="3" s="1"/>
  <c r="CI275" i="3" s="1"/>
  <c r="CJ275" i="3" s="1"/>
  <c r="CK275" i="3" s="1"/>
  <c r="CL275" i="3" s="1"/>
  <c r="CM275" i="3" s="1"/>
  <c r="CN275" i="3" s="1"/>
  <c r="CO275" i="3" s="1"/>
  <c r="CP275" i="3" s="1"/>
  <c r="DQ275" i="3"/>
  <c r="Y279" i="3"/>
  <c r="DQ279" i="3"/>
  <c r="Y282" i="3"/>
  <c r="Z282" i="3" s="1"/>
  <c r="AA282" i="3" s="1"/>
  <c r="AB282" i="3" s="1"/>
  <c r="AC282" i="3" s="1"/>
  <c r="AD282" i="3" s="1"/>
  <c r="AE282" i="3" s="1"/>
  <c r="AF282" i="3" s="1"/>
  <c r="AG282" i="3" s="1"/>
  <c r="AH282" i="3" s="1"/>
  <c r="AI282" i="3" s="1"/>
  <c r="AJ282" i="3" s="1"/>
  <c r="AK282" i="3" s="1"/>
  <c r="AL282" i="3" s="1"/>
  <c r="AM282" i="3" s="1"/>
  <c r="AN282" i="3" s="1"/>
  <c r="AO282" i="3" s="1"/>
  <c r="AP282" i="3" s="1"/>
  <c r="AQ282" i="3" s="1"/>
  <c r="AR282" i="3" s="1"/>
  <c r="AS282" i="3" s="1"/>
  <c r="AT282" i="3" s="1"/>
  <c r="AU282" i="3" s="1"/>
  <c r="AV282" i="3" s="1"/>
  <c r="AW282" i="3" s="1"/>
  <c r="AX282" i="3" s="1"/>
  <c r="AY282" i="3" s="1"/>
  <c r="AZ282" i="3" s="1"/>
  <c r="BA282" i="3" s="1"/>
  <c r="BB282" i="3" s="1"/>
  <c r="BC282" i="3" s="1"/>
  <c r="BD282" i="3" s="1"/>
  <c r="BE282" i="3" s="1"/>
  <c r="BF282" i="3" s="1"/>
  <c r="BG282" i="3" s="1"/>
  <c r="BH282" i="3" s="1"/>
  <c r="BI282" i="3" s="1"/>
  <c r="BJ282" i="3" s="1"/>
  <c r="BK282" i="3" s="1"/>
  <c r="BL282" i="3" s="1"/>
  <c r="BM282" i="3" s="1"/>
  <c r="BN282" i="3" s="1"/>
  <c r="BO282" i="3" s="1"/>
  <c r="BP282" i="3" s="1"/>
  <c r="BQ282" i="3" s="1"/>
  <c r="BR282" i="3" s="1"/>
  <c r="BS282" i="3" s="1"/>
  <c r="BT282" i="3" s="1"/>
  <c r="BU282" i="3" s="1"/>
  <c r="BV282" i="3" s="1"/>
  <c r="BW282" i="3" s="1"/>
  <c r="BX282" i="3" s="1"/>
  <c r="BY282" i="3" s="1"/>
  <c r="BZ282" i="3" s="1"/>
  <c r="CA282" i="3" s="1"/>
  <c r="CB282" i="3" s="1"/>
  <c r="CC282" i="3" s="1"/>
  <c r="CD282" i="3" s="1"/>
  <c r="CE282" i="3" s="1"/>
  <c r="CF282" i="3" s="1"/>
  <c r="CG282" i="3" s="1"/>
  <c r="CH282" i="3" s="1"/>
  <c r="CI282" i="3" s="1"/>
  <c r="CJ282" i="3" s="1"/>
  <c r="CK282" i="3" s="1"/>
  <c r="CL282" i="3" s="1"/>
  <c r="CM282" i="3" s="1"/>
  <c r="CN282" i="3" s="1"/>
  <c r="CO282" i="3" s="1"/>
  <c r="CP282" i="3" s="1"/>
  <c r="DQ282" i="3"/>
  <c r="X336" i="3"/>
  <c r="DQ289" i="3"/>
  <c r="K323" i="3"/>
  <c r="K327" i="3" s="1"/>
  <c r="O323" i="3"/>
  <c r="Q323" i="3"/>
  <c r="U323" i="3"/>
  <c r="W323" i="3"/>
  <c r="L323" i="3"/>
  <c r="L327" i="3" s="1"/>
  <c r="P323" i="3"/>
  <c r="R323" i="3"/>
  <c r="R327" i="3" s="1"/>
  <c r="T323" i="3"/>
  <c r="K333" i="3"/>
  <c r="Q81" i="21"/>
  <c r="BA72" i="21"/>
  <c r="BA85" i="21" s="1"/>
  <c r="AW79" i="21"/>
  <c r="AW92" i="21" s="1"/>
  <c r="CP78" i="21"/>
  <c r="CP91" i="21" s="1"/>
  <c r="O106" i="21"/>
  <c r="W106" i="21"/>
  <c r="CI42" i="23"/>
  <c r="CJ42" i="23" s="1"/>
  <c r="CK42" i="23" s="1"/>
  <c r="CL42" i="23" s="1"/>
  <c r="BU37" i="23"/>
  <c r="W27" i="23"/>
  <c r="W48" i="23" s="1"/>
  <c r="M21" i="27"/>
  <c r="Q21" i="27"/>
  <c r="S21" i="27"/>
  <c r="S36" i="27" s="1"/>
  <c r="L121" i="27"/>
  <c r="L116" i="27" s="1"/>
  <c r="V58" i="25"/>
  <c r="Z57" i="25"/>
  <c r="AL55" i="25"/>
  <c r="AM55" i="25" s="1"/>
  <c r="AN55" i="25" s="1"/>
  <c r="AO55" i="25" s="1"/>
  <c r="CH74" i="25"/>
  <c r="CI74" i="25" s="1"/>
  <c r="CJ74" i="25" s="1"/>
  <c r="CK74" i="25" s="1"/>
  <c r="CL74" i="25" s="1"/>
  <c r="CM74" i="25" s="1"/>
  <c r="CN74" i="25" s="1"/>
  <c r="CO74" i="25" s="1"/>
  <c r="CP74" i="25" s="1"/>
  <c r="O34" i="25"/>
  <c r="O61" i="25" s="1"/>
  <c r="U34" i="25"/>
  <c r="N34" i="25"/>
  <c r="N60" i="25" s="1"/>
  <c r="P25" i="25"/>
  <c r="P92" i="25" s="1"/>
  <c r="V34" i="25"/>
  <c r="AK82" i="25"/>
  <c r="BW74" i="25"/>
  <c r="BX74" i="25" s="1"/>
  <c r="BY74" i="25" s="1"/>
  <c r="BZ74" i="25" s="1"/>
  <c r="CA74" i="25" s="1"/>
  <c r="CB74" i="25" s="1"/>
  <c r="CC74" i="25" s="1"/>
  <c r="CD74" i="25" s="1"/>
  <c r="CE74" i="25" s="1"/>
  <c r="CF74" i="25" s="1"/>
  <c r="CP90" i="25"/>
  <c r="M105" i="25"/>
  <c r="W105" i="25"/>
  <c r="Q188" i="25"/>
  <c r="R204" i="25"/>
  <c r="DF3" i="43"/>
  <c r="CX3" i="43"/>
  <c r="CP3" i="43"/>
  <c r="CH3" i="43"/>
  <c r="BZ3" i="43"/>
  <c r="BR3" i="43"/>
  <c r="BJ3" i="43"/>
  <c r="BB3" i="43"/>
  <c r="AT3" i="43"/>
  <c r="AL3" i="43"/>
  <c r="AD3" i="43"/>
  <c r="V3" i="43"/>
  <c r="N3" i="43"/>
  <c r="CY3" i="43"/>
  <c r="CI3" i="43"/>
  <c r="BU3" i="43"/>
  <c r="BG3" i="43"/>
  <c r="AS3" i="43"/>
  <c r="AG3" i="43"/>
  <c r="S3" i="43"/>
  <c r="CW3" i="43"/>
  <c r="CE3" i="43"/>
  <c r="BM3" i="43"/>
  <c r="AU3" i="43"/>
  <c r="AA3" i="43"/>
  <c r="AG18" i="16"/>
  <c r="AG19" i="16" s="1"/>
  <c r="AG82" i="16" s="1"/>
  <c r="AD50" i="16"/>
  <c r="AF50" i="16"/>
  <c r="J50" i="16"/>
  <c r="F1" i="16"/>
  <c r="L20" i="43"/>
  <c r="L26" i="43"/>
  <c r="L30" i="43"/>
  <c r="L36" i="43"/>
  <c r="L40" i="43"/>
  <c r="L44" i="43"/>
  <c r="L48" i="43"/>
  <c r="L52" i="43"/>
  <c r="L56" i="43"/>
  <c r="L62" i="43"/>
  <c r="L66" i="43"/>
  <c r="L78" i="43"/>
  <c r="L15" i="43"/>
  <c r="L19" i="43"/>
  <c r="L23" i="43"/>
  <c r="L29" i="43"/>
  <c r="L33" i="43"/>
  <c r="L37" i="43"/>
  <c r="L41" i="43"/>
  <c r="L49" i="43"/>
  <c r="L53" i="43"/>
  <c r="L57" i="43"/>
  <c r="L63" i="43"/>
  <c r="L75" i="43"/>
  <c r="H19" i="45"/>
  <c r="H20" i="45" s="1"/>
  <c r="Q36" i="45"/>
  <c r="DJ17" i="43"/>
  <c r="DF17" i="43"/>
  <c r="DB17" i="43"/>
  <c r="CX17" i="43"/>
  <c r="CT17" i="43"/>
  <c r="CP17" i="43"/>
  <c r="CL17" i="43"/>
  <c r="CH17" i="43"/>
  <c r="CD17" i="43"/>
  <c r="BZ17" i="43"/>
  <c r="BV17" i="43"/>
  <c r="BR17" i="43"/>
  <c r="BN17" i="43"/>
  <c r="BJ17" i="43"/>
  <c r="BF17" i="43"/>
  <c r="BB17" i="43"/>
  <c r="AX17" i="43"/>
  <c r="AT17" i="43"/>
  <c r="AP17" i="43"/>
  <c r="AL17" i="43"/>
  <c r="AH17" i="43"/>
  <c r="K10" i="45"/>
  <c r="K11" i="45" s="1"/>
  <c r="J38" i="45"/>
  <c r="M38" i="45"/>
  <c r="N10" i="45"/>
  <c r="N11" i="45" s="1"/>
  <c r="P31" i="45"/>
  <c r="Q30" i="45"/>
  <c r="Q31" i="45" s="1"/>
  <c r="W39" i="45"/>
  <c r="H36" i="45"/>
  <c r="H39" i="45"/>
  <c r="N36" i="45"/>
  <c r="W38" i="45"/>
  <c r="V33" i="45"/>
  <c r="V43" i="45" s="1"/>
  <c r="K36" i="45"/>
  <c r="K39" i="45"/>
  <c r="DP59" i="3"/>
  <c r="DP97" i="3"/>
  <c r="DP82" i="3"/>
  <c r="AJ9" i="16"/>
  <c r="AF41" i="16"/>
  <c r="DP55" i="3"/>
  <c r="AI167" i="25"/>
  <c r="AJ167" i="25" s="1"/>
  <c r="AA160" i="21"/>
  <c r="AB174" i="25"/>
  <c r="X208" i="25"/>
  <c r="U89" i="16"/>
  <c r="AU87" i="16"/>
  <c r="AU26" i="16" s="1"/>
  <c r="N203" i="25"/>
  <c r="O168" i="25"/>
  <c r="T134" i="25"/>
  <c r="T132" i="25" s="1"/>
  <c r="AA256" i="3"/>
  <c r="X88" i="23"/>
  <c r="X89" i="23" s="1"/>
  <c r="N67" i="23"/>
  <c r="U174" i="25"/>
  <c r="V61" i="15"/>
  <c r="R24" i="16"/>
  <c r="DX233" i="3"/>
  <c r="U40" i="26"/>
  <c r="K40" i="26"/>
  <c r="U44" i="26"/>
  <c r="K44" i="26"/>
  <c r="U51" i="26"/>
  <c r="AC51" i="26"/>
  <c r="K51" i="26" s="1"/>
  <c r="U67" i="26"/>
  <c r="AC67" i="26"/>
  <c r="V67" i="26"/>
  <c r="U71" i="26"/>
  <c r="K71" i="26"/>
  <c r="U73" i="26"/>
  <c r="K73" i="26"/>
  <c r="G218" i="25"/>
  <c r="G6" i="15"/>
  <c r="G21" i="15"/>
  <c r="G253" i="3"/>
  <c r="G200" i="3"/>
  <c r="G164" i="3"/>
  <c r="G153" i="3"/>
  <c r="G21" i="3"/>
  <c r="G68" i="3"/>
  <c r="G69" i="15"/>
  <c r="G182" i="3"/>
  <c r="G145" i="3"/>
  <c r="K70" i="3"/>
  <c r="J62" i="16"/>
  <c r="O87" i="3"/>
  <c r="N62" i="16"/>
  <c r="O70" i="3"/>
  <c r="AK62" i="16" s="1"/>
  <c r="S87" i="3"/>
  <c r="S70" i="3"/>
  <c r="W78" i="3"/>
  <c r="W30" i="3"/>
  <c r="DO31" i="3"/>
  <c r="DO78" i="3" s="1"/>
  <c r="X31" i="3"/>
  <c r="DK72" i="3"/>
  <c r="DK23" i="3"/>
  <c r="EH23" i="3" s="1"/>
  <c r="EH25" i="3"/>
  <c r="EH27" i="3"/>
  <c r="DK74" i="3"/>
  <c r="DX27" i="3"/>
  <c r="DX29" i="3"/>
  <c r="EH29" i="3"/>
  <c r="EE29" i="3"/>
  <c r="EH32" i="3"/>
  <c r="DX32" i="3"/>
  <c r="DK30" i="3"/>
  <c r="DK77" i="3" s="1"/>
  <c r="DX36" i="3"/>
  <c r="EH36" i="3"/>
  <c r="DY25" i="3"/>
  <c r="EI25" i="3"/>
  <c r="EI27" i="3"/>
  <c r="DY27" i="3"/>
  <c r="DM74" i="3"/>
  <c r="DY29" i="3"/>
  <c r="EI29" i="3"/>
  <c r="DY32" i="3"/>
  <c r="DM30" i="3"/>
  <c r="DM88" i="3" s="1"/>
  <c r="DY35" i="3"/>
  <c r="EI35" i="3"/>
  <c r="DZ35" i="3"/>
  <c r="DU32" i="3"/>
  <c r="DE79" i="3"/>
  <c r="DV24" i="3"/>
  <c r="EC24" i="3"/>
  <c r="EC26" i="3"/>
  <c r="DV26" i="3"/>
  <c r="DG73" i="3"/>
  <c r="DW27" i="3"/>
  <c r="EC27" i="3"/>
  <c r="DI74" i="3"/>
  <c r="DW29" i="3"/>
  <c r="EC29" i="3"/>
  <c r="DI76" i="3"/>
  <c r="DW32" i="3"/>
  <c r="DI79" i="3"/>
  <c r="DM75" i="3"/>
  <c r="DY48" i="3"/>
  <c r="DZ46" i="3"/>
  <c r="AX119" i="3"/>
  <c r="AX148" i="3" s="1"/>
  <c r="BD119" i="3"/>
  <c r="BD148" i="3" s="1"/>
  <c r="BH119" i="3"/>
  <c r="BH148" i="3" s="1"/>
  <c r="BL119" i="3"/>
  <c r="BL148" i="3" s="1"/>
  <c r="BT119" i="3"/>
  <c r="BT148" i="3" s="1"/>
  <c r="BX119" i="3"/>
  <c r="BX148" i="3" s="1"/>
  <c r="CF119" i="3"/>
  <c r="CF148" i="3" s="1"/>
  <c r="CL119" i="3"/>
  <c r="CL148" i="3" s="1"/>
  <c r="CN119" i="3"/>
  <c r="CN148" i="3" s="1"/>
  <c r="CP119" i="3"/>
  <c r="CP148" i="3" s="1"/>
  <c r="W63" i="15"/>
  <c r="W212" i="3"/>
  <c r="W105" i="3"/>
  <c r="DO104" i="3"/>
  <c r="K105" i="3"/>
  <c r="K107" i="3" s="1"/>
  <c r="K63" i="15"/>
  <c r="K307" i="3"/>
  <c r="K308" i="3" s="1"/>
  <c r="L307" i="3" s="1"/>
  <c r="L308" i="3" s="1"/>
  <c r="M307" i="3" s="1"/>
  <c r="M308" i="3" s="1"/>
  <c r="N307" i="3" s="1"/>
  <c r="N308" i="3" s="1"/>
  <c r="O307" i="3" s="1"/>
  <c r="O308" i="3" s="1"/>
  <c r="P307" i="3" s="1"/>
  <c r="P308" i="3" s="1"/>
  <c r="Q307" i="3" s="1"/>
  <c r="Q308" i="3" s="1"/>
  <c r="R307" i="3" s="1"/>
  <c r="R308" i="3" s="1"/>
  <c r="S307" i="3" s="1"/>
  <c r="S308" i="3" s="1"/>
  <c r="T307" i="3" s="1"/>
  <c r="W155" i="3"/>
  <c r="W26" i="17"/>
  <c r="W113" i="3"/>
  <c r="T23" i="16"/>
  <c r="V34" i="17"/>
  <c r="Q216" i="3"/>
  <c r="O34" i="16" s="1"/>
  <c r="DX119" i="3"/>
  <c r="DY119" i="3" s="1"/>
  <c r="EH119" i="3"/>
  <c r="DK118" i="3"/>
  <c r="DV126" i="3"/>
  <c r="DG131" i="3"/>
  <c r="DN139" i="3"/>
  <c r="DZ137" i="3"/>
  <c r="DV138" i="3"/>
  <c r="DG139" i="3"/>
  <c r="P173" i="3"/>
  <c r="P340" i="3" s="1"/>
  <c r="P180" i="3"/>
  <c r="P169" i="3"/>
  <c r="T180" i="3"/>
  <c r="T170" i="3"/>
  <c r="W169" i="3"/>
  <c r="W173" i="3"/>
  <c r="W340" i="3" s="1"/>
  <c r="W171" i="3"/>
  <c r="T247" i="3"/>
  <c r="T248" i="3" s="1"/>
  <c r="R50" i="16" s="1"/>
  <c r="T194" i="3"/>
  <c r="T198" i="3" s="1"/>
  <c r="N247" i="3"/>
  <c r="N194" i="3"/>
  <c r="W247" i="3"/>
  <c r="W194" i="3"/>
  <c r="W198" i="3" s="1"/>
  <c r="S61" i="15"/>
  <c r="Q34" i="16"/>
  <c r="S34" i="16"/>
  <c r="U61" i="15"/>
  <c r="DK219" i="3"/>
  <c r="EH219" i="3" s="1"/>
  <c r="DY218" i="3"/>
  <c r="DZ218" i="3" s="1"/>
  <c r="EI218" i="3"/>
  <c r="EI223" i="3"/>
  <c r="DY223" i="3"/>
  <c r="DZ223" i="3" s="1"/>
  <c r="N88" i="16"/>
  <c r="N40" i="16"/>
  <c r="DO229" i="3"/>
  <c r="DN230" i="3"/>
  <c r="P88" i="16"/>
  <c r="P40" i="16"/>
  <c r="S42" i="16"/>
  <c r="EH233" i="3"/>
  <c r="U237" i="3"/>
  <c r="N43" i="16"/>
  <c r="P237" i="3"/>
  <c r="N47" i="16" s="1"/>
  <c r="N89" i="16" s="1"/>
  <c r="P43" i="16"/>
  <c r="R237" i="3"/>
  <c r="P47" i="16" s="1"/>
  <c r="P89" i="16" s="1"/>
  <c r="T43" i="16"/>
  <c r="V237" i="3"/>
  <c r="T47" i="16" s="1"/>
  <c r="T89" i="16" s="1"/>
  <c r="DM234" i="3"/>
  <c r="EI234" i="3" s="1"/>
  <c r="DX236" i="3"/>
  <c r="DJ237" i="3"/>
  <c r="M321" i="3"/>
  <c r="M323" i="3" s="1"/>
  <c r="M260" i="3"/>
  <c r="AI9" i="16" s="1"/>
  <c r="O298" i="3"/>
  <c r="O286" i="3"/>
  <c r="Q286" i="3"/>
  <c r="Q293" i="3" s="1"/>
  <c r="Q298" i="3"/>
  <c r="V321" i="3"/>
  <c r="V323" i="3" s="1"/>
  <c r="DM268" i="3"/>
  <c r="DM269" i="3" s="1"/>
  <c r="AH11" i="16"/>
  <c r="AJ11" i="16"/>
  <c r="N298" i="3"/>
  <c r="AL11" i="16"/>
  <c r="P286" i="3"/>
  <c r="AN11" i="16"/>
  <c r="R298" i="3"/>
  <c r="R286" i="3"/>
  <c r="R293" i="3" s="1"/>
  <c r="Y271" i="3"/>
  <c r="X319" i="3"/>
  <c r="AT13" i="16"/>
  <c r="X276" i="3"/>
  <c r="Y20" i="17"/>
  <c r="S81" i="21"/>
  <c r="S29" i="21"/>
  <c r="W59" i="21"/>
  <c r="X59" i="21" s="1"/>
  <c r="Y59" i="21" s="1"/>
  <c r="Z59" i="21" s="1"/>
  <c r="AA59" i="21" s="1"/>
  <c r="AB59" i="21" s="1"/>
  <c r="AC59" i="21" s="1"/>
  <c r="AD59" i="21" s="1"/>
  <c r="AE59" i="21" s="1"/>
  <c r="AF59" i="21" s="1"/>
  <c r="AG59" i="21" s="1"/>
  <c r="AH59" i="21" s="1"/>
  <c r="AI59" i="21" s="1"/>
  <c r="AJ59" i="21" s="1"/>
  <c r="AK59" i="21" s="1"/>
  <c r="AL59" i="21" s="1"/>
  <c r="AM59" i="21" s="1"/>
  <c r="AN59" i="21" s="1"/>
  <c r="AO59" i="21" s="1"/>
  <c r="AP59" i="21" s="1"/>
  <c r="AQ59" i="21" s="1"/>
  <c r="AR59" i="21" s="1"/>
  <c r="AS59" i="21" s="1"/>
  <c r="AT59" i="21" s="1"/>
  <c r="AU59" i="21" s="1"/>
  <c r="AV59" i="21" s="1"/>
  <c r="AW59" i="21" s="1"/>
  <c r="AX59" i="21" s="1"/>
  <c r="AY59" i="21" s="1"/>
  <c r="AZ59" i="21" s="1"/>
  <c r="W85" i="21"/>
  <c r="AC30" i="21"/>
  <c r="AD30" i="21" s="1"/>
  <c r="AE30" i="21" s="1"/>
  <c r="AF30" i="21" s="1"/>
  <c r="AG30" i="21" s="1"/>
  <c r="AH30" i="21" s="1"/>
  <c r="AI30" i="21" s="1"/>
  <c r="AJ30" i="21" s="1"/>
  <c r="AK30" i="21" s="1"/>
  <c r="AL30" i="21" s="1"/>
  <c r="AM30" i="21" s="1"/>
  <c r="AN30" i="21" s="1"/>
  <c r="AO30" i="21" s="1"/>
  <c r="AP30" i="21" s="1"/>
  <c r="AQ30" i="21" s="1"/>
  <c r="AR30" i="21" s="1"/>
  <c r="AS30" i="21" s="1"/>
  <c r="AS45" i="21" s="1"/>
  <c r="U84" i="21"/>
  <c r="U58" i="21"/>
  <c r="Q27" i="21"/>
  <c r="M27" i="21"/>
  <c r="U23" i="21"/>
  <c r="O24" i="21"/>
  <c r="Q25" i="21"/>
  <c r="S26" i="21"/>
  <c r="W27" i="21"/>
  <c r="M23" i="21"/>
  <c r="O26" i="21"/>
  <c r="T23" i="21"/>
  <c r="R24" i="21"/>
  <c r="P25" i="21"/>
  <c r="N26" i="21"/>
  <c r="V26" i="21"/>
  <c r="T27" i="21"/>
  <c r="R23" i="21"/>
  <c r="P24" i="21"/>
  <c r="N25" i="21"/>
  <c r="V25" i="21"/>
  <c r="T26" i="21"/>
  <c r="R27" i="21"/>
  <c r="W26" i="21"/>
  <c r="O23" i="21"/>
  <c r="M24" i="21"/>
  <c r="U24" i="21"/>
  <c r="S25" i="21"/>
  <c r="Q26" i="21"/>
  <c r="O27" i="21"/>
  <c r="Y26" i="21"/>
  <c r="W25" i="21"/>
  <c r="W24" i="21"/>
  <c r="S24" i="21"/>
  <c r="N24" i="21"/>
  <c r="T25" i="21"/>
  <c r="P27" i="21"/>
  <c r="V23" i="21"/>
  <c r="R25" i="21"/>
  <c r="N27" i="21"/>
  <c r="Q24" i="21"/>
  <c r="M26" i="21"/>
  <c r="S27" i="21"/>
  <c r="U25" i="21"/>
  <c r="V90" i="21"/>
  <c r="V64" i="21"/>
  <c r="Y53" i="21"/>
  <c r="Y92" i="21" s="1"/>
  <c r="Z79" i="21"/>
  <c r="X26" i="21"/>
  <c r="X86" i="21"/>
  <c r="L67" i="21"/>
  <c r="M106" i="21"/>
  <c r="P106" i="21"/>
  <c r="P81" i="21"/>
  <c r="R81" i="21"/>
  <c r="S106" i="21"/>
  <c r="T81" i="21"/>
  <c r="T106" i="21"/>
  <c r="AC111" i="21"/>
  <c r="M155" i="21"/>
  <c r="M156" i="21" s="1"/>
  <c r="N156" i="21" s="1"/>
  <c r="S155" i="21"/>
  <c r="T119" i="21"/>
  <c r="N125" i="21"/>
  <c r="O125" i="21" s="1"/>
  <c r="P125" i="21" s="1"/>
  <c r="M135" i="21"/>
  <c r="X123" i="21"/>
  <c r="Y129" i="21"/>
  <c r="X140" i="21"/>
  <c r="L138" i="21"/>
  <c r="L139" i="21" s="1"/>
  <c r="L131" i="21"/>
  <c r="Z130" i="21"/>
  <c r="Y146" i="21"/>
  <c r="R136" i="21"/>
  <c r="R140" i="21"/>
  <c r="R133" i="21"/>
  <c r="K50" i="23"/>
  <c r="K27" i="23"/>
  <c r="K36" i="23" s="1"/>
  <c r="K38" i="23" s="1"/>
  <c r="K39" i="23" s="1"/>
  <c r="S47" i="23"/>
  <c r="S27" i="23"/>
  <c r="X27" i="23"/>
  <c r="Y27" i="23" s="1"/>
  <c r="Z27" i="23" s="1"/>
  <c r="AA27" i="23" s="1"/>
  <c r="AB27" i="23" s="1"/>
  <c r="AC27" i="23" s="1"/>
  <c r="AD27" i="23" s="1"/>
  <c r="AE27" i="23" s="1"/>
  <c r="AF27" i="23" s="1"/>
  <c r="AG27" i="23" s="1"/>
  <c r="AH27" i="23" s="1"/>
  <c r="AI27" i="23" s="1"/>
  <c r="AJ27" i="23" s="1"/>
  <c r="AK27" i="23" s="1"/>
  <c r="AL27" i="23" s="1"/>
  <c r="AM27" i="23" s="1"/>
  <c r="AN27" i="23" s="1"/>
  <c r="AO27" i="23" s="1"/>
  <c r="AP27" i="23" s="1"/>
  <c r="AQ27" i="23" s="1"/>
  <c r="AR27" i="23" s="1"/>
  <c r="AS27" i="23" s="1"/>
  <c r="AT27" i="23" s="1"/>
  <c r="AU27" i="23" s="1"/>
  <c r="AV27" i="23" s="1"/>
  <c r="AW27" i="23" s="1"/>
  <c r="AX27" i="23" s="1"/>
  <c r="AY27" i="23" s="1"/>
  <c r="AZ27" i="23" s="1"/>
  <c r="BA27" i="23" s="1"/>
  <c r="BB27" i="23" s="1"/>
  <c r="BC27" i="23" s="1"/>
  <c r="BD27" i="23" s="1"/>
  <c r="BE27" i="23" s="1"/>
  <c r="BF27" i="23" s="1"/>
  <c r="BG27" i="23" s="1"/>
  <c r="BH27" i="23" s="1"/>
  <c r="BI27" i="23" s="1"/>
  <c r="BJ27" i="23" s="1"/>
  <c r="BK27" i="23" s="1"/>
  <c r="BL27" i="23" s="1"/>
  <c r="BM27" i="23" s="1"/>
  <c r="BN27" i="23" s="1"/>
  <c r="BO27" i="23" s="1"/>
  <c r="BP27" i="23" s="1"/>
  <c r="BQ27" i="23" s="1"/>
  <c r="BR27" i="23" s="1"/>
  <c r="BS27" i="23" s="1"/>
  <c r="BT27" i="23" s="1"/>
  <c r="BU27" i="23" s="1"/>
  <c r="BV27" i="23" s="1"/>
  <c r="BW27" i="23" s="1"/>
  <c r="BX27" i="23" s="1"/>
  <c r="BY27" i="23" s="1"/>
  <c r="BZ27" i="23" s="1"/>
  <c r="CA27" i="23" s="1"/>
  <c r="CB27" i="23" s="1"/>
  <c r="CC27" i="23" s="1"/>
  <c r="CD27" i="23" s="1"/>
  <c r="CE27" i="23" s="1"/>
  <c r="CF27" i="23" s="1"/>
  <c r="CG27" i="23" s="1"/>
  <c r="CH27" i="23" s="1"/>
  <c r="CI27" i="23" s="1"/>
  <c r="CJ27" i="23" s="1"/>
  <c r="CK27" i="23" s="1"/>
  <c r="CL27" i="23" s="1"/>
  <c r="CM27" i="23" s="1"/>
  <c r="CN27" i="23" s="1"/>
  <c r="CO27" i="23" s="1"/>
  <c r="CP27" i="23" s="1"/>
  <c r="AO21" i="23"/>
  <c r="R22" i="23"/>
  <c r="CL25" i="23"/>
  <c r="CG21" i="23"/>
  <c r="AC22" i="23"/>
  <c r="BJ25" i="23"/>
  <c r="CN22" i="23"/>
  <c r="BM21" i="23"/>
  <c r="R25" i="23"/>
  <c r="AA21" i="23"/>
  <c r="Y25" i="23"/>
  <c r="BQ21" i="23"/>
  <c r="BD22" i="23"/>
  <c r="AM24" i="23"/>
  <c r="CE24" i="23"/>
  <c r="BR25" i="23"/>
  <c r="P21" i="23"/>
  <c r="AE21" i="23"/>
  <c r="AG25" i="23"/>
  <c r="BU21" i="23"/>
  <c r="BH22" i="23"/>
  <c r="AU24" i="23"/>
  <c r="CI24" i="23"/>
  <c r="BV25" i="23"/>
  <c r="N25" i="23"/>
  <c r="AE24" i="23"/>
  <c r="BE21" i="23"/>
  <c r="AR22" i="23"/>
  <c r="CJ22" i="23"/>
  <c r="BS24" i="23"/>
  <c r="BF25" i="23"/>
  <c r="CP25" i="23"/>
  <c r="P24" i="23"/>
  <c r="Y22" i="23"/>
  <c r="AC25" i="23"/>
  <c r="BI21" i="23"/>
  <c r="CO21" i="23"/>
  <c r="BP22" i="23"/>
  <c r="AQ24" i="23"/>
  <c r="BW24" i="23"/>
  <c r="AX25" i="23"/>
  <c r="CD25" i="23"/>
  <c r="O21" i="23"/>
  <c r="M22" i="23"/>
  <c r="U22" i="23"/>
  <c r="S24" i="23"/>
  <c r="Q25" i="23"/>
  <c r="Z21" i="23"/>
  <c r="AH21" i="23"/>
  <c r="AB22" i="23"/>
  <c r="AJ22" i="23"/>
  <c r="AD24" i="23"/>
  <c r="X25" i="23"/>
  <c r="AF25" i="23"/>
  <c r="AN21" i="23"/>
  <c r="AV21" i="23"/>
  <c r="BD21" i="23"/>
  <c r="BL21" i="23"/>
  <c r="BT21" i="23"/>
  <c r="CB21" i="23"/>
  <c r="CJ21" i="23"/>
  <c r="AM22" i="23"/>
  <c r="AU22" i="23"/>
  <c r="BC22" i="23"/>
  <c r="BK22" i="23"/>
  <c r="BS22" i="23"/>
  <c r="CA22" i="23"/>
  <c r="CI22" i="23"/>
  <c r="AL24" i="23"/>
  <c r="AT24" i="23"/>
  <c r="BB24" i="23"/>
  <c r="BJ24" i="23"/>
  <c r="BR24" i="23"/>
  <c r="BZ24" i="23"/>
  <c r="CH24" i="23"/>
  <c r="CP24" i="23"/>
  <c r="AS25" i="23"/>
  <c r="BA25" i="23"/>
  <c r="BI25" i="23"/>
  <c r="BQ25" i="23"/>
  <c r="BY25" i="23"/>
  <c r="CG25" i="23"/>
  <c r="CO25" i="23"/>
  <c r="M21" i="23"/>
  <c r="U21" i="23"/>
  <c r="S22" i="23"/>
  <c r="Q24" i="23"/>
  <c r="O25" i="23"/>
  <c r="X21" i="23"/>
  <c r="AF21" i="23"/>
  <c r="Z22" i="23"/>
  <c r="AH22" i="23"/>
  <c r="AB24" i="23"/>
  <c r="AJ24" i="23"/>
  <c r="AD25" i="23"/>
  <c r="AL21" i="23"/>
  <c r="AT21" i="23"/>
  <c r="BB21" i="23"/>
  <c r="BJ21" i="23"/>
  <c r="BR21" i="23"/>
  <c r="BZ21" i="23"/>
  <c r="CH21" i="23"/>
  <c r="CP21" i="23"/>
  <c r="AS22" i="23"/>
  <c r="BA22" i="23"/>
  <c r="BI22" i="23"/>
  <c r="BQ22" i="23"/>
  <c r="BY22" i="23"/>
  <c r="CG22" i="23"/>
  <c r="CO22" i="23"/>
  <c r="AR24" i="23"/>
  <c r="AZ24" i="23"/>
  <c r="BH24" i="23"/>
  <c r="BP24" i="23"/>
  <c r="BX24" i="23"/>
  <c r="CF24" i="23"/>
  <c r="CN24" i="23"/>
  <c r="AQ25" i="23"/>
  <c r="AY25" i="23"/>
  <c r="BG25" i="23"/>
  <c r="BO25" i="23"/>
  <c r="BW25" i="23"/>
  <c r="CE25" i="23"/>
  <c r="CM25" i="23"/>
  <c r="R21" i="23"/>
  <c r="P22" i="23"/>
  <c r="N24" i="23"/>
  <c r="V24" i="23"/>
  <c r="T25" i="23"/>
  <c r="AC21" i="23"/>
  <c r="AK21" i="23"/>
  <c r="AE22" i="23"/>
  <c r="Y24" i="23"/>
  <c r="AG24" i="23"/>
  <c r="AA25" i="23"/>
  <c r="AI25" i="23"/>
  <c r="AQ21" i="23"/>
  <c r="AY21" i="23"/>
  <c r="BG21" i="23"/>
  <c r="BO21" i="23"/>
  <c r="BW21" i="23"/>
  <c r="CE21" i="23"/>
  <c r="CM21" i="23"/>
  <c r="AP22" i="23"/>
  <c r="AX22" i="23"/>
  <c r="BF22" i="23"/>
  <c r="BN22" i="23"/>
  <c r="BV22" i="23"/>
  <c r="CD22" i="23"/>
  <c r="CL22" i="23"/>
  <c r="AO24" i="23"/>
  <c r="AW24" i="23"/>
  <c r="BE24" i="23"/>
  <c r="BM24" i="23"/>
  <c r="BU24" i="23"/>
  <c r="CC24" i="23"/>
  <c r="CK24" i="23"/>
  <c r="AN25" i="23"/>
  <c r="AV25" i="23"/>
  <c r="BD25" i="23"/>
  <c r="BL25" i="23"/>
  <c r="BT25" i="23"/>
  <c r="CB25" i="23"/>
  <c r="CJ25" i="23"/>
  <c r="AP25" i="23"/>
  <c r="BT22" i="23"/>
  <c r="CH25" i="23"/>
  <c r="AV22" i="23"/>
  <c r="AG22" i="23"/>
  <c r="CK21" i="23"/>
  <c r="BK24" i="23"/>
  <c r="AK22" i="23"/>
  <c r="AN22" i="23"/>
  <c r="BO24" i="23"/>
  <c r="AI21" i="23"/>
  <c r="CC21" i="23"/>
  <c r="AY24" i="23"/>
  <c r="W25" i="23"/>
  <c r="V25" i="23"/>
  <c r="AS21" i="23"/>
  <c r="AZ22" i="23"/>
  <c r="BG24" i="23"/>
  <c r="BN25" i="23"/>
  <c r="Q22" i="23"/>
  <c r="M25" i="23"/>
  <c r="AD21" i="23"/>
  <c r="AF22" i="23"/>
  <c r="AH24" i="23"/>
  <c r="AJ25" i="23"/>
  <c r="AZ21" i="23"/>
  <c r="BP21" i="23"/>
  <c r="CF21" i="23"/>
  <c r="AQ22" i="23"/>
  <c r="BG22" i="23"/>
  <c r="BW22" i="23"/>
  <c r="CM22" i="23"/>
  <c r="AX24" i="23"/>
  <c r="BN24" i="23"/>
  <c r="CD24" i="23"/>
  <c r="AO25" i="23"/>
  <c r="BE25" i="23"/>
  <c r="BU25" i="23"/>
  <c r="CK25" i="23"/>
  <c r="Q21" i="23"/>
  <c r="M24" i="23"/>
  <c r="S25" i="23"/>
  <c r="AJ21" i="23"/>
  <c r="X24" i="23"/>
  <c r="Z25" i="23"/>
  <c r="AP21" i="23"/>
  <c r="BF21" i="23"/>
  <c r="BV21" i="23"/>
  <c r="CL21" i="23"/>
  <c r="AW22" i="23"/>
  <c r="BM22" i="23"/>
  <c r="CC22" i="23"/>
  <c r="AN24" i="23"/>
  <c r="BD24" i="23"/>
  <c r="BT24" i="23"/>
  <c r="CJ24" i="23"/>
  <c r="AU25" i="23"/>
  <c r="BK25" i="23"/>
  <c r="CA25" i="23"/>
  <c r="W21" i="23"/>
  <c r="V21" i="23"/>
  <c r="R24" i="23"/>
  <c r="Y21" i="23"/>
  <c r="AA22" i="23"/>
  <c r="AC24" i="23"/>
  <c r="AE25" i="23"/>
  <c r="AU21" i="23"/>
  <c r="BK21" i="23"/>
  <c r="CA21" i="23"/>
  <c r="AL22" i="23"/>
  <c r="BB22" i="23"/>
  <c r="BR22" i="23"/>
  <c r="CH22" i="23"/>
  <c r="AS24" i="23"/>
  <c r="BI24" i="23"/>
  <c r="BY24" i="23"/>
  <c r="CO24" i="23"/>
  <c r="AZ25" i="23"/>
  <c r="BP25" i="23"/>
  <c r="CF25" i="23"/>
  <c r="O68" i="23"/>
  <c r="N102" i="23"/>
  <c r="N103" i="23" s="1"/>
  <c r="T78" i="23"/>
  <c r="U67" i="23"/>
  <c r="T83" i="23"/>
  <c r="Z67" i="23"/>
  <c r="Y72" i="23"/>
  <c r="L71" i="23"/>
  <c r="K88" i="23"/>
  <c r="K89" i="23" s="1"/>
  <c r="S79" i="23"/>
  <c r="S88" i="23"/>
  <c r="S89" i="23" s="1"/>
  <c r="R120" i="27"/>
  <c r="S83" i="27"/>
  <c r="W120" i="27"/>
  <c r="W100" i="27"/>
  <c r="W95" i="27"/>
  <c r="N89" i="27"/>
  <c r="M99" i="27"/>
  <c r="S89" i="27"/>
  <c r="R99" i="27"/>
  <c r="W93" i="27"/>
  <c r="V110" i="27"/>
  <c r="V104" i="27"/>
  <c r="Q95" i="27"/>
  <c r="Q104" i="27"/>
  <c r="V98" i="27"/>
  <c r="V102" i="27"/>
  <c r="V103" i="27" s="1"/>
  <c r="L100" i="27"/>
  <c r="L97" i="27"/>
  <c r="X76" i="25"/>
  <c r="Y76" i="25" s="1"/>
  <c r="Z76" i="25" s="1"/>
  <c r="AA76" i="25" s="1"/>
  <c r="AB76" i="25" s="1"/>
  <c r="AC76" i="25" s="1"/>
  <c r="AD76" i="25" s="1"/>
  <c r="AE76" i="25" s="1"/>
  <c r="AF76" i="25" s="1"/>
  <c r="AG76" i="25" s="1"/>
  <c r="X62" i="25"/>
  <c r="X60" i="25"/>
  <c r="AX71" i="25"/>
  <c r="AY71" i="25" s="1"/>
  <c r="AZ71" i="25" s="1"/>
  <c r="BA71" i="25" s="1"/>
  <c r="BB71" i="25" s="1"/>
  <c r="BC71" i="25" s="1"/>
  <c r="BD71" i="25" s="1"/>
  <c r="BE71" i="25" s="1"/>
  <c r="BF71" i="25" s="1"/>
  <c r="BG71" i="25" s="1"/>
  <c r="BH71" i="25" s="1"/>
  <c r="BI71" i="25" s="1"/>
  <c r="BJ71" i="25" s="1"/>
  <c r="BK71" i="25" s="1"/>
  <c r="BL71" i="25" s="1"/>
  <c r="BM71" i="25" s="1"/>
  <c r="BN71" i="25" s="1"/>
  <c r="BO71" i="25" s="1"/>
  <c r="BP71" i="25" s="1"/>
  <c r="BQ71" i="25" s="1"/>
  <c r="BR71" i="25" s="1"/>
  <c r="BS71" i="25" s="1"/>
  <c r="BT71" i="25" s="1"/>
  <c r="BU71" i="25" s="1"/>
  <c r="BV71" i="25" s="1"/>
  <c r="BW71" i="25" s="1"/>
  <c r="BX71" i="25" s="1"/>
  <c r="BY71" i="25" s="1"/>
  <c r="BZ71" i="25" s="1"/>
  <c r="CA71" i="25" s="1"/>
  <c r="CB71" i="25" s="1"/>
  <c r="CC71" i="25" s="1"/>
  <c r="CD71" i="25" s="1"/>
  <c r="CE71" i="25" s="1"/>
  <c r="CF71" i="25" s="1"/>
  <c r="CG71" i="25" s="1"/>
  <c r="CH71" i="25" s="1"/>
  <c r="CI71" i="25" s="1"/>
  <c r="CJ71" i="25" s="1"/>
  <c r="CK71" i="25" s="1"/>
  <c r="CL71" i="25" s="1"/>
  <c r="CM71" i="25" s="1"/>
  <c r="CN71" i="25" s="1"/>
  <c r="CO71" i="25" s="1"/>
  <c r="CP71" i="25" s="1"/>
  <c r="AX77" i="25"/>
  <c r="AY77" i="25" s="1"/>
  <c r="AZ77" i="25" s="1"/>
  <c r="BA77" i="25" s="1"/>
  <c r="BB77" i="25" s="1"/>
  <c r="BC77" i="25" s="1"/>
  <c r="BD77" i="25" s="1"/>
  <c r="BE77" i="25" s="1"/>
  <c r="BF77" i="25" s="1"/>
  <c r="BG77" i="25" s="1"/>
  <c r="BH77" i="25" s="1"/>
  <c r="BI77" i="25" s="1"/>
  <c r="BJ77" i="25" s="1"/>
  <c r="BK77" i="25" s="1"/>
  <c r="BL77" i="25" s="1"/>
  <c r="BM77" i="25" s="1"/>
  <c r="BN77" i="25" s="1"/>
  <c r="BO77" i="25" s="1"/>
  <c r="BP77" i="25" s="1"/>
  <c r="BQ77" i="25" s="1"/>
  <c r="BR77" i="25" s="1"/>
  <c r="BS77" i="25" s="1"/>
  <c r="BT77" i="25" s="1"/>
  <c r="BU77" i="25" s="1"/>
  <c r="BV77" i="25" s="1"/>
  <c r="BW77" i="25" s="1"/>
  <c r="BX77" i="25" s="1"/>
  <c r="BY77" i="25" s="1"/>
  <c r="BZ77" i="25" s="1"/>
  <c r="CA77" i="25" s="1"/>
  <c r="CB77" i="25" s="1"/>
  <c r="CC77" i="25" s="1"/>
  <c r="CD77" i="25" s="1"/>
  <c r="CE77" i="25" s="1"/>
  <c r="CF77" i="25" s="1"/>
  <c r="CG77" i="25" s="1"/>
  <c r="CH77" i="25" s="1"/>
  <c r="CI77" i="25" s="1"/>
  <c r="CJ77" i="25" s="1"/>
  <c r="CK77" i="25" s="1"/>
  <c r="CL77" i="25" s="1"/>
  <c r="CM77" i="25" s="1"/>
  <c r="CN77" i="25" s="1"/>
  <c r="CO77" i="25" s="1"/>
  <c r="M34" i="25"/>
  <c r="M21" i="25"/>
  <c r="M36" i="25" s="1"/>
  <c r="Q21" i="25"/>
  <c r="Q34" i="25"/>
  <c r="Q58" i="25" s="1"/>
  <c r="L25" i="25"/>
  <c r="L92" i="25" s="1"/>
  <c r="L34" i="25"/>
  <c r="T25" i="25"/>
  <c r="T34" i="25"/>
  <c r="M35" i="25"/>
  <c r="M54" i="25" s="1"/>
  <c r="O35" i="25"/>
  <c r="O54" i="25" s="1"/>
  <c r="O25" i="25"/>
  <c r="O92" i="25" s="1"/>
  <c r="Q35" i="25"/>
  <c r="Q54" i="25" s="1"/>
  <c r="Q25" i="25"/>
  <c r="S35" i="25"/>
  <c r="S54" i="25" s="1"/>
  <c r="X20" i="25"/>
  <c r="X29" i="3" s="1"/>
  <c r="DQ29" i="3" s="1"/>
  <c r="X81" i="25"/>
  <c r="BC28" i="25"/>
  <c r="W31" i="25"/>
  <c r="BK28" i="25"/>
  <c r="CI28" i="25"/>
  <c r="V31" i="25"/>
  <c r="AU28" i="25"/>
  <c r="O31" i="25"/>
  <c r="AM28" i="25"/>
  <c r="U30" i="25"/>
  <c r="S27" i="25"/>
  <c r="U28" i="25"/>
  <c r="AK28" i="25"/>
  <c r="BA28" i="25"/>
  <c r="BQ28" i="25"/>
  <c r="CG28" i="25"/>
  <c r="K30" i="25"/>
  <c r="M31" i="25"/>
  <c r="W27" i="25"/>
  <c r="Y28" i="25"/>
  <c r="AO28" i="25"/>
  <c r="BE28" i="25"/>
  <c r="BU28" i="25"/>
  <c r="CK28" i="25"/>
  <c r="W30" i="25"/>
  <c r="K28" i="25"/>
  <c r="AA28" i="25"/>
  <c r="AQ28" i="25"/>
  <c r="BG28" i="25"/>
  <c r="BW28" i="25"/>
  <c r="CM28" i="25"/>
  <c r="K31" i="25"/>
  <c r="N27" i="25"/>
  <c r="R27" i="25"/>
  <c r="V27" i="25"/>
  <c r="N28" i="25"/>
  <c r="R28" i="25"/>
  <c r="V28" i="25"/>
  <c r="Z28" i="25"/>
  <c r="AD28" i="25"/>
  <c r="AH28" i="25"/>
  <c r="AL28" i="25"/>
  <c r="AP28" i="25"/>
  <c r="AT28" i="25"/>
  <c r="AX28" i="25"/>
  <c r="BB28" i="25"/>
  <c r="BF28" i="25"/>
  <c r="BJ28" i="25"/>
  <c r="BN28" i="25"/>
  <c r="BR28" i="25"/>
  <c r="BV28" i="25"/>
  <c r="BZ28" i="25"/>
  <c r="CD28" i="25"/>
  <c r="CH28" i="25"/>
  <c r="CL28" i="25"/>
  <c r="CP28" i="25"/>
  <c r="L30" i="25"/>
  <c r="L90" i="17" s="1"/>
  <c r="P30" i="25"/>
  <c r="T30" i="25"/>
  <c r="L31" i="25"/>
  <c r="P31" i="25"/>
  <c r="T31" i="25"/>
  <c r="K29" i="25"/>
  <c r="M30" i="25"/>
  <c r="W28" i="25"/>
  <c r="AE28" i="25"/>
  <c r="O28" i="25"/>
  <c r="O88" i="17" s="1"/>
  <c r="BS28" i="25"/>
  <c r="M28" i="25"/>
  <c r="AS28" i="25"/>
  <c r="BY28" i="25"/>
  <c r="S30" i="25"/>
  <c r="Q28" i="25"/>
  <c r="AW28" i="25"/>
  <c r="CC28" i="25"/>
  <c r="Q31" i="25"/>
  <c r="S28" i="25"/>
  <c r="AY28" i="25"/>
  <c r="CE28" i="25"/>
  <c r="S31" i="25"/>
  <c r="L27" i="25"/>
  <c r="L87" i="17" s="1"/>
  <c r="P28" i="25"/>
  <c r="X28" i="25"/>
  <c r="AF28" i="25"/>
  <c r="AN28" i="25"/>
  <c r="AV28" i="25"/>
  <c r="BD28" i="25"/>
  <c r="BL28" i="25"/>
  <c r="BT28" i="25"/>
  <c r="CB28" i="25"/>
  <c r="CJ28" i="25"/>
  <c r="N29" i="25"/>
  <c r="N30" i="25"/>
  <c r="V30" i="25"/>
  <c r="R31" i="25"/>
  <c r="P29" i="25"/>
  <c r="AX70" i="25"/>
  <c r="AY70" i="25" s="1"/>
  <c r="AZ70" i="25" s="1"/>
  <c r="BA70" i="25" s="1"/>
  <c r="BB70" i="25" s="1"/>
  <c r="BC70" i="25" s="1"/>
  <c r="BD70" i="25" s="1"/>
  <c r="BE70" i="25" s="1"/>
  <c r="BF70" i="25" s="1"/>
  <c r="BG70" i="25" s="1"/>
  <c r="BH70" i="25" s="1"/>
  <c r="BI70" i="25" s="1"/>
  <c r="BJ70" i="25" s="1"/>
  <c r="BK70" i="25" s="1"/>
  <c r="BL70" i="25" s="1"/>
  <c r="BM70" i="25" s="1"/>
  <c r="BN70" i="25" s="1"/>
  <c r="BO70" i="25" s="1"/>
  <c r="BP70" i="25" s="1"/>
  <c r="BQ70" i="25" s="1"/>
  <c r="BR70" i="25" s="1"/>
  <c r="BS70" i="25" s="1"/>
  <c r="BT70" i="25" s="1"/>
  <c r="BU70" i="25" s="1"/>
  <c r="BV70" i="25" s="1"/>
  <c r="BW70" i="25" s="1"/>
  <c r="BX70" i="25" s="1"/>
  <c r="BY70" i="25" s="1"/>
  <c r="BZ70" i="25" s="1"/>
  <c r="CA70" i="25" s="1"/>
  <c r="CB70" i="25" s="1"/>
  <c r="CC70" i="25" s="1"/>
  <c r="CD70" i="25" s="1"/>
  <c r="CE70" i="25" s="1"/>
  <c r="CF70" i="25" s="1"/>
  <c r="CG70" i="25" s="1"/>
  <c r="CH70" i="25" s="1"/>
  <c r="CI70" i="25" s="1"/>
  <c r="CJ70" i="25" s="1"/>
  <c r="CK70" i="25" s="1"/>
  <c r="CL70" i="25" s="1"/>
  <c r="CM70" i="25" s="1"/>
  <c r="CN70" i="25" s="1"/>
  <c r="CO70" i="25" s="1"/>
  <c r="CP70" i="25" s="1"/>
  <c r="CD89" i="25"/>
  <c r="CE76" i="25"/>
  <c r="CF76" i="25" s="1"/>
  <c r="CG76" i="25" s="1"/>
  <c r="CH76" i="25" s="1"/>
  <c r="CI76" i="25" s="1"/>
  <c r="CJ76" i="25" s="1"/>
  <c r="CK76" i="25" s="1"/>
  <c r="CL76" i="25" s="1"/>
  <c r="CM76" i="25" s="1"/>
  <c r="CN76" i="25" s="1"/>
  <c r="CO76" i="25" s="1"/>
  <c r="CP76" i="25" s="1"/>
  <c r="X97" i="25"/>
  <c r="X56" i="25"/>
  <c r="Y56" i="25" s="1"/>
  <c r="Z56" i="25" s="1"/>
  <c r="AA56" i="25" s="1"/>
  <c r="AB56" i="25" s="1"/>
  <c r="AC56" i="25" s="1"/>
  <c r="AD56" i="25" s="1"/>
  <c r="AE56" i="25" s="1"/>
  <c r="AF56" i="25" s="1"/>
  <c r="AG56" i="25" s="1"/>
  <c r="P105" i="25"/>
  <c r="O105" i="25"/>
  <c r="Q105" i="25"/>
  <c r="R105" i="25"/>
  <c r="P129" i="25"/>
  <c r="Q123" i="25"/>
  <c r="N125" i="25"/>
  <c r="M134" i="25"/>
  <c r="W125" i="25"/>
  <c r="V134" i="25"/>
  <c r="U135" i="25"/>
  <c r="U139" i="25"/>
  <c r="U140" i="25" s="1"/>
  <c r="W164" i="25"/>
  <c r="X159" i="25" s="1"/>
  <c r="X164" i="25" s="1"/>
  <c r="Y159" i="25" s="1"/>
  <c r="Y164" i="25" s="1"/>
  <c r="Z159" i="25" s="1"/>
  <c r="Z164" i="25" s="1"/>
  <c r="AA159" i="25" s="1"/>
  <c r="M203" i="25"/>
  <c r="M204" i="25" s="1"/>
  <c r="M184" i="25"/>
  <c r="V188" i="25"/>
  <c r="W170" i="25"/>
  <c r="AD172" i="25"/>
  <c r="AC178" i="25"/>
  <c r="T175" i="25"/>
  <c r="L184" i="25"/>
  <c r="L181" i="25"/>
  <c r="L188" i="25"/>
  <c r="V184" i="25"/>
  <c r="V193" i="25"/>
  <c r="U209" i="25"/>
  <c r="T210" i="25"/>
  <c r="Z216" i="25"/>
  <c r="AA214" i="25"/>
  <c r="Z221" i="25"/>
  <c r="Y222" i="25"/>
  <c r="N69" i="17"/>
  <c r="M78" i="17"/>
  <c r="M114" i="15"/>
  <c r="M113" i="15"/>
  <c r="O114" i="15"/>
  <c r="O113" i="15"/>
  <c r="Q114" i="15"/>
  <c r="Q113" i="15"/>
  <c r="S114" i="15"/>
  <c r="S113" i="15"/>
  <c r="E119" i="15"/>
  <c r="F56" i="15"/>
  <c r="F57" i="15" s="1"/>
  <c r="U133" i="25"/>
  <c r="U137" i="25"/>
  <c r="U138" i="25" s="1"/>
  <c r="W123" i="25"/>
  <c r="X118" i="25"/>
  <c r="Y118" i="25" s="1"/>
  <c r="Y123" i="25" s="1"/>
  <c r="Z123" i="25" s="1"/>
  <c r="AA123" i="25" s="1"/>
  <c r="AB123" i="25" s="1"/>
  <c r="AC123" i="25" s="1"/>
  <c r="AD123" i="25" s="1"/>
  <c r="AE123" i="25" s="1"/>
  <c r="AF123" i="25" s="1"/>
  <c r="AG123" i="25" s="1"/>
  <c r="AH123" i="25" s="1"/>
  <c r="AI123" i="25" s="1"/>
  <c r="AJ123" i="25" s="1"/>
  <c r="AK123" i="25" s="1"/>
  <c r="AL123" i="25" s="1"/>
  <c r="AM123" i="25" s="1"/>
  <c r="AN123" i="25" s="1"/>
  <c r="AO123" i="25" s="1"/>
  <c r="AP123" i="25" s="1"/>
  <c r="AQ123" i="25" s="1"/>
  <c r="AR123" i="25" s="1"/>
  <c r="AS123" i="25" s="1"/>
  <c r="AT123" i="25" s="1"/>
  <c r="AU123" i="25" s="1"/>
  <c r="AV123" i="25" s="1"/>
  <c r="AW123" i="25" s="1"/>
  <c r="AX123" i="25" s="1"/>
  <c r="AY123" i="25" s="1"/>
  <c r="AZ123" i="25" s="1"/>
  <c r="BA123" i="25" s="1"/>
  <c r="BB123" i="25" s="1"/>
  <c r="BC123" i="25" s="1"/>
  <c r="BD123" i="25" s="1"/>
  <c r="BE123" i="25" s="1"/>
  <c r="BF123" i="25" s="1"/>
  <c r="BG123" i="25" s="1"/>
  <c r="BH123" i="25" s="1"/>
  <c r="BI123" i="25" s="1"/>
  <c r="BJ123" i="25" s="1"/>
  <c r="BK123" i="25" s="1"/>
  <c r="BL123" i="25" s="1"/>
  <c r="BM123" i="25" s="1"/>
  <c r="BN123" i="25" s="1"/>
  <c r="BO123" i="25" s="1"/>
  <c r="BP123" i="25" s="1"/>
  <c r="BQ123" i="25" s="1"/>
  <c r="BR123" i="25" s="1"/>
  <c r="BS123" i="25" s="1"/>
  <c r="BT123" i="25" s="1"/>
  <c r="BU123" i="25" s="1"/>
  <c r="BV123" i="25" s="1"/>
  <c r="BW123" i="25" s="1"/>
  <c r="BX123" i="25" s="1"/>
  <c r="BY123" i="25" s="1"/>
  <c r="BZ123" i="25" s="1"/>
  <c r="CA123" i="25" s="1"/>
  <c r="CB123" i="25" s="1"/>
  <c r="CC123" i="25" s="1"/>
  <c r="CD123" i="25" s="1"/>
  <c r="CE123" i="25" s="1"/>
  <c r="CF123" i="25" s="1"/>
  <c r="CG123" i="25" s="1"/>
  <c r="CH123" i="25" s="1"/>
  <c r="CI123" i="25" s="1"/>
  <c r="CJ123" i="25" s="1"/>
  <c r="CK123" i="25" s="1"/>
  <c r="CL123" i="25" s="1"/>
  <c r="CM123" i="25" s="1"/>
  <c r="CN123" i="25" s="1"/>
  <c r="CO123" i="25" s="1"/>
  <c r="CP123" i="25" s="1"/>
  <c r="R35" i="17"/>
  <c r="U35" i="17"/>
  <c r="R34" i="16"/>
  <c r="T61" i="15"/>
  <c r="DM50" i="3"/>
  <c r="EI236" i="3"/>
  <c r="DY236" i="3"/>
  <c r="DZ236" i="3" s="1"/>
  <c r="DW137" i="3"/>
  <c r="DH139" i="3"/>
  <c r="O167" i="25"/>
  <c r="S82" i="23"/>
  <c r="W38" i="3"/>
  <c r="X38" i="3" s="1"/>
  <c r="DQ38" i="3" s="1"/>
  <c r="DL38" i="3"/>
  <c r="AL32" i="16"/>
  <c r="M154" i="25"/>
  <c r="M155" i="25" s="1"/>
  <c r="N119" i="25"/>
  <c r="DJ15" i="43"/>
  <c r="DJ13" i="43" s="1"/>
  <c r="DF15" i="43"/>
  <c r="DB15" i="43"/>
  <c r="CX15" i="43"/>
  <c r="CT15" i="43"/>
  <c r="CP15" i="43"/>
  <c r="CL15" i="43"/>
  <c r="CH15" i="43"/>
  <c r="CD15" i="43"/>
  <c r="BZ15" i="43"/>
  <c r="BV15" i="43"/>
  <c r="BR15" i="43"/>
  <c r="BN15" i="43"/>
  <c r="BN13" i="43" s="1"/>
  <c r="BJ15" i="43"/>
  <c r="BF15" i="43"/>
  <c r="BB15" i="43"/>
  <c r="N15" i="43"/>
  <c r="R15" i="43"/>
  <c r="V15" i="43"/>
  <c r="V13" i="43" s="1"/>
  <c r="Z15" i="43"/>
  <c r="AD15" i="43"/>
  <c r="AH15" i="43"/>
  <c r="AL15" i="43"/>
  <c r="AP15" i="43"/>
  <c r="AT15" i="43"/>
  <c r="AX15" i="43"/>
  <c r="BC15" i="43"/>
  <c r="BC13" i="43" s="1"/>
  <c r="BK15" i="43"/>
  <c r="BS15" i="43"/>
  <c r="CA15" i="43"/>
  <c r="CI15" i="43"/>
  <c r="CI13" i="43" s="1"/>
  <c r="CQ15" i="43"/>
  <c r="CY15" i="43"/>
  <c r="DG15" i="43"/>
  <c r="Q15" i="43"/>
  <c r="Q13" i="43" s="1"/>
  <c r="U15" i="43"/>
  <c r="Y15" i="43"/>
  <c r="AC15" i="43"/>
  <c r="AG15" i="43"/>
  <c r="AG13" i="43" s="1"/>
  <c r="AK15" i="43"/>
  <c r="AO15" i="43"/>
  <c r="AO13" i="43" s="1"/>
  <c r="AS15" i="43"/>
  <c r="AW15" i="43"/>
  <c r="AW13" i="43" s="1"/>
  <c r="BA15" i="43"/>
  <c r="BI15" i="43"/>
  <c r="BI13" i="43" s="1"/>
  <c r="BQ15" i="43"/>
  <c r="BY15" i="43"/>
  <c r="BY13" i="43" s="1"/>
  <c r="CG15" i="43"/>
  <c r="CO15" i="43"/>
  <c r="CO13" i="43" s="1"/>
  <c r="CW15" i="43"/>
  <c r="DE15" i="43"/>
  <c r="DE13" i="43" s="1"/>
  <c r="DH15" i="43"/>
  <c r="CZ15" i="43"/>
  <c r="CZ13" i="43" s="1"/>
  <c r="CR15" i="43"/>
  <c r="CJ15" i="43"/>
  <c r="CJ13" i="43" s="1"/>
  <c r="CB15" i="43"/>
  <c r="BT15" i="43"/>
  <c r="BT13" i="43" s="1"/>
  <c r="BL15" i="43"/>
  <c r="BD15" i="43"/>
  <c r="BD13" i="43" s="1"/>
  <c r="P15" i="43"/>
  <c r="X15" i="43"/>
  <c r="X13" i="43" s="1"/>
  <c r="AF15" i="43"/>
  <c r="AN15" i="43"/>
  <c r="AN13" i="43" s="1"/>
  <c r="AV15" i="43"/>
  <c r="BG15" i="43"/>
  <c r="BG13" i="43" s="1"/>
  <c r="BW15" i="43"/>
  <c r="CM15" i="43"/>
  <c r="CM13" i="43" s="1"/>
  <c r="DC15" i="43"/>
  <c r="S15" i="43"/>
  <c r="S13" i="43" s="1"/>
  <c r="AA15" i="43"/>
  <c r="AI15" i="43"/>
  <c r="AI13" i="43" s="1"/>
  <c r="AQ15" i="43"/>
  <c r="AY15" i="43"/>
  <c r="AY13" i="43" s="1"/>
  <c r="BM15" i="43"/>
  <c r="CC15" i="43"/>
  <c r="CC13" i="43" s="1"/>
  <c r="CS15" i="43"/>
  <c r="DI15" i="43"/>
  <c r="DI13" i="43" s="1"/>
  <c r="W37" i="45"/>
  <c r="W11" i="45"/>
  <c r="V42" i="45"/>
  <c r="F20" i="45"/>
  <c r="F38" i="45"/>
  <c r="J20" i="45"/>
  <c r="K19" i="45"/>
  <c r="K20" i="45" s="1"/>
  <c r="S33" i="45"/>
  <c r="S43" i="45" s="1"/>
  <c r="U33" i="45"/>
  <c r="X33" i="45"/>
  <c r="I31" i="45"/>
  <c r="I33" i="45" s="1"/>
  <c r="H30" i="45"/>
  <c r="H31" i="45" s="1"/>
  <c r="L31" i="45"/>
  <c r="L33" i="45" s="1"/>
  <c r="K30" i="45"/>
  <c r="K31" i="45" s="1"/>
  <c r="L341" i="3"/>
  <c r="X74" i="25"/>
  <c r="Y74" i="25" s="1"/>
  <c r="Z74" i="25" s="1"/>
  <c r="AA74" i="25" s="1"/>
  <c r="AB74" i="25" s="1"/>
  <c r="AC74" i="25" s="1"/>
  <c r="AD74" i="25" s="1"/>
  <c r="AE74" i="25" s="1"/>
  <c r="AF74" i="25" s="1"/>
  <c r="AG74" i="25" s="1"/>
  <c r="AH74" i="25" s="1"/>
  <c r="R46" i="16"/>
  <c r="K50" i="26"/>
  <c r="K60" i="26"/>
  <c r="K62" i="26"/>
  <c r="K64" i="26"/>
  <c r="DX31" i="3"/>
  <c r="EH31" i="3"/>
  <c r="EI28" i="3"/>
  <c r="DY28" i="3"/>
  <c r="EJ92" i="3"/>
  <c r="DZ92" i="3"/>
  <c r="EI211" i="3"/>
  <c r="EI217" i="3"/>
  <c r="DY217" i="3"/>
  <c r="DZ217" i="3" s="1"/>
  <c r="AI28" i="27"/>
  <c r="BX31" i="27"/>
  <c r="AY28" i="27"/>
  <c r="Y98" i="25"/>
  <c r="Y71" i="25"/>
  <c r="N172" i="25"/>
  <c r="O172" i="25" s="1"/>
  <c r="P172" i="25" s="1"/>
  <c r="M178" i="25"/>
  <c r="M179" i="25" s="1"/>
  <c r="CK346" i="3"/>
  <c r="BQ346" i="3"/>
  <c r="U346" i="3"/>
  <c r="CG346" i="3"/>
  <c r="BY346" i="3"/>
  <c r="AC346" i="3"/>
  <c r="CO346" i="3"/>
  <c r="Y346" i="3"/>
  <c r="AO346" i="3"/>
  <c r="BE346" i="3"/>
  <c r="BU346" i="3"/>
  <c r="AE15" i="16"/>
  <c r="CK15" i="43"/>
  <c r="BE15" i="43"/>
  <c r="AM15" i="43"/>
  <c r="W15" i="43"/>
  <c r="CU15" i="43"/>
  <c r="BO15" i="43"/>
  <c r="AR15" i="43"/>
  <c r="AB15" i="43"/>
  <c r="BP15" i="43"/>
  <c r="CF15" i="43"/>
  <c r="CV15" i="43"/>
  <c r="T42" i="45"/>
  <c r="T43" i="45"/>
  <c r="T41" i="45"/>
  <c r="K42" i="26"/>
  <c r="K48" i="26"/>
  <c r="K54" i="26"/>
  <c r="K59" i="26"/>
  <c r="K82" i="26"/>
  <c r="L39" i="3"/>
  <c r="L82" i="3" s="1"/>
  <c r="EH38" i="3"/>
  <c r="DE30" i="3"/>
  <c r="DU30" i="3" s="1"/>
  <c r="Q56" i="3"/>
  <c r="W56" i="3"/>
  <c r="L109" i="3"/>
  <c r="Z119" i="3"/>
  <c r="Z148" i="3" s="1"/>
  <c r="AD119" i="3"/>
  <c r="AD148" i="3" s="1"/>
  <c r="AF119" i="3"/>
  <c r="AF148" i="3" s="1"/>
  <c r="AH119" i="3"/>
  <c r="AH148" i="3" s="1"/>
  <c r="AL119" i="3"/>
  <c r="AL148" i="3" s="1"/>
  <c r="AN119" i="3"/>
  <c r="AN148" i="3" s="1"/>
  <c r="AP119" i="3"/>
  <c r="AP148" i="3" s="1"/>
  <c r="AI119" i="3"/>
  <c r="AI148" i="3" s="1"/>
  <c r="AM119" i="3"/>
  <c r="AM148" i="3" s="1"/>
  <c r="AU119" i="3"/>
  <c r="AU148" i="3" s="1"/>
  <c r="U22" i="16"/>
  <c r="DG99" i="3"/>
  <c r="DV99" i="3" s="1"/>
  <c r="EH99" i="3"/>
  <c r="Y192" i="3"/>
  <c r="Y247" i="3" s="1"/>
  <c r="Y248" i="3" s="1"/>
  <c r="W61" i="15"/>
  <c r="AL9" i="16"/>
  <c r="AN9" i="16"/>
  <c r="L303" i="3"/>
  <c r="L304" i="3" s="1"/>
  <c r="M303" i="3" s="1"/>
  <c r="M304" i="3" s="1"/>
  <c r="N303" i="3" s="1"/>
  <c r="N304" i="3" s="1"/>
  <c r="O303" i="3" s="1"/>
  <c r="O304" i="3" s="1"/>
  <c r="P303" i="3" s="1"/>
  <c r="P304" i="3" s="1"/>
  <c r="Q303" i="3" s="1"/>
  <c r="Q304" i="3" s="1"/>
  <c r="R303" i="3" s="1"/>
  <c r="R304" i="3" s="1"/>
  <c r="S303" i="3" s="1"/>
  <c r="S304" i="3" s="1"/>
  <c r="T304" i="3" s="1"/>
  <c r="L29" i="21"/>
  <c r="CH75" i="21"/>
  <c r="CH88" i="21" s="1"/>
  <c r="N106" i="21"/>
  <c r="R106" i="21"/>
  <c r="I21" i="27"/>
  <c r="U50" i="27"/>
  <c r="L21" i="25"/>
  <c r="R25" i="25"/>
  <c r="L105" i="25"/>
  <c r="N11" i="17"/>
  <c r="N13" i="17" s="1"/>
  <c r="N14" i="17" s="1"/>
  <c r="R11" i="17"/>
  <c r="R13" i="17" s="1"/>
  <c r="V11" i="17"/>
  <c r="M11" i="17"/>
  <c r="M13" i="17" s="1"/>
  <c r="Q11" i="17"/>
  <c r="Q13" i="17" s="1"/>
  <c r="Q14" i="17" s="1"/>
  <c r="AG24" i="16"/>
  <c r="AK24" i="16"/>
  <c r="Q39" i="45"/>
  <c r="G11" i="45"/>
  <c r="G33" i="45" s="1"/>
  <c r="G42" i="45" s="1"/>
  <c r="G38" i="45"/>
  <c r="P38" i="45"/>
  <c r="Q10" i="45"/>
  <c r="O20" i="45"/>
  <c r="O33" i="45" s="1"/>
  <c r="O38" i="45"/>
  <c r="M31" i="45"/>
  <c r="M33" i="45" s="1"/>
  <c r="M41" i="45" s="1"/>
  <c r="N30" i="45"/>
  <c r="N31" i="45" s="1"/>
  <c r="N33" i="45" s="1"/>
  <c r="AD35" i="16"/>
  <c r="AO24" i="16"/>
  <c r="AC9" i="16"/>
  <c r="AC12" i="16" s="1"/>
  <c r="AF33" i="16"/>
  <c r="AV33" i="16"/>
  <c r="R33" i="45"/>
  <c r="R44" i="45" s="1"/>
  <c r="U87" i="3"/>
  <c r="U90" i="3" s="1"/>
  <c r="O88" i="3"/>
  <c r="O39" i="3"/>
  <c r="DN59" i="3"/>
  <c r="DN101" i="3" s="1"/>
  <c r="DN97" i="3"/>
  <c r="DN55" i="3"/>
  <c r="DL87" i="3"/>
  <c r="EI23" i="3"/>
  <c r="O54" i="27"/>
  <c r="O27" i="27"/>
  <c r="P67" i="27"/>
  <c r="O67" i="27"/>
  <c r="N61" i="25"/>
  <c r="DG68" i="3"/>
  <c r="DG253" i="3"/>
  <c r="DG85" i="3"/>
  <c r="DG21" i="3"/>
  <c r="DG41" i="3"/>
  <c r="DG164" i="3"/>
  <c r="DI3" i="3"/>
  <c r="DG208" i="3"/>
  <c r="DG145" i="3"/>
  <c r="G7" i="3"/>
  <c r="H6" i="3"/>
  <c r="N49" i="23"/>
  <c r="DH253" i="3"/>
  <c r="DH145" i="3"/>
  <c r="DJ3" i="3"/>
  <c r="DH208" i="3"/>
  <c r="DH68" i="3"/>
  <c r="N53" i="23"/>
  <c r="AE18" i="16"/>
  <c r="AE19" i="16" s="1"/>
  <c r="I24" i="16"/>
  <c r="J24" i="16"/>
  <c r="AC33" i="16"/>
  <c r="AB33" i="16"/>
  <c r="L50" i="16"/>
  <c r="L40" i="16"/>
  <c r="V55" i="23"/>
  <c r="DL88" i="3"/>
  <c r="U70" i="3"/>
  <c r="S62" i="16"/>
  <c r="DP99" i="3"/>
  <c r="X119" i="3"/>
  <c r="AB119" i="3"/>
  <c r="AB148" i="3" s="1"/>
  <c r="AJ119" i="3"/>
  <c r="AJ148" i="3" s="1"/>
  <c r="AA119" i="3"/>
  <c r="AA148" i="3" s="1"/>
  <c r="AE148" i="3"/>
  <c r="S88" i="16"/>
  <c r="S40" i="16"/>
  <c r="I88" i="16"/>
  <c r="I40" i="16"/>
  <c r="Q88" i="16"/>
  <c r="Q40" i="16"/>
  <c r="N29" i="21"/>
  <c r="N81" i="21"/>
  <c r="R29" i="21"/>
  <c r="V29" i="21"/>
  <c r="AR71" i="21"/>
  <c r="V81" i="21"/>
  <c r="P47" i="23"/>
  <c r="P27" i="23"/>
  <c r="P21" i="27"/>
  <c r="P34" i="27"/>
  <c r="P47" i="27" s="1"/>
  <c r="W47" i="27"/>
  <c r="W21" i="27"/>
  <c r="W34" i="27"/>
  <c r="T48" i="27"/>
  <c r="T55" i="27" s="1"/>
  <c r="T21" i="27"/>
  <c r="T36" i="27" s="1"/>
  <c r="I34" i="27"/>
  <c r="I47" i="27" s="1"/>
  <c r="I25" i="27"/>
  <c r="M25" i="27"/>
  <c r="M60" i="27"/>
  <c r="M34" i="27"/>
  <c r="Q60" i="27"/>
  <c r="Q34" i="27"/>
  <c r="Q25" i="27"/>
  <c r="U34" i="27"/>
  <c r="U25" i="27"/>
  <c r="J61" i="27"/>
  <c r="J35" i="27"/>
  <c r="J25" i="27"/>
  <c r="N61" i="27"/>
  <c r="N25" i="27"/>
  <c r="N35" i="27"/>
  <c r="R61" i="27"/>
  <c r="R35" i="27"/>
  <c r="R25" i="27"/>
  <c r="R36" i="27" s="1"/>
  <c r="V61" i="27"/>
  <c r="V25" i="27"/>
  <c r="V35" i="27"/>
  <c r="CC61" i="27"/>
  <c r="CD55" i="27"/>
  <c r="R34" i="25"/>
  <c r="R21" i="25"/>
  <c r="P35" i="25"/>
  <c r="P54" i="25" s="1"/>
  <c r="P21" i="25"/>
  <c r="K34" i="25"/>
  <c r="K25" i="25"/>
  <c r="S34" i="25"/>
  <c r="S25" i="25"/>
  <c r="W34" i="25"/>
  <c r="W25" i="25"/>
  <c r="N25" i="25"/>
  <c r="N35" i="25"/>
  <c r="N54" i="25" s="1"/>
  <c r="U25" i="25"/>
  <c r="U35" i="25"/>
  <c r="P114" i="15"/>
  <c r="P113" i="15"/>
  <c r="T67" i="27"/>
  <c r="O56" i="3"/>
  <c r="S56" i="3"/>
  <c r="DD77" i="3"/>
  <c r="DL77" i="3"/>
  <c r="P50" i="16"/>
  <c r="AK9" i="16"/>
  <c r="AK12" i="16" s="1"/>
  <c r="AO9" i="16"/>
  <c r="DK276" i="3"/>
  <c r="W29" i="21"/>
  <c r="AP15" i="16"/>
  <c r="AI11" i="16"/>
  <c r="AM11" i="16"/>
  <c r="AQ11" i="16"/>
  <c r="W119" i="3"/>
  <c r="DN119" i="3" s="1"/>
  <c r="AM9" i="16"/>
  <c r="K21" i="27"/>
  <c r="DD88" i="3"/>
  <c r="DD90" i="3" s="1"/>
  <c r="DD39" i="3"/>
  <c r="AR119" i="3"/>
  <c r="AR148" i="3" s="1"/>
  <c r="AY148" i="3"/>
  <c r="DN39" i="3"/>
  <c r="S88" i="3"/>
  <c r="S39" i="3"/>
  <c r="DI89" i="3"/>
  <c r="DW89" i="3" s="1"/>
  <c r="Q62" i="16"/>
  <c r="R70" i="3"/>
  <c r="AN62" i="16" s="1"/>
  <c r="T62" i="16"/>
  <c r="V70" i="3"/>
  <c r="DD70" i="3"/>
  <c r="DD56" i="3"/>
  <c r="DL70" i="3"/>
  <c r="DL56" i="3"/>
  <c r="Y148" i="3"/>
  <c r="AC148" i="3"/>
  <c r="AK119" i="3"/>
  <c r="AK148" i="3" s="1"/>
  <c r="AO119" i="3"/>
  <c r="AO148" i="3" s="1"/>
  <c r="K88" i="16"/>
  <c r="K40" i="16"/>
  <c r="O81" i="21"/>
  <c r="O29" i="21"/>
  <c r="AB82" i="16"/>
  <c r="AB41" i="16"/>
  <c r="DH87" i="3"/>
  <c r="DH90" i="3" s="1"/>
  <c r="DH70" i="3"/>
  <c r="DH39" i="3"/>
  <c r="DH82" i="3" s="1"/>
  <c r="CC119" i="3"/>
  <c r="CC148" i="3" s="1"/>
  <c r="CG119" i="3"/>
  <c r="CG148" i="3" s="1"/>
  <c r="CK119" i="3"/>
  <c r="CK148" i="3" s="1"/>
  <c r="CO119" i="3"/>
  <c r="CO148" i="3" s="1"/>
  <c r="AS119" i="3"/>
  <c r="AS148" i="3" s="1"/>
  <c r="AW119" i="3"/>
  <c r="AW148" i="3" s="1"/>
  <c r="BA119" i="3"/>
  <c r="BA148" i="3" s="1"/>
  <c r="BE119" i="3"/>
  <c r="BE148" i="3" s="1"/>
  <c r="BI119" i="3"/>
  <c r="BI148" i="3" s="1"/>
  <c r="BM119" i="3"/>
  <c r="BM148" i="3" s="1"/>
  <c r="BQ119" i="3"/>
  <c r="BQ148" i="3" s="1"/>
  <c r="BU119" i="3"/>
  <c r="BU148" i="3" s="1"/>
  <c r="BY119" i="3"/>
  <c r="BY148" i="3" s="1"/>
  <c r="I20" i="16"/>
  <c r="K33" i="17"/>
  <c r="K214" i="3"/>
  <c r="K102" i="3"/>
  <c r="AG29" i="16"/>
  <c r="AG83" i="16" s="1"/>
  <c r="K25" i="17"/>
  <c r="K27" i="17" s="1"/>
  <c r="M133" i="3"/>
  <c r="M134" i="3"/>
  <c r="AI31" i="16" s="1"/>
  <c r="S63" i="27"/>
  <c r="M39" i="3"/>
  <c r="M87" i="3"/>
  <c r="M90" i="3" s="1"/>
  <c r="K13" i="16" s="1"/>
  <c r="K81" i="16" s="1"/>
  <c r="M70" i="3"/>
  <c r="K62" i="16"/>
  <c r="Q87" i="3"/>
  <c r="Q90" i="3" s="1"/>
  <c r="P62" i="16"/>
  <c r="Q39" i="3"/>
  <c r="Q70" i="3"/>
  <c r="AM62" i="16" s="1"/>
  <c r="DJ88" i="3"/>
  <c r="DJ77" i="3"/>
  <c r="DJ39" i="3"/>
  <c r="P89" i="3"/>
  <c r="P90" i="3" s="1"/>
  <c r="P39" i="3"/>
  <c r="BB119" i="3"/>
  <c r="BB148" i="3" s="1"/>
  <c r="O47" i="23"/>
  <c r="O27" i="23"/>
  <c r="CI36" i="23"/>
  <c r="CH47" i="23"/>
  <c r="L21" i="27"/>
  <c r="L34" i="27"/>
  <c r="L47" i="27" s="1"/>
  <c r="S47" i="27"/>
  <c r="S34" i="27"/>
  <c r="V47" i="27"/>
  <c r="V21" i="27"/>
  <c r="DE100" i="3"/>
  <c r="DU100" i="3" s="1"/>
  <c r="EJ87" i="3"/>
  <c r="DF90" i="3"/>
  <c r="V25" i="25"/>
  <c r="V36" i="25" s="1"/>
  <c r="O21" i="27"/>
  <c r="AD15" i="16"/>
  <c r="L62" i="16"/>
  <c r="BV119" i="3"/>
  <c r="BV148" i="3" s="1"/>
  <c r="BZ119" i="3"/>
  <c r="BZ148" i="3" s="1"/>
  <c r="CH119" i="3"/>
  <c r="CH148" i="3" s="1"/>
  <c r="AE42" i="16"/>
  <c r="AT82" i="27"/>
  <c r="BX43" i="23"/>
  <c r="S68" i="25"/>
  <c r="K89" i="16"/>
  <c r="Z64" i="21"/>
  <c r="AA64" i="21" s="1"/>
  <c r="AB64" i="21" s="1"/>
  <c r="AC64" i="21" s="1"/>
  <c r="AD64" i="21" s="1"/>
  <c r="AE64" i="21" s="1"/>
  <c r="AF64" i="21" s="1"/>
  <c r="AG64" i="21" s="1"/>
  <c r="AH64" i="21" s="1"/>
  <c r="AI64" i="21" s="1"/>
  <c r="AJ64" i="21" s="1"/>
  <c r="AK64" i="21" s="1"/>
  <c r="AL64" i="21" s="1"/>
  <c r="AM64" i="21" s="1"/>
  <c r="AN64" i="21" s="1"/>
  <c r="AO64" i="21" s="1"/>
  <c r="AP64" i="21" s="1"/>
  <c r="U115" i="25"/>
  <c r="V110" i="25" s="1"/>
  <c r="AD167" i="21"/>
  <c r="AC168" i="21"/>
  <c r="O87" i="27"/>
  <c r="N94" i="27"/>
  <c r="M46" i="16"/>
  <c r="K65" i="26"/>
  <c r="BF119" i="3"/>
  <c r="BF148" i="3" s="1"/>
  <c r="BJ119" i="3"/>
  <c r="BJ148" i="3" s="1"/>
  <c r="BN119" i="3"/>
  <c r="BN148" i="3" s="1"/>
  <c r="BR119" i="3"/>
  <c r="BR148" i="3" s="1"/>
  <c r="BH31" i="27"/>
  <c r="AR31" i="27"/>
  <c r="S28" i="27"/>
  <c r="O30" i="27"/>
  <c r="CP31" i="27"/>
  <c r="CE28" i="27"/>
  <c r="AB35" i="16"/>
  <c r="AB24" i="16"/>
  <c r="AB27" i="16" s="1"/>
  <c r="AF35" i="16"/>
  <c r="AF24" i="16"/>
  <c r="AF27" i="16" s="1"/>
  <c r="AF38" i="16"/>
  <c r="U102" i="21"/>
  <c r="U63" i="21"/>
  <c r="U76" i="26"/>
  <c r="K76" i="26"/>
  <c r="M94" i="17"/>
  <c r="M50" i="3"/>
  <c r="M56" i="3" s="1"/>
  <c r="AT119" i="3"/>
  <c r="AT148" i="3" s="1"/>
  <c r="CD119" i="3"/>
  <c r="CD148" i="3" s="1"/>
  <c r="W87" i="27"/>
  <c r="K61" i="26"/>
  <c r="AS63" i="21"/>
  <c r="AR76" i="21"/>
  <c r="AR89" i="21" s="1"/>
  <c r="AT62" i="27"/>
  <c r="AT19" i="27"/>
  <c r="AT26" i="3" s="1"/>
  <c r="U69" i="26"/>
  <c r="K39" i="3"/>
  <c r="K27" i="26"/>
  <c r="U68" i="26"/>
  <c r="DN70" i="3"/>
  <c r="P77" i="3"/>
  <c r="T56" i="3"/>
  <c r="DE43" i="3"/>
  <c r="DU43" i="3" s="1"/>
  <c r="V77" i="3"/>
  <c r="EJ236" i="3"/>
  <c r="K30" i="26"/>
  <c r="T90" i="3"/>
  <c r="AE35" i="16"/>
  <c r="AE38" i="16"/>
  <c r="L11" i="16"/>
  <c r="P11" i="16"/>
  <c r="P12" i="16" s="1"/>
  <c r="N11" i="16"/>
  <c r="I50" i="16"/>
  <c r="O8" i="43"/>
  <c r="P8" i="43" s="1"/>
  <c r="P33" i="45"/>
  <c r="P44" i="45" s="1"/>
  <c r="N24" i="16"/>
  <c r="AE83" i="16"/>
  <c r="T40" i="45"/>
  <c r="J33" i="45"/>
  <c r="J44" i="45" s="1"/>
  <c r="K50" i="16"/>
  <c r="O50" i="16"/>
  <c r="K129" i="15"/>
  <c r="K130" i="15"/>
  <c r="K128" i="15"/>
  <c r="CM109" i="15"/>
  <c r="CI109" i="15"/>
  <c r="CE109" i="15"/>
  <c r="CA109" i="15"/>
  <c r="BW109" i="15"/>
  <c r="BS109" i="15"/>
  <c r="BO109" i="15"/>
  <c r="BK109" i="15"/>
  <c r="BG109" i="15"/>
  <c r="BC109" i="15"/>
  <c r="AY109" i="15"/>
  <c r="AU109" i="15"/>
  <c r="AQ109" i="15"/>
  <c r="AM109" i="15"/>
  <c r="AI109" i="15"/>
  <c r="AE109" i="15"/>
  <c r="AA109" i="15"/>
  <c r="CM108" i="15"/>
  <c r="CI108" i="15"/>
  <c r="CE108" i="15"/>
  <c r="CA108" i="15"/>
  <c r="BW108" i="15"/>
  <c r="BS108" i="15"/>
  <c r="BO108" i="15"/>
  <c r="BK108" i="15"/>
  <c r="BG108" i="15"/>
  <c r="BC108" i="15"/>
  <c r="AY108" i="15"/>
  <c r="CL109" i="15"/>
  <c r="CG109" i="15"/>
  <c r="CB109" i="15"/>
  <c r="BV109" i="15"/>
  <c r="BQ109" i="15"/>
  <c r="BL109" i="15"/>
  <c r="BF109" i="15"/>
  <c r="BA109" i="15"/>
  <c r="AV109" i="15"/>
  <c r="AP109" i="15"/>
  <c r="AK109" i="15"/>
  <c r="AF109" i="15"/>
  <c r="Z109" i="15"/>
  <c r="CO108" i="15"/>
  <c r="CJ108" i="15"/>
  <c r="CD108" i="15"/>
  <c r="BY108" i="15"/>
  <c r="BT108" i="15"/>
  <c r="BN108" i="15"/>
  <c r="BI108" i="15"/>
  <c r="BD108" i="15"/>
  <c r="AX108" i="15"/>
  <c r="AT108" i="15"/>
  <c r="AP108" i="15"/>
  <c r="AL108" i="15"/>
  <c r="AH108" i="15"/>
  <c r="AD108" i="15"/>
  <c r="Z108" i="15"/>
  <c r="CP109" i="15"/>
  <c r="CK109" i="15"/>
  <c r="CF109" i="15"/>
  <c r="BZ109" i="15"/>
  <c r="BU109" i="15"/>
  <c r="BP109" i="15"/>
  <c r="BJ109" i="15"/>
  <c r="BE109" i="15"/>
  <c r="AZ109" i="15"/>
  <c r="AT109" i="15"/>
  <c r="AO109" i="15"/>
  <c r="AJ109" i="15"/>
  <c r="AD109" i="15"/>
  <c r="Y109" i="15"/>
  <c r="CN108" i="15"/>
  <c r="CH108" i="15"/>
  <c r="CC108" i="15"/>
  <c r="BX108" i="15"/>
  <c r="BR108" i="15"/>
  <c r="BM108" i="15"/>
  <c r="BH108" i="15"/>
  <c r="BB108" i="15"/>
  <c r="AW108" i="15"/>
  <c r="AS108" i="15"/>
  <c r="AO108" i="15"/>
  <c r="AK108" i="15"/>
  <c r="AG108" i="15"/>
  <c r="AC108" i="15"/>
  <c r="Y108" i="15"/>
  <c r="CO109" i="15"/>
  <c r="CJ109" i="15"/>
  <c r="CD109" i="15"/>
  <c r="BY109" i="15"/>
  <c r="BT109" i="15"/>
  <c r="BN109" i="15"/>
  <c r="BI109" i="15"/>
  <c r="BD109" i="15"/>
  <c r="AX109" i="15"/>
  <c r="AS109" i="15"/>
  <c r="AN109" i="15"/>
  <c r="AH109" i="15"/>
  <c r="AC109" i="15"/>
  <c r="X109" i="15"/>
  <c r="CL108" i="15"/>
  <c r="CG108" i="15"/>
  <c r="CB108" i="15"/>
  <c r="BV108" i="15"/>
  <c r="BQ108" i="15"/>
  <c r="BL108" i="15"/>
  <c r="BF108" i="15"/>
  <c r="BA108" i="15"/>
  <c r="AV108" i="15"/>
  <c r="AR108" i="15"/>
  <c r="AN108" i="15"/>
  <c r="AJ108" i="15"/>
  <c r="AF108" i="15"/>
  <c r="AB108" i="15"/>
  <c r="X108" i="15"/>
  <c r="CN109" i="15"/>
  <c r="BR109" i="15"/>
  <c r="AW109" i="15"/>
  <c r="AB109" i="15"/>
  <c r="BZ108" i="15"/>
  <c r="BE108" i="15"/>
  <c r="AM108" i="15"/>
  <c r="CH109" i="15"/>
  <c r="BM109" i="15"/>
  <c r="AR109" i="15"/>
  <c r="CP108" i="15"/>
  <c r="BU108" i="15"/>
  <c r="AZ108" i="15"/>
  <c r="AI108" i="15"/>
  <c r="CC109" i="15"/>
  <c r="BH109" i="15"/>
  <c r="AL109" i="15"/>
  <c r="CK108" i="15"/>
  <c r="BP108" i="15"/>
  <c r="AU108" i="15"/>
  <c r="AE108" i="15"/>
  <c r="AG109" i="15"/>
  <c r="AA108" i="15"/>
  <c r="CF108" i="15"/>
  <c r="BX109" i="15"/>
  <c r="BJ108" i="15"/>
  <c r="BB109" i="15"/>
  <c r="AQ108" i="15"/>
  <c r="U121" i="15"/>
  <c r="P130" i="15"/>
  <c r="T121" i="15"/>
  <c r="V121" i="15"/>
  <c r="P128" i="15"/>
  <c r="P129" i="15"/>
  <c r="CL157" i="3"/>
  <c r="AK166" i="21"/>
  <c r="AF74" i="23"/>
  <c r="AD220" i="25"/>
  <c r="AE78" i="23"/>
  <c r="DF83" i="3"/>
  <c r="DH101" i="3"/>
  <c r="AY38" i="25"/>
  <c r="AZ38" i="25" s="1"/>
  <c r="BA38" i="25" s="1"/>
  <c r="BB38" i="25" s="1"/>
  <c r="BC38" i="25" s="1"/>
  <c r="BD38" i="25" s="1"/>
  <c r="BE38" i="25" s="1"/>
  <c r="BF38" i="25" s="1"/>
  <c r="BG38" i="25" s="1"/>
  <c r="BH38" i="25" s="1"/>
  <c r="BI38" i="25" s="1"/>
  <c r="BJ38" i="25" s="1"/>
  <c r="BK38" i="25" s="1"/>
  <c r="BL38" i="25" s="1"/>
  <c r="BM38" i="25" s="1"/>
  <c r="BN38" i="25" s="1"/>
  <c r="BO38" i="25" s="1"/>
  <c r="BP38" i="25" s="1"/>
  <c r="BQ38" i="25" s="1"/>
  <c r="BR38" i="25" s="1"/>
  <c r="BS38" i="25" s="1"/>
  <c r="BT38" i="25" s="1"/>
  <c r="AX63" i="25"/>
  <c r="AX57" i="25"/>
  <c r="AX56" i="25"/>
  <c r="U55" i="23"/>
  <c r="Y83" i="23"/>
  <c r="M215" i="3"/>
  <c r="K26" i="16"/>
  <c r="N34" i="16"/>
  <c r="DI139" i="3"/>
  <c r="DW138" i="3"/>
  <c r="W68" i="23"/>
  <c r="P70" i="27"/>
  <c r="DM119" i="3"/>
  <c r="DM118" i="3" s="1"/>
  <c r="N88" i="3"/>
  <c r="N38" i="3"/>
  <c r="N34" i="3" s="1"/>
  <c r="EI212" i="3"/>
  <c r="DY212" i="3"/>
  <c r="AG32" i="16"/>
  <c r="K103" i="15"/>
  <c r="AI32" i="16"/>
  <c r="N140" i="3"/>
  <c r="M103" i="15"/>
  <c r="DV50" i="3"/>
  <c r="EI112" i="3"/>
  <c r="DY112" i="3"/>
  <c r="DM113" i="3"/>
  <c r="DY215" i="3"/>
  <c r="DM216" i="3"/>
  <c r="EI216" i="3" s="1"/>
  <c r="EI215" i="3"/>
  <c r="G5" i="25"/>
  <c r="DI50" i="3"/>
  <c r="DE73" i="3"/>
  <c r="V56" i="3"/>
  <c r="DG34" i="3"/>
  <c r="G9" i="3"/>
  <c r="G212" i="25"/>
  <c r="G41" i="3"/>
  <c r="EI91" i="3"/>
  <c r="DM76" i="3"/>
  <c r="DF77" i="3"/>
  <c r="EC45" i="3"/>
  <c r="DK34" i="3"/>
  <c r="DV28" i="3"/>
  <c r="Y32" i="3"/>
  <c r="K36" i="26"/>
  <c r="T34" i="17"/>
  <c r="I22" i="16"/>
  <c r="L33" i="17"/>
  <c r="AH29" i="16"/>
  <c r="DG75" i="3"/>
  <c r="S77" i="3"/>
  <c r="DW48" i="3"/>
  <c r="U62" i="16"/>
  <c r="G108" i="21"/>
  <c r="T77" i="3"/>
  <c r="U30" i="26"/>
  <c r="EC25" i="3"/>
  <c r="DI118" i="3"/>
  <c r="EI94" i="3"/>
  <c r="P56" i="3"/>
  <c r="DX103" i="3"/>
  <c r="G17" i="27"/>
  <c r="DK43" i="3"/>
  <c r="DG43" i="3"/>
  <c r="DV43" i="3" s="1"/>
  <c r="EE48" i="3"/>
  <c r="DJ70" i="3"/>
  <c r="G6" i="17"/>
  <c r="G3" i="17"/>
  <c r="G4" i="17" s="1"/>
  <c r="G22" i="17"/>
  <c r="G5" i="27"/>
  <c r="DE105" i="3"/>
  <c r="DI72" i="3"/>
  <c r="DE76" i="3"/>
  <c r="DU44" i="3"/>
  <c r="DE23" i="3"/>
  <c r="K32" i="26"/>
  <c r="G206" i="25"/>
  <c r="DM230" i="3"/>
  <c r="DM43" i="3"/>
  <c r="O77" i="3"/>
  <c r="DE34" i="3"/>
  <c r="M62" i="16"/>
  <c r="H3" i="3"/>
  <c r="EI117" i="3"/>
  <c r="R56" i="3"/>
  <c r="G19" i="21"/>
  <c r="DI75" i="3"/>
  <c r="DG30" i="3"/>
  <c r="T139" i="3"/>
  <c r="EH103" i="3"/>
  <c r="EE25" i="3"/>
  <c r="AC68" i="26"/>
  <c r="EH91" i="3"/>
  <c r="G5" i="21"/>
  <c r="V94" i="17"/>
  <c r="G49" i="17"/>
  <c r="G54" i="15"/>
  <c r="G56" i="15" s="1"/>
  <c r="G57" i="15" s="1"/>
  <c r="G29" i="17"/>
  <c r="G37" i="17"/>
  <c r="G3" i="21"/>
  <c r="DO50" i="3"/>
  <c r="Q77" i="3"/>
  <c r="G3" i="15"/>
  <c r="G4" i="15" s="1"/>
  <c r="G157" i="25"/>
  <c r="G108" i="25"/>
  <c r="G17" i="25"/>
  <c r="G158" i="21"/>
  <c r="L25" i="17"/>
  <c r="L27" i="17" s="1"/>
  <c r="J20" i="16"/>
  <c r="DK75" i="3"/>
  <c r="DI78" i="3"/>
  <c r="DJ139" i="3"/>
  <c r="G72" i="27"/>
  <c r="DI30" i="3"/>
  <c r="EH217" i="3"/>
  <c r="DG23" i="3"/>
  <c r="K34" i="26"/>
  <c r="DZ91" i="3"/>
  <c r="DO233" i="3"/>
  <c r="Y65" i="21"/>
  <c r="Z65" i="21" s="1"/>
  <c r="AC51" i="16"/>
  <c r="E91" i="16"/>
  <c r="E1" i="16" s="1"/>
  <c r="AC50" i="16"/>
  <c r="BW13" i="43"/>
  <c r="U17" i="17"/>
  <c r="AC35" i="16"/>
  <c r="AC38" i="16"/>
  <c r="AC24" i="16"/>
  <c r="AC27" i="16" s="1"/>
  <c r="AD33" i="16"/>
  <c r="AD38" i="16"/>
  <c r="AU33" i="16"/>
  <c r="AT33" i="16"/>
  <c r="L24" i="16"/>
  <c r="M24" i="16"/>
  <c r="AE24" i="16"/>
  <c r="AE27" i="16" s="1"/>
  <c r="AI24" i="16"/>
  <c r="AM24" i="16"/>
  <c r="CR13" i="43"/>
  <c r="DG13" i="43"/>
  <c r="AC18" i="16"/>
  <c r="AC19" i="16" s="1"/>
  <c r="AJ24" i="16"/>
  <c r="AC42" i="16"/>
  <c r="G1" i="16"/>
  <c r="U3" i="43"/>
  <c r="AQ3" i="43"/>
  <c r="BI3" i="43"/>
  <c r="CA3" i="43"/>
  <c r="CS3" i="43"/>
  <c r="DK3" i="43"/>
  <c r="O3" i="43"/>
  <c r="AC3" i="43"/>
  <c r="AO3" i="43"/>
  <c r="BC3" i="43"/>
  <c r="BQ3" i="43"/>
  <c r="CG3" i="43"/>
  <c r="CU3" i="43"/>
  <c r="DI3" i="43"/>
  <c r="T3" i="43"/>
  <c r="AB3" i="43"/>
  <c r="AJ3" i="43"/>
  <c r="AR3" i="43"/>
  <c r="AZ3" i="43"/>
  <c r="BH3" i="43"/>
  <c r="BP3" i="43"/>
  <c r="BX3" i="43"/>
  <c r="CF3" i="43"/>
  <c r="CN3" i="43"/>
  <c r="CV3" i="43"/>
  <c r="DD3" i="43"/>
  <c r="Q3" i="43"/>
  <c r="AK3" i="43"/>
  <c r="BE3" i="43"/>
  <c r="BW3" i="43"/>
  <c r="CO3" i="43"/>
  <c r="DG3" i="43"/>
  <c r="Y3" i="43"/>
  <c r="AM3" i="43"/>
  <c r="AY3" i="43"/>
  <c r="BO3" i="43"/>
  <c r="CC3" i="43"/>
  <c r="CQ3" i="43"/>
  <c r="DE3" i="43"/>
  <c r="R3" i="43"/>
  <c r="Z3" i="43"/>
  <c r="AH3" i="43"/>
  <c r="AP3" i="43"/>
  <c r="AX3" i="43"/>
  <c r="BF3" i="43"/>
  <c r="BN3" i="43"/>
  <c r="BV3" i="43"/>
  <c r="CD3" i="43"/>
  <c r="CL3" i="43"/>
  <c r="CT3" i="43"/>
  <c r="DB3" i="43"/>
  <c r="I11" i="16"/>
  <c r="I12" i="16" s="1"/>
  <c r="AB15" i="16"/>
  <c r="AF15" i="16"/>
  <c r="AD18" i="16"/>
  <c r="AD19" i="16" s="1"/>
  <c r="D1" i="16"/>
  <c r="H1" i="16"/>
  <c r="AB38" i="16"/>
  <c r="K11" i="16"/>
  <c r="O11" i="16"/>
  <c r="J11" i="16"/>
  <c r="J12" i="16" s="1"/>
  <c r="Q11" i="16"/>
  <c r="AC15" i="16"/>
  <c r="AS38" i="16"/>
  <c r="AE51" i="16"/>
  <c r="AE50" i="16"/>
  <c r="AG12" i="16" l="1"/>
  <c r="X106" i="15"/>
  <c r="AT22" i="16" s="1"/>
  <c r="CX13" i="43"/>
  <c r="AK13" i="43"/>
  <c r="BQ13" i="43"/>
  <c r="K64" i="27"/>
  <c r="P13" i="43"/>
  <c r="BU13" i="43"/>
  <c r="EJ23" i="3"/>
  <c r="T42" i="23"/>
  <c r="T44" i="23" s="1"/>
  <c r="DW139" i="3"/>
  <c r="L46" i="16"/>
  <c r="J46" i="16"/>
  <c r="DH121" i="3"/>
  <c r="P36" i="25"/>
  <c r="N23" i="23"/>
  <c r="U38" i="23"/>
  <c r="U39" i="23" s="1"/>
  <c r="O90" i="3"/>
  <c r="M14" i="17"/>
  <c r="R14" i="17"/>
  <c r="S188" i="25"/>
  <c r="S192" i="25" s="1"/>
  <c r="S198" i="25" s="1"/>
  <c r="T27" i="25"/>
  <c r="L91" i="17"/>
  <c r="DV139" i="3"/>
  <c r="AO32" i="16"/>
  <c r="AO38" i="16" s="1"/>
  <c r="AH13" i="43"/>
  <c r="O64" i="27"/>
  <c r="Q23" i="23"/>
  <c r="DX113" i="3"/>
  <c r="M68" i="27"/>
  <c r="AV13" i="43"/>
  <c r="AQ13" i="43"/>
  <c r="T36" i="25"/>
  <c r="AU13" i="43"/>
  <c r="BR13" i="43"/>
  <c r="BK13" i="43"/>
  <c r="BK2" i="43" s="1"/>
  <c r="W130" i="25"/>
  <c r="X119" i="25"/>
  <c r="L36" i="27"/>
  <c r="DZ23" i="3"/>
  <c r="AO12" i="16"/>
  <c r="N36" i="25"/>
  <c r="I50" i="27"/>
  <c r="I51" i="27" s="1"/>
  <c r="T57" i="27"/>
  <c r="X194" i="3"/>
  <c r="X198" i="3" s="1"/>
  <c r="Q46" i="16"/>
  <c r="N58" i="25"/>
  <c r="U39" i="3"/>
  <c r="O60" i="25"/>
  <c r="U51" i="27"/>
  <c r="CV13" i="43"/>
  <c r="CU13" i="43"/>
  <c r="L298" i="3"/>
  <c r="P61" i="25"/>
  <c r="DZ93" i="3"/>
  <c r="O83" i="27"/>
  <c r="AN25" i="16"/>
  <c r="AN27" i="16" s="1"/>
  <c r="N293" i="3"/>
  <c r="AJ18" i="16"/>
  <c r="AJ19" i="16" s="1"/>
  <c r="AF13" i="43"/>
  <c r="AC13" i="43"/>
  <c r="BX13" i="43"/>
  <c r="BM13" i="43"/>
  <c r="DK13" i="43"/>
  <c r="P14" i="17"/>
  <c r="N333" i="3"/>
  <c r="Q45" i="21"/>
  <c r="Q58" i="21" s="1"/>
  <c r="T183" i="25"/>
  <c r="T188" i="25" s="1"/>
  <c r="T192" i="25" s="1"/>
  <c r="T198" i="25" s="1"/>
  <c r="S14" i="17"/>
  <c r="DJ293" i="3"/>
  <c r="DL293" i="3"/>
  <c r="CB13" i="43"/>
  <c r="BL13" i="43"/>
  <c r="AA13" i="43"/>
  <c r="CE13" i="43"/>
  <c r="AJ13" i="43"/>
  <c r="Z13" i="43"/>
  <c r="DH13" i="43"/>
  <c r="Q59" i="21"/>
  <c r="Q85" i="21"/>
  <c r="DW23" i="3"/>
  <c r="I46" i="16"/>
  <c r="AR38" i="16"/>
  <c r="K36" i="27"/>
  <c r="DI70" i="3"/>
  <c r="DK88" i="3"/>
  <c r="V36" i="23"/>
  <c r="V42" i="23" s="1"/>
  <c r="V44" i="23" s="1"/>
  <c r="DY23" i="3"/>
  <c r="DY87" i="3"/>
  <c r="AN12" i="16"/>
  <c r="AB13" i="43"/>
  <c r="BO13" i="43"/>
  <c r="W13" i="43"/>
  <c r="W98" i="27"/>
  <c r="W33" i="45"/>
  <c r="W42" i="45" s="1"/>
  <c r="DC13" i="43"/>
  <c r="P103" i="15"/>
  <c r="Q186" i="25"/>
  <c r="Q187" i="25" s="1"/>
  <c r="S179" i="25"/>
  <c r="W193" i="25"/>
  <c r="M121" i="27"/>
  <c r="M116" i="27" s="1"/>
  <c r="P293" i="3"/>
  <c r="O293" i="3"/>
  <c r="DZ139" i="3"/>
  <c r="Q132" i="25"/>
  <c r="Q133" i="25" s="1"/>
  <c r="U183" i="25"/>
  <c r="DO211" i="3"/>
  <c r="EJ211" i="3" s="1"/>
  <c r="BU48" i="23"/>
  <c r="BU54" i="23" s="1"/>
  <c r="P333" i="3"/>
  <c r="T333" i="3"/>
  <c r="N99" i="15"/>
  <c r="AR33" i="16"/>
  <c r="M23" i="23"/>
  <c r="M26" i="23" s="1"/>
  <c r="AM18" i="16"/>
  <c r="AM19" i="16" s="1"/>
  <c r="AM82" i="16" s="1"/>
  <c r="AH25" i="16"/>
  <c r="AH27" i="16" s="1"/>
  <c r="AH37" i="16" s="1"/>
  <c r="EH232" i="3"/>
  <c r="AQ18" i="16"/>
  <c r="AQ19" i="16" s="1"/>
  <c r="AQ82" i="16" s="1"/>
  <c r="R103" i="15"/>
  <c r="K12" i="16"/>
  <c r="V44" i="45"/>
  <c r="P88" i="17"/>
  <c r="Z167" i="25"/>
  <c r="AA167" i="25" s="1"/>
  <c r="AK25" i="16"/>
  <c r="AK27" i="16" s="1"/>
  <c r="O99" i="15"/>
  <c r="U62" i="25"/>
  <c r="U76" i="25" s="1"/>
  <c r="T76" i="25"/>
  <c r="L32" i="17"/>
  <c r="L108" i="3"/>
  <c r="Q49" i="21"/>
  <c r="Q47" i="21"/>
  <c r="Q48" i="21"/>
  <c r="Y99" i="27"/>
  <c r="Z99" i="27" s="1"/>
  <c r="Z97" i="27" s="1"/>
  <c r="X109" i="27"/>
  <c r="X97" i="27"/>
  <c r="X98" i="27" s="1"/>
  <c r="AN18" i="16"/>
  <c r="AN19" i="16" s="1"/>
  <c r="AN82" i="16" s="1"/>
  <c r="DX234" i="3"/>
  <c r="EH234" i="3"/>
  <c r="EH229" i="3"/>
  <c r="DK230" i="3"/>
  <c r="S333" i="3"/>
  <c r="U338" i="3"/>
  <c r="P43" i="17"/>
  <c r="DU139" i="3"/>
  <c r="W333" i="3"/>
  <c r="V338" i="3"/>
  <c r="S338" i="3"/>
  <c r="S341" i="3" s="1"/>
  <c r="Y136" i="21"/>
  <c r="BJ13" i="43"/>
  <c r="P140" i="3"/>
  <c r="O103" i="15"/>
  <c r="AK32" i="16"/>
  <c r="AK38" i="16" s="1"/>
  <c r="W118" i="3"/>
  <c r="N72" i="23"/>
  <c r="O72" i="23" s="1"/>
  <c r="P72" i="23" s="1"/>
  <c r="Q72" i="23" s="1"/>
  <c r="R72" i="23" s="1"/>
  <c r="M78" i="23"/>
  <c r="M79" i="23" s="1"/>
  <c r="L133" i="3"/>
  <c r="L118" i="3"/>
  <c r="L215" i="3" s="1"/>
  <c r="L216" i="3" s="1"/>
  <c r="L220" i="3" s="1"/>
  <c r="L134" i="3"/>
  <c r="AH31" i="16" s="1"/>
  <c r="Z122" i="21"/>
  <c r="AA122" i="21" s="1"/>
  <c r="AB122" i="21" s="1"/>
  <c r="AC122" i="21" s="1"/>
  <c r="AD122" i="21" s="1"/>
  <c r="AE122" i="21" s="1"/>
  <c r="AF122" i="21" s="1"/>
  <c r="AG122" i="21" s="1"/>
  <c r="AH122" i="21" s="1"/>
  <c r="AI122" i="21" s="1"/>
  <c r="AJ122" i="21" s="1"/>
  <c r="AK122" i="21" s="1"/>
  <c r="AL122" i="21" s="1"/>
  <c r="AM122" i="21" s="1"/>
  <c r="AN122" i="21" s="1"/>
  <c r="AO122" i="21" s="1"/>
  <c r="AP122" i="21" s="1"/>
  <c r="AQ122" i="21" s="1"/>
  <c r="AR122" i="21" s="1"/>
  <c r="AS122" i="21" s="1"/>
  <c r="AT122" i="21" s="1"/>
  <c r="AU122" i="21" s="1"/>
  <c r="AV122" i="21" s="1"/>
  <c r="AW122" i="21" s="1"/>
  <c r="AX122" i="21" s="1"/>
  <c r="AY122" i="21" s="1"/>
  <c r="AZ122" i="21" s="1"/>
  <c r="BA122" i="21" s="1"/>
  <c r="BB122" i="21" s="1"/>
  <c r="BC122" i="21" s="1"/>
  <c r="BD122" i="21" s="1"/>
  <c r="BE122" i="21" s="1"/>
  <c r="BF122" i="21" s="1"/>
  <c r="BG122" i="21" s="1"/>
  <c r="BH122" i="21" s="1"/>
  <c r="BI122" i="21" s="1"/>
  <c r="BJ122" i="21" s="1"/>
  <c r="BK122" i="21" s="1"/>
  <c r="BL122" i="21" s="1"/>
  <c r="BM122" i="21" s="1"/>
  <c r="BN122" i="21" s="1"/>
  <c r="BO122" i="21" s="1"/>
  <c r="BP122" i="21" s="1"/>
  <c r="BQ122" i="21" s="1"/>
  <c r="BR122" i="21" s="1"/>
  <c r="BS122" i="21" s="1"/>
  <c r="BT122" i="21" s="1"/>
  <c r="BU122" i="21" s="1"/>
  <c r="BV122" i="21" s="1"/>
  <c r="BW122" i="21" s="1"/>
  <c r="BX122" i="21" s="1"/>
  <c r="BY122" i="21" s="1"/>
  <c r="BZ122" i="21" s="1"/>
  <c r="CA122" i="21" s="1"/>
  <c r="CB122" i="21" s="1"/>
  <c r="CC122" i="21" s="1"/>
  <c r="CD122" i="21" s="1"/>
  <c r="CE122" i="21" s="1"/>
  <c r="CF122" i="21" s="1"/>
  <c r="CG122" i="21" s="1"/>
  <c r="CH122" i="21" s="1"/>
  <c r="CI122" i="21" s="1"/>
  <c r="CJ122" i="21" s="1"/>
  <c r="CK122" i="21" s="1"/>
  <c r="CL122" i="21" s="1"/>
  <c r="CM122" i="21" s="1"/>
  <c r="CN122" i="21" s="1"/>
  <c r="CO122" i="21" s="1"/>
  <c r="CP122" i="21" s="1"/>
  <c r="Y145" i="21"/>
  <c r="AH28" i="16"/>
  <c r="L315" i="3"/>
  <c r="L317" i="3" s="1"/>
  <c r="L326" i="3" s="1"/>
  <c r="EI87" i="3"/>
  <c r="N43" i="17"/>
  <c r="CF13" i="43"/>
  <c r="BE13" i="43"/>
  <c r="Q84" i="21"/>
  <c r="AL13" i="43"/>
  <c r="BF13" i="43"/>
  <c r="BV13" i="43"/>
  <c r="CL13" i="43"/>
  <c r="DB13" i="43"/>
  <c r="V88" i="17"/>
  <c r="DO230" i="3"/>
  <c r="EJ230" i="3" s="1"/>
  <c r="DQ31" i="3"/>
  <c r="X51" i="3"/>
  <c r="DQ51" i="3" s="1"/>
  <c r="R338" i="3"/>
  <c r="R341" i="3" s="1"/>
  <c r="Y13" i="43"/>
  <c r="CY13" i="43"/>
  <c r="BS13" i="43"/>
  <c r="AT13" i="43"/>
  <c r="AD13" i="43"/>
  <c r="N13" i="43"/>
  <c r="CD13" i="43"/>
  <c r="CT13" i="43"/>
  <c r="O36" i="25"/>
  <c r="U57" i="27"/>
  <c r="R133" i="25"/>
  <c r="D42" i="15"/>
  <c r="D48" i="15" s="1"/>
  <c r="D49" i="15" s="1"/>
  <c r="B131" i="15"/>
  <c r="AJ41" i="16"/>
  <c r="AJ27" i="16"/>
  <c r="X90" i="21"/>
  <c r="O90" i="17"/>
  <c r="U91" i="17"/>
  <c r="D50" i="15"/>
  <c r="D51" i="15" s="1"/>
  <c r="L88" i="17"/>
  <c r="N87" i="17"/>
  <c r="D52" i="15"/>
  <c r="F86" i="15" s="1"/>
  <c r="L29" i="25"/>
  <c r="L32" i="25" s="1"/>
  <c r="O29" i="25"/>
  <c r="O32" i="25" s="1"/>
  <c r="M29" i="25"/>
  <c r="M32" i="25" s="1"/>
  <c r="R90" i="17"/>
  <c r="W29" i="25"/>
  <c r="W32" i="25" s="1"/>
  <c r="R29" i="25"/>
  <c r="R32" i="25" s="1"/>
  <c r="Q29" i="25"/>
  <c r="Q32" i="25" s="1"/>
  <c r="S29" i="25"/>
  <c r="S32" i="25" s="1"/>
  <c r="DG172" i="3"/>
  <c r="DG132" i="3" s="1"/>
  <c r="DF132" i="3"/>
  <c r="O43" i="17"/>
  <c r="U333" i="3"/>
  <c r="Y183" i="25"/>
  <c r="Y184" i="25" s="1"/>
  <c r="D43" i="15"/>
  <c r="AN63" i="25"/>
  <c r="AN90" i="25" s="1"/>
  <c r="AO27" i="16"/>
  <c r="K99" i="15"/>
  <c r="AA62" i="27"/>
  <c r="AA56" i="27" s="1"/>
  <c r="AG62" i="25"/>
  <c r="AG89" i="25" s="1"/>
  <c r="AU62" i="27"/>
  <c r="AU56" i="27" s="1"/>
  <c r="Y51" i="21"/>
  <c r="Z51" i="21" s="1"/>
  <c r="AA51" i="21" s="1"/>
  <c r="AB51" i="21" s="1"/>
  <c r="AB77" i="21" s="1"/>
  <c r="AG27" i="16"/>
  <c r="AG37" i="16" s="1"/>
  <c r="BV37" i="23"/>
  <c r="BV48" i="23" s="1"/>
  <c r="BV54" i="23" s="1"/>
  <c r="Z99" i="21"/>
  <c r="Z26" i="21"/>
  <c r="X103" i="21"/>
  <c r="X76" i="21"/>
  <c r="Y76" i="21" s="1"/>
  <c r="X61" i="27"/>
  <c r="X24" i="27" s="1"/>
  <c r="BV24" i="21"/>
  <c r="BV88" i="17" s="1"/>
  <c r="X20" i="27"/>
  <c r="X27" i="3" s="1"/>
  <c r="DQ27" i="3" s="1"/>
  <c r="K297" i="3"/>
  <c r="U105" i="25"/>
  <c r="T105" i="25"/>
  <c r="O55" i="27"/>
  <c r="O50" i="27"/>
  <c r="O51" i="27" s="1"/>
  <c r="Y61" i="27"/>
  <c r="Y29" i="27" s="1"/>
  <c r="Z48" i="27"/>
  <c r="AA48" i="27" s="1"/>
  <c r="Y20" i="27"/>
  <c r="Y27" i="3" s="1"/>
  <c r="AH76" i="25"/>
  <c r="AI76" i="25" s="1"/>
  <c r="AJ76" i="25" s="1"/>
  <c r="AK76" i="25" s="1"/>
  <c r="AL76" i="25" s="1"/>
  <c r="AM76" i="25" s="1"/>
  <c r="AN76" i="25" s="1"/>
  <c r="AO76" i="25" s="1"/>
  <c r="AP76" i="25" s="1"/>
  <c r="AQ76" i="25" s="1"/>
  <c r="AR76" i="25" s="1"/>
  <c r="AS76" i="25" s="1"/>
  <c r="AT76" i="25" s="1"/>
  <c r="AU76" i="25" s="1"/>
  <c r="AV76" i="25" s="1"/>
  <c r="AW76" i="25" s="1"/>
  <c r="AX76" i="25" s="1"/>
  <c r="AY76" i="25" s="1"/>
  <c r="AZ76" i="25" s="1"/>
  <c r="BA76" i="25" s="1"/>
  <c r="BB76" i="25" s="1"/>
  <c r="BC76" i="25" s="1"/>
  <c r="BD76" i="25" s="1"/>
  <c r="BE76" i="25" s="1"/>
  <c r="BF76" i="25" s="1"/>
  <c r="BG76" i="25" s="1"/>
  <c r="BH76" i="25" s="1"/>
  <c r="BI76" i="25" s="1"/>
  <c r="BJ76" i="25" s="1"/>
  <c r="BK76" i="25" s="1"/>
  <c r="BL76" i="25" s="1"/>
  <c r="BM76" i="25" s="1"/>
  <c r="BN76" i="25" s="1"/>
  <c r="BO76" i="25" s="1"/>
  <c r="BP76" i="25" s="1"/>
  <c r="BQ76" i="25" s="1"/>
  <c r="BR76" i="25" s="1"/>
  <c r="BS76" i="25" s="1"/>
  <c r="BT76" i="25" s="1"/>
  <c r="BU76" i="25" s="1"/>
  <c r="BV76" i="25" s="1"/>
  <c r="BW76" i="25" s="1"/>
  <c r="BX76" i="25" s="1"/>
  <c r="BY76" i="25" s="1"/>
  <c r="BZ76" i="25" s="1"/>
  <c r="CA76" i="25" s="1"/>
  <c r="CB76" i="25" s="1"/>
  <c r="CC76" i="25" s="1"/>
  <c r="O55" i="25"/>
  <c r="DO292" i="3"/>
  <c r="P338" i="3"/>
  <c r="P341" i="3" s="1"/>
  <c r="Q338" i="3"/>
  <c r="Q341" i="3" s="1"/>
  <c r="R23" i="23"/>
  <c r="R26" i="23" s="1"/>
  <c r="DJ214" i="3"/>
  <c r="DJ220" i="3" s="1"/>
  <c r="DJ221" i="3" s="1"/>
  <c r="DJ147" i="3" s="1"/>
  <c r="DJ149" i="3" s="1"/>
  <c r="DJ107" i="3"/>
  <c r="DJ114" i="3" s="1"/>
  <c r="DJ121" i="3" s="1"/>
  <c r="DO38" i="3"/>
  <c r="EJ38" i="3" s="1"/>
  <c r="X72" i="21"/>
  <c r="X85" i="21" s="1"/>
  <c r="X193" i="25"/>
  <c r="Y264" i="3"/>
  <c r="Z264" i="3" s="1"/>
  <c r="AA264" i="3" s="1"/>
  <c r="AB264" i="3" s="1"/>
  <c r="AC264" i="3" s="1"/>
  <c r="AD264" i="3" s="1"/>
  <c r="AE264" i="3" s="1"/>
  <c r="AF264" i="3" s="1"/>
  <c r="AG264" i="3" s="1"/>
  <c r="AH264" i="3" s="1"/>
  <c r="AI264" i="3" s="1"/>
  <c r="AJ264" i="3" s="1"/>
  <c r="AK264" i="3" s="1"/>
  <c r="AL264" i="3" s="1"/>
  <c r="AM264" i="3" s="1"/>
  <c r="AN264" i="3" s="1"/>
  <c r="AO264" i="3" s="1"/>
  <c r="AP264" i="3" s="1"/>
  <c r="AQ264" i="3" s="1"/>
  <c r="AR264" i="3" s="1"/>
  <c r="AS264" i="3" s="1"/>
  <c r="AT264" i="3" s="1"/>
  <c r="AU264" i="3" s="1"/>
  <c r="AV264" i="3" s="1"/>
  <c r="AW264" i="3" s="1"/>
  <c r="AX264" i="3" s="1"/>
  <c r="AY264" i="3" s="1"/>
  <c r="AZ264" i="3" s="1"/>
  <c r="BA264" i="3" s="1"/>
  <c r="BB264" i="3" s="1"/>
  <c r="BC264" i="3" s="1"/>
  <c r="BD264" i="3" s="1"/>
  <c r="BE264" i="3" s="1"/>
  <c r="BF264" i="3" s="1"/>
  <c r="BG264" i="3" s="1"/>
  <c r="BH264" i="3" s="1"/>
  <c r="BI264" i="3" s="1"/>
  <c r="BJ264" i="3" s="1"/>
  <c r="BK264" i="3" s="1"/>
  <c r="BL264" i="3" s="1"/>
  <c r="BM264" i="3" s="1"/>
  <c r="BN264" i="3" s="1"/>
  <c r="BO264" i="3" s="1"/>
  <c r="BP264" i="3" s="1"/>
  <c r="BQ264" i="3" s="1"/>
  <c r="BR264" i="3" s="1"/>
  <c r="BS264" i="3" s="1"/>
  <c r="BT264" i="3" s="1"/>
  <c r="BU264" i="3" s="1"/>
  <c r="BV264" i="3" s="1"/>
  <c r="BW264" i="3" s="1"/>
  <c r="BX264" i="3" s="1"/>
  <c r="BY264" i="3" s="1"/>
  <c r="BZ264" i="3" s="1"/>
  <c r="CA264" i="3" s="1"/>
  <c r="CB264" i="3" s="1"/>
  <c r="CC264" i="3" s="1"/>
  <c r="CD264" i="3" s="1"/>
  <c r="CE264" i="3" s="1"/>
  <c r="CF264" i="3" s="1"/>
  <c r="CG264" i="3" s="1"/>
  <c r="CH264" i="3" s="1"/>
  <c r="CI264" i="3" s="1"/>
  <c r="CJ264" i="3" s="1"/>
  <c r="CK264" i="3" s="1"/>
  <c r="CL264" i="3" s="1"/>
  <c r="CM264" i="3" s="1"/>
  <c r="CN264" i="3" s="1"/>
  <c r="CO264" i="3" s="1"/>
  <c r="CP264" i="3" s="1"/>
  <c r="T23" i="23"/>
  <c r="T26" i="23" s="1"/>
  <c r="EH105" i="3"/>
  <c r="L48" i="27"/>
  <c r="L50" i="27" s="1"/>
  <c r="L51" i="27" s="1"/>
  <c r="Q99" i="15"/>
  <c r="AM25" i="16"/>
  <c r="AM27" i="16" s="1"/>
  <c r="P49" i="21"/>
  <c r="P45" i="21"/>
  <c r="P48" i="21"/>
  <c r="BA24" i="21"/>
  <c r="BA88" i="17" s="1"/>
  <c r="S90" i="3"/>
  <c r="S327" i="3" s="1"/>
  <c r="DY30" i="3"/>
  <c r="O57" i="27"/>
  <c r="AI25" i="16"/>
  <c r="AI27" i="16" s="1"/>
  <c r="V23" i="23"/>
  <c r="V26" i="23" s="1"/>
  <c r="R135" i="25"/>
  <c r="Y134" i="21"/>
  <c r="Y138" i="21"/>
  <c r="Y139" i="21" s="1"/>
  <c r="AM12" i="16"/>
  <c r="AM81" i="16" s="1"/>
  <c r="AG42" i="16"/>
  <c r="T32" i="25"/>
  <c r="AK18" i="16"/>
  <c r="AK19" i="16" s="1"/>
  <c r="AK82" i="16" s="1"/>
  <c r="Q43" i="17"/>
  <c r="K14" i="17"/>
  <c r="AN81" i="16"/>
  <c r="AH41" i="16"/>
  <c r="X104" i="27"/>
  <c r="P43" i="45"/>
  <c r="Q61" i="25"/>
  <c r="Y38" i="3"/>
  <c r="Z38" i="3" s="1"/>
  <c r="AA38" i="3" s="1"/>
  <c r="K32" i="25"/>
  <c r="U88" i="17"/>
  <c r="AI18" i="16"/>
  <c r="AI19" i="16" s="1"/>
  <c r="W338" i="3"/>
  <c r="L63" i="27"/>
  <c r="L70" i="27" s="1"/>
  <c r="DX112" i="3"/>
  <c r="AA119" i="21"/>
  <c r="AA155" i="21" s="1"/>
  <c r="AG81" i="16"/>
  <c r="AJ82" i="16"/>
  <c r="T68" i="25"/>
  <c r="T95" i="25"/>
  <c r="U95" i="25"/>
  <c r="R154" i="25"/>
  <c r="R155" i="25" s="1"/>
  <c r="S119" i="25"/>
  <c r="X178" i="3"/>
  <c r="W179" i="3"/>
  <c r="EH112" i="3"/>
  <c r="Y179" i="25"/>
  <c r="Z168" i="25"/>
  <c r="AB60" i="21"/>
  <c r="AA73" i="21"/>
  <c r="AX13" i="43"/>
  <c r="H33" i="45"/>
  <c r="H44" i="45" s="1"/>
  <c r="P87" i="17"/>
  <c r="V91" i="17"/>
  <c r="V115" i="27"/>
  <c r="T13" i="43"/>
  <c r="AR13" i="43"/>
  <c r="CN13" i="43"/>
  <c r="DD13" i="43"/>
  <c r="O13" i="43"/>
  <c r="AE13" i="43"/>
  <c r="CA13" i="43"/>
  <c r="CQ13" i="43"/>
  <c r="CS13" i="43"/>
  <c r="DA13" i="43"/>
  <c r="U13" i="43"/>
  <c r="AS13" i="43"/>
  <c r="BA13" i="43"/>
  <c r="CG13" i="43"/>
  <c r="AP13" i="43"/>
  <c r="DF13" i="43"/>
  <c r="AZ13" i="43"/>
  <c r="BH13" i="43"/>
  <c r="P34" i="45"/>
  <c r="N135" i="21"/>
  <c r="N133" i="21" s="1"/>
  <c r="N134" i="21" s="1"/>
  <c r="H38" i="45"/>
  <c r="W62" i="3"/>
  <c r="L36" i="25"/>
  <c r="Y66" i="21"/>
  <c r="U28" i="21"/>
  <c r="S28" i="21"/>
  <c r="W28" i="21"/>
  <c r="R28" i="21"/>
  <c r="AC52" i="21"/>
  <c r="AD52" i="21" s="1"/>
  <c r="AE52" i="21" s="1"/>
  <c r="AF52" i="21" s="1"/>
  <c r="AG52" i="21" s="1"/>
  <c r="AH52" i="21" s="1"/>
  <c r="X34" i="3"/>
  <c r="DQ34" i="3" s="1"/>
  <c r="Q333" i="3"/>
  <c r="S203" i="25"/>
  <c r="S204" i="25" s="1"/>
  <c r="T168" i="25"/>
  <c r="DY139" i="3"/>
  <c r="EI139" i="3"/>
  <c r="L14" i="17"/>
  <c r="L43" i="17"/>
  <c r="AW49" i="27"/>
  <c r="AV19" i="27"/>
  <c r="AV26" i="3" s="1"/>
  <c r="AV62" i="27"/>
  <c r="Q55" i="27"/>
  <c r="R48" i="27"/>
  <c r="R55" i="27" s="1"/>
  <c r="DF120" i="3"/>
  <c r="DF121" i="3"/>
  <c r="DX88" i="3"/>
  <c r="N91" i="17"/>
  <c r="T90" i="17"/>
  <c r="M91" i="17"/>
  <c r="Y321" i="3"/>
  <c r="W64" i="3"/>
  <c r="U90" i="17"/>
  <c r="AC17" i="21"/>
  <c r="AB20" i="17"/>
  <c r="X106" i="3"/>
  <c r="EJ106" i="3"/>
  <c r="V35" i="17"/>
  <c r="AR18" i="16"/>
  <c r="AR19" i="16" s="1"/>
  <c r="AR82" i="16" s="1"/>
  <c r="X27" i="21"/>
  <c r="DO237" i="3"/>
  <c r="EJ237" i="3" s="1"/>
  <c r="AG41" i="16"/>
  <c r="AE60" i="25"/>
  <c r="AE87" i="25" s="1"/>
  <c r="J40" i="45"/>
  <c r="U70" i="27"/>
  <c r="R55" i="23"/>
  <c r="R87" i="17"/>
  <c r="EI88" i="3"/>
  <c r="O87" i="17"/>
  <c r="R36" i="25"/>
  <c r="BP13" i="43"/>
  <c r="AM13" i="43"/>
  <c r="CK13" i="43"/>
  <c r="V34" i="45"/>
  <c r="CW13" i="43"/>
  <c r="R13" i="43"/>
  <c r="X70" i="25"/>
  <c r="Y70" i="25" s="1"/>
  <c r="Y83" i="25" s="1"/>
  <c r="Y97" i="25" s="1"/>
  <c r="T91" i="17"/>
  <c r="W61" i="3"/>
  <c r="S87" i="17"/>
  <c r="W65" i="3"/>
  <c r="Q102" i="27"/>
  <c r="Q103" i="27" s="1"/>
  <c r="K86" i="23"/>
  <c r="K87" i="23" s="1"/>
  <c r="W87" i="17"/>
  <c r="Q26" i="23"/>
  <c r="O91" i="17"/>
  <c r="DV131" i="3"/>
  <c r="DK237" i="3"/>
  <c r="EH237" i="3" s="1"/>
  <c r="P60" i="25"/>
  <c r="R184" i="25"/>
  <c r="DZ103" i="3"/>
  <c r="EA103" i="3" s="1"/>
  <c r="N184" i="25"/>
  <c r="P58" i="25"/>
  <c r="P64" i="25" s="1"/>
  <c r="P65" i="25" s="1"/>
  <c r="AH9" i="16"/>
  <c r="AH12" i="16" s="1"/>
  <c r="AH81" i="16" s="1"/>
  <c r="K33" i="45"/>
  <c r="K42" i="45" s="1"/>
  <c r="BB13" i="43"/>
  <c r="BZ13" i="43"/>
  <c r="CH13" i="43"/>
  <c r="CP13" i="43"/>
  <c r="DQ276" i="3"/>
  <c r="R333" i="3"/>
  <c r="O155" i="21"/>
  <c r="O156" i="21" s="1"/>
  <c r="P156" i="21" s="1"/>
  <c r="Q119" i="21"/>
  <c r="Q155" i="21" s="1"/>
  <c r="AU19" i="27"/>
  <c r="AU26" i="3" s="1"/>
  <c r="DN109" i="3"/>
  <c r="V87" i="17"/>
  <c r="W90" i="17"/>
  <c r="DP83" i="3"/>
  <c r="DP101" i="3"/>
  <c r="DP109" i="3" s="1"/>
  <c r="DP110" i="3" s="1"/>
  <c r="Q192" i="25"/>
  <c r="Q198" i="25" s="1"/>
  <c r="Q189" i="25"/>
  <c r="V72" i="25"/>
  <c r="W58" i="25"/>
  <c r="X175" i="3"/>
  <c r="X173" i="3"/>
  <c r="X340" i="3" s="1"/>
  <c r="DQ170" i="3"/>
  <c r="Q103" i="15"/>
  <c r="AM32" i="16"/>
  <c r="AM33" i="16" s="1"/>
  <c r="X79" i="3"/>
  <c r="DQ52" i="3"/>
  <c r="DQ79" i="3" s="1"/>
  <c r="X93" i="17"/>
  <c r="DE172" i="3"/>
  <c r="DE132" i="3" s="1"/>
  <c r="DD132" i="3"/>
  <c r="S94" i="27"/>
  <c r="T82" i="27"/>
  <c r="R179" i="25"/>
  <c r="R188" i="25"/>
  <c r="DZ43" i="3"/>
  <c r="DO70" i="3"/>
  <c r="R182" i="25"/>
  <c r="R186" i="25"/>
  <c r="R187" i="25" s="1"/>
  <c r="L81" i="23"/>
  <c r="L82" i="23" s="1"/>
  <c r="L84" i="23"/>
  <c r="U59" i="3"/>
  <c r="U55" i="3"/>
  <c r="U97" i="3"/>
  <c r="U102" i="3" s="1"/>
  <c r="EI105" i="3"/>
  <c r="DY105" i="3"/>
  <c r="S35" i="17"/>
  <c r="S43" i="17" s="1"/>
  <c r="S293" i="3"/>
  <c r="T338" i="3"/>
  <c r="P85" i="21"/>
  <c r="P59" i="21"/>
  <c r="R92" i="25"/>
  <c r="K109" i="3"/>
  <c r="K116" i="3" s="1"/>
  <c r="EJ229" i="3"/>
  <c r="O36" i="27"/>
  <c r="DX30" i="3"/>
  <c r="EH88" i="3"/>
  <c r="Q60" i="25"/>
  <c r="P36" i="27"/>
  <c r="Y193" i="3"/>
  <c r="Y194" i="3" s="1"/>
  <c r="O46" i="16"/>
  <c r="EH30" i="3"/>
  <c r="AL82" i="25"/>
  <c r="AL96" i="25" s="1"/>
  <c r="U26" i="23"/>
  <c r="N55" i="25"/>
  <c r="U82" i="3"/>
  <c r="AQ62" i="16" s="1"/>
  <c r="O58" i="25"/>
  <c r="M43" i="17"/>
  <c r="T92" i="25"/>
  <c r="P28" i="21"/>
  <c r="U87" i="17"/>
  <c r="T46" i="16"/>
  <c r="P46" i="16"/>
  <c r="N46" i="16"/>
  <c r="X171" i="3"/>
  <c r="X104" i="15" s="1"/>
  <c r="DY88" i="3"/>
  <c r="DD134" i="3"/>
  <c r="DD141" i="3" s="1"/>
  <c r="X123" i="25"/>
  <c r="O135" i="21"/>
  <c r="DQ167" i="3"/>
  <c r="AJ12" i="16"/>
  <c r="AJ81" i="16" s="1"/>
  <c r="DP214" i="3"/>
  <c r="DP107" i="3"/>
  <c r="V41" i="45"/>
  <c r="V40" i="45"/>
  <c r="AA57" i="25"/>
  <c r="Z84" i="25"/>
  <c r="Z279" i="3"/>
  <c r="Z10" i="17" s="1"/>
  <c r="Y10" i="17"/>
  <c r="I29" i="27"/>
  <c r="I32" i="27" s="1"/>
  <c r="T29" i="27"/>
  <c r="T32" i="27" s="1"/>
  <c r="L29" i="27"/>
  <c r="W29" i="27"/>
  <c r="W32" i="27" s="1"/>
  <c r="P29" i="27"/>
  <c r="P32" i="27" s="1"/>
  <c r="U29" i="27"/>
  <c r="U32" i="27" s="1"/>
  <c r="S29" i="27"/>
  <c r="S32" i="27" s="1"/>
  <c r="Q29" i="27"/>
  <c r="O29" i="27"/>
  <c r="O32" i="27" s="1"/>
  <c r="M29" i="27"/>
  <c r="K29" i="27"/>
  <c r="K32" i="27" s="1"/>
  <c r="Z90" i="25"/>
  <c r="AA63" i="25"/>
  <c r="BC36" i="23"/>
  <c r="BB47" i="23"/>
  <c r="BB53" i="23" s="1"/>
  <c r="T88" i="17"/>
  <c r="V29" i="25"/>
  <c r="V32" i="25" s="1"/>
  <c r="U29" i="25"/>
  <c r="U32" i="25" s="1"/>
  <c r="CD50" i="27"/>
  <c r="CD20" i="27"/>
  <c r="CD27" i="3" s="1"/>
  <c r="CE48" i="27"/>
  <c r="Z102" i="23"/>
  <c r="AA68" i="23"/>
  <c r="T130" i="21"/>
  <c r="T131" i="21" s="1"/>
  <c r="U118" i="21"/>
  <c r="T135" i="21"/>
  <c r="T133" i="21" s="1"/>
  <c r="T134" i="21" s="1"/>
  <c r="S133" i="21"/>
  <c r="S136" i="21"/>
  <c r="V104" i="15"/>
  <c r="DM171" i="3"/>
  <c r="Y9" i="17"/>
  <c r="Z272" i="3"/>
  <c r="AU14" i="16"/>
  <c r="Y295" i="3"/>
  <c r="AS18" i="16"/>
  <c r="AS19" i="16" s="1"/>
  <c r="AS82" i="16" s="1"/>
  <c r="W35" i="17"/>
  <c r="DQ288" i="3"/>
  <c r="Y288" i="3"/>
  <c r="X335" i="3"/>
  <c r="AL25" i="16"/>
  <c r="P99" i="15"/>
  <c r="O120" i="27"/>
  <c r="P83" i="27"/>
  <c r="P120" i="27" s="1"/>
  <c r="Y59" i="25"/>
  <c r="X86" i="25"/>
  <c r="P86" i="21"/>
  <c r="P60" i="21"/>
  <c r="AB289" i="3"/>
  <c r="AA336" i="3"/>
  <c r="AD89" i="27"/>
  <c r="AC99" i="27"/>
  <c r="AC97" i="27" s="1"/>
  <c r="X82" i="23"/>
  <c r="X86" i="23"/>
  <c r="X87" i="23" s="1"/>
  <c r="Z136" i="21"/>
  <c r="Z133" i="21"/>
  <c r="Z134" i="21" s="1"/>
  <c r="Y37" i="3"/>
  <c r="DQ37" i="3"/>
  <c r="X81" i="3"/>
  <c r="P64" i="27"/>
  <c r="S140" i="21"/>
  <c r="O130" i="21"/>
  <c r="O131" i="21" s="1"/>
  <c r="P118" i="21"/>
  <c r="P135" i="21" s="1"/>
  <c r="DZ216" i="3"/>
  <c r="M90" i="17"/>
  <c r="N28" i="21"/>
  <c r="M28" i="21"/>
  <c r="AL18" i="16"/>
  <c r="AL19" i="16" s="1"/>
  <c r="AL82" i="16" s="1"/>
  <c r="Z79" i="23"/>
  <c r="AB125" i="21"/>
  <c r="AA135" i="21"/>
  <c r="AP18" i="16"/>
  <c r="AP19" i="16" s="1"/>
  <c r="AP82" i="16" s="1"/>
  <c r="AO18" i="16"/>
  <c r="AO19" i="16" s="1"/>
  <c r="M84" i="23"/>
  <c r="M81" i="23"/>
  <c r="M82" i="23" s="1"/>
  <c r="V106" i="21"/>
  <c r="U106" i="21"/>
  <c r="U81" i="21"/>
  <c r="T303" i="3"/>
  <c r="Y180" i="3"/>
  <c r="Y170" i="3"/>
  <c r="R43" i="17"/>
  <c r="O42" i="45"/>
  <c r="O40" i="45"/>
  <c r="O44" i="45"/>
  <c r="O41" i="45"/>
  <c r="O34" i="45"/>
  <c r="L43" i="45"/>
  <c r="L40" i="45"/>
  <c r="I43" i="45"/>
  <c r="I40" i="45"/>
  <c r="I41" i="45"/>
  <c r="R42" i="45"/>
  <c r="R43" i="45"/>
  <c r="R40" i="45"/>
  <c r="W40" i="45"/>
  <c r="M43" i="45"/>
  <c r="M42" i="45"/>
  <c r="M44" i="45"/>
  <c r="W97" i="3"/>
  <c r="W107" i="3" s="1"/>
  <c r="CR58" i="3"/>
  <c r="W55" i="3"/>
  <c r="X55" i="3" s="1"/>
  <c r="W59" i="3"/>
  <c r="W101" i="3" s="1"/>
  <c r="W109" i="3" s="1"/>
  <c r="W116" i="3" s="1"/>
  <c r="DE77" i="3"/>
  <c r="DE88" i="3"/>
  <c r="DU88" i="3" s="1"/>
  <c r="U44" i="45"/>
  <c r="U41" i="45"/>
  <c r="U42" i="45"/>
  <c r="U34" i="45"/>
  <c r="U43" i="45"/>
  <c r="U40" i="45"/>
  <c r="N38" i="45"/>
  <c r="N43" i="45" s="1"/>
  <c r="N154" i="25"/>
  <c r="N155" i="25" s="1"/>
  <c r="N130" i="25"/>
  <c r="O119" i="25"/>
  <c r="AL38" i="16"/>
  <c r="V39" i="3"/>
  <c r="V82" i="3" s="1"/>
  <c r="AR62" i="16" s="1"/>
  <c r="V89" i="3"/>
  <c r="V90" i="3" s="1"/>
  <c r="N178" i="25"/>
  <c r="DY50" i="3"/>
  <c r="DM77" i="3"/>
  <c r="O69" i="17"/>
  <c r="N78" i="17"/>
  <c r="O78" i="17" s="1"/>
  <c r="AA221" i="25"/>
  <c r="Z222" i="25"/>
  <c r="V209" i="25"/>
  <c r="U210" i="25"/>
  <c r="L189" i="25"/>
  <c r="L192" i="25"/>
  <c r="U175" i="25"/>
  <c r="V175" i="25" s="1"/>
  <c r="AE172" i="25"/>
  <c r="AD178" i="25"/>
  <c r="V192" i="25"/>
  <c r="V189" i="25"/>
  <c r="AA164" i="25"/>
  <c r="AB159" i="25" s="1"/>
  <c r="AB162" i="25" s="1"/>
  <c r="X125" i="25"/>
  <c r="W134" i="25"/>
  <c r="N134" i="25"/>
  <c r="O125" i="25"/>
  <c r="O134" i="25" s="1"/>
  <c r="P130" i="25"/>
  <c r="P139" i="25"/>
  <c r="P140" i="25" s="1"/>
  <c r="X95" i="25"/>
  <c r="X68" i="25"/>
  <c r="Y81" i="25"/>
  <c r="X24" i="25"/>
  <c r="L61" i="25"/>
  <c r="L58" i="25"/>
  <c r="L59" i="25"/>
  <c r="L60" i="25"/>
  <c r="L55" i="25"/>
  <c r="Y60" i="25"/>
  <c r="X87" i="25"/>
  <c r="X101" i="25" s="1"/>
  <c r="V108" i="27"/>
  <c r="V105" i="27"/>
  <c r="W110" i="27"/>
  <c r="W115" i="27" s="1"/>
  <c r="W104" i="27"/>
  <c r="T89" i="27"/>
  <c r="S99" i="27"/>
  <c r="O89" i="27"/>
  <c r="N99" i="27"/>
  <c r="N104" i="27" s="1"/>
  <c r="N105" i="27" s="1"/>
  <c r="M71" i="23"/>
  <c r="L88" i="23"/>
  <c r="L89" i="23" s="1"/>
  <c r="Z72" i="23"/>
  <c r="AA67" i="23"/>
  <c r="U83" i="23"/>
  <c r="U78" i="23"/>
  <c r="V67" i="23"/>
  <c r="W47" i="23"/>
  <c r="W54" i="23"/>
  <c r="W43" i="23"/>
  <c r="X43" i="23" s="1"/>
  <c r="R134" i="21"/>
  <c r="R138" i="21"/>
  <c r="R139" i="21" s="1"/>
  <c r="Z131" i="21"/>
  <c r="Z146" i="21"/>
  <c r="AA130" i="21"/>
  <c r="Y123" i="21"/>
  <c r="Y140" i="21"/>
  <c r="Z129" i="21"/>
  <c r="M133" i="21"/>
  <c r="M136" i="21"/>
  <c r="M140" i="21"/>
  <c r="M141" i="21" s="1"/>
  <c r="T155" i="21"/>
  <c r="U119" i="21"/>
  <c r="M88" i="17"/>
  <c r="V90" i="17"/>
  <c r="T28" i="21"/>
  <c r="T87" i="17"/>
  <c r="S90" i="17"/>
  <c r="S46" i="21"/>
  <c r="S48" i="21"/>
  <c r="S45" i="21"/>
  <c r="S49" i="21"/>
  <c r="S47" i="21"/>
  <c r="W104" i="15"/>
  <c r="DN171" i="3"/>
  <c r="DQ234" i="3"/>
  <c r="DQ237" i="3" s="1"/>
  <c r="T106" i="15"/>
  <c r="DI170" i="3"/>
  <c r="DJ167" i="3" s="1"/>
  <c r="DJ169" i="3" s="1"/>
  <c r="T173" i="3"/>
  <c r="T340" i="3" s="1"/>
  <c r="U167" i="3"/>
  <c r="U23" i="16"/>
  <c r="W34" i="17"/>
  <c r="AG28" i="16"/>
  <c r="K108" i="3"/>
  <c r="K315" i="3"/>
  <c r="K317" i="3" s="1"/>
  <c r="K60" i="15"/>
  <c r="K114" i="3"/>
  <c r="K119" i="3" s="1"/>
  <c r="K32" i="17"/>
  <c r="DZ31" i="3"/>
  <c r="EJ31" i="3"/>
  <c r="DO30" i="3"/>
  <c r="DO77" i="3" s="1"/>
  <c r="P137" i="25"/>
  <c r="P138" i="25" s="1"/>
  <c r="O67" i="23"/>
  <c r="N83" i="23"/>
  <c r="AK33" i="16"/>
  <c r="O203" i="25"/>
  <c r="P168" i="25"/>
  <c r="P203" i="25" s="1"/>
  <c r="Y208" i="25"/>
  <c r="J26" i="16"/>
  <c r="L121" i="3"/>
  <c r="M34" i="45"/>
  <c r="M40" i="45"/>
  <c r="R41" i="45"/>
  <c r="R34" i="45"/>
  <c r="EI30" i="3"/>
  <c r="Q55" i="25"/>
  <c r="S82" i="3"/>
  <c r="AO62" i="16" s="1"/>
  <c r="L83" i="3"/>
  <c r="AI12" i="16"/>
  <c r="V28" i="21"/>
  <c r="O43" i="45"/>
  <c r="Q11" i="45"/>
  <c r="Q33" i="45" s="1"/>
  <c r="Q44" i="45" s="1"/>
  <c r="Q38" i="45"/>
  <c r="AL12" i="16"/>
  <c r="L116" i="3"/>
  <c r="L122" i="3" s="1"/>
  <c r="L127" i="3" s="1"/>
  <c r="L128" i="3" s="1"/>
  <c r="L110" i="3"/>
  <c r="Q97" i="3"/>
  <c r="Q102" i="3" s="1"/>
  <c r="Q59" i="3"/>
  <c r="Q101" i="3" s="1"/>
  <c r="Q109" i="3" s="1"/>
  <c r="Q110" i="3" s="1"/>
  <c r="M188" i="25"/>
  <c r="M186" i="25"/>
  <c r="M187" i="25" s="1"/>
  <c r="X43" i="45"/>
  <c r="X44" i="45"/>
  <c r="X40" i="45"/>
  <c r="X34" i="45"/>
  <c r="X42" i="45"/>
  <c r="Y6" i="45"/>
  <c r="X41" i="45"/>
  <c r="Y13" i="45"/>
  <c r="S44" i="45"/>
  <c r="S42" i="45"/>
  <c r="S34" i="45"/>
  <c r="S40" i="45"/>
  <c r="S41" i="45"/>
  <c r="E20" i="45"/>
  <c r="F33" i="45"/>
  <c r="K38" i="45"/>
  <c r="DM38" i="3"/>
  <c r="DL34" i="3"/>
  <c r="O183" i="25"/>
  <c r="O178" i="25"/>
  <c r="P167" i="25"/>
  <c r="S189" i="25"/>
  <c r="M81" i="17"/>
  <c r="Q80" i="17"/>
  <c r="AA216" i="25"/>
  <c r="AB214" i="25"/>
  <c r="L186" i="25"/>
  <c r="L187" i="25" s="1"/>
  <c r="L182" i="25"/>
  <c r="S186" i="25"/>
  <c r="S187" i="25" s="1"/>
  <c r="S182" i="25"/>
  <c r="W194" i="25"/>
  <c r="W198" i="25" s="1"/>
  <c r="X170" i="25"/>
  <c r="W188" i="25"/>
  <c r="V139" i="25"/>
  <c r="V140" i="25" s="1"/>
  <c r="V132" i="25"/>
  <c r="V135" i="25"/>
  <c r="M135" i="25"/>
  <c r="M139" i="25"/>
  <c r="M140" i="25" s="1"/>
  <c r="M132" i="25"/>
  <c r="R123" i="25"/>
  <c r="Q129" i="25"/>
  <c r="P32" i="25"/>
  <c r="Q92" i="25"/>
  <c r="Q36" i="25"/>
  <c r="M59" i="25"/>
  <c r="M58" i="25"/>
  <c r="M55" i="25"/>
  <c r="M60" i="25"/>
  <c r="M61" i="25"/>
  <c r="Y62" i="25"/>
  <c r="X89" i="25"/>
  <c r="X103" i="25" s="1"/>
  <c r="L98" i="27"/>
  <c r="L102" i="27"/>
  <c r="L103" i="27" s="1"/>
  <c r="Q105" i="27"/>
  <c r="Q108" i="27"/>
  <c r="Q115" i="27" s="1"/>
  <c r="R97" i="27"/>
  <c r="R104" i="27"/>
  <c r="R100" i="27"/>
  <c r="M104" i="27"/>
  <c r="M105" i="27" s="1"/>
  <c r="M100" i="27"/>
  <c r="M97" i="27"/>
  <c r="X84" i="27"/>
  <c r="Y83" i="27"/>
  <c r="X100" i="27"/>
  <c r="X120" i="27"/>
  <c r="S120" i="27"/>
  <c r="T83" i="27"/>
  <c r="T81" i="23"/>
  <c r="T84" i="23"/>
  <c r="T79" i="23"/>
  <c r="T88" i="23"/>
  <c r="T89" i="23" s="1"/>
  <c r="P68" i="23"/>
  <c r="O102" i="23"/>
  <c r="O103" i="23" s="1"/>
  <c r="N90" i="17"/>
  <c r="P90" i="17"/>
  <c r="S53" i="23"/>
  <c r="T53" i="23"/>
  <c r="S49" i="23"/>
  <c r="S36" i="23"/>
  <c r="S38" i="23" s="1"/>
  <c r="S39" i="23" s="1"/>
  <c r="S23" i="23"/>
  <c r="S26" i="23" s="1"/>
  <c r="R141" i="21"/>
  <c r="R144" i="21"/>
  <c r="R150" i="21" s="1"/>
  <c r="R151" i="21" s="1"/>
  <c r="X144" i="21"/>
  <c r="X150" i="21" s="1"/>
  <c r="X141" i="21"/>
  <c r="Q125" i="21"/>
  <c r="Z53" i="21"/>
  <c r="AA53" i="21" s="1"/>
  <c r="S91" i="17"/>
  <c r="Q88" i="17"/>
  <c r="Q28" i="21"/>
  <c r="P91" i="17"/>
  <c r="N88" i="17"/>
  <c r="W88" i="17"/>
  <c r="Q90" i="17"/>
  <c r="O28" i="21"/>
  <c r="R91" i="17"/>
  <c r="R88" i="17"/>
  <c r="W91" i="17"/>
  <c r="Q91" i="17"/>
  <c r="AT30" i="21"/>
  <c r="AU30" i="21" s="1"/>
  <c r="AV30" i="21" s="1"/>
  <c r="AW30" i="21" s="1"/>
  <c r="AX30" i="21" s="1"/>
  <c r="AS50" i="21"/>
  <c r="AS76" i="21" s="1"/>
  <c r="AU13" i="16"/>
  <c r="Y276" i="3"/>
  <c r="Y319" i="3"/>
  <c r="Z271" i="3"/>
  <c r="M298" i="3"/>
  <c r="M286" i="3"/>
  <c r="M293" i="3" s="1"/>
  <c r="AA259" i="3"/>
  <c r="Z321" i="3"/>
  <c r="DY234" i="3"/>
  <c r="DZ234" i="3" s="1"/>
  <c r="DM237" i="3"/>
  <c r="S47" i="16"/>
  <c r="DX219" i="3"/>
  <c r="W248" i="3"/>
  <c r="U50" i="16" s="1"/>
  <c r="T171" i="3"/>
  <c r="AO33" i="16"/>
  <c r="EH118" i="3"/>
  <c r="DX118" i="3"/>
  <c r="Q61" i="15"/>
  <c r="EJ104" i="3"/>
  <c r="DO212" i="3"/>
  <c r="DZ212" i="3" s="1"/>
  <c r="DO105" i="3"/>
  <c r="DZ105" i="3" s="1"/>
  <c r="DZ104" i="3"/>
  <c r="EA104" i="3" s="1"/>
  <c r="DK87" i="3"/>
  <c r="DX23" i="3"/>
  <c r="Y31" i="3"/>
  <c r="X30" i="3"/>
  <c r="W88" i="3"/>
  <c r="W77" i="3"/>
  <c r="DX237" i="3"/>
  <c r="R345" i="3"/>
  <c r="EJ139" i="3"/>
  <c r="U188" i="25"/>
  <c r="Z172" i="25"/>
  <c r="W34" i="3"/>
  <c r="AB256" i="3"/>
  <c r="N204" i="25"/>
  <c r="AA291" i="3"/>
  <c r="AB291" i="3" s="1"/>
  <c r="AC291" i="3" s="1"/>
  <c r="AD291" i="3" s="1"/>
  <c r="AE291" i="3" s="1"/>
  <c r="AF291" i="3" s="1"/>
  <c r="AG291" i="3" s="1"/>
  <c r="AH291" i="3" s="1"/>
  <c r="AI291" i="3" s="1"/>
  <c r="AJ291" i="3" s="1"/>
  <c r="AK291" i="3" s="1"/>
  <c r="AL291" i="3" s="1"/>
  <c r="AM291" i="3" s="1"/>
  <c r="AN291" i="3" s="1"/>
  <c r="AO291" i="3" s="1"/>
  <c r="AP291" i="3" s="1"/>
  <c r="AQ291" i="3" s="1"/>
  <c r="AR291" i="3" s="1"/>
  <c r="AS291" i="3" s="1"/>
  <c r="AT291" i="3" s="1"/>
  <c r="AU291" i="3" s="1"/>
  <c r="AV291" i="3" s="1"/>
  <c r="AW291" i="3" s="1"/>
  <c r="AX291" i="3" s="1"/>
  <c r="AY291" i="3" s="1"/>
  <c r="AZ291" i="3" s="1"/>
  <c r="BA291" i="3" s="1"/>
  <c r="BB291" i="3" s="1"/>
  <c r="BC291" i="3" s="1"/>
  <c r="BD291" i="3" s="1"/>
  <c r="BE291" i="3" s="1"/>
  <c r="BF291" i="3" s="1"/>
  <c r="BG291" i="3" s="1"/>
  <c r="BH291" i="3" s="1"/>
  <c r="BI291" i="3" s="1"/>
  <c r="BJ291" i="3" s="1"/>
  <c r="BK291" i="3" s="1"/>
  <c r="BL291" i="3" s="1"/>
  <c r="BM291" i="3" s="1"/>
  <c r="BN291" i="3" s="1"/>
  <c r="BO291" i="3" s="1"/>
  <c r="BP291" i="3" s="1"/>
  <c r="BQ291" i="3" s="1"/>
  <c r="BR291" i="3" s="1"/>
  <c r="BS291" i="3" s="1"/>
  <c r="BT291" i="3" s="1"/>
  <c r="BU291" i="3" s="1"/>
  <c r="BV291" i="3" s="1"/>
  <c r="BW291" i="3" s="1"/>
  <c r="BX291" i="3" s="1"/>
  <c r="BY291" i="3" s="1"/>
  <c r="BZ291" i="3" s="1"/>
  <c r="CA291" i="3" s="1"/>
  <c r="CB291" i="3" s="1"/>
  <c r="CC291" i="3" s="1"/>
  <c r="CD291" i="3" s="1"/>
  <c r="CE291" i="3" s="1"/>
  <c r="CF291" i="3" s="1"/>
  <c r="CG291" i="3" s="1"/>
  <c r="CH291" i="3" s="1"/>
  <c r="CI291" i="3" s="1"/>
  <c r="CJ291" i="3" s="1"/>
  <c r="CK291" i="3" s="1"/>
  <c r="CL291" i="3" s="1"/>
  <c r="CM291" i="3" s="1"/>
  <c r="CN291" i="3" s="1"/>
  <c r="CO291" i="3" s="1"/>
  <c r="CP291" i="3" s="1"/>
  <c r="AV87" i="16"/>
  <c r="AV26" i="16" s="1"/>
  <c r="AC174" i="25"/>
  <c r="AB183" i="25"/>
  <c r="AA162" i="21"/>
  <c r="AB160" i="21"/>
  <c r="P49" i="23"/>
  <c r="P23" i="23"/>
  <c r="Q53" i="23"/>
  <c r="P36" i="23"/>
  <c r="P38" i="23" s="1"/>
  <c r="P39" i="23" s="1"/>
  <c r="X148" i="3"/>
  <c r="DQ119" i="3"/>
  <c r="X223" i="3"/>
  <c r="DQ223" i="3" s="1"/>
  <c r="DQ230" i="3" s="1"/>
  <c r="O327" i="3"/>
  <c r="M13" i="16"/>
  <c r="Q82" i="3"/>
  <c r="P54" i="27"/>
  <c r="P57" i="27" s="1"/>
  <c r="P50" i="27"/>
  <c r="P51" i="27" s="1"/>
  <c r="N50" i="23"/>
  <c r="N55" i="23"/>
  <c r="S13" i="16"/>
  <c r="U327" i="3"/>
  <c r="W49" i="21"/>
  <c r="W45" i="21"/>
  <c r="O59" i="3"/>
  <c r="O97" i="3"/>
  <c r="O82" i="3"/>
  <c r="U36" i="25"/>
  <c r="U92" i="25"/>
  <c r="K58" i="25"/>
  <c r="K60" i="25"/>
  <c r="K55" i="25"/>
  <c r="K59" i="25"/>
  <c r="K61" i="25"/>
  <c r="R60" i="25"/>
  <c r="R58" i="25"/>
  <c r="R55" i="25"/>
  <c r="R61" i="25"/>
  <c r="N48" i="27"/>
  <c r="N29" i="27"/>
  <c r="N32" i="27" s="1"/>
  <c r="O68" i="27"/>
  <c r="N68" i="27"/>
  <c r="N63" i="27"/>
  <c r="U36" i="27"/>
  <c r="U64" i="27"/>
  <c r="Q27" i="27"/>
  <c r="Q87" i="17" s="1"/>
  <c r="Q67" i="27"/>
  <c r="R67" i="27"/>
  <c r="Q63" i="27"/>
  <c r="Q70" i="27" s="1"/>
  <c r="Q47" i="27"/>
  <c r="I64" i="27"/>
  <c r="I36" i="27"/>
  <c r="AN69" i="25"/>
  <c r="AM82" i="25"/>
  <c r="N26" i="23"/>
  <c r="DN107" i="3"/>
  <c r="DN214" i="3"/>
  <c r="DN220" i="3" s="1"/>
  <c r="DN221" i="3" s="1"/>
  <c r="L221" i="3"/>
  <c r="L147" i="3" s="1"/>
  <c r="S36" i="25"/>
  <c r="S92" i="25"/>
  <c r="R68" i="27"/>
  <c r="R29" i="27"/>
  <c r="R63" i="27"/>
  <c r="S68" i="27"/>
  <c r="J36" i="27"/>
  <c r="W36" i="27"/>
  <c r="V45" i="21"/>
  <c r="V49" i="21"/>
  <c r="AB62" i="27"/>
  <c r="AC49" i="27"/>
  <c r="AD36" i="16"/>
  <c r="AD37" i="16"/>
  <c r="N92" i="25"/>
  <c r="N32" i="25"/>
  <c r="S58" i="25"/>
  <c r="S72" i="25" s="1"/>
  <c r="S60" i="25"/>
  <c r="S61" i="25"/>
  <c r="S75" i="25" s="1"/>
  <c r="S55" i="25"/>
  <c r="CE55" i="27"/>
  <c r="CD61" i="27"/>
  <c r="V68" i="27"/>
  <c r="V55" i="27"/>
  <c r="V63" i="27"/>
  <c r="W68" i="27"/>
  <c r="V29" i="27"/>
  <c r="Q36" i="27"/>
  <c r="M27" i="27"/>
  <c r="N67" i="27"/>
  <c r="M67" i="27"/>
  <c r="M63" i="27"/>
  <c r="M47" i="27"/>
  <c r="X47" i="27"/>
  <c r="W50" i="27"/>
  <c r="W51" i="27" s="1"/>
  <c r="W54" i="27"/>
  <c r="W57" i="27" s="1"/>
  <c r="AR84" i="21"/>
  <c r="AR23" i="21"/>
  <c r="R49" i="21"/>
  <c r="R46" i="21"/>
  <c r="R48" i="21"/>
  <c r="R47" i="21"/>
  <c r="R45" i="21"/>
  <c r="N45" i="21"/>
  <c r="N49" i="21"/>
  <c r="N46" i="21"/>
  <c r="N48" i="21"/>
  <c r="N47" i="21"/>
  <c r="AE82" i="16"/>
  <c r="AE41" i="16"/>
  <c r="AE81" i="16"/>
  <c r="BF42" i="23"/>
  <c r="V38" i="23"/>
  <c r="V39" i="23" s="1"/>
  <c r="DH83" i="3"/>
  <c r="M327" i="3"/>
  <c r="AB1" i="16"/>
  <c r="S97" i="3"/>
  <c r="S102" i="3" s="1"/>
  <c r="S59" i="3"/>
  <c r="W36" i="25"/>
  <c r="W92" i="25"/>
  <c r="K92" i="25"/>
  <c r="K36" i="25"/>
  <c r="CC24" i="27"/>
  <c r="CC29" i="27"/>
  <c r="N36" i="27"/>
  <c r="J68" i="27"/>
  <c r="J63" i="27"/>
  <c r="J48" i="27"/>
  <c r="J50" i="27" s="1"/>
  <c r="J51" i="27" s="1"/>
  <c r="K68" i="27"/>
  <c r="J29" i="27"/>
  <c r="J32" i="27" s="1"/>
  <c r="M36" i="27"/>
  <c r="T50" i="27"/>
  <c r="T51" i="27" s="1"/>
  <c r="AS71" i="21"/>
  <c r="DJ208" i="3"/>
  <c r="DJ68" i="3"/>
  <c r="DJ164" i="3"/>
  <c r="DJ41" i="3"/>
  <c r="DJ253" i="3"/>
  <c r="DL3" i="3"/>
  <c r="DJ85" i="3"/>
  <c r="DJ21" i="3"/>
  <c r="DJ145" i="3"/>
  <c r="K51" i="27"/>
  <c r="H7" i="3"/>
  <c r="I6" i="3"/>
  <c r="DI208" i="3"/>
  <c r="DI68" i="3"/>
  <c r="DI145" i="3"/>
  <c r="DI41" i="3"/>
  <c r="DI253" i="3"/>
  <c r="DI21" i="3"/>
  <c r="DI164" i="3"/>
  <c r="DK3" i="3"/>
  <c r="DI85" i="3"/>
  <c r="Q13" i="16"/>
  <c r="Q81" i="16" s="1"/>
  <c r="DF108" i="3"/>
  <c r="DF102" i="3"/>
  <c r="DF95" i="3"/>
  <c r="DF96" i="3" s="1"/>
  <c r="P327" i="3"/>
  <c r="N13" i="16"/>
  <c r="N81" i="16" s="1"/>
  <c r="N97" i="3"/>
  <c r="N59" i="3"/>
  <c r="N101" i="3" s="1"/>
  <c r="N109" i="3" s="1"/>
  <c r="N116" i="3" s="1"/>
  <c r="DJ90" i="3"/>
  <c r="DJ98" i="3" s="1"/>
  <c r="V92" i="25"/>
  <c r="V36" i="27"/>
  <c r="S64" i="27"/>
  <c r="T70" i="27"/>
  <c r="AI35" i="16"/>
  <c r="AI84" i="16"/>
  <c r="DW87" i="3"/>
  <c r="O47" i="21"/>
  <c r="O46" i="21"/>
  <c r="O45" i="21"/>
  <c r="O49" i="21"/>
  <c r="O48" i="21"/>
  <c r="DD59" i="3"/>
  <c r="DD97" i="3"/>
  <c r="DD107" i="3" s="1"/>
  <c r="DD114" i="3" s="1"/>
  <c r="DD82" i="3"/>
  <c r="DZ87" i="3"/>
  <c r="DN90" i="3"/>
  <c r="P53" i="23"/>
  <c r="O23" i="23"/>
  <c r="O36" i="23"/>
  <c r="O38" i="23" s="1"/>
  <c r="O39" i="23" s="1"/>
  <c r="O53" i="23"/>
  <c r="O49" i="23"/>
  <c r="Q327" i="3"/>
  <c r="O13" i="16"/>
  <c r="O12" i="16" s="1"/>
  <c r="I33" i="16"/>
  <c r="K213" i="3"/>
  <c r="DF98" i="3"/>
  <c r="K40" i="17"/>
  <c r="K39" i="17"/>
  <c r="K41" i="17"/>
  <c r="K42" i="17"/>
  <c r="DL55" i="3"/>
  <c r="DL59" i="3"/>
  <c r="DL97" i="3"/>
  <c r="V50" i="27"/>
  <c r="V51" i="27" s="1"/>
  <c r="V54" i="27"/>
  <c r="M135" i="3"/>
  <c r="M141" i="3"/>
  <c r="EI119" i="3"/>
  <c r="DE70" i="3"/>
  <c r="S50" i="27"/>
  <c r="S51" i="27" s="1"/>
  <c r="S54" i="27"/>
  <c r="S57" i="27" s="1"/>
  <c r="CI47" i="23"/>
  <c r="CI53" i="23" s="1"/>
  <c r="CJ36" i="23"/>
  <c r="DJ82" i="3"/>
  <c r="DJ83" i="3"/>
  <c r="I18" i="16"/>
  <c r="I21" i="16"/>
  <c r="AG44" i="16"/>
  <c r="I82" i="16"/>
  <c r="AG47" i="16"/>
  <c r="DN83" i="3"/>
  <c r="DN82" i="3"/>
  <c r="V115" i="25"/>
  <c r="W110" i="25" s="1"/>
  <c r="L41" i="45"/>
  <c r="Y72" i="21"/>
  <c r="Y85" i="21" s="1"/>
  <c r="J41" i="45"/>
  <c r="J43" i="45"/>
  <c r="J42" i="45"/>
  <c r="Q8" i="43"/>
  <c r="R8" i="43" s="1"/>
  <c r="S8" i="43" s="1"/>
  <c r="T8" i="43" s="1"/>
  <c r="U8" i="43" s="1"/>
  <c r="AB70" i="26"/>
  <c r="I70" i="26" s="1"/>
  <c r="K70" i="26" s="1"/>
  <c r="R13" i="16"/>
  <c r="T327" i="3"/>
  <c r="T97" i="3"/>
  <c r="T82" i="3"/>
  <c r="AP62" i="16" s="1"/>
  <c r="T59" i="3"/>
  <c r="T55" i="3"/>
  <c r="M97" i="3"/>
  <c r="M82" i="3"/>
  <c r="M59" i="3"/>
  <c r="S88" i="17"/>
  <c r="AU82" i="27"/>
  <c r="AE167" i="21"/>
  <c r="AD168" i="21"/>
  <c r="DE56" i="3"/>
  <c r="DE97" i="3" s="1"/>
  <c r="K44" i="45"/>
  <c r="AT63" i="21"/>
  <c r="L42" i="45"/>
  <c r="L44" i="45"/>
  <c r="I42" i="45"/>
  <c r="I44" i="45"/>
  <c r="G41" i="45"/>
  <c r="G44" i="45"/>
  <c r="G34" i="45"/>
  <c r="G40" i="45"/>
  <c r="K82" i="3"/>
  <c r="K83" i="3"/>
  <c r="AT56" i="27"/>
  <c r="AT30" i="27"/>
  <c r="Y94" i="27"/>
  <c r="X87" i="27"/>
  <c r="X95" i="27"/>
  <c r="AF36" i="16"/>
  <c r="AF37" i="16"/>
  <c r="N95" i="27"/>
  <c r="AH56" i="25"/>
  <c r="L34" i="45"/>
  <c r="J34" i="45"/>
  <c r="G43" i="45"/>
  <c r="AC81" i="16"/>
  <c r="I34" i="45"/>
  <c r="M77" i="3"/>
  <c r="P41" i="45"/>
  <c r="P42" i="45"/>
  <c r="P40" i="45"/>
  <c r="P87" i="27"/>
  <c r="P94" i="27" s="1"/>
  <c r="O94" i="27"/>
  <c r="BY43" i="23"/>
  <c r="AD82" i="16"/>
  <c r="AD41" i="16"/>
  <c r="AB36" i="16"/>
  <c r="AB37" i="16"/>
  <c r="AC36" i="16"/>
  <c r="AC37" i="16"/>
  <c r="DI88" i="3"/>
  <c r="DW30" i="3"/>
  <c r="T103" i="15"/>
  <c r="AP32" i="16"/>
  <c r="DE87" i="3"/>
  <c r="DU23" i="3"/>
  <c r="DE39" i="3"/>
  <c r="DU39" i="3" s="1"/>
  <c r="DU105" i="3"/>
  <c r="DG70" i="3"/>
  <c r="DG56" i="3"/>
  <c r="P97" i="3"/>
  <c r="P59" i="3"/>
  <c r="P82" i="3"/>
  <c r="DW118" i="3"/>
  <c r="EH34" i="3"/>
  <c r="DK39" i="3"/>
  <c r="DK89" i="3"/>
  <c r="DX34" i="3"/>
  <c r="DV34" i="3"/>
  <c r="DG89" i="3"/>
  <c r="DV89" i="3" s="1"/>
  <c r="N89" i="3"/>
  <c r="N90" i="3" s="1"/>
  <c r="N39" i="3"/>
  <c r="M216" i="3"/>
  <c r="M61" i="15" s="1"/>
  <c r="AA73" i="23"/>
  <c r="Z83" i="23"/>
  <c r="DH95" i="3"/>
  <c r="DH102" i="3"/>
  <c r="DH98" i="3"/>
  <c r="DH108" i="3"/>
  <c r="BT60" i="25"/>
  <c r="BU38" i="25"/>
  <c r="BV38" i="25" s="1"/>
  <c r="BW38" i="25" s="1"/>
  <c r="AP51" i="21"/>
  <c r="AQ64" i="21"/>
  <c r="AR64" i="21" s="1"/>
  <c r="AS64" i="21" s="1"/>
  <c r="AT64" i="21" s="1"/>
  <c r="AU64" i="21" s="1"/>
  <c r="AV64" i="21" s="1"/>
  <c r="AW64" i="21" s="1"/>
  <c r="AX64" i="21" s="1"/>
  <c r="AY64" i="21" s="1"/>
  <c r="AZ64" i="21" s="1"/>
  <c r="BA64" i="21" s="1"/>
  <c r="BB64" i="21" s="1"/>
  <c r="BC64" i="21" s="1"/>
  <c r="BD64" i="21" s="1"/>
  <c r="BE64" i="21" s="1"/>
  <c r="BF64" i="21" s="1"/>
  <c r="BG64" i="21" s="1"/>
  <c r="BH64" i="21" s="1"/>
  <c r="BI64" i="21" s="1"/>
  <c r="BJ64" i="21" s="1"/>
  <c r="BK64" i="21" s="1"/>
  <c r="BL64" i="21" s="1"/>
  <c r="BM64" i="21" s="1"/>
  <c r="BN64" i="21" s="1"/>
  <c r="BO64" i="21" s="1"/>
  <c r="BP64" i="21" s="1"/>
  <c r="BQ64" i="21" s="1"/>
  <c r="BR64" i="21" s="1"/>
  <c r="BS64" i="21" s="1"/>
  <c r="BT64" i="21" s="1"/>
  <c r="BU64" i="21" s="1"/>
  <c r="BV64" i="21" s="1"/>
  <c r="BW64" i="21" s="1"/>
  <c r="BX64" i="21" s="1"/>
  <c r="BY64" i="21" s="1"/>
  <c r="BZ64" i="21" s="1"/>
  <c r="CA64" i="21" s="1"/>
  <c r="CB64" i="21" s="1"/>
  <c r="CC64" i="21" s="1"/>
  <c r="CD64" i="21" s="1"/>
  <c r="CE64" i="21" s="1"/>
  <c r="CF64" i="21" s="1"/>
  <c r="CG64" i="21" s="1"/>
  <c r="CH64" i="21" s="1"/>
  <c r="CI64" i="21" s="1"/>
  <c r="CJ64" i="21" s="1"/>
  <c r="CK64" i="21" s="1"/>
  <c r="CL64" i="21" s="1"/>
  <c r="CM64" i="21" s="1"/>
  <c r="CN64" i="21" s="1"/>
  <c r="CO64" i="21" s="1"/>
  <c r="CP64" i="21" s="1"/>
  <c r="DH109" i="3"/>
  <c r="AA50" i="21"/>
  <c r="AA55" i="27"/>
  <c r="DF109" i="3"/>
  <c r="AG74" i="23"/>
  <c r="AE35" i="3"/>
  <c r="AK167" i="25"/>
  <c r="CM157" i="3"/>
  <c r="X110" i="15"/>
  <c r="AE37" i="16"/>
  <c r="AE36" i="16"/>
  <c r="AA65" i="21"/>
  <c r="Z78" i="21"/>
  <c r="Y93" i="3"/>
  <c r="R97" i="3"/>
  <c r="R59" i="3"/>
  <c r="R82" i="3"/>
  <c r="DE89" i="3"/>
  <c r="DU89" i="3" s="1"/>
  <c r="DU34" i="3"/>
  <c r="DY230" i="3"/>
  <c r="DZ230" i="3" s="1"/>
  <c r="EI230" i="3"/>
  <c r="DK56" i="3"/>
  <c r="DK70" i="3"/>
  <c r="DX43" i="3"/>
  <c r="AH83" i="16"/>
  <c r="DI77" i="3"/>
  <c r="DI56" i="3"/>
  <c r="DW50" i="3"/>
  <c r="AH33" i="16"/>
  <c r="AG33" i="16"/>
  <c r="AG38" i="16"/>
  <c r="AY56" i="25"/>
  <c r="AX83" i="25"/>
  <c r="AX97" i="25" s="1"/>
  <c r="DY216" i="3"/>
  <c r="Z72" i="21"/>
  <c r="AA46" i="21"/>
  <c r="AF78" i="23"/>
  <c r="AD37" i="23"/>
  <c r="N44" i="45"/>
  <c r="N42" i="45"/>
  <c r="N41" i="45"/>
  <c r="AD81" i="16"/>
  <c r="EJ233" i="3"/>
  <c r="DV23" i="3"/>
  <c r="DG87" i="3"/>
  <c r="DG39" i="3"/>
  <c r="DV39" i="3" s="1"/>
  <c r="DX139" i="3"/>
  <c r="EH139" i="3"/>
  <c r="J25" i="16"/>
  <c r="AH44" i="16"/>
  <c r="J82" i="16"/>
  <c r="J18" i="16"/>
  <c r="AH47" i="16"/>
  <c r="J21" i="16"/>
  <c r="AH48" i="16"/>
  <c r="DG88" i="3"/>
  <c r="DV88" i="3" s="1"/>
  <c r="DG77" i="3"/>
  <c r="DV30" i="3"/>
  <c r="L41" i="17"/>
  <c r="L42" i="17"/>
  <c r="Y52" i="3"/>
  <c r="Z32" i="3"/>
  <c r="V55" i="3"/>
  <c r="V59" i="3"/>
  <c r="V97" i="3"/>
  <c r="DO119" i="3"/>
  <c r="EJ119" i="3" s="1"/>
  <c r="DI39" i="3"/>
  <c r="DW39" i="3" s="1"/>
  <c r="EI118" i="3"/>
  <c r="T26" i="16"/>
  <c r="DO56" i="3"/>
  <c r="W102" i="23"/>
  <c r="DD102" i="3"/>
  <c r="CM42" i="23"/>
  <c r="AY57" i="25"/>
  <c r="U304" i="3"/>
  <c r="U303" i="3"/>
  <c r="AH60" i="25"/>
  <c r="AH87" i="25" s="1"/>
  <c r="AI74" i="25"/>
  <c r="J36" i="16"/>
  <c r="L65" i="15"/>
  <c r="AE90" i="27"/>
  <c r="AF90" i="27" s="1"/>
  <c r="AG90" i="27" s="1"/>
  <c r="AH90" i="27" s="1"/>
  <c r="AI90" i="27" s="1"/>
  <c r="AJ90" i="27" s="1"/>
  <c r="AK90" i="27" s="1"/>
  <c r="AL90" i="27" s="1"/>
  <c r="AM90" i="27" s="1"/>
  <c r="AN90" i="27" s="1"/>
  <c r="AO90" i="27" s="1"/>
  <c r="AP90" i="27" s="1"/>
  <c r="AQ90" i="27" s="1"/>
  <c r="AR90" i="27" s="1"/>
  <c r="AS90" i="27" s="1"/>
  <c r="AT90" i="27" s="1"/>
  <c r="AU90" i="27" s="1"/>
  <c r="AV90" i="27" s="1"/>
  <c r="AW90" i="27" s="1"/>
  <c r="AX90" i="27" s="1"/>
  <c r="AY90" i="27" s="1"/>
  <c r="AZ90" i="27" s="1"/>
  <c r="BA90" i="27" s="1"/>
  <c r="BB90" i="27" s="1"/>
  <c r="BC90" i="27" s="1"/>
  <c r="BD90" i="27" s="1"/>
  <c r="BE90" i="27" s="1"/>
  <c r="BF90" i="27" s="1"/>
  <c r="BG90" i="27" s="1"/>
  <c r="BH90" i="27" s="1"/>
  <c r="BI90" i="27" s="1"/>
  <c r="BJ90" i="27" s="1"/>
  <c r="BK90" i="27" s="1"/>
  <c r="BL90" i="27" s="1"/>
  <c r="BM90" i="27" s="1"/>
  <c r="BN90" i="27" s="1"/>
  <c r="BO90" i="27" s="1"/>
  <c r="BP90" i="27" s="1"/>
  <c r="BQ90" i="27" s="1"/>
  <c r="BR90" i="27" s="1"/>
  <c r="BS90" i="27" s="1"/>
  <c r="BT90" i="27" s="1"/>
  <c r="BU90" i="27" s="1"/>
  <c r="BV90" i="27" s="1"/>
  <c r="BW90" i="27" s="1"/>
  <c r="BX90" i="27" s="1"/>
  <c r="BY90" i="27" s="1"/>
  <c r="BZ90" i="27" s="1"/>
  <c r="CA90" i="27" s="1"/>
  <c r="CB90" i="27" s="1"/>
  <c r="CC90" i="27" s="1"/>
  <c r="CD90" i="27" s="1"/>
  <c r="CE90" i="27" s="1"/>
  <c r="CF90" i="27" s="1"/>
  <c r="CG90" i="27" s="1"/>
  <c r="CH90" i="27" s="1"/>
  <c r="CI90" i="27" s="1"/>
  <c r="CJ90" i="27" s="1"/>
  <c r="CK90" i="27" s="1"/>
  <c r="CL90" i="27" s="1"/>
  <c r="CM90" i="27" s="1"/>
  <c r="CN90" i="27" s="1"/>
  <c r="CO90" i="27" s="1"/>
  <c r="CP90" i="27" s="1"/>
  <c r="AE220" i="25"/>
  <c r="AL166" i="21"/>
  <c r="AC82" i="16"/>
  <c r="AC41" i="16"/>
  <c r="U159" i="3"/>
  <c r="U16" i="17"/>
  <c r="U160" i="3" s="1"/>
  <c r="AD18" i="17"/>
  <c r="AL18" i="17"/>
  <c r="AE18" i="17"/>
  <c r="AM18" i="17"/>
  <c r="AF18" i="17"/>
  <c r="AN18" i="17"/>
  <c r="AG18" i="17"/>
  <c r="AO18" i="17"/>
  <c r="AH18" i="17"/>
  <c r="AP18" i="17"/>
  <c r="AI18" i="17"/>
  <c r="AC18" i="17"/>
  <c r="AK18" i="17"/>
  <c r="U19" i="17"/>
  <c r="U158" i="3" s="1"/>
  <c r="U162" i="3" s="1"/>
  <c r="V17" i="17"/>
  <c r="AJ18" i="17"/>
  <c r="L40" i="17"/>
  <c r="L39" i="17"/>
  <c r="X154" i="25"/>
  <c r="X130" i="25"/>
  <c r="Y119" i="25"/>
  <c r="H182" i="3"/>
  <c r="H41" i="3"/>
  <c r="H208" i="3"/>
  <c r="H253" i="3"/>
  <c r="H21" i="3"/>
  <c r="H153" i="3"/>
  <c r="H6" i="15"/>
  <c r="H3" i="15"/>
  <c r="H4" i="15" s="1"/>
  <c r="H206" i="25"/>
  <c r="H212" i="25"/>
  <c r="H95" i="15"/>
  <c r="H72" i="27"/>
  <c r="H108" i="25"/>
  <c r="H5" i="21"/>
  <c r="H17" i="25"/>
  <c r="H9" i="3"/>
  <c r="H145" i="3"/>
  <c r="H29" i="17"/>
  <c r="H69" i="15"/>
  <c r="H21" i="15"/>
  <c r="H157" i="25"/>
  <c r="H164" i="21"/>
  <c r="H49" i="17"/>
  <c r="H54" i="15"/>
  <c r="H56" i="15" s="1"/>
  <c r="H57" i="15" s="1"/>
  <c r="H85" i="3"/>
  <c r="I3" i="3"/>
  <c r="H200" i="3"/>
  <c r="H3" i="17"/>
  <c r="H4" i="17" s="1"/>
  <c r="H83" i="17"/>
  <c r="H37" i="17"/>
  <c r="H5" i="27"/>
  <c r="H158" i="21"/>
  <c r="H108" i="21"/>
  <c r="H5" i="25"/>
  <c r="H164" i="3"/>
  <c r="H68" i="3"/>
  <c r="H218" i="25"/>
  <c r="H22" i="17"/>
  <c r="H3" i="21"/>
  <c r="H6" i="17"/>
  <c r="H19" i="21"/>
  <c r="H17" i="27"/>
  <c r="DY43" i="3"/>
  <c r="DM56" i="3"/>
  <c r="DM70" i="3"/>
  <c r="I25" i="16"/>
  <c r="AG48" i="16"/>
  <c r="EI113" i="3"/>
  <c r="DY113" i="3"/>
  <c r="U26" i="16"/>
  <c r="DO118" i="3"/>
  <c r="EJ118" i="3" s="1"/>
  <c r="DZ50" i="3"/>
  <c r="AI33" i="16"/>
  <c r="AI38" i="16"/>
  <c r="AJ33" i="16"/>
  <c r="Y81" i="23"/>
  <c r="Y88" i="23"/>
  <c r="Y89" i="23" s="1"/>
  <c r="Y84" i="23"/>
  <c r="AX90" i="25"/>
  <c r="AY63" i="25"/>
  <c r="DD108" i="3"/>
  <c r="Q116" i="3"/>
  <c r="AP55" i="25"/>
  <c r="J34" i="16"/>
  <c r="DJ122" i="3"/>
  <c r="X89" i="3" l="1"/>
  <c r="DJ120" i="3"/>
  <c r="X63" i="21"/>
  <c r="DZ211" i="3"/>
  <c r="T181" i="25"/>
  <c r="W43" i="45"/>
  <c r="N64" i="25"/>
  <c r="N65" i="25" s="1"/>
  <c r="T184" i="25"/>
  <c r="H40" i="45"/>
  <c r="Y97" i="27"/>
  <c r="N121" i="27"/>
  <c r="N116" i="27" s="1"/>
  <c r="AH36" i="16"/>
  <c r="AN41" i="16"/>
  <c r="L239" i="3"/>
  <c r="L242" i="3" s="1"/>
  <c r="L243" i="3" s="1"/>
  <c r="K41" i="45"/>
  <c r="K110" i="3"/>
  <c r="L61" i="15"/>
  <c r="L62" i="15" s="1"/>
  <c r="BI345" i="3"/>
  <c r="L120" i="3"/>
  <c r="Z145" i="21"/>
  <c r="AH42" i="16"/>
  <c r="X102" i="27"/>
  <c r="X103" i="27" s="1"/>
  <c r="W36" i="23"/>
  <c r="X36" i="23" s="1"/>
  <c r="Y193" i="25"/>
  <c r="Z183" i="25"/>
  <c r="N79" i="17"/>
  <c r="K40" i="45"/>
  <c r="AL33" i="16"/>
  <c r="N78" i="23"/>
  <c r="W44" i="45"/>
  <c r="W41" i="45"/>
  <c r="O121" i="27"/>
  <c r="P121" i="27" s="1"/>
  <c r="M89" i="17"/>
  <c r="Q89" i="17"/>
  <c r="Q95" i="17" s="1"/>
  <c r="L325" i="3"/>
  <c r="AH46" i="16" s="1"/>
  <c r="X102" i="21"/>
  <c r="Y109" i="27"/>
  <c r="Q86" i="21"/>
  <c r="Q60" i="21"/>
  <c r="AO63" i="25"/>
  <c r="AP63" i="25" s="1"/>
  <c r="DD98" i="3"/>
  <c r="H43" i="45"/>
  <c r="Y246" i="3"/>
  <c r="W50" i="16" s="1"/>
  <c r="M70" i="27"/>
  <c r="DQ78" i="3"/>
  <c r="O64" i="25"/>
  <c r="O65" i="25" s="1"/>
  <c r="Q54" i="21"/>
  <c r="DO34" i="3"/>
  <c r="DO89" i="3" s="1"/>
  <c r="DZ89" i="3" s="1"/>
  <c r="DX230" i="3"/>
  <c r="EH230" i="3"/>
  <c r="Q61" i="21"/>
  <c r="Q87" i="21"/>
  <c r="Q62" i="21"/>
  <c r="Q88" i="21"/>
  <c r="Q64" i="25"/>
  <c r="Q65" i="25" s="1"/>
  <c r="BY345" i="3"/>
  <c r="F85" i="15"/>
  <c r="BE345" i="3"/>
  <c r="AY345" i="3"/>
  <c r="BH345" i="3"/>
  <c r="AX345" i="3"/>
  <c r="BD345" i="3"/>
  <c r="S345" i="3"/>
  <c r="CD345" i="3"/>
  <c r="N40" i="45"/>
  <c r="N136" i="21"/>
  <c r="AA136" i="21"/>
  <c r="Z70" i="25"/>
  <c r="L135" i="3"/>
  <c r="L141" i="3"/>
  <c r="Z193" i="3"/>
  <c r="Y30" i="3"/>
  <c r="Y88" i="3" s="1"/>
  <c r="Y51" i="3"/>
  <c r="AB119" i="21"/>
  <c r="AC119" i="21" s="1"/>
  <c r="N138" i="21"/>
  <c r="N139" i="21" s="1"/>
  <c r="T136" i="21"/>
  <c r="O204" i="25"/>
  <c r="N140" i="21"/>
  <c r="N141" i="21" s="1"/>
  <c r="P54" i="21"/>
  <c r="P67" i="21" s="1"/>
  <c r="AH35" i="16"/>
  <c r="AH84" i="16"/>
  <c r="S42" i="23"/>
  <c r="S44" i="23" s="1"/>
  <c r="Z77" i="21"/>
  <c r="Z90" i="21" s="1"/>
  <c r="AF60" i="25"/>
  <c r="AG60" i="25" s="1"/>
  <c r="AG87" i="25" s="1"/>
  <c r="Y345" i="3"/>
  <c r="X345" i="3"/>
  <c r="AC345" i="3"/>
  <c r="AB345" i="3"/>
  <c r="CB345" i="3"/>
  <c r="CO345" i="3"/>
  <c r="AI345" i="3"/>
  <c r="BO345" i="3"/>
  <c r="AH345" i="3"/>
  <c r="BN345" i="3"/>
  <c r="CA345" i="3"/>
  <c r="AW345" i="3"/>
  <c r="AV345" i="3"/>
  <c r="BA345" i="3"/>
  <c r="AZ345" i="3"/>
  <c r="CN345" i="3"/>
  <c r="O345" i="3"/>
  <c r="AU345" i="3"/>
  <c r="N345" i="3"/>
  <c r="AT345" i="3"/>
  <c r="BZ345" i="3"/>
  <c r="CM345" i="3"/>
  <c r="Q345" i="3"/>
  <c r="P345" i="3"/>
  <c r="U345" i="3"/>
  <c r="T345" i="3"/>
  <c r="BX345" i="3"/>
  <c r="CK345" i="3"/>
  <c r="AE345" i="3"/>
  <c r="BK345" i="3"/>
  <c r="AD345" i="3"/>
  <c r="BJ345" i="3"/>
  <c r="CP345" i="3"/>
  <c r="AO345" i="3"/>
  <c r="BU345" i="3"/>
  <c r="AN345" i="3"/>
  <c r="M345" i="3"/>
  <c r="AS345" i="3"/>
  <c r="L345" i="3"/>
  <c r="AR345" i="3"/>
  <c r="BT345" i="3"/>
  <c r="CJ345" i="3"/>
  <c r="CG345" i="3"/>
  <c r="K345" i="3"/>
  <c r="AA345" i="3"/>
  <c r="AQ345" i="3"/>
  <c r="BG345" i="3"/>
  <c r="BW345" i="3"/>
  <c r="Z345" i="3"/>
  <c r="AP345" i="3"/>
  <c r="BF345" i="3"/>
  <c r="BV345" i="3"/>
  <c r="CL345" i="3"/>
  <c r="CI345" i="3"/>
  <c r="B124" i="15"/>
  <c r="AU30" i="27"/>
  <c r="AG345" i="3"/>
  <c r="BM345" i="3"/>
  <c r="AF345" i="3"/>
  <c r="BL345" i="3"/>
  <c r="AK345" i="3"/>
  <c r="BQ345" i="3"/>
  <c r="AJ345" i="3"/>
  <c r="BP345" i="3"/>
  <c r="CF345" i="3"/>
  <c r="CC345" i="3"/>
  <c r="F84" i="15"/>
  <c r="W345" i="3"/>
  <c r="AM345" i="3"/>
  <c r="BC345" i="3"/>
  <c r="BS345" i="3"/>
  <c r="V345" i="3"/>
  <c r="AL345" i="3"/>
  <c r="BB345" i="3"/>
  <c r="BR345" i="3"/>
  <c r="CH345" i="3"/>
  <c r="CE345" i="3"/>
  <c r="AA77" i="21"/>
  <c r="AA90" i="21" s="1"/>
  <c r="Y77" i="21"/>
  <c r="Y103" i="21" s="1"/>
  <c r="T89" i="17"/>
  <c r="T86" i="17" s="1"/>
  <c r="T105" i="17" s="1"/>
  <c r="V89" i="17"/>
  <c r="V95" i="17" s="1"/>
  <c r="BA62" i="3"/>
  <c r="R89" i="17"/>
  <c r="AM96" i="25"/>
  <c r="AG36" i="16"/>
  <c r="AH62" i="25"/>
  <c r="AI62" i="25" s="1"/>
  <c r="P93" i="21"/>
  <c r="U95" i="3"/>
  <c r="U96" i="3" s="1"/>
  <c r="Z138" i="21"/>
  <c r="Z139" i="21" s="1"/>
  <c r="DV132" i="3"/>
  <c r="DJ110" i="3"/>
  <c r="L86" i="23"/>
  <c r="L87" i="23" s="1"/>
  <c r="X89" i="21"/>
  <c r="X24" i="21"/>
  <c r="X62" i="3" s="1"/>
  <c r="AA30" i="27"/>
  <c r="X98" i="21"/>
  <c r="AM41" i="16"/>
  <c r="AI41" i="16"/>
  <c r="BW37" i="23"/>
  <c r="BX37" i="23" s="1"/>
  <c r="AK81" i="16"/>
  <c r="Y24" i="27"/>
  <c r="Y35" i="27" s="1"/>
  <c r="X68" i="27"/>
  <c r="X29" i="27"/>
  <c r="Y68" i="27"/>
  <c r="Z20" i="27"/>
  <c r="Z27" i="3" s="1"/>
  <c r="Z61" i="27"/>
  <c r="Z29" i="27" s="1"/>
  <c r="Y63" i="21"/>
  <c r="Z76" i="21"/>
  <c r="Z63" i="21" s="1"/>
  <c r="Y102" i="21"/>
  <c r="Y89" i="21"/>
  <c r="Y27" i="21"/>
  <c r="BV62" i="3"/>
  <c r="AH1" i="16"/>
  <c r="AI82" i="16"/>
  <c r="P61" i="21"/>
  <c r="P87" i="21"/>
  <c r="L245" i="3"/>
  <c r="L244" i="3" s="1"/>
  <c r="Q55" i="21"/>
  <c r="AE1" i="16"/>
  <c r="DQ171" i="3"/>
  <c r="H41" i="45"/>
  <c r="P88" i="21"/>
  <c r="P62" i="21"/>
  <c r="DJ239" i="3"/>
  <c r="Q83" i="3"/>
  <c r="T138" i="21"/>
  <c r="T139" i="21" s="1"/>
  <c r="H42" i="45"/>
  <c r="P58" i="21"/>
  <c r="P84" i="21"/>
  <c r="AK41" i="16"/>
  <c r="Y11" i="17"/>
  <c r="AI81" i="16"/>
  <c r="L64" i="27"/>
  <c r="Z109" i="27"/>
  <c r="AA99" i="27"/>
  <c r="AL81" i="16"/>
  <c r="Q43" i="45"/>
  <c r="AA26" i="21"/>
  <c r="AA99" i="21"/>
  <c r="AA86" i="21"/>
  <c r="Z203" i="25"/>
  <c r="AA168" i="25"/>
  <c r="Z179" i="25"/>
  <c r="X179" i="3"/>
  <c r="Y178" i="3"/>
  <c r="AB73" i="21"/>
  <c r="AC60" i="21"/>
  <c r="T119" i="25"/>
  <c r="S135" i="25"/>
  <c r="S133" i="25"/>
  <c r="S154" i="25"/>
  <c r="S155" i="25" s="1"/>
  <c r="Q32" i="27"/>
  <c r="T203" i="25"/>
  <c r="T204" i="25" s="1"/>
  <c r="T189" i="25"/>
  <c r="U168" i="25"/>
  <c r="U189" i="25" s="1"/>
  <c r="T179" i="25"/>
  <c r="O116" i="27"/>
  <c r="Y106" i="3"/>
  <c r="Z106" i="3" s="1"/>
  <c r="AA106" i="3" s="1"/>
  <c r="AB106" i="3" s="1"/>
  <c r="AC106" i="3" s="1"/>
  <c r="AD106" i="3" s="1"/>
  <c r="AE106" i="3" s="1"/>
  <c r="AF106" i="3" s="1"/>
  <c r="AG106" i="3" s="1"/>
  <c r="AH106" i="3" s="1"/>
  <c r="AI106" i="3" s="1"/>
  <c r="AJ106" i="3" s="1"/>
  <c r="AK106" i="3" s="1"/>
  <c r="AL106" i="3" s="1"/>
  <c r="AM106" i="3" s="1"/>
  <c r="AN106" i="3" s="1"/>
  <c r="AO106" i="3" s="1"/>
  <c r="AP106" i="3" s="1"/>
  <c r="AQ106" i="3" s="1"/>
  <c r="AR106" i="3" s="1"/>
  <c r="AS106" i="3" s="1"/>
  <c r="AT106" i="3" s="1"/>
  <c r="AU106" i="3" s="1"/>
  <c r="AV106" i="3" s="1"/>
  <c r="AW106" i="3" s="1"/>
  <c r="AX106" i="3" s="1"/>
  <c r="AY106" i="3" s="1"/>
  <c r="AZ106" i="3" s="1"/>
  <c r="BA106" i="3" s="1"/>
  <c r="BB106" i="3" s="1"/>
  <c r="BC106" i="3" s="1"/>
  <c r="BD106" i="3" s="1"/>
  <c r="BE106" i="3" s="1"/>
  <c r="BF106" i="3" s="1"/>
  <c r="BG106" i="3" s="1"/>
  <c r="BH106" i="3" s="1"/>
  <c r="BI106" i="3" s="1"/>
  <c r="BJ106" i="3" s="1"/>
  <c r="BK106" i="3" s="1"/>
  <c r="BL106" i="3" s="1"/>
  <c r="BM106" i="3" s="1"/>
  <c r="BN106" i="3" s="1"/>
  <c r="BO106" i="3" s="1"/>
  <c r="BP106" i="3" s="1"/>
  <c r="BQ106" i="3" s="1"/>
  <c r="BR106" i="3" s="1"/>
  <c r="BS106" i="3" s="1"/>
  <c r="BT106" i="3" s="1"/>
  <c r="BU106" i="3" s="1"/>
  <c r="BV106" i="3" s="1"/>
  <c r="BW106" i="3" s="1"/>
  <c r="BX106" i="3" s="1"/>
  <c r="BY106" i="3" s="1"/>
  <c r="BZ106" i="3" s="1"/>
  <c r="CA106" i="3" s="1"/>
  <c r="CB106" i="3" s="1"/>
  <c r="CC106" i="3" s="1"/>
  <c r="CD106" i="3" s="1"/>
  <c r="CE106" i="3" s="1"/>
  <c r="CF106" i="3" s="1"/>
  <c r="CG106" i="3" s="1"/>
  <c r="CH106" i="3" s="1"/>
  <c r="CI106" i="3" s="1"/>
  <c r="CJ106" i="3" s="1"/>
  <c r="CK106" i="3" s="1"/>
  <c r="CL106" i="3" s="1"/>
  <c r="CM106" i="3" s="1"/>
  <c r="CN106" i="3" s="1"/>
  <c r="CO106" i="3" s="1"/>
  <c r="CP106" i="3" s="1"/>
  <c r="X103" i="3"/>
  <c r="AD17" i="21"/>
  <c r="AC20" i="17"/>
  <c r="AV56" i="27"/>
  <c r="AV30" i="27"/>
  <c r="AX49" i="27"/>
  <c r="AW62" i="27"/>
  <c r="AW19" i="27"/>
  <c r="AW26" i="3" s="1"/>
  <c r="R32" i="27"/>
  <c r="M64" i="27"/>
  <c r="Q64" i="27"/>
  <c r="U89" i="17"/>
  <c r="DU132" i="3"/>
  <c r="Q156" i="21"/>
  <c r="R156" i="21" s="1"/>
  <c r="S156" i="21" s="1"/>
  <c r="T156" i="21" s="1"/>
  <c r="AC51" i="21"/>
  <c r="X113" i="15"/>
  <c r="X114" i="15"/>
  <c r="X88" i="3"/>
  <c r="DQ30" i="3"/>
  <c r="AO82" i="16"/>
  <c r="AO41" i="16"/>
  <c r="AA145" i="21"/>
  <c r="AA133" i="21"/>
  <c r="AE89" i="27"/>
  <c r="AD99" i="27"/>
  <c r="AD97" i="27" s="1"/>
  <c r="X100" i="25"/>
  <c r="X73" i="25"/>
  <c r="X30" i="25"/>
  <c r="V114" i="15"/>
  <c r="V113" i="15"/>
  <c r="S138" i="21"/>
  <c r="S139" i="21" s="1"/>
  <c r="S134" i="21"/>
  <c r="U135" i="21"/>
  <c r="U133" i="21" s="1"/>
  <c r="V118" i="21"/>
  <c r="U130" i="21"/>
  <c r="AA102" i="23"/>
  <c r="AB68" i="23"/>
  <c r="AA79" i="23"/>
  <c r="CE50" i="27"/>
  <c r="CE20" i="27"/>
  <c r="CE27" i="3" s="1"/>
  <c r="CF48" i="27"/>
  <c r="AB63" i="25"/>
  <c r="AA90" i="25"/>
  <c r="L89" i="17"/>
  <c r="L32" i="27"/>
  <c r="AB57" i="25"/>
  <c r="AA84" i="25"/>
  <c r="DP220" i="3"/>
  <c r="DQ220" i="3" s="1"/>
  <c r="R192" i="25"/>
  <c r="R198" i="25" s="1"/>
  <c r="R189" i="25"/>
  <c r="T94" i="27"/>
  <c r="T93" i="27" s="1"/>
  <c r="T110" i="27" s="1"/>
  <c r="U82" i="27"/>
  <c r="U94" i="27" s="1"/>
  <c r="U93" i="27" s="1"/>
  <c r="U110" i="27" s="1"/>
  <c r="W72" i="25"/>
  <c r="X72" i="25" s="1"/>
  <c r="Y72" i="25" s="1"/>
  <c r="Z72" i="25" s="1"/>
  <c r="AA72" i="25" s="1"/>
  <c r="AB72" i="25" s="1"/>
  <c r="AC72" i="25" s="1"/>
  <c r="AD72" i="25" s="1"/>
  <c r="AE72" i="25" s="1"/>
  <c r="AF72" i="25" s="1"/>
  <c r="AG72" i="25" s="1"/>
  <c r="AH72" i="25" s="1"/>
  <c r="AI72" i="25" s="1"/>
  <c r="AJ72" i="25" s="1"/>
  <c r="AK72" i="25" s="1"/>
  <c r="AL72" i="25" s="1"/>
  <c r="AM72" i="25" s="1"/>
  <c r="AN72" i="25" s="1"/>
  <c r="AO72" i="25" s="1"/>
  <c r="AP72" i="25" s="1"/>
  <c r="AQ72" i="25" s="1"/>
  <c r="AR72" i="25" s="1"/>
  <c r="AS72" i="25" s="1"/>
  <c r="AT72" i="25" s="1"/>
  <c r="AU72" i="25" s="1"/>
  <c r="AV72" i="25" s="1"/>
  <c r="AW72" i="25" s="1"/>
  <c r="AX72" i="25" s="1"/>
  <c r="AY72" i="25" s="1"/>
  <c r="AZ72" i="25" s="1"/>
  <c r="BA72" i="25" s="1"/>
  <c r="BB72" i="25" s="1"/>
  <c r="BC72" i="25" s="1"/>
  <c r="BD72" i="25" s="1"/>
  <c r="BE72" i="25" s="1"/>
  <c r="BF72" i="25" s="1"/>
  <c r="BG72" i="25" s="1"/>
  <c r="BH72" i="25" s="1"/>
  <c r="BI72" i="25" s="1"/>
  <c r="BJ72" i="25" s="1"/>
  <c r="BK72" i="25" s="1"/>
  <c r="BL72" i="25" s="1"/>
  <c r="BM72" i="25" s="1"/>
  <c r="BN72" i="25" s="1"/>
  <c r="BO72" i="25" s="1"/>
  <c r="BP72" i="25" s="1"/>
  <c r="BQ72" i="25" s="1"/>
  <c r="BR72" i="25" s="1"/>
  <c r="BS72" i="25" s="1"/>
  <c r="BT72" i="25" s="1"/>
  <c r="BU72" i="25" s="1"/>
  <c r="BV72" i="25" s="1"/>
  <c r="BW72" i="25" s="1"/>
  <c r="BX72" i="25" s="1"/>
  <c r="BY72" i="25" s="1"/>
  <c r="BZ72" i="25" s="1"/>
  <c r="CA72" i="25" s="1"/>
  <c r="CB72" i="25" s="1"/>
  <c r="CC72" i="25" s="1"/>
  <c r="CD72" i="25" s="1"/>
  <c r="CE72" i="25" s="1"/>
  <c r="CF72" i="25" s="1"/>
  <c r="CG72" i="25" s="1"/>
  <c r="CH72" i="25" s="1"/>
  <c r="CI72" i="25" s="1"/>
  <c r="CJ72" i="25" s="1"/>
  <c r="CK72" i="25" s="1"/>
  <c r="CL72" i="25" s="1"/>
  <c r="CM72" i="25" s="1"/>
  <c r="CN72" i="25" s="1"/>
  <c r="CO72" i="25" s="1"/>
  <c r="CP72" i="25" s="1"/>
  <c r="X58" i="25"/>
  <c r="Q12" i="16"/>
  <c r="P55" i="21"/>
  <c r="DJ102" i="3"/>
  <c r="DD95" i="3"/>
  <c r="L100" i="15"/>
  <c r="AT45" i="21"/>
  <c r="AT71" i="21" s="1"/>
  <c r="R95" i="17"/>
  <c r="V32" i="27"/>
  <c r="R64" i="25"/>
  <c r="R65" i="25" s="1"/>
  <c r="U181" i="25"/>
  <c r="U186" i="25" s="1"/>
  <c r="DO171" i="3"/>
  <c r="AT50" i="21"/>
  <c r="AU50" i="21" s="1"/>
  <c r="AV50" i="21" s="1"/>
  <c r="AW50" i="21" s="1"/>
  <c r="M64" i="25"/>
  <c r="M65" i="25" s="1"/>
  <c r="O140" i="21"/>
  <c r="O141" i="21" s="1"/>
  <c r="EJ105" i="3"/>
  <c r="V86" i="17"/>
  <c r="V102" i="17" s="1"/>
  <c r="Y55" i="3"/>
  <c r="Z55" i="3" s="1"/>
  <c r="AA55" i="3" s="1"/>
  <c r="AB55" i="3" s="1"/>
  <c r="AC55" i="3" s="1"/>
  <c r="AD55" i="3" s="1"/>
  <c r="AE55" i="3" s="1"/>
  <c r="AF55" i="3" s="1"/>
  <c r="DQ55" i="3"/>
  <c r="AC125" i="21"/>
  <c r="AB135" i="21"/>
  <c r="AB136" i="21" s="1"/>
  <c r="Q118" i="21"/>
  <c r="Q130" i="21" s="1"/>
  <c r="Q131" i="21" s="1"/>
  <c r="P130" i="21"/>
  <c r="P131" i="21" s="1"/>
  <c r="S144" i="21"/>
  <c r="S150" i="21" s="1"/>
  <c r="S141" i="21"/>
  <c r="Y34" i="3"/>
  <c r="Y89" i="3" s="1"/>
  <c r="Y81" i="3"/>
  <c r="Z37" i="3"/>
  <c r="AB336" i="3"/>
  <c r="AC289" i="3"/>
  <c r="Z59" i="25"/>
  <c r="Y86" i="25"/>
  <c r="AL41" i="16"/>
  <c r="AL27" i="16"/>
  <c r="Y335" i="3"/>
  <c r="Z288" i="3"/>
  <c r="AV14" i="16"/>
  <c r="Z295" i="3"/>
  <c r="Z9" i="17"/>
  <c r="Z11" i="17" s="1"/>
  <c r="AA272" i="3"/>
  <c r="T140" i="21"/>
  <c r="BD36" i="23"/>
  <c r="BC47" i="23"/>
  <c r="BC53" i="23" s="1"/>
  <c r="Z98" i="25"/>
  <c r="Z71" i="25"/>
  <c r="DP108" i="3"/>
  <c r="O136" i="21"/>
  <c r="O133" i="21"/>
  <c r="U98" i="15"/>
  <c r="U25" i="17"/>
  <c r="U27" i="17" s="1"/>
  <c r="U214" i="3"/>
  <c r="AQ29" i="16"/>
  <c r="AQ83" i="16" s="1"/>
  <c r="S20" i="16"/>
  <c r="U107" i="3"/>
  <c r="U33" i="17"/>
  <c r="U41" i="17" s="1"/>
  <c r="U98" i="3"/>
  <c r="U83" i="3"/>
  <c r="U101" i="3"/>
  <c r="U109" i="3" s="1"/>
  <c r="S95" i="27"/>
  <c r="S93" i="27"/>
  <c r="AM38" i="16"/>
  <c r="AN33" i="16"/>
  <c r="AO81" i="16"/>
  <c r="AD1" i="16"/>
  <c r="Y173" i="3"/>
  <c r="Y340" i="3" s="1"/>
  <c r="Y106" i="15"/>
  <c r="AU22" i="16" s="1"/>
  <c r="Y171" i="3"/>
  <c r="Z167" i="3"/>
  <c r="Z177" i="3" s="1"/>
  <c r="Z168" i="3" s="1"/>
  <c r="Z170" i="3" s="1"/>
  <c r="W206" i="3"/>
  <c r="W122" i="3"/>
  <c r="W128" i="3" s="1"/>
  <c r="R86" i="17"/>
  <c r="R99" i="17" s="1"/>
  <c r="AC183" i="25"/>
  <c r="AD174" i="25"/>
  <c r="AC256" i="3"/>
  <c r="Z193" i="25"/>
  <c r="Z184" i="25"/>
  <c r="U192" i="25"/>
  <c r="Y50" i="3"/>
  <c r="Z31" i="3"/>
  <c r="DX87" i="3"/>
  <c r="EH87" i="3"/>
  <c r="T104" i="15"/>
  <c r="T172" i="3"/>
  <c r="DH171" i="3"/>
  <c r="EI237" i="3"/>
  <c r="DY237" i="3"/>
  <c r="DZ237" i="3" s="1"/>
  <c r="AV13" i="16"/>
  <c r="AA271" i="3"/>
  <c r="Z276" i="3"/>
  <c r="Z319" i="3"/>
  <c r="AB53" i="21"/>
  <c r="AA79" i="21"/>
  <c r="P133" i="21"/>
  <c r="P136" i="21"/>
  <c r="T120" i="27"/>
  <c r="U83" i="27"/>
  <c r="Y84" i="27"/>
  <c r="Y120" i="27"/>
  <c r="Y100" i="27"/>
  <c r="Z83" i="27"/>
  <c r="M102" i="27"/>
  <c r="M103" i="27" s="1"/>
  <c r="M98" i="27"/>
  <c r="R108" i="27"/>
  <c r="R115" i="27" s="1"/>
  <c r="R105" i="27"/>
  <c r="Q130" i="25"/>
  <c r="Q139" i="25"/>
  <c r="Q140" i="25" s="1"/>
  <c r="M133" i="25"/>
  <c r="M137" i="25"/>
  <c r="M138" i="25" s="1"/>
  <c r="V137" i="25"/>
  <c r="V138" i="25" s="1"/>
  <c r="V133" i="25"/>
  <c r="X194" i="25"/>
  <c r="X198" i="25" s="1"/>
  <c r="X188" i="25"/>
  <c r="Y170" i="25"/>
  <c r="AC214" i="25"/>
  <c r="AB216" i="25"/>
  <c r="O188" i="25"/>
  <c r="O179" i="25"/>
  <c r="DL89" i="3"/>
  <c r="DL39" i="3"/>
  <c r="DL83" i="3" s="1"/>
  <c r="E19" i="45"/>
  <c r="E33" i="45"/>
  <c r="M192" i="25"/>
  <c r="M198" i="25" s="1"/>
  <c r="M189" i="25"/>
  <c r="O20" i="16"/>
  <c r="AM47" i="16" s="1"/>
  <c r="Q98" i="15"/>
  <c r="Q107" i="3"/>
  <c r="AM29" i="16"/>
  <c r="Q214" i="3"/>
  <c r="Q33" i="17"/>
  <c r="Q25" i="17"/>
  <c r="Q27" i="17" s="1"/>
  <c r="Q297" i="3"/>
  <c r="Z208" i="25"/>
  <c r="N81" i="23"/>
  <c r="N84" i="23"/>
  <c r="O78" i="23"/>
  <c r="P67" i="23"/>
  <c r="O83" i="23"/>
  <c r="K134" i="3"/>
  <c r="AG31" i="16" s="1"/>
  <c r="K133" i="3"/>
  <c r="K118" i="3"/>
  <c r="K122" i="3" s="1"/>
  <c r="K326" i="3"/>
  <c r="K325" i="3"/>
  <c r="AG46" i="16" s="1"/>
  <c r="S60" i="21"/>
  <c r="S86" i="21"/>
  <c r="S54" i="21"/>
  <c r="S84" i="21"/>
  <c r="T45" i="21"/>
  <c r="S58" i="21"/>
  <c r="S85" i="21"/>
  <c r="T46" i="21"/>
  <c r="S59" i="21"/>
  <c r="AA129" i="21"/>
  <c r="Z140" i="21"/>
  <c r="Z123" i="21"/>
  <c r="AA131" i="21"/>
  <c r="AA146" i="21"/>
  <c r="AB130" i="21"/>
  <c r="U88" i="23"/>
  <c r="U89" i="23" s="1"/>
  <c r="U79" i="23"/>
  <c r="AB67" i="23"/>
  <c r="AA72" i="23"/>
  <c r="N71" i="23"/>
  <c r="O71" i="23" s="1"/>
  <c r="P71" i="23" s="1"/>
  <c r="Q71" i="23" s="1"/>
  <c r="R71" i="23" s="1"/>
  <c r="M88" i="23"/>
  <c r="M89" i="23" s="1"/>
  <c r="M86" i="23"/>
  <c r="M87" i="23" s="1"/>
  <c r="O99" i="27"/>
  <c r="O104" i="27" s="1"/>
  <c r="O105" i="27" s="1"/>
  <c r="P89" i="27"/>
  <c r="P99" i="27" s="1"/>
  <c r="T99" i="27"/>
  <c r="U89" i="27"/>
  <c r="Z60" i="25"/>
  <c r="Y87" i="25"/>
  <c r="Y101" i="25" s="1"/>
  <c r="X35" i="25"/>
  <c r="X49" i="3"/>
  <c r="DQ49" i="3" s="1"/>
  <c r="DQ76" i="3" s="1"/>
  <c r="O132" i="25"/>
  <c r="O135" i="25"/>
  <c r="O139" i="25"/>
  <c r="O140" i="25" s="1"/>
  <c r="W139" i="25"/>
  <c r="W140" i="25" s="1"/>
  <c r="W132" i="25"/>
  <c r="W135" i="25"/>
  <c r="T186" i="25"/>
  <c r="T187" i="25" s="1"/>
  <c r="T182" i="25"/>
  <c r="N179" i="25"/>
  <c r="N186" i="25"/>
  <c r="N187" i="25" s="1"/>
  <c r="N188" i="25"/>
  <c r="L66" i="15"/>
  <c r="K43" i="45"/>
  <c r="V57" i="27"/>
  <c r="N12" i="16"/>
  <c r="Q98" i="3"/>
  <c r="Q95" i="3"/>
  <c r="Q96" i="3" s="1"/>
  <c r="AB162" i="21"/>
  <c r="AC160" i="21"/>
  <c r="AB193" i="25"/>
  <c r="W89" i="3"/>
  <c r="W90" i="3" s="1"/>
  <c r="W39" i="3"/>
  <c r="W83" i="3" s="1"/>
  <c r="AA172" i="25"/>
  <c r="AA183" i="25"/>
  <c r="X50" i="3"/>
  <c r="X78" i="3"/>
  <c r="X92" i="17"/>
  <c r="EJ212" i="3"/>
  <c r="S89" i="16"/>
  <c r="S46" i="16"/>
  <c r="AA321" i="3"/>
  <c r="AB259" i="3"/>
  <c r="AX53" i="21"/>
  <c r="AY30" i="21"/>
  <c r="AZ30" i="21" s="1"/>
  <c r="BA30" i="21" s="1"/>
  <c r="BB30" i="21" s="1"/>
  <c r="Z66" i="21"/>
  <c r="Z92" i="21"/>
  <c r="S50" i="23"/>
  <c r="T55" i="23"/>
  <c r="S55" i="23"/>
  <c r="Q68" i="23"/>
  <c r="P102" i="23"/>
  <c r="P103" i="23" s="1"/>
  <c r="T86" i="23"/>
  <c r="T87" i="23" s="1"/>
  <c r="T82" i="23"/>
  <c r="R102" i="27"/>
  <c r="R103" i="27" s="1"/>
  <c r="R98" i="27"/>
  <c r="Z62" i="25"/>
  <c r="Y89" i="25"/>
  <c r="Y103" i="25" s="1"/>
  <c r="S123" i="25"/>
  <c r="R129" i="25"/>
  <c r="W192" i="25"/>
  <c r="W189" i="25"/>
  <c r="P178" i="25"/>
  <c r="P183" i="25"/>
  <c r="O184" i="25"/>
  <c r="O181" i="25"/>
  <c r="EI38" i="3"/>
  <c r="DM34" i="3"/>
  <c r="F42" i="45"/>
  <c r="F41" i="45"/>
  <c r="F44" i="45"/>
  <c r="F34" i="45"/>
  <c r="F40" i="45"/>
  <c r="Q40" i="45"/>
  <c r="Q42" i="45"/>
  <c r="Q41" i="45"/>
  <c r="L123" i="3"/>
  <c r="J28" i="16" s="1"/>
  <c r="Y98" i="27"/>
  <c r="N79" i="23"/>
  <c r="Q137" i="25"/>
  <c r="AB155" i="21"/>
  <c r="EJ30" i="3"/>
  <c r="DO88" i="3"/>
  <c r="DZ88" i="3" s="1"/>
  <c r="DZ30" i="3"/>
  <c r="W315" i="3"/>
  <c r="W317" i="3" s="1"/>
  <c r="W32" i="17"/>
  <c r="W60" i="15"/>
  <c r="W62" i="15" s="1"/>
  <c r="AS28" i="16"/>
  <c r="CR109" i="3"/>
  <c r="W114" i="3"/>
  <c r="U180" i="3"/>
  <c r="U173" i="3"/>
  <c r="U340" i="3" s="1"/>
  <c r="U169" i="3"/>
  <c r="U171" i="3"/>
  <c r="V43" i="16"/>
  <c r="X237" i="3"/>
  <c r="V47" i="16" s="1"/>
  <c r="W113" i="15"/>
  <c r="W114" i="15"/>
  <c r="S88" i="21"/>
  <c r="S62" i="21"/>
  <c r="T49" i="21"/>
  <c r="S87" i="21"/>
  <c r="S61" i="21"/>
  <c r="T48" i="21"/>
  <c r="V119" i="21"/>
  <c r="U155" i="21"/>
  <c r="M134" i="21"/>
  <c r="M138" i="21"/>
  <c r="M139" i="21" s="1"/>
  <c r="Y144" i="21"/>
  <c r="Y150" i="21" s="1"/>
  <c r="Y141" i="21"/>
  <c r="X48" i="23"/>
  <c r="X54" i="23" s="1"/>
  <c r="Y43" i="23"/>
  <c r="W49" i="23"/>
  <c r="W23" i="23"/>
  <c r="W53" i="23"/>
  <c r="V78" i="23"/>
  <c r="V83" i="23"/>
  <c r="W67" i="23"/>
  <c r="U84" i="23"/>
  <c r="U81" i="23"/>
  <c r="N100" i="27"/>
  <c r="N97" i="27"/>
  <c r="S97" i="27"/>
  <c r="S100" i="27"/>
  <c r="S104" i="27"/>
  <c r="W105" i="27"/>
  <c r="W108" i="27"/>
  <c r="L64" i="25"/>
  <c r="L65" i="25" s="1"/>
  <c r="Y95" i="25"/>
  <c r="Y24" i="25"/>
  <c r="Y68" i="25"/>
  <c r="Z81" i="25"/>
  <c r="N139" i="25"/>
  <c r="N140" i="25" s="1"/>
  <c r="N132" i="25"/>
  <c r="N135" i="25"/>
  <c r="X134" i="25"/>
  <c r="Y125" i="25"/>
  <c r="AB160" i="25"/>
  <c r="AF172" i="25"/>
  <c r="AE178" i="25"/>
  <c r="W175" i="25"/>
  <c r="V181" i="25"/>
  <c r="W209" i="25"/>
  <c r="V210" i="25"/>
  <c r="AB221" i="25"/>
  <c r="AA222" i="25"/>
  <c r="V327" i="3"/>
  <c r="T13" i="16"/>
  <c r="O154" i="25"/>
  <c r="O155" i="25" s="1"/>
  <c r="O130" i="25"/>
  <c r="F43" i="45"/>
  <c r="U20" i="16"/>
  <c r="W214" i="3"/>
  <c r="AS29" i="16"/>
  <c r="AS83" i="16" s="1"/>
  <c r="W25" i="17"/>
  <c r="W27" i="17" s="1"/>
  <c r="W98" i="15"/>
  <c r="W33" i="17"/>
  <c r="W41" i="17" s="1"/>
  <c r="S89" i="17"/>
  <c r="S95" i="17" s="1"/>
  <c r="J70" i="27"/>
  <c r="K70" i="27"/>
  <c r="Q20" i="16"/>
  <c r="S25" i="17"/>
  <c r="S27" i="17" s="1"/>
  <c r="AO29" i="16"/>
  <c r="S33" i="17"/>
  <c r="S297" i="3"/>
  <c r="S214" i="3"/>
  <c r="S98" i="15"/>
  <c r="S107" i="3"/>
  <c r="W38" i="23"/>
  <c r="W39" i="23" s="1"/>
  <c r="W42" i="23"/>
  <c r="N86" i="21"/>
  <c r="N60" i="21"/>
  <c r="N84" i="21"/>
  <c r="N58" i="21"/>
  <c r="N54" i="21"/>
  <c r="R85" i="21"/>
  <c r="R59" i="21"/>
  <c r="CD68" i="27"/>
  <c r="CD29" i="27"/>
  <c r="CD24" i="27"/>
  <c r="T60" i="25"/>
  <c r="S74" i="25"/>
  <c r="AB56" i="27"/>
  <c r="AB30" i="27"/>
  <c r="V88" i="21"/>
  <c r="V62" i="21"/>
  <c r="J64" i="27"/>
  <c r="R64" i="27"/>
  <c r="R70" i="27"/>
  <c r="DN147" i="3"/>
  <c r="DN149" i="3" s="1"/>
  <c r="DN150" i="3" s="1"/>
  <c r="DN151" i="3" s="1"/>
  <c r="DN239" i="3"/>
  <c r="M20" i="16"/>
  <c r="O98" i="15"/>
  <c r="O33" i="17"/>
  <c r="O95" i="3"/>
  <c r="O96" i="3" s="1"/>
  <c r="O25" i="17"/>
  <c r="O27" i="17" s="1"/>
  <c r="O214" i="3"/>
  <c r="O107" i="3"/>
  <c r="O102" i="3"/>
  <c r="O98" i="3"/>
  <c r="AK29" i="16"/>
  <c r="O297" i="3"/>
  <c r="P26" i="23"/>
  <c r="P89" i="17"/>
  <c r="DL164" i="3"/>
  <c r="DL41" i="3"/>
  <c r="DL85" i="3"/>
  <c r="DL21" i="3"/>
  <c r="DL208" i="3"/>
  <c r="DL145" i="3"/>
  <c r="DL253" i="3"/>
  <c r="DL68" i="3"/>
  <c r="DN3" i="3"/>
  <c r="AS84" i="21"/>
  <c r="AS97" i="21"/>
  <c r="AS23" i="21"/>
  <c r="CC47" i="3"/>
  <c r="CC74" i="3" s="1"/>
  <c r="CC35" i="27"/>
  <c r="N87" i="21"/>
  <c r="N61" i="21"/>
  <c r="R84" i="21"/>
  <c r="R54" i="21"/>
  <c r="R58" i="21"/>
  <c r="R88" i="21"/>
  <c r="R62" i="21"/>
  <c r="W70" i="27"/>
  <c r="V70" i="27"/>
  <c r="CF55" i="27"/>
  <c r="CE61" i="27"/>
  <c r="AB48" i="27"/>
  <c r="AA20" i="27"/>
  <c r="AA27" i="3" s="1"/>
  <c r="V84" i="21"/>
  <c r="V58" i="21"/>
  <c r="AO69" i="25"/>
  <c r="AN82" i="25"/>
  <c r="AN96" i="25" s="1"/>
  <c r="K64" i="25"/>
  <c r="K65" i="25" s="1"/>
  <c r="O83" i="3"/>
  <c r="O101" i="3"/>
  <c r="O109" i="3" s="1"/>
  <c r="X64" i="15"/>
  <c r="X230" i="3"/>
  <c r="V41" i="16" s="1"/>
  <c r="V88" i="16" s="1"/>
  <c r="V38" i="16"/>
  <c r="X265" i="3"/>
  <c r="DQ265" i="3" s="1"/>
  <c r="P50" i="23"/>
  <c r="Q55" i="23"/>
  <c r="DJ108" i="3"/>
  <c r="DJ95" i="3"/>
  <c r="DJ96" i="3" s="1"/>
  <c r="S95" i="3"/>
  <c r="S96" i="3" s="1"/>
  <c r="DG96" i="3" s="1"/>
  <c r="DV96" i="3" s="1"/>
  <c r="Y223" i="3"/>
  <c r="Y198" i="3"/>
  <c r="N85" i="21"/>
  <c r="N59" i="21"/>
  <c r="R60" i="21"/>
  <c r="R86" i="21"/>
  <c r="X50" i="27"/>
  <c r="Y47" i="27"/>
  <c r="X60" i="27"/>
  <c r="X19" i="27"/>
  <c r="T55" i="25"/>
  <c r="S69" i="25"/>
  <c r="S64" i="25"/>
  <c r="S65" i="25" s="1"/>
  <c r="N89" i="17"/>
  <c r="Q54" i="27"/>
  <c r="Q57" i="27" s="1"/>
  <c r="Q50" i="27"/>
  <c r="Q51" i="27" s="1"/>
  <c r="Q86" i="17"/>
  <c r="N64" i="27"/>
  <c r="O70" i="27"/>
  <c r="N70" i="27"/>
  <c r="N55" i="27"/>
  <c r="N57" i="27" s="1"/>
  <c r="N50" i="27"/>
  <c r="N51" i="27" s="1"/>
  <c r="W84" i="21"/>
  <c r="W58" i="21"/>
  <c r="X45" i="21"/>
  <c r="X71" i="21" s="1"/>
  <c r="AQ48" i="16"/>
  <c r="S81" i="16"/>
  <c r="S12" i="16"/>
  <c r="J37" i="16"/>
  <c r="J48" i="16" s="1"/>
  <c r="J90" i="16" s="1"/>
  <c r="AA103" i="21"/>
  <c r="DU56" i="3"/>
  <c r="S98" i="3"/>
  <c r="S70" i="27"/>
  <c r="DK21" i="3"/>
  <c r="DK164" i="3"/>
  <c r="DK145" i="3"/>
  <c r="DK41" i="3"/>
  <c r="DK68" i="3"/>
  <c r="DM3" i="3"/>
  <c r="DK253" i="3"/>
  <c r="DK85" i="3"/>
  <c r="DK208" i="3"/>
  <c r="I72" i="27"/>
  <c r="I7" i="3"/>
  <c r="J6" i="3"/>
  <c r="AA193" i="3"/>
  <c r="Z194" i="3"/>
  <c r="Z246" i="3"/>
  <c r="X50" i="16" s="1"/>
  <c r="S101" i="3"/>
  <c r="S109" i="3" s="1"/>
  <c r="S83" i="3"/>
  <c r="BG42" i="23"/>
  <c r="N62" i="21"/>
  <c r="N88" i="21"/>
  <c r="R87" i="21"/>
  <c r="R61" i="21"/>
  <c r="M54" i="27"/>
  <c r="M57" i="27" s="1"/>
  <c r="M50" i="27"/>
  <c r="M51" i="27" s="1"/>
  <c r="M32" i="27"/>
  <c r="M87" i="17"/>
  <c r="AD49" i="27"/>
  <c r="AC62" i="27"/>
  <c r="V64" i="27"/>
  <c r="W88" i="21"/>
  <c r="X49" i="21"/>
  <c r="W62" i="21"/>
  <c r="X62" i="21" s="1"/>
  <c r="Y62" i="21" s="1"/>
  <c r="Z62" i="21" s="1"/>
  <c r="AA62" i="21" s="1"/>
  <c r="M81" i="16"/>
  <c r="M12" i="16"/>
  <c r="O88" i="21"/>
  <c r="O62" i="21"/>
  <c r="DE82" i="3"/>
  <c r="CK36" i="23"/>
  <c r="CJ47" i="23"/>
  <c r="CJ53" i="23" s="1"/>
  <c r="DL214" i="3"/>
  <c r="DL107" i="3"/>
  <c r="O26" i="23"/>
  <c r="O89" i="17"/>
  <c r="O58" i="21"/>
  <c r="O54" i="21"/>
  <c r="O84" i="21"/>
  <c r="O81" i="16"/>
  <c r="DE59" i="3"/>
  <c r="DE83" i="3" s="1"/>
  <c r="DL101" i="3"/>
  <c r="DL109" i="3" s="1"/>
  <c r="DL116" i="3" s="1"/>
  <c r="O55" i="23"/>
  <c r="O50" i="23"/>
  <c r="P55" i="23"/>
  <c r="DN100" i="3"/>
  <c r="DN108" i="3"/>
  <c r="DN110" i="3"/>
  <c r="DN98" i="3"/>
  <c r="DN95" i="3"/>
  <c r="DD83" i="3"/>
  <c r="DD101" i="3"/>
  <c r="DD109" i="3" s="1"/>
  <c r="O85" i="21"/>
  <c r="O59" i="21"/>
  <c r="N107" i="3"/>
  <c r="N108" i="3" s="1"/>
  <c r="N98" i="15"/>
  <c r="N214" i="3"/>
  <c r="N297" i="3"/>
  <c r="N33" i="17"/>
  <c r="AJ29" i="16"/>
  <c r="N25" i="17"/>
  <c r="N27" i="17" s="1"/>
  <c r="L20" i="16"/>
  <c r="AB38" i="3"/>
  <c r="O61" i="21"/>
  <c r="O87" i="21"/>
  <c r="O60" i="21"/>
  <c r="O86" i="21"/>
  <c r="BZ43" i="23"/>
  <c r="O95" i="27"/>
  <c r="AS89" i="21"/>
  <c r="AS102" i="21"/>
  <c r="M83" i="3"/>
  <c r="M101" i="3"/>
  <c r="M109" i="3" s="1"/>
  <c r="T101" i="3"/>
  <c r="T109" i="3" s="1"/>
  <c r="T83" i="3"/>
  <c r="Y24" i="21"/>
  <c r="Y62" i="3" s="1"/>
  <c r="AI56" i="25"/>
  <c r="Y93" i="27"/>
  <c r="Z94" i="27"/>
  <c r="Y95" i="27"/>
  <c r="Y87" i="27"/>
  <c r="Y102" i="27"/>
  <c r="Y103" i="27" s="1"/>
  <c r="AV82" i="27"/>
  <c r="AI29" i="16"/>
  <c r="M25" i="17"/>
  <c r="M27" i="17" s="1"/>
  <c r="M98" i="3"/>
  <c r="M214" i="3"/>
  <c r="M95" i="3"/>
  <c r="M96" i="3" s="1"/>
  <c r="K20" i="16"/>
  <c r="M98" i="15"/>
  <c r="M33" i="17"/>
  <c r="M102" i="3"/>
  <c r="M107" i="3"/>
  <c r="M297" i="3"/>
  <c r="Y98" i="21"/>
  <c r="P104" i="27"/>
  <c r="P105" i="27" s="1"/>
  <c r="P95" i="27"/>
  <c r="AU63" i="21"/>
  <c r="AF167" i="21"/>
  <c r="AE168" i="21"/>
  <c r="R81" i="16"/>
  <c r="R12" i="16"/>
  <c r="AC1" i="16"/>
  <c r="X110" i="27"/>
  <c r="X115" i="27" s="1"/>
  <c r="T107" i="3"/>
  <c r="AP29" i="16"/>
  <c r="AP83" i="16" s="1"/>
  <c r="T25" i="17"/>
  <c r="T27" i="17" s="1"/>
  <c r="T98" i="3"/>
  <c r="T214" i="3"/>
  <c r="T95" i="3"/>
  <c r="T96" i="3" s="1"/>
  <c r="R20" i="16"/>
  <c r="T98" i="15"/>
  <c r="T33" i="17"/>
  <c r="T41" i="17" s="1"/>
  <c r="T102" i="3"/>
  <c r="V8" i="43"/>
  <c r="W8" i="43" s="1"/>
  <c r="X8" i="43" s="1"/>
  <c r="Y8" i="43" s="1"/>
  <c r="Z8" i="43" s="1"/>
  <c r="AA8" i="43" s="1"/>
  <c r="AB8" i="43" s="1"/>
  <c r="AC8" i="43" s="1"/>
  <c r="AD8" i="43" s="1"/>
  <c r="AE8" i="43" s="1"/>
  <c r="AF8" i="43" s="1"/>
  <c r="AB29" i="26"/>
  <c r="I29" i="26" s="1"/>
  <c r="K29" i="26" s="1"/>
  <c r="W115" i="25"/>
  <c r="X110" i="25" s="1"/>
  <c r="X115" i="25" s="1"/>
  <c r="Y110" i="25" s="1"/>
  <c r="N327" i="3"/>
  <c r="N102" i="3"/>
  <c r="L13" i="16"/>
  <c r="N98" i="3"/>
  <c r="N95" i="3"/>
  <c r="N96" i="3" s="1"/>
  <c r="N110" i="3"/>
  <c r="I83" i="16"/>
  <c r="I1" i="16" s="1"/>
  <c r="AM166" i="21"/>
  <c r="AI60" i="25"/>
  <c r="AJ74" i="25"/>
  <c r="AK74" i="25" s="1"/>
  <c r="AL74" i="25" s="1"/>
  <c r="AM74" i="25" s="1"/>
  <c r="AN74" i="25" s="1"/>
  <c r="AO74" i="25" s="1"/>
  <c r="AP74" i="25" s="1"/>
  <c r="AQ74" i="25" s="1"/>
  <c r="AR74" i="25" s="1"/>
  <c r="AS74" i="25" s="1"/>
  <c r="AT74" i="25" s="1"/>
  <c r="AU74" i="25" s="1"/>
  <c r="AV74" i="25" s="1"/>
  <c r="AW74" i="25" s="1"/>
  <c r="AX74" i="25" s="1"/>
  <c r="AY74" i="25" s="1"/>
  <c r="AZ74" i="25" s="1"/>
  <c r="BA74" i="25" s="1"/>
  <c r="BB74" i="25" s="1"/>
  <c r="BC74" i="25" s="1"/>
  <c r="BD74" i="25" s="1"/>
  <c r="BE74" i="25" s="1"/>
  <c r="BF74" i="25" s="1"/>
  <c r="BG74" i="25" s="1"/>
  <c r="BH74" i="25" s="1"/>
  <c r="BI74" i="25" s="1"/>
  <c r="BJ74" i="25" s="1"/>
  <c r="BK74" i="25" s="1"/>
  <c r="BL74" i="25" s="1"/>
  <c r="BM74" i="25" s="1"/>
  <c r="BN74" i="25" s="1"/>
  <c r="BO74" i="25" s="1"/>
  <c r="BP74" i="25" s="1"/>
  <c r="BQ74" i="25" s="1"/>
  <c r="BR74" i="25" s="1"/>
  <c r="V304" i="3"/>
  <c r="V303" i="3"/>
  <c r="AZ57" i="25"/>
  <c r="CN42" i="23"/>
  <c r="Y79" i="3"/>
  <c r="Y93" i="17"/>
  <c r="AQ55" i="25"/>
  <c r="DM59" i="3"/>
  <c r="DY56" i="3"/>
  <c r="DM97" i="3"/>
  <c r="EI97" i="3" s="1"/>
  <c r="DM55" i="3"/>
  <c r="V19" i="17"/>
  <c r="V158" i="3" s="1"/>
  <c r="V162" i="3" s="1"/>
  <c r="V16" i="17"/>
  <c r="V160" i="3" s="1"/>
  <c r="W17" i="17"/>
  <c r="V159" i="3"/>
  <c r="U161" i="3"/>
  <c r="DU97" i="3"/>
  <c r="L148" i="3"/>
  <c r="L149" i="3" s="1"/>
  <c r="L150" i="3" s="1"/>
  <c r="L151" i="3" s="1"/>
  <c r="L75" i="15" s="1"/>
  <c r="AB46" i="21"/>
  <c r="AA72" i="21"/>
  <c r="DK55" i="3"/>
  <c r="DK97" i="3"/>
  <c r="DX56" i="3"/>
  <c r="DK59" i="3"/>
  <c r="DK82" i="3"/>
  <c r="P20" i="16"/>
  <c r="R98" i="15"/>
  <c r="R102" i="3"/>
  <c r="AN29" i="16"/>
  <c r="R33" i="17"/>
  <c r="R98" i="3"/>
  <c r="R107" i="3"/>
  <c r="R25" i="17"/>
  <c r="R27" i="17" s="1"/>
  <c r="R297" i="3"/>
  <c r="R95" i="3"/>
  <c r="R214" i="3"/>
  <c r="X111" i="15"/>
  <c r="Y110" i="15"/>
  <c r="Z110" i="15" s="1"/>
  <c r="AA110" i="15" s="1"/>
  <c r="AB110" i="15" s="1"/>
  <c r="AC110" i="15" s="1"/>
  <c r="AD110" i="15" s="1"/>
  <c r="AE110" i="15" s="1"/>
  <c r="AF110" i="15" s="1"/>
  <c r="AG110" i="15" s="1"/>
  <c r="AH110" i="15" s="1"/>
  <c r="AI110" i="15" s="1"/>
  <c r="AJ110" i="15" s="1"/>
  <c r="AK110" i="15" s="1"/>
  <c r="AL110" i="15" s="1"/>
  <c r="AM110" i="15" s="1"/>
  <c r="AN110" i="15" s="1"/>
  <c r="AO110" i="15" s="1"/>
  <c r="AP110" i="15" s="1"/>
  <c r="AQ110" i="15" s="1"/>
  <c r="AR110" i="15" s="1"/>
  <c r="AS110" i="15" s="1"/>
  <c r="AT110" i="15" s="1"/>
  <c r="AU110" i="15" s="1"/>
  <c r="AV110" i="15" s="1"/>
  <c r="AW110" i="15" s="1"/>
  <c r="AX110" i="15" s="1"/>
  <c r="AY110" i="15" s="1"/>
  <c r="AZ110" i="15" s="1"/>
  <c r="BA110" i="15" s="1"/>
  <c r="BB110" i="15" s="1"/>
  <c r="BC110" i="15" s="1"/>
  <c r="BD110" i="15" s="1"/>
  <c r="BE110" i="15" s="1"/>
  <c r="BF110" i="15" s="1"/>
  <c r="BG110" i="15" s="1"/>
  <c r="BH110" i="15" s="1"/>
  <c r="BI110" i="15" s="1"/>
  <c r="BJ110" i="15" s="1"/>
  <c r="BK110" i="15" s="1"/>
  <c r="BL110" i="15" s="1"/>
  <c r="BM110" i="15" s="1"/>
  <c r="BN110" i="15" s="1"/>
  <c r="BO110" i="15" s="1"/>
  <c r="BP110" i="15" s="1"/>
  <c r="BQ110" i="15" s="1"/>
  <c r="BR110" i="15" s="1"/>
  <c r="BS110" i="15" s="1"/>
  <c r="BT110" i="15" s="1"/>
  <c r="BU110" i="15" s="1"/>
  <c r="BV110" i="15" s="1"/>
  <c r="BW110" i="15" s="1"/>
  <c r="BX110" i="15" s="1"/>
  <c r="BY110" i="15" s="1"/>
  <c r="BZ110" i="15" s="1"/>
  <c r="CA110" i="15" s="1"/>
  <c r="CB110" i="15" s="1"/>
  <c r="CC110" i="15" s="1"/>
  <c r="CD110" i="15" s="1"/>
  <c r="CE110" i="15" s="1"/>
  <c r="CF110" i="15" s="1"/>
  <c r="CG110" i="15" s="1"/>
  <c r="CH110" i="15" s="1"/>
  <c r="CI110" i="15" s="1"/>
  <c r="CJ110" i="15" s="1"/>
  <c r="CK110" i="15" s="1"/>
  <c r="CL110" i="15" s="1"/>
  <c r="CM110" i="15" s="1"/>
  <c r="CN110" i="15" s="1"/>
  <c r="CO110" i="15" s="1"/>
  <c r="CP110" i="15" s="1"/>
  <c r="CN157" i="3"/>
  <c r="DJ123" i="3"/>
  <c r="AB55" i="27"/>
  <c r="AA61" i="27"/>
  <c r="AB73" i="23"/>
  <c r="AA83" i="23"/>
  <c r="K34" i="16"/>
  <c r="DO90" i="3"/>
  <c r="EH89" i="3"/>
  <c r="DX89" i="3"/>
  <c r="DK90" i="3"/>
  <c r="P107" i="3"/>
  <c r="P33" i="17"/>
  <c r="P98" i="3"/>
  <c r="AL29" i="16"/>
  <c r="P25" i="17"/>
  <c r="P27" i="17" s="1"/>
  <c r="P214" i="3"/>
  <c r="P95" i="3"/>
  <c r="P96" i="3" s="1"/>
  <c r="P297" i="3"/>
  <c r="N20" i="16"/>
  <c r="P98" i="15"/>
  <c r="P102" i="3"/>
  <c r="DE107" i="3"/>
  <c r="DU87" i="3"/>
  <c r="DE90" i="3"/>
  <c r="DU90" i="3" s="1"/>
  <c r="U110" i="3"/>
  <c r="U116" i="3"/>
  <c r="AB90" i="21"/>
  <c r="DO97" i="3"/>
  <c r="DZ56" i="3"/>
  <c r="DO59" i="3"/>
  <c r="DO55" i="3"/>
  <c r="V98" i="15"/>
  <c r="AR29" i="16"/>
  <c r="AR83" i="16" s="1"/>
  <c r="V33" i="17"/>
  <c r="V41" i="17" s="1"/>
  <c r="V107" i="3"/>
  <c r="T20" i="16"/>
  <c r="V25" i="17"/>
  <c r="V27" i="17" s="1"/>
  <c r="V95" i="3"/>
  <c r="V98" i="3"/>
  <c r="V102" i="3"/>
  <c r="V214" i="3"/>
  <c r="J83" i="16"/>
  <c r="AE37" i="23"/>
  <c r="AG78" i="23"/>
  <c r="Z98" i="21"/>
  <c r="Z24" i="21"/>
  <c r="Z85" i="21"/>
  <c r="AO90" i="25"/>
  <c r="Z91" i="21"/>
  <c r="Z104" i="21"/>
  <c r="AP77" i="21"/>
  <c r="AQ51" i="21"/>
  <c r="N82" i="3"/>
  <c r="N83" i="3"/>
  <c r="EH39" i="3"/>
  <c r="DX39" i="3"/>
  <c r="DG82" i="3"/>
  <c r="DG59" i="3"/>
  <c r="DV56" i="3"/>
  <c r="DG97" i="3"/>
  <c r="AF220" i="25"/>
  <c r="X35" i="27"/>
  <c r="X47" i="3"/>
  <c r="DQ47" i="3" s="1"/>
  <c r="DQ74" i="3" s="1"/>
  <c r="DJ128" i="3"/>
  <c r="DJ126" i="3"/>
  <c r="Y130" i="25"/>
  <c r="Z119" i="25"/>
  <c r="Y154" i="25"/>
  <c r="DD120" i="3"/>
  <c r="DD121" i="3"/>
  <c r="AY90" i="25"/>
  <c r="AZ63" i="25"/>
  <c r="Y82" i="23"/>
  <c r="Y86" i="23"/>
  <c r="Y87" i="23" s="1"/>
  <c r="I3" i="21"/>
  <c r="I145" i="3"/>
  <c r="I41" i="3"/>
  <c r="I212" i="25"/>
  <c r="I164" i="21"/>
  <c r="I19" i="21"/>
  <c r="I200" i="3"/>
  <c r="I17" i="27"/>
  <c r="I108" i="21"/>
  <c r="I54" i="15"/>
  <c r="I56" i="15" s="1"/>
  <c r="I57" i="15" s="1"/>
  <c r="J3" i="3"/>
  <c r="I182" i="3"/>
  <c r="I5" i="21"/>
  <c r="I6" i="15"/>
  <c r="I68" i="3"/>
  <c r="I253" i="3"/>
  <c r="I17" i="25"/>
  <c r="I3" i="17"/>
  <c r="I4" i="17" s="1"/>
  <c r="I85" i="3"/>
  <c r="I158" i="21"/>
  <c r="I21" i="3"/>
  <c r="I3" i="27"/>
  <c r="I95" i="15"/>
  <c r="I153" i="3"/>
  <c r="I69" i="15"/>
  <c r="I157" i="25"/>
  <c r="I3" i="15"/>
  <c r="I4" i="15" s="1"/>
  <c r="I21" i="15"/>
  <c r="I218" i="25"/>
  <c r="I108" i="25"/>
  <c r="I9" i="3"/>
  <c r="I6" i="17"/>
  <c r="I208" i="3"/>
  <c r="I5" i="27"/>
  <c r="I5" i="25"/>
  <c r="I164" i="3"/>
  <c r="I206" i="25"/>
  <c r="DD96" i="3"/>
  <c r="V101" i="3"/>
  <c r="V83" i="3"/>
  <c r="AA32" i="3"/>
  <c r="Z52" i="3"/>
  <c r="DG90" i="3"/>
  <c r="DV90" i="3" s="1"/>
  <c r="DV87" i="3"/>
  <c r="DI82" i="3"/>
  <c r="DI97" i="3"/>
  <c r="DW56" i="3"/>
  <c r="DI59" i="3"/>
  <c r="Z93" i="3"/>
  <c r="AB65" i="21"/>
  <c r="AA78" i="21"/>
  <c r="AF35" i="3"/>
  <c r="DF116" i="3"/>
  <c r="DF110" i="3"/>
  <c r="Z102" i="21"/>
  <c r="BX38" i="25"/>
  <c r="BY38" i="25" s="1"/>
  <c r="BZ38" i="25" s="1"/>
  <c r="CA38" i="25" s="1"/>
  <c r="CB38" i="25" s="1"/>
  <c r="CC38" i="25" s="1"/>
  <c r="CD38" i="25" s="1"/>
  <c r="CE38" i="25" s="1"/>
  <c r="BW60" i="25"/>
  <c r="DW88" i="3"/>
  <c r="DI90" i="3"/>
  <c r="DW90" i="3" s="1"/>
  <c r="J49" i="16"/>
  <c r="J52" i="16" s="1"/>
  <c r="DZ118" i="3"/>
  <c r="AI52" i="21"/>
  <c r="AZ56" i="25"/>
  <c r="AY83" i="25"/>
  <c r="AY97" i="25" s="1"/>
  <c r="R83" i="3"/>
  <c r="R101" i="3"/>
  <c r="R109" i="3" s="1"/>
  <c r="V106" i="17"/>
  <c r="AL167" i="25"/>
  <c r="AH74" i="23"/>
  <c r="Z24" i="27"/>
  <c r="AB50" i="21"/>
  <c r="DH110" i="3"/>
  <c r="DH116" i="3"/>
  <c r="BU60" i="25"/>
  <c r="BU87" i="25" s="1"/>
  <c r="BT87" i="25"/>
  <c r="BT101" i="25" s="1"/>
  <c r="DH96" i="3"/>
  <c r="Z84" i="23"/>
  <c r="Z81" i="23"/>
  <c r="Z88" i="23"/>
  <c r="Z89" i="23" s="1"/>
  <c r="P101" i="3"/>
  <c r="P109" i="3" s="1"/>
  <c r="P83" i="3"/>
  <c r="AP38" i="16"/>
  <c r="AQ33" i="16"/>
  <c r="AP33" i="16"/>
  <c r="N88" i="23" l="1"/>
  <c r="N89" i="23" s="1"/>
  <c r="Q121" i="27"/>
  <c r="R121" i="27" s="1"/>
  <c r="S121" i="27" s="1"/>
  <c r="P116" i="27"/>
  <c r="R47" i="27" s="1"/>
  <c r="R54" i="27" s="1"/>
  <c r="R57" i="27" s="1"/>
  <c r="AB103" i="21"/>
  <c r="AH89" i="25"/>
  <c r="AH103" i="25" s="1"/>
  <c r="Y77" i="3"/>
  <c r="T95" i="17"/>
  <c r="Q67" i="21"/>
  <c r="Q93" i="21"/>
  <c r="EJ34" i="3"/>
  <c r="DO39" i="3"/>
  <c r="Z103" i="21"/>
  <c r="Y90" i="21"/>
  <c r="AF87" i="25"/>
  <c r="AF101" i="25" s="1"/>
  <c r="X88" i="17"/>
  <c r="K121" i="3"/>
  <c r="Z30" i="3"/>
  <c r="Z88" i="3" s="1"/>
  <c r="Z51" i="3"/>
  <c r="Z83" i="25"/>
  <c r="Z97" i="25" s="1"/>
  <c r="AA70" i="25"/>
  <c r="R101" i="17"/>
  <c r="BW48" i="23"/>
  <c r="BW54" i="23" s="1"/>
  <c r="V103" i="17"/>
  <c r="V105" i="17"/>
  <c r="Z27" i="21"/>
  <c r="T104" i="17"/>
  <c r="Z89" i="21"/>
  <c r="AA76" i="21"/>
  <c r="P140" i="21"/>
  <c r="P141" i="21" s="1"/>
  <c r="T103" i="17"/>
  <c r="Z68" i="27"/>
  <c r="Y47" i="3"/>
  <c r="Y88" i="17"/>
  <c r="AU45" i="21"/>
  <c r="AV45" i="21" s="1"/>
  <c r="AT76" i="21"/>
  <c r="AT89" i="21" s="1"/>
  <c r="R105" i="17"/>
  <c r="R100" i="17"/>
  <c r="T100" i="17"/>
  <c r="T98" i="17"/>
  <c r="T99" i="17"/>
  <c r="T121" i="27"/>
  <c r="J87" i="16"/>
  <c r="S86" i="17"/>
  <c r="S100" i="17" s="1"/>
  <c r="R103" i="17"/>
  <c r="U99" i="27"/>
  <c r="U104" i="27" s="1"/>
  <c r="T102" i="17"/>
  <c r="T106" i="17"/>
  <c r="U182" i="25"/>
  <c r="R102" i="17"/>
  <c r="T101" i="17"/>
  <c r="K127" i="3"/>
  <c r="K128" i="3" s="1"/>
  <c r="W126" i="3"/>
  <c r="W133" i="3" s="1"/>
  <c r="V99" i="17"/>
  <c r="V104" i="17"/>
  <c r="U136" i="21"/>
  <c r="V100" i="17"/>
  <c r="V101" i="17"/>
  <c r="V98" i="17"/>
  <c r="U187" i="25"/>
  <c r="T95" i="27"/>
  <c r="AB99" i="27"/>
  <c r="AB97" i="27" s="1"/>
  <c r="AA109" i="27"/>
  <c r="AA97" i="27"/>
  <c r="T154" i="25"/>
  <c r="T155" i="25" s="1"/>
  <c r="U155" i="25" s="1"/>
  <c r="V155" i="25" s="1"/>
  <c r="W155" i="25" s="1"/>
  <c r="X155" i="25" s="1"/>
  <c r="Y155" i="25" s="1"/>
  <c r="T135" i="25"/>
  <c r="T133" i="25"/>
  <c r="AB26" i="21"/>
  <c r="AB86" i="21"/>
  <c r="AB99" i="21"/>
  <c r="Z178" i="3"/>
  <c r="AA178" i="3" s="1"/>
  <c r="AB178" i="3" s="1"/>
  <c r="AC178" i="3" s="1"/>
  <c r="AD178" i="3" s="1"/>
  <c r="AE178" i="3" s="1"/>
  <c r="AF178" i="3" s="1"/>
  <c r="AG178" i="3" s="1"/>
  <c r="AH178" i="3" s="1"/>
  <c r="AI178" i="3" s="1"/>
  <c r="AJ178" i="3" s="1"/>
  <c r="AK178" i="3" s="1"/>
  <c r="AL178" i="3" s="1"/>
  <c r="AM178" i="3" s="1"/>
  <c r="AN178" i="3" s="1"/>
  <c r="AO178" i="3" s="1"/>
  <c r="AP178" i="3" s="1"/>
  <c r="AQ178" i="3" s="1"/>
  <c r="AR178" i="3" s="1"/>
  <c r="AS178" i="3" s="1"/>
  <c r="AT178" i="3" s="1"/>
  <c r="AU178" i="3" s="1"/>
  <c r="AV178" i="3" s="1"/>
  <c r="AW178" i="3" s="1"/>
  <c r="AX178" i="3" s="1"/>
  <c r="AY178" i="3" s="1"/>
  <c r="AZ178" i="3" s="1"/>
  <c r="BA178" i="3" s="1"/>
  <c r="BB178" i="3" s="1"/>
  <c r="BC178" i="3" s="1"/>
  <c r="BD178" i="3" s="1"/>
  <c r="BE178" i="3" s="1"/>
  <c r="BF178" i="3" s="1"/>
  <c r="BG178" i="3" s="1"/>
  <c r="BH178" i="3" s="1"/>
  <c r="BI178" i="3" s="1"/>
  <c r="BJ178" i="3" s="1"/>
  <c r="BK178" i="3" s="1"/>
  <c r="BL178" i="3" s="1"/>
  <c r="BM178" i="3" s="1"/>
  <c r="BN178" i="3" s="1"/>
  <c r="BO178" i="3" s="1"/>
  <c r="BP178" i="3" s="1"/>
  <c r="BQ178" i="3" s="1"/>
  <c r="BR178" i="3" s="1"/>
  <c r="BS178" i="3" s="1"/>
  <c r="BT178" i="3" s="1"/>
  <c r="BU178" i="3" s="1"/>
  <c r="BV178" i="3" s="1"/>
  <c r="BW178" i="3" s="1"/>
  <c r="BX178" i="3" s="1"/>
  <c r="BY178" i="3" s="1"/>
  <c r="BZ178" i="3" s="1"/>
  <c r="CA178" i="3" s="1"/>
  <c r="CB178" i="3" s="1"/>
  <c r="CC178" i="3" s="1"/>
  <c r="CD178" i="3" s="1"/>
  <c r="CE178" i="3" s="1"/>
  <c r="CF178" i="3" s="1"/>
  <c r="CG178" i="3" s="1"/>
  <c r="CH178" i="3" s="1"/>
  <c r="CI178" i="3" s="1"/>
  <c r="CJ178" i="3" s="1"/>
  <c r="CK178" i="3" s="1"/>
  <c r="CL178" i="3" s="1"/>
  <c r="CM178" i="3" s="1"/>
  <c r="CN178" i="3" s="1"/>
  <c r="CO178" i="3" s="1"/>
  <c r="CP178" i="3" s="1"/>
  <c r="Y179" i="3"/>
  <c r="U86" i="17"/>
  <c r="U104" i="17" s="1"/>
  <c r="AC73" i="21"/>
  <c r="AD60" i="21"/>
  <c r="AA203" i="25"/>
  <c r="AA179" i="25"/>
  <c r="AB168" i="25"/>
  <c r="U203" i="25"/>
  <c r="U204" i="25" s="1"/>
  <c r="V204" i="25" s="1"/>
  <c r="W204" i="25" s="1"/>
  <c r="X204" i="25" s="1"/>
  <c r="Y204" i="25" s="1"/>
  <c r="Z204" i="25" s="1"/>
  <c r="U179" i="25"/>
  <c r="U184" i="25"/>
  <c r="U95" i="17"/>
  <c r="DP221" i="3"/>
  <c r="DP239" i="3" s="1"/>
  <c r="AX62" i="27"/>
  <c r="AX19" i="27"/>
  <c r="AX26" i="3" s="1"/>
  <c r="AY49" i="27"/>
  <c r="AD20" i="17"/>
  <c r="AE17" i="21"/>
  <c r="U156" i="21"/>
  <c r="AD51" i="21"/>
  <c r="AC77" i="21"/>
  <c r="AW56" i="27"/>
  <c r="AW30" i="27"/>
  <c r="X104" i="3"/>
  <c r="V22" i="16" s="1"/>
  <c r="X211" i="3"/>
  <c r="DQ211" i="3" s="1"/>
  <c r="DQ103" i="3"/>
  <c r="DG95" i="3"/>
  <c r="DV95" i="3" s="1"/>
  <c r="S78" i="25"/>
  <c r="X77" i="3"/>
  <c r="DQ50" i="3"/>
  <c r="DQ77" i="3" s="1"/>
  <c r="S25" i="16"/>
  <c r="S18" i="16"/>
  <c r="S82" i="16"/>
  <c r="AQ44" i="16"/>
  <c r="AQ47" i="16"/>
  <c r="S33" i="16"/>
  <c r="U220" i="3"/>
  <c r="U221" i="3" s="1"/>
  <c r="BE36" i="23"/>
  <c r="BD47" i="23"/>
  <c r="BD53" i="23" s="1"/>
  <c r="AB272" i="3"/>
  <c r="AA9" i="17"/>
  <c r="Z335" i="3"/>
  <c r="AA288" i="3"/>
  <c r="Y30" i="25"/>
  <c r="Y73" i="25"/>
  <c r="Y100" i="25"/>
  <c r="AC336" i="3"/>
  <c r="AD289" i="3"/>
  <c r="Z81" i="3"/>
  <c r="AA37" i="3"/>
  <c r="Z34" i="3"/>
  <c r="Z89" i="3" s="1"/>
  <c r="AD125" i="21"/>
  <c r="AC135" i="21"/>
  <c r="AC136" i="21" s="1"/>
  <c r="AA98" i="25"/>
  <c r="AA71" i="25"/>
  <c r="CG48" i="27"/>
  <c r="CF50" i="27"/>
  <c r="CF20" i="27"/>
  <c r="CF27" i="3" s="1"/>
  <c r="AC68" i="23"/>
  <c r="AB102" i="23"/>
  <c r="AB79" i="23"/>
  <c r="U129" i="21"/>
  <c r="U140" i="21"/>
  <c r="U131" i="21"/>
  <c r="U138" i="21"/>
  <c r="U139" i="21" s="1"/>
  <c r="U134" i="21"/>
  <c r="AA134" i="21"/>
  <c r="AA138" i="21"/>
  <c r="AA139" i="21" s="1"/>
  <c r="U100" i="17"/>
  <c r="DN96" i="3"/>
  <c r="U32" i="17"/>
  <c r="U60" i="15"/>
  <c r="U62" i="15" s="1"/>
  <c r="AQ28" i="16"/>
  <c r="U315" i="3"/>
  <c r="U317" i="3" s="1"/>
  <c r="U114" i="3"/>
  <c r="U108" i="3"/>
  <c r="U39" i="17"/>
  <c r="AQ43" i="16" s="1"/>
  <c r="U40" i="17"/>
  <c r="AQ45" i="16" s="1"/>
  <c r="O138" i="21"/>
  <c r="O139" i="21" s="1"/>
  <c r="O134" i="21"/>
  <c r="T141" i="21"/>
  <c r="T144" i="21"/>
  <c r="T150" i="21" s="1"/>
  <c r="Z86" i="25"/>
  <c r="AA59" i="25"/>
  <c r="AB145" i="21"/>
  <c r="AB133" i="21"/>
  <c r="AB134" i="21" s="1"/>
  <c r="Y58" i="25"/>
  <c r="X85" i="25"/>
  <c r="AC57" i="25"/>
  <c r="AB84" i="25"/>
  <c r="AC63" i="25"/>
  <c r="AB90" i="25"/>
  <c r="W118" i="21"/>
  <c r="V130" i="21"/>
  <c r="V131" i="21" s="1"/>
  <c r="V135" i="21"/>
  <c r="V133" i="21" s="1"/>
  <c r="V134" i="21" s="1"/>
  <c r="X64" i="3"/>
  <c r="X90" i="17"/>
  <c r="AE99" i="27"/>
  <c r="AE97" i="27" s="1"/>
  <c r="AF89" i="27"/>
  <c r="Q135" i="21"/>
  <c r="Z180" i="3"/>
  <c r="Y104" i="15"/>
  <c r="Y234" i="3"/>
  <c r="W98" i="3"/>
  <c r="U13" i="16"/>
  <c r="W327" i="3"/>
  <c r="W102" i="3"/>
  <c r="W95" i="3"/>
  <c r="W96" i="3" s="1"/>
  <c r="W110" i="3"/>
  <c r="W108" i="3"/>
  <c r="W39" i="17"/>
  <c r="AS43" i="16" s="1"/>
  <c r="W40" i="17"/>
  <c r="AS45" i="16" s="1"/>
  <c r="W220" i="3"/>
  <c r="W221" i="3" s="1"/>
  <c r="U33" i="16"/>
  <c r="T81" i="16"/>
  <c r="T12" i="16"/>
  <c r="V182" i="25"/>
  <c r="V186" i="25"/>
  <c r="V187" i="25" s="1"/>
  <c r="Z125" i="25"/>
  <c r="Y134" i="25"/>
  <c r="S105" i="27"/>
  <c r="S108" i="27"/>
  <c r="S115" i="27" s="1"/>
  <c r="S102" i="27"/>
  <c r="S103" i="27" s="1"/>
  <c r="S98" i="27"/>
  <c r="V81" i="23"/>
  <c r="V84" i="23"/>
  <c r="W55" i="23"/>
  <c r="W50" i="23"/>
  <c r="T61" i="21"/>
  <c r="T87" i="21"/>
  <c r="U48" i="21"/>
  <c r="V89" i="16"/>
  <c r="V46" i="16"/>
  <c r="U172" i="3"/>
  <c r="U104" i="15"/>
  <c r="DJ171" i="3"/>
  <c r="DJ133" i="3" s="1"/>
  <c r="W121" i="3"/>
  <c r="W123" i="3" s="1"/>
  <c r="U28" i="16" s="1"/>
  <c r="CR118" i="3"/>
  <c r="W120" i="3"/>
  <c r="W325" i="3"/>
  <c r="AS46" i="16" s="1"/>
  <c r="W326" i="3"/>
  <c r="AD119" i="21"/>
  <c r="AC112" i="21"/>
  <c r="AC149" i="21"/>
  <c r="AC155" i="21"/>
  <c r="Q138" i="25"/>
  <c r="Q143" i="25"/>
  <c r="Q149" i="25" s="1"/>
  <c r="Q150" i="25" s="1"/>
  <c r="Z106" i="15"/>
  <c r="AV22" i="16" s="1"/>
  <c r="AA167" i="3"/>
  <c r="Z173" i="3"/>
  <c r="Z340" i="3" s="1"/>
  <c r="Z171" i="3"/>
  <c r="J29" i="16"/>
  <c r="AH49" i="16"/>
  <c r="J84" i="16"/>
  <c r="DM89" i="3"/>
  <c r="DM90" i="3" s="1"/>
  <c r="DM95" i="3" s="1"/>
  <c r="DZ34" i="3"/>
  <c r="DM39" i="3"/>
  <c r="DM83" i="3" s="1"/>
  <c r="O182" i="25"/>
  <c r="O186" i="25"/>
  <c r="O187" i="25" s="1"/>
  <c r="P181" i="25"/>
  <c r="P184" i="25"/>
  <c r="R139" i="25"/>
  <c r="R140" i="25" s="1"/>
  <c r="R130" i="25"/>
  <c r="R137" i="25"/>
  <c r="AY53" i="21"/>
  <c r="AX79" i="21"/>
  <c r="AX92" i="21" s="1"/>
  <c r="EJ88" i="3"/>
  <c r="N192" i="25"/>
  <c r="N198" i="25" s="1"/>
  <c r="N189" i="25"/>
  <c r="W137" i="25"/>
  <c r="W138" i="25" s="1"/>
  <c r="W133" i="25"/>
  <c r="O133" i="25"/>
  <c r="O137" i="25"/>
  <c r="O138" i="25" s="1"/>
  <c r="AA60" i="25"/>
  <c r="Z87" i="25"/>
  <c r="Z101" i="25" s="1"/>
  <c r="T100" i="27"/>
  <c r="T109" i="27"/>
  <c r="T115" i="27" s="1"/>
  <c r="T97" i="27"/>
  <c r="T104" i="27"/>
  <c r="O97" i="27"/>
  <c r="O100" i="27"/>
  <c r="AB131" i="21"/>
  <c r="AB146" i="21"/>
  <c r="AC130" i="21"/>
  <c r="Z144" i="21"/>
  <c r="Z150" i="21" s="1"/>
  <c r="Z141" i="21"/>
  <c r="T58" i="21"/>
  <c r="T54" i="21"/>
  <c r="T84" i="21"/>
  <c r="S67" i="21"/>
  <c r="S93" i="21"/>
  <c r="S55" i="21"/>
  <c r="K141" i="3"/>
  <c r="K135" i="3"/>
  <c r="O81" i="23"/>
  <c r="O84" i="23"/>
  <c r="O88" i="23"/>
  <c r="O89" i="23" s="1"/>
  <c r="O79" i="23"/>
  <c r="N82" i="23"/>
  <c r="N86" i="23"/>
  <c r="N87" i="23" s="1"/>
  <c r="AA208" i="25"/>
  <c r="Q40" i="17"/>
  <c r="Q39" i="17"/>
  <c r="O33" i="16"/>
  <c r="Q220" i="3"/>
  <c r="Q221" i="3" s="1"/>
  <c r="Q213" i="3"/>
  <c r="Q315" i="3"/>
  <c r="Q317" i="3" s="1"/>
  <c r="Q114" i="3"/>
  <c r="AM28" i="16"/>
  <c r="AM36" i="16" s="1"/>
  <c r="Q60" i="15"/>
  <c r="Q62" i="15" s="1"/>
  <c r="Q32" i="17"/>
  <c r="Q108" i="3"/>
  <c r="O18" i="16"/>
  <c r="O25" i="16"/>
  <c r="O82" i="16"/>
  <c r="AM44" i="16"/>
  <c r="DY34" i="3"/>
  <c r="Z170" i="25"/>
  <c r="Y188" i="25"/>
  <c r="Y194" i="25"/>
  <c r="Y198" i="25" s="1"/>
  <c r="U120" i="27"/>
  <c r="U95" i="27"/>
  <c r="P138" i="21"/>
  <c r="P139" i="21" s="1"/>
  <c r="P134" i="21"/>
  <c r="AB79" i="21"/>
  <c r="AC53" i="21"/>
  <c r="T105" i="15"/>
  <c r="DH172" i="3"/>
  <c r="Z50" i="3"/>
  <c r="Z77" i="3" s="1"/>
  <c r="AA31" i="3"/>
  <c r="AA51" i="3" s="1"/>
  <c r="AD256" i="3"/>
  <c r="J27" i="16"/>
  <c r="EJ89" i="3"/>
  <c r="AM48" i="16"/>
  <c r="V40" i="16"/>
  <c r="AS44" i="16"/>
  <c r="AS47" i="16"/>
  <c r="U25" i="16"/>
  <c r="U83" i="16" s="1"/>
  <c r="U18" i="16"/>
  <c r="U82" i="16"/>
  <c r="AS48" i="16"/>
  <c r="AC221" i="25"/>
  <c r="AB222" i="25"/>
  <c r="X209" i="25"/>
  <c r="W210" i="25"/>
  <c r="X175" i="25"/>
  <c r="W181" i="25"/>
  <c r="AG172" i="25"/>
  <c r="AF178" i="25"/>
  <c r="X139" i="25"/>
  <c r="X140" i="25" s="1"/>
  <c r="X132" i="25"/>
  <c r="X135" i="25"/>
  <c r="N133" i="25"/>
  <c r="N137" i="25"/>
  <c r="N138" i="25" s="1"/>
  <c r="Z95" i="25"/>
  <c r="Z68" i="25"/>
  <c r="Z24" i="25"/>
  <c r="AA81" i="25"/>
  <c r="Y49" i="3"/>
  <c r="Y35" i="25"/>
  <c r="N98" i="27"/>
  <c r="N102" i="27"/>
  <c r="N103" i="27" s="1"/>
  <c r="U86" i="23"/>
  <c r="U87" i="23" s="1"/>
  <c r="U82" i="23"/>
  <c r="W83" i="23"/>
  <c r="W78" i="23"/>
  <c r="V79" i="23"/>
  <c r="V88" i="23"/>
  <c r="V89" i="23" s="1"/>
  <c r="W89" i="17"/>
  <c r="W26" i="23"/>
  <c r="W63" i="3"/>
  <c r="Z43" i="23"/>
  <c r="Y48" i="23"/>
  <c r="Y54" i="23" s="1"/>
  <c r="V155" i="21"/>
  <c r="V156" i="21" s="1"/>
  <c r="W119" i="21"/>
  <c r="U49" i="21"/>
  <c r="T62" i="21"/>
  <c r="T88" i="21"/>
  <c r="EI34" i="3"/>
  <c r="P188" i="25"/>
  <c r="P179" i="25"/>
  <c r="T123" i="25"/>
  <c r="T129" i="25" s="1"/>
  <c r="S129" i="25"/>
  <c r="Z89" i="25"/>
  <c r="Z103" i="25" s="1"/>
  <c r="AA62" i="25"/>
  <c r="R68" i="23"/>
  <c r="R102" i="23" s="1"/>
  <c r="Q102" i="23"/>
  <c r="Q103" i="23" s="1"/>
  <c r="BC30" i="21"/>
  <c r="BD30" i="21" s="1"/>
  <c r="BE30" i="21" s="1"/>
  <c r="BF30" i="21" s="1"/>
  <c r="BG30" i="21" s="1"/>
  <c r="BH30" i="21" s="1"/>
  <c r="BI30" i="21" s="1"/>
  <c r="BJ30" i="21" s="1"/>
  <c r="BK30" i="21" s="1"/>
  <c r="BL30" i="21" s="1"/>
  <c r="BM30" i="21" s="1"/>
  <c r="BN30" i="21" s="1"/>
  <c r="BO30" i="21" s="1"/>
  <c r="BP30" i="21" s="1"/>
  <c r="BQ30" i="21" s="1"/>
  <c r="BR30" i="21" s="1"/>
  <c r="BS30" i="21" s="1"/>
  <c r="BT30" i="21" s="1"/>
  <c r="BU30" i="21" s="1"/>
  <c r="BV30" i="21" s="1"/>
  <c r="BW30" i="21" s="1"/>
  <c r="BB46" i="21"/>
  <c r="AB321" i="3"/>
  <c r="AC259" i="3"/>
  <c r="AA193" i="25"/>
  <c r="AA184" i="25"/>
  <c r="W82" i="3"/>
  <c r="AS62" i="16" s="1"/>
  <c r="CR41" i="3"/>
  <c r="EJ39" i="3"/>
  <c r="AC162" i="21"/>
  <c r="AD160" i="21"/>
  <c r="X76" i="3"/>
  <c r="AT61" i="16" s="1"/>
  <c r="V61" i="16"/>
  <c r="P100" i="27"/>
  <c r="P97" i="27"/>
  <c r="AB72" i="23"/>
  <c r="AC67" i="23"/>
  <c r="BY37" i="23"/>
  <c r="BX48" i="23"/>
  <c r="BX54" i="23" s="1"/>
  <c r="AA123" i="21"/>
  <c r="AB129" i="21"/>
  <c r="AA140" i="21"/>
  <c r="T85" i="21"/>
  <c r="U46" i="21"/>
  <c r="T59" i="21"/>
  <c r="K215" i="3"/>
  <c r="I26" i="16"/>
  <c r="K120" i="3"/>
  <c r="AG35" i="16"/>
  <c r="AG84" i="16"/>
  <c r="AG1" i="16" s="1"/>
  <c r="P83" i="23"/>
  <c r="P78" i="23"/>
  <c r="Q67" i="23"/>
  <c r="Q41" i="17"/>
  <c r="Q42" i="17"/>
  <c r="AM83" i="16"/>
  <c r="AM42" i="16"/>
  <c r="AM37" i="16"/>
  <c r="DL82" i="3"/>
  <c r="DL90" i="3"/>
  <c r="O192" i="25"/>
  <c r="O198" i="25" s="1"/>
  <c r="O189" i="25"/>
  <c r="AD214" i="25"/>
  <c r="AC216" i="25"/>
  <c r="X192" i="25"/>
  <c r="X189" i="25"/>
  <c r="Z120" i="27"/>
  <c r="AA83" i="27"/>
  <c r="Z84" i="27"/>
  <c r="Z100" i="27"/>
  <c r="Z98" i="27"/>
  <c r="AA92" i="21"/>
  <c r="AA66" i="21"/>
  <c r="AB271" i="3"/>
  <c r="AA276" i="3"/>
  <c r="AA319" i="3"/>
  <c r="DH131" i="3"/>
  <c r="DH133" i="3"/>
  <c r="DH135" i="3" s="1"/>
  <c r="DI171" i="3"/>
  <c r="T114" i="15"/>
  <c r="T113" i="15"/>
  <c r="Y92" i="17"/>
  <c r="Y78" i="3"/>
  <c r="U198" i="25"/>
  <c r="V197" i="25"/>
  <c r="V198" i="25" s="1"/>
  <c r="V199" i="25" s="1"/>
  <c r="V54" i="25" s="1"/>
  <c r="V68" i="25" s="1"/>
  <c r="AD183" i="25"/>
  <c r="AE174" i="25"/>
  <c r="R104" i="17"/>
  <c r="R106" i="17"/>
  <c r="R98" i="17"/>
  <c r="DM41" i="3"/>
  <c r="DM145" i="3"/>
  <c r="DM21" i="3"/>
  <c r="DM253" i="3"/>
  <c r="DM68" i="3"/>
  <c r="DM208" i="3"/>
  <c r="DM85" i="3"/>
  <c r="DM164" i="3"/>
  <c r="DO3" i="3"/>
  <c r="CE29" i="27"/>
  <c r="CE24" i="27"/>
  <c r="CE68" i="27"/>
  <c r="N67" i="21"/>
  <c r="N93" i="21"/>
  <c r="S32" i="17"/>
  <c r="S315" i="3"/>
  <c r="S317" i="3" s="1"/>
  <c r="AO28" i="16"/>
  <c r="AO36" i="16" s="1"/>
  <c r="S60" i="15"/>
  <c r="S62" i="15" s="1"/>
  <c r="S114" i="3"/>
  <c r="S108" i="3"/>
  <c r="S41" i="17"/>
  <c r="S42" i="17"/>
  <c r="Z47" i="27"/>
  <c r="Y19" i="27"/>
  <c r="Y50" i="27"/>
  <c r="AP69" i="25"/>
  <c r="AO82" i="25"/>
  <c r="AO96" i="25" s="1"/>
  <c r="AO83" i="16"/>
  <c r="AO42" i="16"/>
  <c r="AO37" i="16"/>
  <c r="Z223" i="3"/>
  <c r="Z198" i="3"/>
  <c r="R50" i="27"/>
  <c r="R51" i="27" s="1"/>
  <c r="X67" i="27"/>
  <c r="X23" i="27"/>
  <c r="X54" i="27"/>
  <c r="X57" i="27" s="1"/>
  <c r="X27" i="27"/>
  <c r="Y60" i="27"/>
  <c r="X63" i="27"/>
  <c r="X70" i="27" s="1"/>
  <c r="Y230" i="3"/>
  <c r="W41" i="16" s="1"/>
  <c r="W38" i="16"/>
  <c r="Y64" i="15"/>
  <c r="DN208" i="3"/>
  <c r="DN253" i="3"/>
  <c r="DN41" i="3"/>
  <c r="DN145" i="3"/>
  <c r="DN85" i="3"/>
  <c r="DN68" i="3"/>
  <c r="DP3" i="3"/>
  <c r="DN164" i="3"/>
  <c r="DN21" i="3"/>
  <c r="AC30" i="27"/>
  <c r="AC56" i="27"/>
  <c r="AA246" i="3"/>
  <c r="AB193" i="3"/>
  <c r="AA194" i="3"/>
  <c r="Y103" i="3"/>
  <c r="AT10" i="16"/>
  <c r="X320" i="3"/>
  <c r="X305" i="3"/>
  <c r="Y265" i="3"/>
  <c r="O116" i="3"/>
  <c r="O110" i="3"/>
  <c r="CG55" i="27"/>
  <c r="CF61" i="27"/>
  <c r="O32" i="17"/>
  <c r="O114" i="3"/>
  <c r="O108" i="3"/>
  <c r="O60" i="15"/>
  <c r="O62" i="15" s="1"/>
  <c r="AK28" i="16"/>
  <c r="AK36" i="16" s="1"/>
  <c r="O315" i="3"/>
  <c r="O317" i="3" s="1"/>
  <c r="O41" i="17"/>
  <c r="O42" i="17"/>
  <c r="X38" i="23"/>
  <c r="Y36" i="23"/>
  <c r="X19" i="23"/>
  <c r="DU59" i="3"/>
  <c r="Y49" i="21"/>
  <c r="X75" i="21"/>
  <c r="AD62" i="27"/>
  <c r="AE49" i="27"/>
  <c r="S110" i="3"/>
  <c r="S116" i="3"/>
  <c r="J72" i="27"/>
  <c r="K6" i="3"/>
  <c r="J7" i="3"/>
  <c r="Y45" i="21"/>
  <c r="U55" i="25"/>
  <c r="T69" i="25"/>
  <c r="AK83" i="16"/>
  <c r="AK42" i="16"/>
  <c r="AK37" i="16"/>
  <c r="M33" i="16"/>
  <c r="O213" i="3"/>
  <c r="O220" i="3"/>
  <c r="O221" i="3" s="1"/>
  <c r="T74" i="25"/>
  <c r="U60" i="25"/>
  <c r="U74" i="25" s="1"/>
  <c r="W44" i="23"/>
  <c r="X42" i="23"/>
  <c r="X47" i="23" s="1"/>
  <c r="Q33" i="16"/>
  <c r="S213" i="3"/>
  <c r="S220" i="3"/>
  <c r="S221" i="3" s="1"/>
  <c r="S40" i="17"/>
  <c r="AO45" i="16" s="1"/>
  <c r="S39" i="17"/>
  <c r="AO43" i="16" s="1"/>
  <c r="M86" i="17"/>
  <c r="M95" i="17"/>
  <c r="BH42" i="23"/>
  <c r="Q99" i="17"/>
  <c r="Q98" i="17"/>
  <c r="Q104" i="17"/>
  <c r="Q103" i="17"/>
  <c r="Q106" i="17"/>
  <c r="Q100" i="17"/>
  <c r="Q105" i="17"/>
  <c r="Q102" i="17"/>
  <c r="Q101" i="17"/>
  <c r="N86" i="17"/>
  <c r="N101" i="17" s="1"/>
  <c r="N95" i="17"/>
  <c r="X21" i="27"/>
  <c r="X51" i="27" s="1"/>
  <c r="X26" i="3"/>
  <c r="AC48" i="27"/>
  <c r="AB20" i="27"/>
  <c r="AB27" i="3" s="1"/>
  <c r="R93" i="21"/>
  <c r="R67" i="21"/>
  <c r="R55" i="21"/>
  <c r="P86" i="17"/>
  <c r="P95" i="17"/>
  <c r="O40" i="17"/>
  <c r="O39" i="17"/>
  <c r="M18" i="16"/>
  <c r="AK44" i="16"/>
  <c r="AK48" i="16"/>
  <c r="AK47" i="16"/>
  <c r="M82" i="16"/>
  <c r="M25" i="16"/>
  <c r="CD35" i="27"/>
  <c r="CD47" i="3"/>
  <c r="CD74" i="3" s="1"/>
  <c r="Q18" i="16"/>
  <c r="Q25" i="16"/>
  <c r="AO44" i="16"/>
  <c r="Q82" i="16"/>
  <c r="AO47" i="16"/>
  <c r="AO48" i="16"/>
  <c r="AT84" i="21"/>
  <c r="AT23" i="21"/>
  <c r="AT97" i="21"/>
  <c r="DD116" i="3"/>
  <c r="DD122" i="3" s="1"/>
  <c r="DD127" i="3" s="1"/>
  <c r="DD123" i="3" s="1"/>
  <c r="DD110" i="3"/>
  <c r="O93" i="21"/>
  <c r="O67" i="21"/>
  <c r="O55" i="21"/>
  <c r="N40" i="17"/>
  <c r="N39" i="17"/>
  <c r="L33" i="16"/>
  <c r="N213" i="3"/>
  <c r="O95" i="17"/>
  <c r="O86" i="17"/>
  <c r="CL36" i="23"/>
  <c r="CK47" i="23"/>
  <c r="CK53" i="23" s="1"/>
  <c r="DE101" i="3"/>
  <c r="DE109" i="3" s="1"/>
  <c r="AC38" i="3"/>
  <c r="N41" i="17"/>
  <c r="N42" i="17"/>
  <c r="N60" i="15"/>
  <c r="N114" i="3"/>
  <c r="N32" i="17"/>
  <c r="AJ28" i="16"/>
  <c r="AJ36" i="16" s="1"/>
  <c r="N315" i="3"/>
  <c r="N317" i="3" s="1"/>
  <c r="DL114" i="3"/>
  <c r="AJ83" i="16"/>
  <c r="AJ42" i="16"/>
  <c r="AJ37" i="16"/>
  <c r="AJ44" i="16"/>
  <c r="L82" i="16"/>
  <c r="L18" i="16"/>
  <c r="M21" i="16"/>
  <c r="L25" i="16"/>
  <c r="DL220" i="3"/>
  <c r="DL221" i="3" s="1"/>
  <c r="V161" i="3"/>
  <c r="R33" i="16"/>
  <c r="T220" i="3"/>
  <c r="AP28" i="16"/>
  <c r="T60" i="15"/>
  <c r="T62" i="15" s="1"/>
  <c r="T114" i="3"/>
  <c r="T32" i="17"/>
  <c r="T108" i="3"/>
  <c r="T308" i="3" s="1"/>
  <c r="T315" i="3"/>
  <c r="T317" i="3" s="1"/>
  <c r="X108" i="27"/>
  <c r="X105" i="27"/>
  <c r="AV63" i="21"/>
  <c r="AU76" i="21"/>
  <c r="M41" i="17"/>
  <c r="M42" i="17"/>
  <c r="K33" i="16"/>
  <c r="M213" i="3"/>
  <c r="Y104" i="27"/>
  <c r="Z93" i="27"/>
  <c r="Y110" i="27"/>
  <c r="Y115" i="27" s="1"/>
  <c r="DI95" i="3"/>
  <c r="DI96" i="3" s="1"/>
  <c r="DW96" i="3" s="1"/>
  <c r="S99" i="17"/>
  <c r="S104" i="17"/>
  <c r="S102" i="17"/>
  <c r="S103" i="17"/>
  <c r="S98" i="17"/>
  <c r="AW82" i="27"/>
  <c r="M220" i="3"/>
  <c r="T110" i="3"/>
  <c r="T116" i="3"/>
  <c r="AI42" i="16"/>
  <c r="AI83" i="16"/>
  <c r="AI1" i="16" s="1"/>
  <c r="AI37" i="16"/>
  <c r="Z87" i="27"/>
  <c r="Z95" i="27"/>
  <c r="AA94" i="27"/>
  <c r="Z102" i="27"/>
  <c r="Z103" i="27" s="1"/>
  <c r="AG8" i="43"/>
  <c r="AH8" i="43" s="1"/>
  <c r="AI8" i="43" s="1"/>
  <c r="AJ8" i="43" s="1"/>
  <c r="AK8" i="43" s="1"/>
  <c r="AL8" i="43" s="1"/>
  <c r="AM8" i="43" s="1"/>
  <c r="AN8" i="43" s="1"/>
  <c r="AB35" i="26"/>
  <c r="I35" i="26" s="1"/>
  <c r="K35" i="26" s="1"/>
  <c r="R25" i="16"/>
  <c r="AP44" i="16"/>
  <c r="AP48" i="16"/>
  <c r="AP47" i="16"/>
  <c r="R82" i="16"/>
  <c r="R18" i="16"/>
  <c r="R21" i="16"/>
  <c r="T39" i="17"/>
  <c r="AP43" i="16" s="1"/>
  <c r="T40" i="17"/>
  <c r="AP45" i="16" s="1"/>
  <c r="AG167" i="21"/>
  <c r="AF168" i="21"/>
  <c r="M60" i="15"/>
  <c r="M62" i="15" s="1"/>
  <c r="M32" i="17"/>
  <c r="M114" i="3"/>
  <c r="AI28" i="16"/>
  <c r="AI36" i="16" s="1"/>
  <c r="M108" i="3"/>
  <c r="M315" i="3"/>
  <c r="M317" i="3" s="1"/>
  <c r="K82" i="16"/>
  <c r="K18" i="16"/>
  <c r="AI47" i="16"/>
  <c r="K25" i="16"/>
  <c r="AI44" i="16"/>
  <c r="L21" i="16"/>
  <c r="AI48" i="16"/>
  <c r="K21" i="16"/>
  <c r="M40" i="17"/>
  <c r="M39" i="17"/>
  <c r="AX50" i="21"/>
  <c r="M116" i="3"/>
  <c r="M122" i="3" s="1"/>
  <c r="M110" i="3"/>
  <c r="CA43" i="23"/>
  <c r="Z47" i="3"/>
  <c r="Z35" i="27"/>
  <c r="CE62" i="25"/>
  <c r="CF38" i="25"/>
  <c r="CG38" i="25" s="1"/>
  <c r="CH38" i="25" s="1"/>
  <c r="DF122" i="3"/>
  <c r="AC65" i="21"/>
  <c r="AB78" i="21"/>
  <c r="Z93" i="17"/>
  <c r="Z79" i="3"/>
  <c r="AZ90" i="25"/>
  <c r="BA63" i="25"/>
  <c r="AG101" i="25"/>
  <c r="AG220" i="25"/>
  <c r="AR44" i="16"/>
  <c r="T18" i="16"/>
  <c r="AR47" i="16"/>
  <c r="AR48" i="16"/>
  <c r="T82" i="16"/>
  <c r="T25" i="16"/>
  <c r="AL48" i="16"/>
  <c r="N21" i="16"/>
  <c r="AL44" i="16"/>
  <c r="AL47" i="16"/>
  <c r="N82" i="16"/>
  <c r="N25" i="16"/>
  <c r="N18" i="16"/>
  <c r="O21" i="16"/>
  <c r="P40" i="17"/>
  <c r="P39" i="17"/>
  <c r="P60" i="15"/>
  <c r="P62" i="15" s="1"/>
  <c r="P114" i="3"/>
  <c r="AL28" i="16"/>
  <c r="AL36" i="16" s="1"/>
  <c r="P108" i="3"/>
  <c r="P32" i="17"/>
  <c r="P315" i="3"/>
  <c r="P317" i="3" s="1"/>
  <c r="AA88" i="23"/>
  <c r="AA89" i="23" s="1"/>
  <c r="AA84" i="23"/>
  <c r="AA81" i="23"/>
  <c r="Y111" i="15"/>
  <c r="V3" i="16"/>
  <c r="AT3" i="16" s="1"/>
  <c r="AT23" i="16" s="1"/>
  <c r="R40" i="17"/>
  <c r="R39" i="17"/>
  <c r="AN42" i="16"/>
  <c r="AN83" i="16"/>
  <c r="AN37" i="16"/>
  <c r="AR55" i="25"/>
  <c r="AN166" i="21"/>
  <c r="P110" i="3"/>
  <c r="P116" i="3"/>
  <c r="BU101" i="25"/>
  <c r="BV101" i="25"/>
  <c r="AC50" i="21"/>
  <c r="AB76" i="21"/>
  <c r="AH51" i="16"/>
  <c r="AH50" i="16"/>
  <c r="J91" i="16"/>
  <c r="DI98" i="3"/>
  <c r="DW98" i="3" s="1"/>
  <c r="DW97" i="3"/>
  <c r="DI107" i="3"/>
  <c r="DI102" i="3"/>
  <c r="DW102" i="3" s="1"/>
  <c r="AB32" i="3"/>
  <c r="AA52" i="3"/>
  <c r="AB62" i="21"/>
  <c r="V59" i="16"/>
  <c r="X74" i="3"/>
  <c r="AT59" i="16" s="1"/>
  <c r="DG107" i="3"/>
  <c r="DV97" i="3"/>
  <c r="DG102" i="3"/>
  <c r="DV102" i="3" s="1"/>
  <c r="DG98" i="3"/>
  <c r="DV98" i="3" s="1"/>
  <c r="AQ77" i="21"/>
  <c r="AR51" i="21"/>
  <c r="AQ63" i="25"/>
  <c r="AP90" i="25"/>
  <c r="Z88" i="17"/>
  <c r="Z62" i="3"/>
  <c r="V60" i="15"/>
  <c r="V62" i="15" s="1"/>
  <c r="V315" i="3"/>
  <c r="V317" i="3" s="1"/>
  <c r="V32" i="17"/>
  <c r="V114" i="3"/>
  <c r="AR28" i="16"/>
  <c r="V108" i="3"/>
  <c r="DO214" i="3"/>
  <c r="DO107" i="3"/>
  <c r="DZ97" i="3"/>
  <c r="DO95" i="3"/>
  <c r="DO98" i="3"/>
  <c r="DZ98" i="3" s="1"/>
  <c r="EJ97" i="3"/>
  <c r="DE108" i="3"/>
  <c r="DU108" i="3" s="1"/>
  <c r="DE114" i="3"/>
  <c r="DU107" i="3"/>
  <c r="AL83" i="16"/>
  <c r="AL42" i="16"/>
  <c r="AL37" i="16"/>
  <c r="DX90" i="3"/>
  <c r="EH90" i="3"/>
  <c r="DO100" i="3"/>
  <c r="EJ100" i="3" s="1"/>
  <c r="DZ90" i="3"/>
  <c r="EJ90" i="3"/>
  <c r="AB83" i="23"/>
  <c r="AC73" i="23"/>
  <c r="AA68" i="27"/>
  <c r="AA24" i="27"/>
  <c r="AA29" i="27"/>
  <c r="CO157" i="3"/>
  <c r="P33" i="16"/>
  <c r="R220" i="3"/>
  <c r="R221" i="3" s="1"/>
  <c r="R213" i="3"/>
  <c r="R315" i="3"/>
  <c r="R317" i="3" s="1"/>
  <c r="AN28" i="16"/>
  <c r="AN36" i="16" s="1"/>
  <c r="R60" i="15"/>
  <c r="R62" i="15" s="1"/>
  <c r="R114" i="3"/>
  <c r="R32" i="17"/>
  <c r="R108" i="3"/>
  <c r="DK101" i="3"/>
  <c r="DX59" i="3"/>
  <c r="DK83" i="3"/>
  <c r="AJ62" i="25"/>
  <c r="AI89" i="25"/>
  <c r="AA85" i="21"/>
  <c r="AA98" i="21"/>
  <c r="AA24" i="21"/>
  <c r="DE98" i="3"/>
  <c r="DU98" i="3" s="1"/>
  <c r="W16" i="17"/>
  <c r="W160" i="3" s="1"/>
  <c r="X17" i="17"/>
  <c r="W159" i="3"/>
  <c r="W19" i="17"/>
  <c r="W158" i="3" s="1"/>
  <c r="W162" i="3" s="1"/>
  <c r="DM101" i="3"/>
  <c r="EI101" i="3" s="1"/>
  <c r="DY59" i="3"/>
  <c r="BA57" i="25"/>
  <c r="AI87" i="25"/>
  <c r="AI101" i="25" s="1"/>
  <c r="AJ60" i="25"/>
  <c r="AA102" i="21"/>
  <c r="AA63" i="21"/>
  <c r="AA27" i="21"/>
  <c r="AA89" i="21"/>
  <c r="BA56" i="25"/>
  <c r="AZ83" i="25"/>
  <c r="AZ97" i="25" s="1"/>
  <c r="AJ52" i="21"/>
  <c r="AG35" i="3"/>
  <c r="AA93" i="3"/>
  <c r="W59" i="16"/>
  <c r="Y74" i="3"/>
  <c r="AU59" i="16" s="1"/>
  <c r="Z154" i="25"/>
  <c r="AA119" i="25"/>
  <c r="Z147" i="25"/>
  <c r="Z130" i="25"/>
  <c r="AP90" i="21"/>
  <c r="AH78" i="23"/>
  <c r="T33" i="16"/>
  <c r="V220" i="3"/>
  <c r="V221" i="3" s="1"/>
  <c r="V96" i="3"/>
  <c r="AC55" i="27"/>
  <c r="AB61" i="27"/>
  <c r="R96" i="3"/>
  <c r="DE95" i="3"/>
  <c r="AB72" i="21"/>
  <c r="AC46" i="21"/>
  <c r="DE102" i="3"/>
  <c r="DU102" i="3" s="1"/>
  <c r="DM214" i="3"/>
  <c r="DM107" i="3"/>
  <c r="DY97" i="3"/>
  <c r="CO42" i="23"/>
  <c r="Z86" i="23"/>
  <c r="Z87" i="23" s="1"/>
  <c r="Z82" i="23"/>
  <c r="DH122" i="3"/>
  <c r="AI74" i="23"/>
  <c r="AM167" i="25"/>
  <c r="R110" i="3"/>
  <c r="R116" i="3"/>
  <c r="BX60" i="25"/>
  <c r="BW87" i="25"/>
  <c r="BW101" i="25" s="1"/>
  <c r="AA91" i="21"/>
  <c r="AA104" i="21"/>
  <c r="DI83" i="3"/>
  <c r="DI101" i="3"/>
  <c r="DW59" i="3"/>
  <c r="Y115" i="25"/>
  <c r="Z110" i="25" s="1"/>
  <c r="V109" i="3"/>
  <c r="J69" i="15"/>
  <c r="J218" i="25"/>
  <c r="J108" i="25"/>
  <c r="J5" i="25"/>
  <c r="J5" i="27"/>
  <c r="J108" i="21"/>
  <c r="J164" i="3"/>
  <c r="J145" i="3"/>
  <c r="J212" i="25"/>
  <c r="J206" i="25"/>
  <c r="J17" i="25"/>
  <c r="J17" i="27"/>
  <c r="J3" i="17"/>
  <c r="J4" i="17" s="1"/>
  <c r="J19" i="21"/>
  <c r="J208" i="3"/>
  <c r="J85" i="3"/>
  <c r="K3" i="3"/>
  <c r="J95" i="15"/>
  <c r="J21" i="15"/>
  <c r="J3" i="15"/>
  <c r="J4" i="15" s="1"/>
  <c r="J6" i="15"/>
  <c r="J158" i="21"/>
  <c r="J3" i="27"/>
  <c r="J253" i="3"/>
  <c r="J200" i="3"/>
  <c r="J41" i="3"/>
  <c r="J68" i="3"/>
  <c r="J54" i="15"/>
  <c r="J56" i="15" s="1"/>
  <c r="J57" i="15" s="1"/>
  <c r="J3" i="21"/>
  <c r="J21" i="3"/>
  <c r="J164" i="21"/>
  <c r="J153" i="3"/>
  <c r="J157" i="25"/>
  <c r="J9" i="3"/>
  <c r="J5" i="21"/>
  <c r="J182" i="3"/>
  <c r="J6" i="17"/>
  <c r="W339" i="3"/>
  <c r="W341" i="3" s="1"/>
  <c r="DJ210" i="3"/>
  <c r="DJ131" i="3"/>
  <c r="DG83" i="3"/>
  <c r="DG101" i="3"/>
  <c r="DV59" i="3"/>
  <c r="V40" i="17"/>
  <c r="AR45" i="16" s="1"/>
  <c r="V39" i="17"/>
  <c r="AR43" i="16" s="1"/>
  <c r="DZ59" i="3"/>
  <c r="DO101" i="3"/>
  <c r="U206" i="3"/>
  <c r="U122" i="3"/>
  <c r="N33" i="16"/>
  <c r="P220" i="3"/>
  <c r="P221" i="3" s="1"/>
  <c r="P213" i="3"/>
  <c r="P41" i="17"/>
  <c r="P42" i="17"/>
  <c r="R41" i="17"/>
  <c r="R42" i="17"/>
  <c r="P21" i="16"/>
  <c r="AN47" i="16"/>
  <c r="P18" i="16"/>
  <c r="P25" i="16"/>
  <c r="Q21" i="16"/>
  <c r="AN48" i="16"/>
  <c r="AN44" i="16"/>
  <c r="P82" i="16"/>
  <c r="DK107" i="3"/>
  <c r="DK214" i="3"/>
  <c r="DX97" i="3"/>
  <c r="DK98" i="3"/>
  <c r="DX98" i="3" s="1"/>
  <c r="DK95" i="3"/>
  <c r="DK102" i="3"/>
  <c r="DX102" i="3" s="1"/>
  <c r="EH97" i="3"/>
  <c r="AH101" i="25"/>
  <c r="W303" i="3"/>
  <c r="W304" i="3"/>
  <c r="DL122" i="3"/>
  <c r="L12" i="16"/>
  <c r="AJ48" i="16"/>
  <c r="L81" i="16"/>
  <c r="AJ47" i="16"/>
  <c r="DM102" i="3" l="1"/>
  <c r="AI103" i="25"/>
  <c r="S106" i="17"/>
  <c r="S101" i="17"/>
  <c r="S105" i="17"/>
  <c r="DY89" i="3"/>
  <c r="U109" i="27"/>
  <c r="U115" i="27" s="1"/>
  <c r="DZ39" i="3"/>
  <c r="DO82" i="3"/>
  <c r="DO83" i="3"/>
  <c r="K123" i="3"/>
  <c r="I28" i="16" s="1"/>
  <c r="I27" i="16" s="1"/>
  <c r="AU71" i="21"/>
  <c r="AU84" i="21" s="1"/>
  <c r="AD149" i="21"/>
  <c r="Z179" i="3"/>
  <c r="AA83" i="25"/>
  <c r="AA97" i="25" s="1"/>
  <c r="AB70" i="25"/>
  <c r="AT102" i="21"/>
  <c r="W131" i="3"/>
  <c r="U97" i="27"/>
  <c r="U102" i="27" s="1"/>
  <c r="U103" i="27" s="1"/>
  <c r="U121" i="27"/>
  <c r="V121" i="27" s="1"/>
  <c r="W121" i="27" s="1"/>
  <c r="X121" i="27" s="1"/>
  <c r="Y121" i="27" s="1"/>
  <c r="Z121" i="27" s="1"/>
  <c r="DP147" i="3"/>
  <c r="DP149" i="3" s="1"/>
  <c r="DP150" i="3" s="1"/>
  <c r="DP151" i="3" s="1"/>
  <c r="W210" i="3"/>
  <c r="W213" i="3" s="1"/>
  <c r="U30" i="16"/>
  <c r="U85" i="16" s="1"/>
  <c r="U100" i="27"/>
  <c r="O83" i="16"/>
  <c r="DD128" i="3"/>
  <c r="V136" i="21"/>
  <c r="J1" i="16"/>
  <c r="M83" i="16"/>
  <c r="AA204" i="25"/>
  <c r="Z155" i="25"/>
  <c r="AB138" i="21"/>
  <c r="AB139" i="21" s="1"/>
  <c r="AB196" i="25"/>
  <c r="AB179" i="25"/>
  <c r="AB203" i="25"/>
  <c r="AC168" i="25"/>
  <c r="AB184" i="25"/>
  <c r="AB161" i="25"/>
  <c r="AC86" i="21"/>
  <c r="AC26" i="21"/>
  <c r="AC99" i="21"/>
  <c r="P83" i="16"/>
  <c r="X105" i="3"/>
  <c r="AD73" i="21"/>
  <c r="AE60" i="21"/>
  <c r="U98" i="17"/>
  <c r="U105" i="17"/>
  <c r="U102" i="17"/>
  <c r="U99" i="17"/>
  <c r="U106" i="17"/>
  <c r="U103" i="17"/>
  <c r="U101" i="17"/>
  <c r="X63" i="15"/>
  <c r="X267" i="3"/>
  <c r="X212" i="3"/>
  <c r="DQ212" i="3" s="1"/>
  <c r="DQ104" i="3"/>
  <c r="DQ105" i="3" s="1"/>
  <c r="AE51" i="21"/>
  <c r="AE77" i="21" s="1"/>
  <c r="AD77" i="21"/>
  <c r="AF17" i="21"/>
  <c r="AE20" i="17"/>
  <c r="AY62" i="27"/>
  <c r="AZ49" i="27"/>
  <c r="AY19" i="27"/>
  <c r="AY26" i="3" s="1"/>
  <c r="AX56" i="27"/>
  <c r="AX30" i="27"/>
  <c r="AC103" i="21"/>
  <c r="AC90" i="21"/>
  <c r="AG89" i="27"/>
  <c r="AF99" i="27"/>
  <c r="AF97" i="27" s="1"/>
  <c r="V138" i="21"/>
  <c r="V139" i="21" s="1"/>
  <c r="W130" i="21"/>
  <c r="W135" i="21"/>
  <c r="W136" i="21" s="1"/>
  <c r="AD63" i="25"/>
  <c r="AC90" i="25"/>
  <c r="AD57" i="25"/>
  <c r="AC84" i="25"/>
  <c r="Y85" i="25"/>
  <c r="Z58" i="25"/>
  <c r="Z30" i="25"/>
  <c r="Z100" i="25"/>
  <c r="Z73" i="25"/>
  <c r="U120" i="3"/>
  <c r="U121" i="3"/>
  <c r="U123" i="3" s="1"/>
  <c r="S28" i="16" s="1"/>
  <c r="DN113" i="3"/>
  <c r="DO112" i="3"/>
  <c r="DO113" i="3" s="1"/>
  <c r="DO114" i="3" s="1"/>
  <c r="CG50" i="27"/>
  <c r="CG20" i="27"/>
  <c r="CG27" i="3" s="1"/>
  <c r="CH48" i="27"/>
  <c r="AE125" i="21"/>
  <c r="AD135" i="21"/>
  <c r="AD133" i="21" s="1"/>
  <c r="AA81" i="3"/>
  <c r="AA34" i="3"/>
  <c r="AA89" i="3" s="1"/>
  <c r="AB37" i="3"/>
  <c r="AD336" i="3"/>
  <c r="AE289" i="3"/>
  <c r="Y90" i="17"/>
  <c r="Y64" i="3"/>
  <c r="AB9" i="17"/>
  <c r="AC272" i="3"/>
  <c r="BF36" i="23"/>
  <c r="BE47" i="23"/>
  <c r="BE53" i="23" s="1"/>
  <c r="S36" i="16"/>
  <c r="DK220" i="3"/>
  <c r="DX220" i="3" s="1"/>
  <c r="U65" i="15"/>
  <c r="U66" i="15" s="1"/>
  <c r="S83" i="16"/>
  <c r="V9" i="16"/>
  <c r="DQ26" i="3"/>
  <c r="Q140" i="21"/>
  <c r="Q141" i="21" s="1"/>
  <c r="Q133" i="21"/>
  <c r="Q136" i="21"/>
  <c r="V140" i="21"/>
  <c r="V129" i="21"/>
  <c r="AB71" i="25"/>
  <c r="AB98" i="25"/>
  <c r="X29" i="25"/>
  <c r="X99" i="25"/>
  <c r="AA86" i="25"/>
  <c r="AB59" i="25"/>
  <c r="U325" i="3"/>
  <c r="AQ46" i="16" s="1"/>
  <c r="U326" i="3"/>
  <c r="U141" i="21"/>
  <c r="U144" i="21"/>
  <c r="U150" i="21" s="1"/>
  <c r="AC102" i="23"/>
  <c r="AD68" i="23"/>
  <c r="AC79" i="23"/>
  <c r="AC133" i="21"/>
  <c r="AC134" i="21" s="1"/>
  <c r="AC145" i="21"/>
  <c r="AA335" i="3"/>
  <c r="AB288" i="3"/>
  <c r="U239" i="3"/>
  <c r="U245" i="3"/>
  <c r="U147" i="3"/>
  <c r="U148" i="3" s="1"/>
  <c r="U100" i="15"/>
  <c r="S37" i="16"/>
  <c r="S87" i="16" s="1"/>
  <c r="Y114" i="15"/>
  <c r="Y113" i="15"/>
  <c r="Y237" i="3"/>
  <c r="W47" i="16" s="1"/>
  <c r="W43" i="16"/>
  <c r="AC271" i="3"/>
  <c r="AB276" i="3"/>
  <c r="AB319" i="3"/>
  <c r="AA120" i="27"/>
  <c r="AB83" i="27"/>
  <c r="AA84" i="27"/>
  <c r="AA100" i="27"/>
  <c r="AA98" i="27"/>
  <c r="DL98" i="3"/>
  <c r="DL95" i="3"/>
  <c r="DL96" i="3" s="1"/>
  <c r="DY90" i="3"/>
  <c r="DL102" i="3"/>
  <c r="DY102" i="3" s="1"/>
  <c r="DL110" i="3"/>
  <c r="EI90" i="3"/>
  <c r="R67" i="23"/>
  <c r="Q83" i="23"/>
  <c r="Q78" i="23"/>
  <c r="P81" i="23"/>
  <c r="P84" i="23"/>
  <c r="AC129" i="21"/>
  <c r="AB140" i="21"/>
  <c r="AB123" i="21"/>
  <c r="AD67" i="23"/>
  <c r="AC72" i="23"/>
  <c r="P98" i="27"/>
  <c r="P102" i="27"/>
  <c r="P103" i="27" s="1"/>
  <c r="U98" i="27"/>
  <c r="BX30" i="21"/>
  <c r="BY30" i="21" s="1"/>
  <c r="BZ30" i="21" s="1"/>
  <c r="CA30" i="21" s="1"/>
  <c r="CB30" i="21" s="1"/>
  <c r="CC30" i="21" s="1"/>
  <c r="CD30" i="21" s="1"/>
  <c r="CE30" i="21" s="1"/>
  <c r="CF30" i="21" s="1"/>
  <c r="CG30" i="21" s="1"/>
  <c r="CH30" i="21" s="1"/>
  <c r="CI30" i="21" s="1"/>
  <c r="BW46" i="21"/>
  <c r="T130" i="25"/>
  <c r="T137" i="25"/>
  <c r="T139" i="25"/>
  <c r="T140" i="25" s="1"/>
  <c r="P189" i="25"/>
  <c r="P192" i="25"/>
  <c r="P198" i="25" s="1"/>
  <c r="U62" i="21"/>
  <c r="U88" i="21"/>
  <c r="W95" i="17"/>
  <c r="W86" i="17"/>
  <c r="W81" i="23"/>
  <c r="W84" i="23"/>
  <c r="Y76" i="3"/>
  <c r="AU61" i="16" s="1"/>
  <c r="W61" i="16"/>
  <c r="Z35" i="25"/>
  <c r="Z49" i="3"/>
  <c r="X137" i="25"/>
  <c r="X138" i="25" s="1"/>
  <c r="X133" i="25"/>
  <c r="AH172" i="25"/>
  <c r="AG178" i="25"/>
  <c r="Y175" i="25"/>
  <c r="X181" i="25"/>
  <c r="Y209" i="25"/>
  <c r="X210" i="25"/>
  <c r="AD221" i="25"/>
  <c r="AC222" i="25"/>
  <c r="AA50" i="3"/>
  <c r="AB31" i="3"/>
  <c r="AB51" i="3" s="1"/>
  <c r="DI172" i="3"/>
  <c r="DH132" i="3"/>
  <c r="DH134" i="3"/>
  <c r="DH141" i="3" s="1"/>
  <c r="AD53" i="21"/>
  <c r="AC79" i="21"/>
  <c r="AA170" i="25"/>
  <c r="Z188" i="25"/>
  <c r="Z194" i="25"/>
  <c r="Z198" i="25" s="1"/>
  <c r="Q119" i="3"/>
  <c r="Q100" i="15"/>
  <c r="Q245" i="3"/>
  <c r="Q244" i="3" s="1"/>
  <c r="O52" i="16" s="1"/>
  <c r="Q147" i="3"/>
  <c r="Q148" i="3" s="1"/>
  <c r="Q149" i="3" s="1"/>
  <c r="Q150" i="3" s="1"/>
  <c r="Q151" i="3" s="1"/>
  <c r="Q75" i="15" s="1"/>
  <c r="Q239" i="3"/>
  <c r="Q242" i="3" s="1"/>
  <c r="Q243" i="3" s="1"/>
  <c r="O36" i="16"/>
  <c r="O37" i="16" s="1"/>
  <c r="Q65" i="15"/>
  <c r="Q66" i="15" s="1"/>
  <c r="T67" i="21"/>
  <c r="T93" i="21"/>
  <c r="T55" i="21"/>
  <c r="T105" i="27"/>
  <c r="T108" i="27"/>
  <c r="R103" i="23"/>
  <c r="S103" i="23" s="1"/>
  <c r="T103" i="23" s="1"/>
  <c r="U103" i="23" s="1"/>
  <c r="V103" i="23" s="1"/>
  <c r="W103" i="23" s="1"/>
  <c r="X103" i="23" s="1"/>
  <c r="Y103" i="23" s="1"/>
  <c r="Z103" i="23" s="1"/>
  <c r="AA103" i="23" s="1"/>
  <c r="AB103" i="23" s="1"/>
  <c r="EI39" i="3"/>
  <c r="DM82" i="3"/>
  <c r="Z104" i="15"/>
  <c r="Z234" i="3"/>
  <c r="AA177" i="3"/>
  <c r="AC147" i="21"/>
  <c r="AC115" i="21"/>
  <c r="AD110" i="21" s="1"/>
  <c r="U113" i="15"/>
  <c r="U114" i="15"/>
  <c r="V48" i="21"/>
  <c r="U87" i="21"/>
  <c r="U61" i="21"/>
  <c r="V82" i="23"/>
  <c r="V86" i="23"/>
  <c r="V87" i="23" s="1"/>
  <c r="Z134" i="25"/>
  <c r="AA125" i="25"/>
  <c r="DM98" i="3"/>
  <c r="DY98" i="3" s="1"/>
  <c r="AA147" i="25"/>
  <c r="AA30" i="3"/>
  <c r="AA88" i="3" s="1"/>
  <c r="R83" i="16"/>
  <c r="DL108" i="3"/>
  <c r="Q83" i="16"/>
  <c r="AE183" i="25"/>
  <c r="AF174" i="25"/>
  <c r="AD216" i="25"/>
  <c r="AE214" i="25"/>
  <c r="EI89" i="3"/>
  <c r="DY39" i="3"/>
  <c r="P79" i="23"/>
  <c r="P88" i="23"/>
  <c r="P89" i="23" s="1"/>
  <c r="K216" i="3"/>
  <c r="U85" i="21"/>
  <c r="U59" i="21"/>
  <c r="U54" i="21"/>
  <c r="AA141" i="21"/>
  <c r="AA144" i="21"/>
  <c r="AA150" i="21" s="1"/>
  <c r="BZ37" i="23"/>
  <c r="BY48" i="23"/>
  <c r="BY54" i="23" s="1"/>
  <c r="U108" i="27"/>
  <c r="U105" i="27"/>
  <c r="AE160" i="21"/>
  <c r="AD162" i="21"/>
  <c r="AC321" i="3"/>
  <c r="AD259" i="3"/>
  <c r="BC46" i="21"/>
  <c r="BB72" i="21"/>
  <c r="AA89" i="25"/>
  <c r="AA103" i="25" s="1"/>
  <c r="AB62" i="25"/>
  <c r="S139" i="25"/>
  <c r="S140" i="25" s="1"/>
  <c r="S130" i="25"/>
  <c r="S137" i="25"/>
  <c r="W155" i="21"/>
  <c r="W156" i="21" s="1"/>
  <c r="X156" i="21" s="1"/>
  <c r="Y156" i="21" s="1"/>
  <c r="Z156" i="21" s="1"/>
  <c r="AA156" i="21" s="1"/>
  <c r="AB156" i="21" s="1"/>
  <c r="AC156" i="21" s="1"/>
  <c r="W131" i="21"/>
  <c r="Z48" i="23"/>
  <c r="Z54" i="23" s="1"/>
  <c r="AA43" i="23"/>
  <c r="W88" i="23"/>
  <c r="W89" i="23" s="1"/>
  <c r="W79" i="23"/>
  <c r="AA24" i="25"/>
  <c r="AA68" i="25"/>
  <c r="AA95" i="25"/>
  <c r="W182" i="25"/>
  <c r="W186" i="25"/>
  <c r="W187" i="25" s="1"/>
  <c r="AE256" i="3"/>
  <c r="Z92" i="17"/>
  <c r="Z78" i="3"/>
  <c r="AB66" i="21"/>
  <c r="AB92" i="21"/>
  <c r="Y192" i="25"/>
  <c r="Y189" i="25"/>
  <c r="Q325" i="3"/>
  <c r="AM46" i="16" s="1"/>
  <c r="Q326" i="3"/>
  <c r="AB208" i="25"/>
  <c r="O86" i="23"/>
  <c r="O87" i="23" s="1"/>
  <c r="O82" i="23"/>
  <c r="AC131" i="21"/>
  <c r="AD130" i="21"/>
  <c r="AC146" i="21"/>
  <c r="O98" i="27"/>
  <c r="O102" i="27"/>
  <c r="O103" i="27" s="1"/>
  <c r="T102" i="27"/>
  <c r="T103" i="27" s="1"/>
  <c r="T98" i="27"/>
  <c r="AA87" i="25"/>
  <c r="AA101" i="25" s="1"/>
  <c r="AB60" i="25"/>
  <c r="AZ53" i="21"/>
  <c r="AY79" i="21"/>
  <c r="AY92" i="21" s="1"/>
  <c r="R138" i="25"/>
  <c r="R143" i="25"/>
  <c r="R149" i="25" s="1"/>
  <c r="R150" i="25" s="1"/>
  <c r="P182" i="25"/>
  <c r="P186" i="25"/>
  <c r="P187" i="25" s="1"/>
  <c r="AD155" i="21"/>
  <c r="AE119" i="21"/>
  <c r="AD134" i="21"/>
  <c r="DK171" i="3"/>
  <c r="DJ150" i="3"/>
  <c r="DJ151" i="3" s="1"/>
  <c r="U105" i="15"/>
  <c r="V172" i="3"/>
  <c r="DJ172" i="3"/>
  <c r="Y139" i="25"/>
  <c r="Y140" i="25" s="1"/>
  <c r="Y132" i="25"/>
  <c r="Y135" i="25"/>
  <c r="W100" i="15"/>
  <c r="W147" i="3"/>
  <c r="W148" i="3" s="1"/>
  <c r="EJ148" i="3" s="1"/>
  <c r="W239" i="3"/>
  <c r="W242" i="3" s="1"/>
  <c r="X240" i="3" s="1"/>
  <c r="W245" i="3"/>
  <c r="DO220" i="3"/>
  <c r="EJ220" i="3" s="1"/>
  <c r="W65" i="15"/>
  <c r="W66" i="15" s="1"/>
  <c r="U36" i="16"/>
  <c r="U37" i="16" s="1"/>
  <c r="U81" i="16"/>
  <c r="U12" i="16"/>
  <c r="X23" i="23"/>
  <c r="X49" i="23"/>
  <c r="X53" i="23"/>
  <c r="Z50" i="27"/>
  <c r="Z19" i="27"/>
  <c r="S119" i="3"/>
  <c r="CE47" i="3"/>
  <c r="CE74" i="3" s="1"/>
  <c r="CE35" i="27"/>
  <c r="P106" i="17"/>
  <c r="P98" i="17"/>
  <c r="P100" i="17"/>
  <c r="P102" i="17"/>
  <c r="P105" i="17"/>
  <c r="P103" i="17"/>
  <c r="P99" i="17"/>
  <c r="P104" i="17"/>
  <c r="BI42" i="23"/>
  <c r="Y71" i="21"/>
  <c r="Z45" i="21"/>
  <c r="AD30" i="27"/>
  <c r="AD56" i="27"/>
  <c r="CF68" i="27"/>
  <c r="CF29" i="27"/>
  <c r="CF24" i="27"/>
  <c r="Y320" i="3"/>
  <c r="Y305" i="3"/>
  <c r="AU10" i="16"/>
  <c r="Z103" i="3"/>
  <c r="Y104" i="3"/>
  <c r="Y63" i="15" s="1"/>
  <c r="Y211" i="3"/>
  <c r="X46" i="3"/>
  <c r="DQ46" i="3" s="1"/>
  <c r="X34" i="27"/>
  <c r="X25" i="27"/>
  <c r="AQ69" i="25"/>
  <c r="AP82" i="25"/>
  <c r="AP96" i="25" s="1"/>
  <c r="K57" i="23"/>
  <c r="K7" i="3"/>
  <c r="L6" i="3"/>
  <c r="K108" i="25"/>
  <c r="K72" i="27"/>
  <c r="X38" i="16"/>
  <c r="Z230" i="3"/>
  <c r="X41" i="16" s="1"/>
  <c r="Z64" i="15"/>
  <c r="P101" i="17"/>
  <c r="AC20" i="27"/>
  <c r="AC27" i="3" s="1"/>
  <c r="AD48" i="27"/>
  <c r="AD20" i="27" s="1"/>
  <c r="AD27" i="3" s="1"/>
  <c r="AV71" i="21"/>
  <c r="AW45" i="21"/>
  <c r="S147" i="3"/>
  <c r="S100" i="15"/>
  <c r="S239" i="3"/>
  <c r="S241" i="3" s="1"/>
  <c r="S242" i="3" s="1"/>
  <c r="S245" i="3"/>
  <c r="S244" i="3" s="1"/>
  <c r="Y42" i="23"/>
  <c r="Y47" i="23" s="1"/>
  <c r="X44" i="23"/>
  <c r="O239" i="3"/>
  <c r="O242" i="3" s="1"/>
  <c r="O243" i="3" s="1"/>
  <c r="O147" i="3"/>
  <c r="O148" i="3" s="1"/>
  <c r="O149" i="3" s="1"/>
  <c r="O150" i="3" s="1"/>
  <c r="O151" i="3" s="1"/>
  <c r="O75" i="15" s="1"/>
  <c r="O245" i="3"/>
  <c r="O244" i="3" s="1"/>
  <c r="M52" i="16" s="1"/>
  <c r="O100" i="15"/>
  <c r="X97" i="21"/>
  <c r="X84" i="21"/>
  <c r="X58" i="21"/>
  <c r="X23" i="21"/>
  <c r="S206" i="3"/>
  <c r="X101" i="21"/>
  <c r="X88" i="21"/>
  <c r="X39" i="23"/>
  <c r="X25" i="3"/>
  <c r="CH55" i="27"/>
  <c r="CG61" i="27"/>
  <c r="AA223" i="3"/>
  <c r="AA198" i="3"/>
  <c r="DP253" i="3"/>
  <c r="DP85" i="3"/>
  <c r="DP145" i="3"/>
  <c r="DP21" i="3"/>
  <c r="DP164" i="3"/>
  <c r="DP208" i="3"/>
  <c r="DP41" i="3"/>
  <c r="DP68" i="3"/>
  <c r="Y23" i="27"/>
  <c r="Y54" i="27"/>
  <c r="Y57" i="27" s="1"/>
  <c r="Y63" i="27"/>
  <c r="Y70" i="27" s="1"/>
  <c r="Y27" i="27"/>
  <c r="Y67" i="27"/>
  <c r="Z60" i="27"/>
  <c r="DO145" i="3"/>
  <c r="DO21" i="3"/>
  <c r="DO41" i="3"/>
  <c r="DO68" i="3"/>
  <c r="DO208" i="3"/>
  <c r="DO253" i="3"/>
  <c r="DO164" i="3"/>
  <c r="DO85" i="3"/>
  <c r="DQ3" i="3"/>
  <c r="M106" i="17"/>
  <c r="M105" i="17"/>
  <c r="M102" i="17"/>
  <c r="M103" i="17"/>
  <c r="M99" i="17"/>
  <c r="M101" i="17"/>
  <c r="M104" i="17"/>
  <c r="M98" i="17"/>
  <c r="M100" i="17"/>
  <c r="U69" i="25"/>
  <c r="V55" i="25"/>
  <c r="AE62" i="27"/>
  <c r="AF49" i="27"/>
  <c r="W88" i="16"/>
  <c r="W40" i="16"/>
  <c r="DW95" i="3"/>
  <c r="N100" i="17"/>
  <c r="N105" i="17"/>
  <c r="N102" i="17"/>
  <c r="N106" i="17"/>
  <c r="N98" i="17"/>
  <c r="N103" i="17"/>
  <c r="N99" i="17"/>
  <c r="N104" i="17"/>
  <c r="AU97" i="21"/>
  <c r="S65" i="15"/>
  <c r="S66" i="15" s="1"/>
  <c r="Q36" i="16"/>
  <c r="Q37" i="16" s="1"/>
  <c r="M36" i="16"/>
  <c r="M37" i="16" s="1"/>
  <c r="O65" i="15"/>
  <c r="O66" i="15" s="1"/>
  <c r="Z49" i="21"/>
  <c r="Y75" i="21"/>
  <c r="Y38" i="23"/>
  <c r="Y19" i="23"/>
  <c r="O325" i="3"/>
  <c r="AK46" i="16" s="1"/>
  <c r="O326" i="3"/>
  <c r="O119" i="3"/>
  <c r="AB194" i="3"/>
  <c r="AC193" i="3"/>
  <c r="AB246" i="3"/>
  <c r="Y21" i="27"/>
  <c r="Y51" i="27" s="1"/>
  <c r="Y26" i="3"/>
  <c r="W9" i="16" s="1"/>
  <c r="S325" i="3"/>
  <c r="AO46" i="16" s="1"/>
  <c r="S326" i="3"/>
  <c r="DU101" i="3"/>
  <c r="EA90" i="3"/>
  <c r="O101" i="17"/>
  <c r="O104" i="17"/>
  <c r="O102" i="17"/>
  <c r="O105" i="17"/>
  <c r="O103" i="17"/>
  <c r="O98" i="17"/>
  <c r="O106" i="17"/>
  <c r="O100" i="17"/>
  <c r="O99" i="17"/>
  <c r="DL147" i="3"/>
  <c r="DL149" i="3" s="1"/>
  <c r="DL150" i="3" s="1"/>
  <c r="DL151" i="3" s="1"/>
  <c r="DL239" i="3"/>
  <c r="DL121" i="3"/>
  <c r="DL123" i="3" s="1"/>
  <c r="DL120" i="3"/>
  <c r="N119" i="3"/>
  <c r="N83" i="16"/>
  <c r="L83" i="16"/>
  <c r="N325" i="3"/>
  <c r="AJ46" i="16" s="1"/>
  <c r="N326" i="3"/>
  <c r="AD38" i="3"/>
  <c r="CM36" i="23"/>
  <c r="CL47" i="23"/>
  <c r="CL53" i="23" s="1"/>
  <c r="AO8" i="43"/>
  <c r="AB83" i="26"/>
  <c r="I83" i="26" s="1"/>
  <c r="K83" i="26" s="1"/>
  <c r="T65" i="15"/>
  <c r="T66" i="15" s="1"/>
  <c r="R36" i="16"/>
  <c r="R37" i="16" s="1"/>
  <c r="AY50" i="21"/>
  <c r="K83" i="16"/>
  <c r="M325" i="3"/>
  <c r="AI46" i="16" s="1"/>
  <c r="M326" i="3"/>
  <c r="M65" i="15"/>
  <c r="M66" i="15" s="1"/>
  <c r="M221" i="3"/>
  <c r="K36" i="16"/>
  <c r="K37" i="16" s="1"/>
  <c r="T120" i="3"/>
  <c r="T204" i="3" s="1"/>
  <c r="T205" i="3" s="1"/>
  <c r="T121" i="3"/>
  <c r="T123" i="3" s="1"/>
  <c r="R28" i="16" s="1"/>
  <c r="AX82" i="27"/>
  <c r="W161" i="3"/>
  <c r="CB43" i="23"/>
  <c r="Z110" i="27"/>
  <c r="Z115" i="27" s="1"/>
  <c r="Z104" i="27"/>
  <c r="AA93" i="27"/>
  <c r="AA104" i="27" s="1"/>
  <c r="AU102" i="21"/>
  <c r="AU89" i="21"/>
  <c r="T326" i="3"/>
  <c r="T325" i="3"/>
  <c r="AP46" i="16" s="1"/>
  <c r="T221" i="3"/>
  <c r="M127" i="3"/>
  <c r="M128" i="3" s="1"/>
  <c r="M120" i="3"/>
  <c r="M121" i="3"/>
  <c r="AH167" i="21"/>
  <c r="AG168" i="21"/>
  <c r="AA87" i="27"/>
  <c r="AB94" i="27"/>
  <c r="AA95" i="27"/>
  <c r="AA102" i="27"/>
  <c r="AA103" i="27" s="1"/>
  <c r="T122" i="3"/>
  <c r="T206" i="3"/>
  <c r="Y105" i="27"/>
  <c r="Y108" i="27"/>
  <c r="AW63" i="21"/>
  <c r="AV76" i="21"/>
  <c r="U307" i="3"/>
  <c r="U308" i="3"/>
  <c r="V307" i="3" s="1"/>
  <c r="V100" i="15"/>
  <c r="V245" i="3"/>
  <c r="V147" i="3"/>
  <c r="V239" i="3"/>
  <c r="Z113" i="25"/>
  <c r="Z112" i="25"/>
  <c r="DE110" i="3"/>
  <c r="DU110" i="3" s="1"/>
  <c r="DE116" i="3"/>
  <c r="DU109" i="3"/>
  <c r="DK96" i="3"/>
  <c r="DX95" i="3"/>
  <c r="EH95" i="3"/>
  <c r="DK108" i="3"/>
  <c r="DX108" i="3" s="1"/>
  <c r="DK114" i="3"/>
  <c r="DX107" i="3"/>
  <c r="EH107" i="3"/>
  <c r="DJ213" i="3"/>
  <c r="K69" i="15"/>
  <c r="K3" i="17"/>
  <c r="K4" i="17" s="1"/>
  <c r="K21" i="15"/>
  <c r="K5" i="25"/>
  <c r="K206" i="25"/>
  <c r="K3" i="25"/>
  <c r="K3" i="21"/>
  <c r="K158" i="21"/>
  <c r="K83" i="17"/>
  <c r="K29" i="17"/>
  <c r="K17" i="27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BI3" i="23" s="1"/>
  <c r="BJ3" i="23" s="1"/>
  <c r="BK3" i="23" s="1"/>
  <c r="BL3" i="23" s="1"/>
  <c r="BM3" i="23" s="1"/>
  <c r="BN3" i="23" s="1"/>
  <c r="BO3" i="23" s="1"/>
  <c r="BP3" i="23" s="1"/>
  <c r="BQ3" i="23" s="1"/>
  <c r="BR3" i="23" s="1"/>
  <c r="BS3" i="23" s="1"/>
  <c r="BT3" i="23" s="1"/>
  <c r="BU3" i="23" s="1"/>
  <c r="BV3" i="23" s="1"/>
  <c r="BW3" i="23" s="1"/>
  <c r="BX3" i="23" s="1"/>
  <c r="BY3" i="23" s="1"/>
  <c r="BZ3" i="23" s="1"/>
  <c r="CA3" i="23" s="1"/>
  <c r="CB3" i="23" s="1"/>
  <c r="CC3" i="23" s="1"/>
  <c r="CD3" i="23" s="1"/>
  <c r="CE3" i="23" s="1"/>
  <c r="CF3" i="23" s="1"/>
  <c r="CG3" i="23" s="1"/>
  <c r="CH3" i="23" s="1"/>
  <c r="CI3" i="23" s="1"/>
  <c r="CJ3" i="23" s="1"/>
  <c r="CK3" i="23" s="1"/>
  <c r="CL3" i="23" s="1"/>
  <c r="CM3" i="23" s="1"/>
  <c r="CN3" i="23" s="1"/>
  <c r="CO3" i="23" s="1"/>
  <c r="CP3" i="23" s="1"/>
  <c r="K108" i="21"/>
  <c r="K5" i="27"/>
  <c r="K19" i="21"/>
  <c r="K3" i="15"/>
  <c r="K4" i="15" s="1"/>
  <c r="K212" i="25"/>
  <c r="K95" i="15"/>
  <c r="K6" i="17"/>
  <c r="K3" i="27"/>
  <c r="K37" i="17"/>
  <c r="K17" i="23"/>
  <c r="K157" i="25"/>
  <c r="K218" i="25"/>
  <c r="K5" i="23"/>
  <c r="K313" i="3"/>
  <c r="K200" i="3"/>
  <c r="K153" i="3"/>
  <c r="K9" i="3"/>
  <c r="K6" i="15"/>
  <c r="K164" i="21"/>
  <c r="K253" i="3"/>
  <c r="K164" i="3"/>
  <c r="K68" i="3"/>
  <c r="L3" i="3"/>
  <c r="K54" i="15"/>
  <c r="K22" i="17"/>
  <c r="K329" i="3"/>
  <c r="K208" i="3"/>
  <c r="K85" i="3"/>
  <c r="K21" i="3"/>
  <c r="K41" i="3"/>
  <c r="K182" i="3"/>
  <c r="K5" i="21"/>
  <c r="K145" i="3"/>
  <c r="K300" i="3"/>
  <c r="K17" i="25"/>
  <c r="AN167" i="25"/>
  <c r="DH127" i="3"/>
  <c r="DH123" i="3" s="1"/>
  <c r="DY214" i="3"/>
  <c r="AB29" i="27"/>
  <c r="AB68" i="27"/>
  <c r="AB24" i="27"/>
  <c r="AB93" i="3"/>
  <c r="BB56" i="25"/>
  <c r="BA83" i="25"/>
  <c r="BA97" i="25" s="1"/>
  <c r="AA88" i="17"/>
  <c r="AA62" i="3"/>
  <c r="AK62" i="25"/>
  <c r="AJ89" i="25"/>
  <c r="AJ103" i="25" s="1"/>
  <c r="R100" i="15"/>
  <c r="R239" i="3"/>
  <c r="R147" i="3"/>
  <c r="R245" i="3"/>
  <c r="R244" i="3" s="1"/>
  <c r="AB84" i="23"/>
  <c r="AB88" i="23"/>
  <c r="AB89" i="23" s="1"/>
  <c r="AB81" i="23"/>
  <c r="DZ107" i="3"/>
  <c r="DO108" i="3"/>
  <c r="DZ108" i="3" s="1"/>
  <c r="EJ107" i="3"/>
  <c r="AQ103" i="21"/>
  <c r="AQ90" i="21"/>
  <c r="DG114" i="3"/>
  <c r="DG108" i="3"/>
  <c r="DV108" i="3" s="1"/>
  <c r="DV107" i="3"/>
  <c r="AB52" i="3"/>
  <c r="AC32" i="3"/>
  <c r="AB30" i="3"/>
  <c r="AB88" i="3" s="1"/>
  <c r="AT38" i="16"/>
  <c r="AT24" i="16"/>
  <c r="W149" i="3"/>
  <c r="P325" i="3"/>
  <c r="AL46" i="16" s="1"/>
  <c r="P326" i="3"/>
  <c r="P119" i="3"/>
  <c r="AD65" i="21"/>
  <c r="AC78" i="21"/>
  <c r="CI38" i="25"/>
  <c r="CJ38" i="25" s="1"/>
  <c r="CK38" i="25" s="1"/>
  <c r="CL38" i="25" s="1"/>
  <c r="CM38" i="25" s="1"/>
  <c r="CN38" i="25" s="1"/>
  <c r="CO38" i="25" s="1"/>
  <c r="CP38" i="25" s="1"/>
  <c r="CH60" i="25"/>
  <c r="P100" i="15"/>
  <c r="P239" i="3"/>
  <c r="P242" i="3" s="1"/>
  <c r="P243" i="3" s="1"/>
  <c r="P147" i="3"/>
  <c r="P245" i="3"/>
  <c r="P244" i="3" s="1"/>
  <c r="N52" i="16" s="1"/>
  <c r="DJ135" i="3"/>
  <c r="Z111" i="25"/>
  <c r="BY60" i="25"/>
  <c r="BX87" i="25"/>
  <c r="BX101" i="25" s="1"/>
  <c r="DM114" i="3"/>
  <c r="EI114" i="3" s="1"/>
  <c r="DY107" i="3"/>
  <c r="DM108" i="3"/>
  <c r="AD55" i="27"/>
  <c r="AC61" i="27"/>
  <c r="T36" i="16"/>
  <c r="T37" i="16" s="1"/>
  <c r="V65" i="15"/>
  <c r="V66" i="15" s="1"/>
  <c r="DM220" i="3"/>
  <c r="DM221" i="3" s="1"/>
  <c r="AK52" i="21"/>
  <c r="X16" i="17"/>
  <c r="X160" i="3" s="1"/>
  <c r="X159" i="3"/>
  <c r="Y17" i="17"/>
  <c r="X19" i="17"/>
  <c r="X158" i="3" s="1"/>
  <c r="X162" i="3" s="1"/>
  <c r="R326" i="3"/>
  <c r="R325" i="3"/>
  <c r="AN46" i="16" s="1"/>
  <c r="AA35" i="27"/>
  <c r="AA47" i="3"/>
  <c r="AA74" i="3" s="1"/>
  <c r="DZ214" i="3"/>
  <c r="EJ214" i="3"/>
  <c r="V121" i="3"/>
  <c r="V120" i="3"/>
  <c r="AC62" i="21"/>
  <c r="DI108" i="3"/>
  <c r="DW108" i="3" s="1"/>
  <c r="DI114" i="3"/>
  <c r="DW107" i="3"/>
  <c r="AB27" i="21"/>
  <c r="AB89" i="21"/>
  <c r="AB63" i="21"/>
  <c r="AB102" i="21"/>
  <c r="AO166" i="21"/>
  <c r="AS55" i="25"/>
  <c r="Z111" i="15"/>
  <c r="W3" i="16"/>
  <c r="AU3" i="16" s="1"/>
  <c r="AU23" i="16" s="1"/>
  <c r="AA82" i="23"/>
  <c r="AA86" i="23"/>
  <c r="AA87" i="23" s="1"/>
  <c r="T83" i="16"/>
  <c r="CF62" i="25"/>
  <c r="CE89" i="25"/>
  <c r="CE103" i="25" s="1"/>
  <c r="DL128" i="3"/>
  <c r="DL126" i="3"/>
  <c r="X304" i="3"/>
  <c r="X303" i="3"/>
  <c r="DO109" i="3"/>
  <c r="EJ101" i="3"/>
  <c r="DZ101" i="3"/>
  <c r="V116" i="3"/>
  <c r="V110" i="3"/>
  <c r="AJ74" i="23"/>
  <c r="CP42" i="23"/>
  <c r="AD46" i="21"/>
  <c r="AC72" i="21"/>
  <c r="DE96" i="3"/>
  <c r="DU96" i="3" s="1"/>
  <c r="DU95" i="3"/>
  <c r="AA154" i="25"/>
  <c r="AB119" i="25"/>
  <c r="AB147" i="25" s="1"/>
  <c r="AA130" i="25"/>
  <c r="AH35" i="3"/>
  <c r="BB57" i="25"/>
  <c r="DM109" i="3"/>
  <c r="EI109" i="3" s="1"/>
  <c r="DY101" i="3"/>
  <c r="R119" i="3"/>
  <c r="DU114" i="3"/>
  <c r="DO96" i="3"/>
  <c r="DZ95" i="3"/>
  <c r="EJ95" i="3"/>
  <c r="AC76" i="21"/>
  <c r="AD50" i="21"/>
  <c r="X59" i="16"/>
  <c r="Z74" i="3"/>
  <c r="AV59" i="16" s="1"/>
  <c r="EH214" i="3"/>
  <c r="DX214" i="3"/>
  <c r="DK221" i="3"/>
  <c r="N36" i="16"/>
  <c r="N37" i="16" s="1"/>
  <c r="P65" i="15"/>
  <c r="P66" i="15" s="1"/>
  <c r="U128" i="3"/>
  <c r="U126" i="3"/>
  <c r="DG109" i="3"/>
  <c r="DV101" i="3"/>
  <c r="CR134" i="3"/>
  <c r="W135" i="3"/>
  <c r="W141" i="3"/>
  <c r="U29" i="16"/>
  <c r="DI109" i="3"/>
  <c r="DW101" i="3"/>
  <c r="DM96" i="3"/>
  <c r="AB85" i="21"/>
  <c r="AB24" i="21"/>
  <c r="AB98" i="21"/>
  <c r="EI214" i="3"/>
  <c r="AI78" i="23"/>
  <c r="AS49" i="16"/>
  <c r="U27" i="16"/>
  <c r="U84" i="16"/>
  <c r="AK60" i="25"/>
  <c r="AJ87" i="25"/>
  <c r="AJ101" i="25" s="1"/>
  <c r="DK109" i="3"/>
  <c r="DX101" i="3"/>
  <c r="EH101" i="3"/>
  <c r="P36" i="16"/>
  <c r="P37" i="16" s="1"/>
  <c r="R65" i="15"/>
  <c r="R66" i="15" s="1"/>
  <c r="CP157" i="3"/>
  <c r="AD73" i="23"/>
  <c r="AC83" i="23"/>
  <c r="EI107" i="3"/>
  <c r="V326" i="3"/>
  <c r="V325" i="3"/>
  <c r="AR46" i="16" s="1"/>
  <c r="AQ90" i="25"/>
  <c r="AR63" i="25"/>
  <c r="AS51" i="21"/>
  <c r="AR77" i="21"/>
  <c r="AA79" i="3"/>
  <c r="AA93" i="17"/>
  <c r="AH220" i="25"/>
  <c r="BA90" i="25"/>
  <c r="BB63" i="25"/>
  <c r="AB104" i="21"/>
  <c r="AB91" i="21"/>
  <c r="DF127" i="3"/>
  <c r="DF128" i="3" s="1"/>
  <c r="AU23" i="21" l="1"/>
  <c r="AC138" i="21"/>
  <c r="AC139" i="21" s="1"/>
  <c r="AA121" i="27"/>
  <c r="AC103" i="23"/>
  <c r="I29" i="16"/>
  <c r="AG49" i="16"/>
  <c r="I84" i="16"/>
  <c r="AC70" i="25"/>
  <c r="AB83" i="25"/>
  <c r="AB97" i="25" s="1"/>
  <c r="DY108" i="3"/>
  <c r="AF51" i="21"/>
  <c r="AF77" i="21" s="1"/>
  <c r="AF90" i="21" s="1"/>
  <c r="AA77" i="3"/>
  <c r="DY96" i="3"/>
  <c r="AA155" i="25"/>
  <c r="AD136" i="21"/>
  <c r="DZ113" i="3"/>
  <c r="Z146" i="25"/>
  <c r="AB204" i="25"/>
  <c r="AC150" i="21"/>
  <c r="AC151" i="21" s="1"/>
  <c r="DQ73" i="3"/>
  <c r="AF60" i="21"/>
  <c r="AE73" i="21"/>
  <c r="AC196" i="25"/>
  <c r="AD86" i="21"/>
  <c r="AD99" i="21"/>
  <c r="AD26" i="21"/>
  <c r="AB164" i="25"/>
  <c r="AC159" i="25" s="1"/>
  <c r="AB195" i="25"/>
  <c r="AC203" i="25"/>
  <c r="AD168" i="25"/>
  <c r="AC179" i="25"/>
  <c r="AC184" i="25"/>
  <c r="AY56" i="27"/>
  <c r="AY30" i="27"/>
  <c r="AD90" i="21"/>
  <c r="AD103" i="21"/>
  <c r="DQ267" i="3"/>
  <c r="X309" i="3"/>
  <c r="X322" i="3"/>
  <c r="X323" i="3" s="1"/>
  <c r="BA49" i="27"/>
  <c r="AZ19" i="27"/>
  <c r="AZ26" i="3" s="1"/>
  <c r="AZ62" i="27"/>
  <c r="AG17" i="21"/>
  <c r="AF20" i="17"/>
  <c r="AE103" i="21"/>
  <c r="AE90" i="21"/>
  <c r="EJ112" i="3"/>
  <c r="V8" i="16"/>
  <c r="DQ25" i="3"/>
  <c r="S49" i="16"/>
  <c r="S52" i="16" s="1"/>
  <c r="S48" i="16"/>
  <c r="S90" i="16" s="1"/>
  <c r="U149" i="3"/>
  <c r="U150" i="3" s="1"/>
  <c r="U151" i="3" s="1"/>
  <c r="U75" i="15" s="1"/>
  <c r="DK148" i="3"/>
  <c r="EH148" i="3" s="1"/>
  <c r="AB335" i="3"/>
  <c r="AC288" i="3"/>
  <c r="AA100" i="25"/>
  <c r="AA30" i="25"/>
  <c r="AA73" i="25"/>
  <c r="V144" i="21"/>
  <c r="V150" i="21" s="1"/>
  <c r="V141" i="21"/>
  <c r="Q138" i="21"/>
  <c r="Q139" i="21" s="1"/>
  <c r="Q134" i="21"/>
  <c r="EH220" i="3"/>
  <c r="BG36" i="23"/>
  <c r="BF47" i="23"/>
  <c r="BF53" i="23" s="1"/>
  <c r="CH20" i="27"/>
  <c r="CH27" i="3" s="1"/>
  <c r="CH50" i="27"/>
  <c r="CI48" i="27"/>
  <c r="DZ112" i="3"/>
  <c r="EA112" i="3" s="1"/>
  <c r="DN114" i="3"/>
  <c r="DN116" i="3"/>
  <c r="DN122" i="3" s="1"/>
  <c r="EJ113" i="3"/>
  <c r="Z85" i="25"/>
  <c r="AA58" i="25"/>
  <c r="AC98" i="25"/>
  <c r="AC71" i="25"/>
  <c r="W145" i="21"/>
  <c r="W133" i="21"/>
  <c r="AG99" i="27"/>
  <c r="AG97" i="27" s="1"/>
  <c r="AH89" i="27"/>
  <c r="U244" i="3"/>
  <c r="S91" i="16" s="1"/>
  <c r="U250" i="3"/>
  <c r="AE68" i="23"/>
  <c r="AD102" i="23"/>
  <c r="AD79" i="23"/>
  <c r="AC59" i="25"/>
  <c r="AB86" i="25"/>
  <c r="AC9" i="17"/>
  <c r="AD272" i="3"/>
  <c r="AF289" i="3"/>
  <c r="AE336" i="3"/>
  <c r="AB81" i="3"/>
  <c r="AC37" i="3"/>
  <c r="AB34" i="3"/>
  <c r="AB89" i="3" s="1"/>
  <c r="AF125" i="21"/>
  <c r="AE135" i="21"/>
  <c r="AE133" i="21" s="1"/>
  <c r="AQ49" i="16"/>
  <c r="S84" i="16"/>
  <c r="S27" i="16"/>
  <c r="Z90" i="17"/>
  <c r="Z64" i="3"/>
  <c r="Y29" i="25"/>
  <c r="Y99" i="25"/>
  <c r="AE57" i="25"/>
  <c r="AD84" i="25"/>
  <c r="AE63" i="25"/>
  <c r="AD90" i="25"/>
  <c r="W129" i="21"/>
  <c r="W146" i="21"/>
  <c r="W150" i="21" s="1"/>
  <c r="W140" i="21"/>
  <c r="W46" i="16"/>
  <c r="W89" i="16"/>
  <c r="U87" i="16"/>
  <c r="U49" i="16"/>
  <c r="U52" i="16" s="1"/>
  <c r="U48" i="16"/>
  <c r="U90" i="16" s="1"/>
  <c r="Y137" i="25"/>
  <c r="Y138" i="25" s="1"/>
  <c r="Y133" i="25"/>
  <c r="DK172" i="3"/>
  <c r="DJ132" i="3"/>
  <c r="DJ134" i="3"/>
  <c r="DJ141" i="3" s="1"/>
  <c r="AB87" i="25"/>
  <c r="AB101" i="25" s="1"/>
  <c r="AC60" i="25"/>
  <c r="AD146" i="21"/>
  <c r="AE130" i="21"/>
  <c r="AD131" i="21"/>
  <c r="AD138" i="21"/>
  <c r="AD139" i="21" s="1"/>
  <c r="AF256" i="3"/>
  <c r="AA48" i="23"/>
  <c r="AA54" i="23" s="1"/>
  <c r="AB43" i="23"/>
  <c r="S138" i="25"/>
  <c r="S143" i="25"/>
  <c r="S149" i="25" s="1"/>
  <c r="S150" i="25" s="1"/>
  <c r="BD46" i="21"/>
  <c r="BC72" i="21"/>
  <c r="AF160" i="21"/>
  <c r="AE162" i="21"/>
  <c r="CA37" i="23"/>
  <c r="BZ48" i="23"/>
  <c r="BZ54" i="23" s="1"/>
  <c r="K220" i="3"/>
  <c r="I34" i="16"/>
  <c r="AE216" i="25"/>
  <c r="AF214" i="25"/>
  <c r="AG174" i="25"/>
  <c r="AF183" i="25"/>
  <c r="Z139" i="25"/>
  <c r="Z140" i="25" s="1"/>
  <c r="Z132" i="25"/>
  <c r="Z135" i="25"/>
  <c r="AD112" i="21"/>
  <c r="AD113" i="21"/>
  <c r="AD145" i="21"/>
  <c r="AD111" i="21"/>
  <c r="Z237" i="3"/>
  <c r="X47" i="16" s="1"/>
  <c r="X43" i="16"/>
  <c r="AM51" i="16"/>
  <c r="O91" i="16"/>
  <c r="AM50" i="16"/>
  <c r="AA188" i="25"/>
  <c r="AB170" i="25"/>
  <c r="AA194" i="25"/>
  <c r="AA198" i="25" s="1"/>
  <c r="AD79" i="21"/>
  <c r="AE53" i="21"/>
  <c r="AC31" i="3"/>
  <c r="AC51" i="3" s="1"/>
  <c r="X182" i="25"/>
  <c r="X186" i="25"/>
  <c r="X187" i="25" s="1"/>
  <c r="X61" i="16"/>
  <c r="Z76" i="3"/>
  <c r="AV61" i="16" s="1"/>
  <c r="W106" i="17"/>
  <c r="W105" i="17"/>
  <c r="W102" i="17"/>
  <c r="W103" i="17"/>
  <c r="W99" i="17"/>
  <c r="W98" i="17"/>
  <c r="W100" i="17"/>
  <c r="W104" i="17"/>
  <c r="T138" i="25"/>
  <c r="T143" i="25"/>
  <c r="T149" i="25" s="1"/>
  <c r="T150" i="25" s="1"/>
  <c r="BX46" i="21"/>
  <c r="BW72" i="21"/>
  <c r="AC140" i="21"/>
  <c r="AD129" i="21"/>
  <c r="AC123" i="21"/>
  <c r="P82" i="23"/>
  <c r="P86" i="23"/>
  <c r="P87" i="23" s="1"/>
  <c r="Q84" i="23"/>
  <c r="Q81" i="23"/>
  <c r="AA79" i="27"/>
  <c r="AB74" i="27" s="1"/>
  <c r="EI95" i="3"/>
  <c r="AD156" i="21"/>
  <c r="DY95" i="3"/>
  <c r="DO221" i="3"/>
  <c r="DO239" i="3" s="1"/>
  <c r="EJ239" i="3" s="1"/>
  <c r="V308" i="3"/>
  <c r="W250" i="3"/>
  <c r="W244" i="3"/>
  <c r="V105" i="15"/>
  <c r="W172" i="3"/>
  <c r="DL172" i="3"/>
  <c r="DL132" i="3" s="1"/>
  <c r="DM172" i="3"/>
  <c r="AE155" i="21"/>
  <c r="AF119" i="21"/>
  <c r="AE136" i="21"/>
  <c r="AE134" i="21"/>
  <c r="AE149" i="21"/>
  <c r="BA53" i="21"/>
  <c r="AZ79" i="21"/>
  <c r="AZ92" i="21" s="1"/>
  <c r="AC208" i="25"/>
  <c r="AA49" i="3"/>
  <c r="AA76" i="3" s="1"/>
  <c r="AA35" i="25"/>
  <c r="AB89" i="25"/>
  <c r="AB103" i="25" s="1"/>
  <c r="AC62" i="25"/>
  <c r="BB98" i="21"/>
  <c r="BB85" i="21"/>
  <c r="BB24" i="21"/>
  <c r="AE259" i="3"/>
  <c r="AD321" i="3"/>
  <c r="U93" i="21"/>
  <c r="U55" i="21"/>
  <c r="U67" i="21"/>
  <c r="K61" i="15"/>
  <c r="K62" i="15" s="1"/>
  <c r="AA134" i="25"/>
  <c r="AB125" i="25"/>
  <c r="V54" i="21"/>
  <c r="W48" i="21"/>
  <c r="V87" i="21"/>
  <c r="V61" i="21"/>
  <c r="AA180" i="3"/>
  <c r="AA168" i="3"/>
  <c r="AA170" i="3" s="1"/>
  <c r="AA179" i="3"/>
  <c r="Z113" i="15"/>
  <c r="Z114" i="15"/>
  <c r="O49" i="16"/>
  <c r="O48" i="16"/>
  <c r="O90" i="16" s="1"/>
  <c r="O87" i="16"/>
  <c r="Q133" i="3"/>
  <c r="Q118" i="3"/>
  <c r="Q134" i="3"/>
  <c r="AM31" i="16" s="1"/>
  <c r="Z192" i="25"/>
  <c r="Z189" i="25"/>
  <c r="AC92" i="21"/>
  <c r="AC66" i="21"/>
  <c r="AA92" i="17"/>
  <c r="AA78" i="3"/>
  <c r="AE221" i="25"/>
  <c r="AD222" i="25"/>
  <c r="Z209" i="25"/>
  <c r="Y210" i="25"/>
  <c r="Z175" i="25"/>
  <c r="Y181" i="25"/>
  <c r="AI172" i="25"/>
  <c r="AH178" i="25"/>
  <c r="W86" i="23"/>
  <c r="W87" i="23" s="1"/>
  <c r="W82" i="23"/>
  <c r="W101" i="17"/>
  <c r="CI48" i="21"/>
  <c r="CJ30" i="21"/>
  <c r="CK30" i="21" s="1"/>
  <c r="CL30" i="21" s="1"/>
  <c r="CM30" i="21" s="1"/>
  <c r="CN30" i="21" s="1"/>
  <c r="CO30" i="21" s="1"/>
  <c r="CP30" i="21" s="1"/>
  <c r="CI49" i="21"/>
  <c r="AE67" i="23"/>
  <c r="AD72" i="23"/>
  <c r="AB141" i="21"/>
  <c r="AB144" i="21"/>
  <c r="AB150" i="21" s="1"/>
  <c r="Q79" i="23"/>
  <c r="Q88" i="23"/>
  <c r="Q89" i="23" s="1"/>
  <c r="R78" i="23"/>
  <c r="R79" i="23" s="1"/>
  <c r="R83" i="23"/>
  <c r="AB120" i="27"/>
  <c r="AB121" i="27" s="1"/>
  <c r="AB84" i="27"/>
  <c r="AC83" i="27"/>
  <c r="AB100" i="27"/>
  <c r="AB98" i="27"/>
  <c r="AD271" i="3"/>
  <c r="AC276" i="3"/>
  <c r="AC319" i="3"/>
  <c r="M48" i="16"/>
  <c r="M90" i="16" s="1"/>
  <c r="M49" i="16"/>
  <c r="M87" i="16"/>
  <c r="AD193" i="3"/>
  <c r="AC246" i="3"/>
  <c r="AC194" i="3"/>
  <c r="AE56" i="27"/>
  <c r="AE30" i="27"/>
  <c r="DQ21" i="3"/>
  <c r="DQ41" i="3"/>
  <c r="DQ164" i="3"/>
  <c r="DQ208" i="3"/>
  <c r="DQ253" i="3"/>
  <c r="DQ145" i="3"/>
  <c r="DQ68" i="3"/>
  <c r="DQ85" i="3"/>
  <c r="Y25" i="27"/>
  <c r="Y46" i="3"/>
  <c r="Y34" i="27"/>
  <c r="CI55" i="27"/>
  <c r="CH61" i="27"/>
  <c r="AX45" i="21"/>
  <c r="AW71" i="21"/>
  <c r="AR69" i="25"/>
  <c r="AQ82" i="25"/>
  <c r="AQ96" i="25" s="1"/>
  <c r="Y97" i="21"/>
  <c r="Y58" i="21"/>
  <c r="Y84" i="21"/>
  <c r="Y23" i="21"/>
  <c r="BJ42" i="23"/>
  <c r="AB198" i="3"/>
  <c r="AB223" i="3"/>
  <c r="Y88" i="21"/>
  <c r="Y101" i="21"/>
  <c r="Q87" i="16"/>
  <c r="Q48" i="16"/>
  <c r="Q90" i="16" s="1"/>
  <c r="Q49" i="16"/>
  <c r="Q52" i="16" s="1"/>
  <c r="V69" i="25"/>
  <c r="W55" i="25"/>
  <c r="S243" i="3"/>
  <c r="T240" i="3"/>
  <c r="AV23" i="21"/>
  <c r="AV97" i="21"/>
  <c r="AV84" i="21"/>
  <c r="X73" i="3"/>
  <c r="AT58" i="16" s="1"/>
  <c r="V58" i="16"/>
  <c r="V16" i="16"/>
  <c r="W22" i="16"/>
  <c r="Y267" i="3"/>
  <c r="Y212" i="3"/>
  <c r="Z104" i="3"/>
  <c r="X22" i="16" s="1"/>
  <c r="Y23" i="23"/>
  <c r="Y53" i="23"/>
  <c r="Y49" i="23"/>
  <c r="AA49" i="21"/>
  <c r="Z75" i="21"/>
  <c r="AA64" i="15"/>
  <c r="AA230" i="3"/>
  <c r="Y105" i="3"/>
  <c r="Z265" i="3"/>
  <c r="Z211" i="3"/>
  <c r="CF47" i="3"/>
  <c r="CF74" i="3" s="1"/>
  <c r="CF35" i="27"/>
  <c r="S133" i="3"/>
  <c r="DG119" i="3"/>
  <c r="S118" i="3"/>
  <c r="S134" i="3"/>
  <c r="AO31" i="16" s="1"/>
  <c r="X55" i="23"/>
  <c r="X20" i="23"/>
  <c r="O133" i="3"/>
  <c r="O118" i="3"/>
  <c r="O134" i="3"/>
  <c r="AK31" i="16" s="1"/>
  <c r="Y25" i="3"/>
  <c r="W8" i="16" s="1"/>
  <c r="Y39" i="23"/>
  <c r="AF62" i="27"/>
  <c r="AG49" i="27"/>
  <c r="Z54" i="27"/>
  <c r="Z57" i="27" s="1"/>
  <c r="Z67" i="27"/>
  <c r="Z63" i="27"/>
  <c r="Z70" i="27" s="1"/>
  <c r="Z27" i="27"/>
  <c r="Z23" i="27"/>
  <c r="CG68" i="27"/>
  <c r="CG24" i="27"/>
  <c r="CG29" i="27"/>
  <c r="AK51" i="16"/>
  <c r="M91" i="16"/>
  <c r="AK50" i="16"/>
  <c r="Y44" i="23"/>
  <c r="Z42" i="23"/>
  <c r="S148" i="3"/>
  <c r="S149" i="3" s="1"/>
  <c r="S150" i="3" s="1"/>
  <c r="S151" i="3" s="1"/>
  <c r="S75" i="15" s="1"/>
  <c r="X88" i="16"/>
  <c r="X40" i="16"/>
  <c r="L57" i="23"/>
  <c r="L108" i="25"/>
  <c r="L72" i="27"/>
  <c r="M6" i="3"/>
  <c r="L7" i="3"/>
  <c r="X64" i="27"/>
  <c r="X36" i="27"/>
  <c r="X32" i="27"/>
  <c r="AA45" i="21"/>
  <c r="Z71" i="21"/>
  <c r="Z26" i="3"/>
  <c r="X9" i="16" s="1"/>
  <c r="Z21" i="27"/>
  <c r="Z51" i="27" s="1"/>
  <c r="CN36" i="23"/>
  <c r="CM47" i="23"/>
  <c r="CM53" i="23" s="1"/>
  <c r="EI220" i="3"/>
  <c r="N118" i="3"/>
  <c r="N134" i="3"/>
  <c r="AJ31" i="16" s="1"/>
  <c r="N133" i="3"/>
  <c r="AE38" i="3"/>
  <c r="AX63" i="21"/>
  <c r="AW76" i="21"/>
  <c r="AA110" i="27"/>
  <c r="AB93" i="27"/>
  <c r="R27" i="16"/>
  <c r="R84" i="16"/>
  <c r="AP49" i="16"/>
  <c r="K87" i="16"/>
  <c r="K49" i="16"/>
  <c r="K52" i="16" s="1"/>
  <c r="K48" i="16"/>
  <c r="X161" i="3"/>
  <c r="X112" i="3" s="1"/>
  <c r="X155" i="3" s="1"/>
  <c r="DH128" i="3"/>
  <c r="AC94" i="27"/>
  <c r="AB87" i="27"/>
  <c r="AB95" i="27"/>
  <c r="AB102" i="27"/>
  <c r="AB103" i="27" s="1"/>
  <c r="Z108" i="27"/>
  <c r="Z105" i="27"/>
  <c r="M147" i="3"/>
  <c r="M148" i="3" s="1"/>
  <c r="M149" i="3" s="1"/>
  <c r="M150" i="3" s="1"/>
  <c r="M151" i="3" s="1"/>
  <c r="M75" i="15" s="1"/>
  <c r="M100" i="15"/>
  <c r="M245" i="3"/>
  <c r="M244" i="3" s="1"/>
  <c r="M239" i="3"/>
  <c r="M242" i="3" s="1"/>
  <c r="M243" i="3" s="1"/>
  <c r="AZ50" i="21"/>
  <c r="AP8" i="43"/>
  <c r="AQ8" i="43" s="1"/>
  <c r="AB77" i="26"/>
  <c r="I77" i="26" s="1"/>
  <c r="K77" i="26" s="1"/>
  <c r="AB86" i="26"/>
  <c r="I86" i="26" s="1"/>
  <c r="K86" i="26" s="1"/>
  <c r="AB66" i="26"/>
  <c r="AB48" i="26"/>
  <c r="T128" i="3"/>
  <c r="T126" i="3"/>
  <c r="AI167" i="21"/>
  <c r="AH168" i="21"/>
  <c r="CC43" i="23"/>
  <c r="R87" i="16"/>
  <c r="R49" i="16"/>
  <c r="R52" i="16" s="1"/>
  <c r="R48" i="16"/>
  <c r="AV89" i="21"/>
  <c r="AV102" i="21"/>
  <c r="M123" i="3"/>
  <c r="K28" i="16" s="1"/>
  <c r="T100" i="15"/>
  <c r="T245" i="3"/>
  <c r="T244" i="3" s="1"/>
  <c r="T147" i="3"/>
  <c r="T148" i="3" s="1"/>
  <c r="T149" i="3" s="1"/>
  <c r="T150" i="3" s="1"/>
  <c r="T151" i="3" s="1"/>
  <c r="T75" i="15" s="1"/>
  <c r="T239" i="3"/>
  <c r="AY82" i="27"/>
  <c r="N87" i="16"/>
  <c r="N49" i="16"/>
  <c r="N48" i="16"/>
  <c r="N90" i="16" s="1"/>
  <c r="DM239" i="3"/>
  <c r="DY239" i="3" s="1"/>
  <c r="DZ239" i="3" s="1"/>
  <c r="DY221" i="3"/>
  <c r="DM147" i="3"/>
  <c r="DM149" i="3" s="1"/>
  <c r="DM150" i="3" s="1"/>
  <c r="DM151" i="3" s="1"/>
  <c r="EI221" i="3"/>
  <c r="P87" i="16"/>
  <c r="P49" i="16"/>
  <c r="P52" i="16" s="1"/>
  <c r="P48" i="16"/>
  <c r="P90" i="16" s="1"/>
  <c r="AC81" i="23"/>
  <c r="AC84" i="23"/>
  <c r="AC88" i="23"/>
  <c r="AC89" i="23" s="1"/>
  <c r="DK239" i="3"/>
  <c r="DK147" i="3"/>
  <c r="DX221" i="3"/>
  <c r="EH221" i="3"/>
  <c r="AD72" i="21"/>
  <c r="AE46" i="21"/>
  <c r="DL210" i="3"/>
  <c r="DL131" i="3"/>
  <c r="DL133" i="3"/>
  <c r="AP166" i="21"/>
  <c r="EI96" i="3"/>
  <c r="AR103" i="21"/>
  <c r="AR90" i="21"/>
  <c r="AS63" i="25"/>
  <c r="AR90" i="25"/>
  <c r="AJ78" i="23"/>
  <c r="AB62" i="3"/>
  <c r="AB88" i="17"/>
  <c r="AE50" i="21"/>
  <c r="AD76" i="21"/>
  <c r="BC57" i="25"/>
  <c r="AC85" i="21"/>
  <c r="AC24" i="21"/>
  <c r="AC98" i="21"/>
  <c r="DO116" i="3"/>
  <c r="DO110" i="3"/>
  <c r="DZ110" i="3" s="1"/>
  <c r="DZ109" i="3"/>
  <c r="EJ109" i="3"/>
  <c r="Y304" i="3"/>
  <c r="Y303" i="3"/>
  <c r="AA111" i="15"/>
  <c r="AB111" i="15" s="1"/>
  <c r="AC111" i="15" s="1"/>
  <c r="AD111" i="15" s="1"/>
  <c r="AE111" i="15" s="1"/>
  <c r="AF111" i="15" s="1"/>
  <c r="AG111" i="15" s="1"/>
  <c r="AH111" i="15" s="1"/>
  <c r="AI111" i="15" s="1"/>
  <c r="AJ111" i="15" s="1"/>
  <c r="AK111" i="15" s="1"/>
  <c r="AL111" i="15" s="1"/>
  <c r="AM111" i="15" s="1"/>
  <c r="AN111" i="15" s="1"/>
  <c r="AO111" i="15" s="1"/>
  <c r="AP111" i="15" s="1"/>
  <c r="AQ111" i="15" s="1"/>
  <c r="AR111" i="15" s="1"/>
  <c r="AS111" i="15" s="1"/>
  <c r="AT111" i="15" s="1"/>
  <c r="AU111" i="15" s="1"/>
  <c r="AV111" i="15" s="1"/>
  <c r="AW111" i="15" s="1"/>
  <c r="AX111" i="15" s="1"/>
  <c r="AY111" i="15" s="1"/>
  <c r="AZ111" i="15" s="1"/>
  <c r="BA111" i="15" s="1"/>
  <c r="BB111" i="15" s="1"/>
  <c r="BC111" i="15" s="1"/>
  <c r="BD111" i="15" s="1"/>
  <c r="BE111" i="15" s="1"/>
  <c r="BF111" i="15" s="1"/>
  <c r="BG111" i="15" s="1"/>
  <c r="BH111" i="15" s="1"/>
  <c r="BI111" i="15" s="1"/>
  <c r="BJ111" i="15" s="1"/>
  <c r="BK111" i="15" s="1"/>
  <c r="BL111" i="15" s="1"/>
  <c r="BM111" i="15" s="1"/>
  <c r="BN111" i="15" s="1"/>
  <c r="BO111" i="15" s="1"/>
  <c r="BP111" i="15" s="1"/>
  <c r="BQ111" i="15" s="1"/>
  <c r="BR111" i="15" s="1"/>
  <c r="BS111" i="15" s="1"/>
  <c r="BT111" i="15" s="1"/>
  <c r="BU111" i="15" s="1"/>
  <c r="BV111" i="15" s="1"/>
  <c r="BW111" i="15" s="1"/>
  <c r="BX111" i="15" s="1"/>
  <c r="BY111" i="15" s="1"/>
  <c r="BZ111" i="15" s="1"/>
  <c r="CA111" i="15" s="1"/>
  <c r="CB111" i="15" s="1"/>
  <c r="CC111" i="15" s="1"/>
  <c r="CD111" i="15" s="1"/>
  <c r="CE111" i="15" s="1"/>
  <c r="CF111" i="15" s="1"/>
  <c r="CG111" i="15" s="1"/>
  <c r="CH111" i="15" s="1"/>
  <c r="CI111" i="15" s="1"/>
  <c r="CJ111" i="15" s="1"/>
  <c r="CK111" i="15" s="1"/>
  <c r="CL111" i="15" s="1"/>
  <c r="CM111" i="15" s="1"/>
  <c r="CN111" i="15" s="1"/>
  <c r="CO111" i="15" s="1"/>
  <c r="CP111" i="15" s="1"/>
  <c r="X3" i="16"/>
  <c r="AV3" i="16" s="1"/>
  <c r="AV23" i="16" s="1"/>
  <c r="AT55" i="25"/>
  <c r="V123" i="3"/>
  <c r="DM121" i="3"/>
  <c r="DM123" i="3" s="1"/>
  <c r="DY114" i="3"/>
  <c r="DM120" i="3"/>
  <c r="AC93" i="3"/>
  <c r="DK120" i="3"/>
  <c r="DX120" i="3" s="1"/>
  <c r="DY120" i="3" s="1"/>
  <c r="DK121" i="3"/>
  <c r="EH114" i="3"/>
  <c r="DX114" i="3"/>
  <c r="DX96" i="3"/>
  <c r="EH96" i="3"/>
  <c r="W150" i="3"/>
  <c r="W151" i="3" s="1"/>
  <c r="W75" i="15" s="1"/>
  <c r="AB82" i="23"/>
  <c r="AB86" i="23"/>
  <c r="AB87" i="23" s="1"/>
  <c r="R148" i="3"/>
  <c r="R149" i="3" s="1"/>
  <c r="R150" i="3" s="1"/>
  <c r="R151" i="3" s="1"/>
  <c r="R75" i="15" s="1"/>
  <c r="AK89" i="25"/>
  <c r="AK103" i="25" s="1"/>
  <c r="AL62" i="25"/>
  <c r="BC56" i="25"/>
  <c r="BB83" i="25"/>
  <c r="BB97" i="25" s="1"/>
  <c r="K56" i="15"/>
  <c r="Z115" i="25"/>
  <c r="V148" i="3"/>
  <c r="EI148" i="3" s="1"/>
  <c r="S30" i="16"/>
  <c r="U134" i="3"/>
  <c r="U339" i="3"/>
  <c r="U341" i="3" s="1"/>
  <c r="U131" i="3"/>
  <c r="U133" i="3"/>
  <c r="U210" i="3"/>
  <c r="U132" i="3"/>
  <c r="R118" i="3"/>
  <c r="R133" i="3"/>
  <c r="R134" i="3"/>
  <c r="AN31" i="16" s="1"/>
  <c r="DE119" i="3"/>
  <c r="AK74" i="23"/>
  <c r="AD62" i="21"/>
  <c r="AL52" i="21"/>
  <c r="BC63" i="25"/>
  <c r="BB90" i="25"/>
  <c r="AI220" i="25"/>
  <c r="AE73" i="23"/>
  <c r="AD83" i="23"/>
  <c r="DK116" i="3"/>
  <c r="DK110" i="3"/>
  <c r="DX110" i="3" s="1"/>
  <c r="DX109" i="3"/>
  <c r="EH109" i="3"/>
  <c r="AK87" i="25"/>
  <c r="AK101" i="25" s="1"/>
  <c r="AL60" i="25"/>
  <c r="AI35" i="3"/>
  <c r="AB154" i="25"/>
  <c r="AB155" i="25" s="1"/>
  <c r="AC119" i="25"/>
  <c r="AC147" i="25" s="1"/>
  <c r="AB130" i="25"/>
  <c r="T48" i="16"/>
  <c r="T90" i="16" s="1"/>
  <c r="T49" i="16"/>
  <c r="T52" i="16" s="1"/>
  <c r="T87" i="16"/>
  <c r="Y19" i="17"/>
  <c r="Y158" i="3" s="1"/>
  <c r="Y162" i="3" s="1"/>
  <c r="Y16" i="17"/>
  <c r="Y160" i="3" s="1"/>
  <c r="Z17" i="17"/>
  <c r="Y159" i="3"/>
  <c r="AC68" i="27"/>
  <c r="AC29" i="27"/>
  <c r="AC24" i="27"/>
  <c r="BY87" i="25"/>
  <c r="BY101" i="25" s="1"/>
  <c r="BZ60" i="25"/>
  <c r="N91" i="16"/>
  <c r="AL51" i="16"/>
  <c r="AL50" i="16"/>
  <c r="CI60" i="25"/>
  <c r="CH87" i="25"/>
  <c r="CH101" i="25" s="1"/>
  <c r="AC104" i="21"/>
  <c r="AC91" i="21"/>
  <c r="P118" i="3"/>
  <c r="P133" i="3"/>
  <c r="P134" i="3"/>
  <c r="AL31" i="16" s="1"/>
  <c r="AD32" i="3"/>
  <c r="AC52" i="3"/>
  <c r="DV114" i="3"/>
  <c r="DO121" i="3"/>
  <c r="DZ114" i="3"/>
  <c r="EJ114" i="3"/>
  <c r="DO120" i="3"/>
  <c r="R241" i="3"/>
  <c r="R242" i="3" s="1"/>
  <c r="R243" i="3" s="1"/>
  <c r="AB35" i="27"/>
  <c r="AB47" i="3"/>
  <c r="AB74" i="3" s="1"/>
  <c r="L3" i="15"/>
  <c r="L4" i="15" s="1"/>
  <c r="L218" i="25"/>
  <c r="L212" i="25"/>
  <c r="L5" i="27"/>
  <c r="L95" i="15"/>
  <c r="L108" i="21"/>
  <c r="L21" i="15"/>
  <c r="L5" i="21"/>
  <c r="L300" i="3"/>
  <c r="L208" i="3"/>
  <c r="L85" i="3"/>
  <c r="M3" i="3"/>
  <c r="L3" i="17"/>
  <c r="L4" i="17" s="1"/>
  <c r="L37" i="17"/>
  <c r="L69" i="15"/>
  <c r="L6" i="17"/>
  <c r="L5" i="23"/>
  <c r="L17" i="25"/>
  <c r="L17" i="27"/>
  <c r="L329" i="3"/>
  <c r="L182" i="3"/>
  <c r="L153" i="3"/>
  <c r="L9" i="3"/>
  <c r="L21" i="3"/>
  <c r="L22" i="17"/>
  <c r="L83" i="17"/>
  <c r="L3" i="25"/>
  <c r="L3" i="21"/>
  <c r="L164" i="21"/>
  <c r="L158" i="21"/>
  <c r="L3" i="27"/>
  <c r="L313" i="3"/>
  <c r="L164" i="3"/>
  <c r="L145" i="3"/>
  <c r="L54" i="15"/>
  <c r="L56" i="15" s="1"/>
  <c r="L200" i="3"/>
  <c r="L206" i="25"/>
  <c r="L19" i="21"/>
  <c r="L41" i="3"/>
  <c r="L29" i="17"/>
  <c r="L5" i="25"/>
  <c r="L68" i="3"/>
  <c r="L157" i="25"/>
  <c r="L253" i="3"/>
  <c r="L6" i="15"/>
  <c r="L17" i="23"/>
  <c r="DU116" i="3"/>
  <c r="V250" i="3"/>
  <c r="V244" i="3"/>
  <c r="AS77" i="21"/>
  <c r="AT51" i="21"/>
  <c r="AC27" i="21"/>
  <c r="AC102" i="21"/>
  <c r="AC89" i="21"/>
  <c r="AC63" i="21"/>
  <c r="DF123" i="3"/>
  <c r="DI110" i="3"/>
  <c r="DW110" i="3" s="1"/>
  <c r="DI116" i="3"/>
  <c r="DW109" i="3"/>
  <c r="DG110" i="3"/>
  <c r="DV110" i="3" s="1"/>
  <c r="DG116" i="3"/>
  <c r="DV109" i="3"/>
  <c r="DZ96" i="3"/>
  <c r="EJ96" i="3"/>
  <c r="DM110" i="3"/>
  <c r="DY110" i="3" s="1"/>
  <c r="DM116" i="3"/>
  <c r="EI116" i="3" s="1"/>
  <c r="DY109" i="3"/>
  <c r="V122" i="3"/>
  <c r="V206" i="3"/>
  <c r="CG62" i="25"/>
  <c r="CF89" i="25"/>
  <c r="CF103" i="25" s="1"/>
  <c r="AU38" i="16"/>
  <c r="AU24" i="16"/>
  <c r="DI121" i="3"/>
  <c r="DW114" i="3"/>
  <c r="DI120" i="3"/>
  <c r="DW120" i="3" s="1"/>
  <c r="AE55" i="27"/>
  <c r="AD61" i="27"/>
  <c r="P148" i="3"/>
  <c r="P149" i="3" s="1"/>
  <c r="P150" i="3" s="1"/>
  <c r="P151" i="3" s="1"/>
  <c r="P75" i="15" s="1"/>
  <c r="AE65" i="21"/>
  <c r="AD78" i="21"/>
  <c r="AB93" i="17"/>
  <c r="AB79" i="3"/>
  <c r="AB50" i="3"/>
  <c r="AB77" i="3" s="1"/>
  <c r="AO167" i="25"/>
  <c r="EJ221" i="3" l="1"/>
  <c r="AD103" i="23"/>
  <c r="DO147" i="3"/>
  <c r="DO149" i="3" s="1"/>
  <c r="EI239" i="3"/>
  <c r="AC204" i="25"/>
  <c r="AD70" i="25"/>
  <c r="AC83" i="25"/>
  <c r="AC97" i="25" s="1"/>
  <c r="AF103" i="21"/>
  <c r="AG51" i="21"/>
  <c r="AG77" i="21" s="1"/>
  <c r="AG90" i="21" s="1"/>
  <c r="AF149" i="21"/>
  <c r="AC161" i="25"/>
  <c r="AC193" i="25"/>
  <c r="AC160" i="25"/>
  <c r="AC162" i="25"/>
  <c r="AD196" i="25"/>
  <c r="AG60" i="21"/>
  <c r="AF73" i="21"/>
  <c r="AD179" i="25"/>
  <c r="AD203" i="25"/>
  <c r="AE168" i="25"/>
  <c r="AD184" i="25"/>
  <c r="AE86" i="21"/>
  <c r="AE26" i="21"/>
  <c r="AE99" i="21"/>
  <c r="AZ56" i="27"/>
  <c r="AZ30" i="27"/>
  <c r="BA19" i="27"/>
  <c r="BA26" i="3" s="1"/>
  <c r="BB49" i="27"/>
  <c r="BA62" i="27"/>
  <c r="AG20" i="17"/>
  <c r="AH17" i="21"/>
  <c r="AD71" i="25"/>
  <c r="AD98" i="25"/>
  <c r="AG125" i="21"/>
  <c r="AF135" i="21"/>
  <c r="AF133" i="21" s="1"/>
  <c r="AF134" i="21" s="1"/>
  <c r="AD37" i="3"/>
  <c r="AC34" i="3"/>
  <c r="AC89" i="3" s="1"/>
  <c r="AC81" i="3"/>
  <c r="AE272" i="3"/>
  <c r="AD9" i="17"/>
  <c r="AB30" i="25"/>
  <c r="AB73" i="25"/>
  <c r="AB100" i="25"/>
  <c r="AF68" i="23"/>
  <c r="AE102" i="23"/>
  <c r="AE79" i="23"/>
  <c r="Z29" i="25"/>
  <c r="Z99" i="25"/>
  <c r="DN126" i="3"/>
  <c r="DN128" i="3"/>
  <c r="AA64" i="3"/>
  <c r="AA90" i="17"/>
  <c r="AC335" i="3"/>
  <c r="AD288" i="3"/>
  <c r="W144" i="21"/>
  <c r="W141" i="21"/>
  <c r="AF63" i="25"/>
  <c r="AE90" i="25"/>
  <c r="AF57" i="25"/>
  <c r="AE84" i="25"/>
  <c r="AF336" i="3"/>
  <c r="AG289" i="3"/>
  <c r="AC86" i="25"/>
  <c r="AD59" i="25"/>
  <c r="U74" i="15"/>
  <c r="U101" i="15"/>
  <c r="AI89" i="27"/>
  <c r="AH99" i="27"/>
  <c r="AH97" i="27" s="1"/>
  <c r="W138" i="21"/>
  <c r="W139" i="21" s="1"/>
  <c r="W134" i="21"/>
  <c r="AB58" i="25"/>
  <c r="AA85" i="25"/>
  <c r="DN120" i="3"/>
  <c r="DZ120" i="3" s="1"/>
  <c r="DN121" i="3"/>
  <c r="DN123" i="3" s="1"/>
  <c r="CJ48" i="27"/>
  <c r="CI20" i="27"/>
  <c r="CI27" i="3" s="1"/>
  <c r="CI50" i="27"/>
  <c r="BH36" i="23"/>
  <c r="BG47" i="23"/>
  <c r="BG53" i="23" s="1"/>
  <c r="AQ50" i="16"/>
  <c r="AQ51" i="16"/>
  <c r="AC84" i="27"/>
  <c r="AC120" i="27"/>
  <c r="AC121" i="27" s="1"/>
  <c r="AC100" i="27"/>
  <c r="AD83" i="27"/>
  <c r="AC98" i="27"/>
  <c r="AF67" i="23"/>
  <c r="AE72" i="23"/>
  <c r="CI75" i="21"/>
  <c r="CJ49" i="21"/>
  <c r="CJ48" i="21"/>
  <c r="CI74" i="21"/>
  <c r="Y186" i="25"/>
  <c r="Y187" i="25" s="1"/>
  <c r="Y182" i="25"/>
  <c r="AM84" i="16"/>
  <c r="AM1" i="16" s="1"/>
  <c r="AM35" i="16"/>
  <c r="Q141" i="3"/>
  <c r="Q135" i="3"/>
  <c r="V93" i="21"/>
  <c r="V67" i="21"/>
  <c r="V55" i="21"/>
  <c r="AA132" i="25"/>
  <c r="AA139" i="25"/>
  <c r="AA140" i="25" s="1"/>
  <c r="AA135" i="25"/>
  <c r="AF259" i="3"/>
  <c r="AE321" i="3"/>
  <c r="AC89" i="25"/>
  <c r="AC103" i="25" s="1"/>
  <c r="AD62" i="25"/>
  <c r="W74" i="15"/>
  <c r="W101" i="15"/>
  <c r="AE156" i="21"/>
  <c r="AC112" i="27"/>
  <c r="AD140" i="21"/>
  <c r="AE129" i="21"/>
  <c r="AD123" i="21"/>
  <c r="BW24" i="21"/>
  <c r="BW85" i="21"/>
  <c r="BW98" i="21"/>
  <c r="T61" i="25"/>
  <c r="AD31" i="3"/>
  <c r="AD51" i="3" s="1"/>
  <c r="AF53" i="21"/>
  <c r="AE79" i="21"/>
  <c r="AA189" i="25"/>
  <c r="AA192" i="25"/>
  <c r="Z137" i="25"/>
  <c r="Z138" i="25" s="1"/>
  <c r="Z133" i="25"/>
  <c r="AF216" i="25"/>
  <c r="AG214" i="25"/>
  <c r="I36" i="16"/>
  <c r="I37" i="16" s="1"/>
  <c r="K65" i="15"/>
  <c r="K66" i="15" s="1"/>
  <c r="CB37" i="23"/>
  <c r="CA48" i="23"/>
  <c r="CA54" i="23" s="1"/>
  <c r="AF162" i="21"/>
  <c r="AG160" i="21"/>
  <c r="BE46" i="21"/>
  <c r="BD72" i="21"/>
  <c r="AG256" i="3"/>
  <c r="AE131" i="21"/>
  <c r="AF130" i="21"/>
  <c r="AE138" i="21"/>
  <c r="AE139" i="21" s="1"/>
  <c r="AC87" i="25"/>
  <c r="AC101" i="25" s="1"/>
  <c r="AD60" i="25"/>
  <c r="AD87" i="25" s="1"/>
  <c r="AS51" i="16"/>
  <c r="U91" i="16"/>
  <c r="U1" i="16" s="1"/>
  <c r="AS50" i="16"/>
  <c r="DZ221" i="3"/>
  <c r="AC30" i="3"/>
  <c r="AC88" i="3" s="1"/>
  <c r="DL134" i="3"/>
  <c r="DL141" i="3" s="1"/>
  <c r="AE271" i="3"/>
  <c r="AD276" i="3"/>
  <c r="AD319" i="3"/>
  <c r="R88" i="23"/>
  <c r="R89" i="23" s="1"/>
  <c r="R84" i="23"/>
  <c r="R81" i="23"/>
  <c r="AJ172" i="25"/>
  <c r="AI178" i="25"/>
  <c r="AA175" i="25"/>
  <c r="Z181" i="25"/>
  <c r="AA209" i="25"/>
  <c r="Z210" i="25"/>
  <c r="AF221" i="25"/>
  <c r="AE222" i="25"/>
  <c r="O26" i="16"/>
  <c r="Q120" i="3"/>
  <c r="Q122" i="3"/>
  <c r="Q121" i="3"/>
  <c r="AA173" i="3"/>
  <c r="AA340" i="3" s="1"/>
  <c r="AB167" i="3"/>
  <c r="AA106" i="15"/>
  <c r="AA171" i="3"/>
  <c r="W54" i="21"/>
  <c r="W87" i="21"/>
  <c r="W61" i="21"/>
  <c r="X61" i="21" s="1"/>
  <c r="Y61" i="21" s="1"/>
  <c r="Z61" i="21" s="1"/>
  <c r="AA61" i="21" s="1"/>
  <c r="AB61" i="21" s="1"/>
  <c r="AC61" i="21" s="1"/>
  <c r="AD61" i="21" s="1"/>
  <c r="AE61" i="21" s="1"/>
  <c r="AF61" i="21" s="1"/>
  <c r="X48" i="21"/>
  <c r="AC125" i="25"/>
  <c r="AB134" i="25"/>
  <c r="BB62" i="3"/>
  <c r="BB88" i="17"/>
  <c r="AD208" i="25"/>
  <c r="BB53" i="21"/>
  <c r="BA79" i="21"/>
  <c r="BA92" i="21" s="1"/>
  <c r="AG119" i="21"/>
  <c r="AF155" i="21"/>
  <c r="AF136" i="21"/>
  <c r="DN172" i="3"/>
  <c r="W105" i="15"/>
  <c r="X172" i="3"/>
  <c r="W134" i="3"/>
  <c r="AS31" i="16" s="1"/>
  <c r="W132" i="3"/>
  <c r="AS30" i="16" s="1"/>
  <c r="W308" i="3"/>
  <c r="X307" i="3" s="1"/>
  <c r="W307" i="3"/>
  <c r="AB109" i="27"/>
  <c r="Q82" i="23"/>
  <c r="Q86" i="23"/>
  <c r="Q87" i="23" s="1"/>
  <c r="AC141" i="21"/>
  <c r="AC144" i="21"/>
  <c r="BY46" i="21"/>
  <c r="BX72" i="21"/>
  <c r="AB92" i="17"/>
  <c r="AB78" i="3"/>
  <c r="AD92" i="21"/>
  <c r="AD66" i="21"/>
  <c r="AB188" i="25"/>
  <c r="AC170" i="25"/>
  <c r="AB194" i="25"/>
  <c r="X46" i="16"/>
  <c r="X89" i="16"/>
  <c r="AD115" i="21"/>
  <c r="AE110" i="21" s="1"/>
  <c r="AE113" i="21" s="1"/>
  <c r="AD147" i="21"/>
  <c r="AD150" i="21" s="1"/>
  <c r="AD151" i="21" s="1"/>
  <c r="AH174" i="25"/>
  <c r="AG183" i="25"/>
  <c r="K221" i="3"/>
  <c r="BC85" i="21"/>
  <c r="BC24" i="21"/>
  <c r="BC62" i="3" s="1"/>
  <c r="BC98" i="21"/>
  <c r="AB48" i="23"/>
  <c r="AB54" i="23" s="1"/>
  <c r="AC43" i="23"/>
  <c r="Z23" i="21"/>
  <c r="Z84" i="21"/>
  <c r="Z97" i="21"/>
  <c r="Z58" i="21"/>
  <c r="CG47" i="3"/>
  <c r="CG74" i="3" s="1"/>
  <c r="CG35" i="27"/>
  <c r="AF30" i="27"/>
  <c r="AF56" i="27"/>
  <c r="M26" i="16"/>
  <c r="O120" i="3"/>
  <c r="O122" i="3"/>
  <c r="O121" i="3"/>
  <c r="AO84" i="16"/>
  <c r="AO1" i="16" s="1"/>
  <c r="AO35" i="16"/>
  <c r="AA75" i="21"/>
  <c r="Z105" i="3"/>
  <c r="Z212" i="3"/>
  <c r="AO50" i="16"/>
  <c r="Q91" i="16"/>
  <c r="AO51" i="16"/>
  <c r="AS69" i="25"/>
  <c r="AR82" i="25"/>
  <c r="AR96" i="25" s="1"/>
  <c r="CJ55" i="27"/>
  <c r="CI61" i="27"/>
  <c r="AD246" i="3"/>
  <c r="AA71" i="21"/>
  <c r="AB45" i="21"/>
  <c r="O141" i="3"/>
  <c r="O135" i="3"/>
  <c r="Q26" i="16"/>
  <c r="DG118" i="3"/>
  <c r="S120" i="3"/>
  <c r="S121" i="3"/>
  <c r="S122" i="3"/>
  <c r="Z63" i="15"/>
  <c r="Y55" i="23"/>
  <c r="Y20" i="23"/>
  <c r="AB230" i="3"/>
  <c r="AB64" i="15"/>
  <c r="AW84" i="21"/>
  <c r="AW97" i="21"/>
  <c r="AW23" i="21"/>
  <c r="Z36" i="23"/>
  <c r="Z44" i="23"/>
  <c r="AA42" i="23"/>
  <c r="Z46" i="3"/>
  <c r="Z25" i="27"/>
  <c r="Z34" i="27"/>
  <c r="X55" i="25"/>
  <c r="W69" i="25"/>
  <c r="AY45" i="21"/>
  <c r="AX71" i="21"/>
  <c r="Y73" i="3"/>
  <c r="AU58" i="16" s="1"/>
  <c r="W58" i="16"/>
  <c r="W16" i="16"/>
  <c r="AC198" i="3"/>
  <c r="AC223" i="3"/>
  <c r="M108" i="25"/>
  <c r="M7" i="3"/>
  <c r="M72" i="27"/>
  <c r="M57" i="23"/>
  <c r="N6" i="3"/>
  <c r="X45" i="3"/>
  <c r="DQ45" i="3" s="1"/>
  <c r="DQ72" i="3" s="1"/>
  <c r="X50" i="23"/>
  <c r="X26" i="23"/>
  <c r="DV119" i="3"/>
  <c r="DG134" i="3"/>
  <c r="DG133" i="3"/>
  <c r="Y309" i="3"/>
  <c r="Y322" i="3"/>
  <c r="Y323" i="3" s="1"/>
  <c r="Z267" i="3"/>
  <c r="BK42" i="23"/>
  <c r="X26" i="17"/>
  <c r="EI147" i="3"/>
  <c r="AH49" i="27"/>
  <c r="AG62" i="27"/>
  <c r="AK35" i="16"/>
  <c r="AK84" i="16"/>
  <c r="AK1" i="16" s="1"/>
  <c r="S135" i="3"/>
  <c r="S141" i="3"/>
  <c r="Z305" i="3"/>
  <c r="Z303" i="3" s="1"/>
  <c r="Z320" i="3"/>
  <c r="AV10" i="16"/>
  <c r="AA103" i="3"/>
  <c r="AA265" i="3" s="1"/>
  <c r="Z88" i="21"/>
  <c r="Z101" i="21"/>
  <c r="CH24" i="27"/>
  <c r="CH29" i="27"/>
  <c r="CH68" i="27"/>
  <c r="Y64" i="27"/>
  <c r="Y32" i="27"/>
  <c r="Y36" i="27"/>
  <c r="N120" i="3"/>
  <c r="N215" i="3"/>
  <c r="L26" i="16"/>
  <c r="N122" i="3"/>
  <c r="N127" i="3" s="1"/>
  <c r="N128" i="3" s="1"/>
  <c r="N121" i="3"/>
  <c r="X218" i="3"/>
  <c r="AJ84" i="16"/>
  <c r="AJ1" i="16" s="1"/>
  <c r="AJ35" i="16"/>
  <c r="AF38" i="3"/>
  <c r="N141" i="3"/>
  <c r="N135" i="3"/>
  <c r="CO36" i="23"/>
  <c r="CN47" i="23"/>
  <c r="CN53" i="23" s="1"/>
  <c r="T255" i="3"/>
  <c r="T242" i="3"/>
  <c r="AP50" i="16"/>
  <c r="R91" i="16"/>
  <c r="AP51" i="16"/>
  <c r="AR8" i="43"/>
  <c r="AB38" i="26"/>
  <c r="I38" i="26" s="1"/>
  <c r="K38" i="26" s="1"/>
  <c r="AB84" i="26"/>
  <c r="I84" i="26" s="1"/>
  <c r="K84" i="26" s="1"/>
  <c r="AC87" i="27"/>
  <c r="AD94" i="27"/>
  <c r="AC95" i="27"/>
  <c r="AC102" i="27"/>
  <c r="AC103" i="27" s="1"/>
  <c r="EA96" i="3"/>
  <c r="CD43" i="23"/>
  <c r="AJ167" i="21"/>
  <c r="AI168" i="21"/>
  <c r="BA50" i="21"/>
  <c r="AY63" i="21"/>
  <c r="AX76" i="21"/>
  <c r="AI49" i="16"/>
  <c r="K84" i="16"/>
  <c r="K29" i="16"/>
  <c r="K27" i="16"/>
  <c r="AI51" i="16"/>
  <c r="AI50" i="16"/>
  <c r="K91" i="16"/>
  <c r="AW89" i="21"/>
  <c r="AW102" i="21"/>
  <c r="AW27" i="21"/>
  <c r="V149" i="3"/>
  <c r="EI149" i="3" s="1"/>
  <c r="R30" i="16"/>
  <c r="T134" i="3"/>
  <c r="AP31" i="16" s="1"/>
  <c r="T339" i="3"/>
  <c r="T341" i="3" s="1"/>
  <c r="T210" i="3"/>
  <c r="T213" i="3" s="1"/>
  <c r="DI126" i="3"/>
  <c r="T131" i="3"/>
  <c r="T132" i="3"/>
  <c r="AP30" i="16" s="1"/>
  <c r="T133" i="3"/>
  <c r="AC93" i="27"/>
  <c r="AB104" i="27"/>
  <c r="AB110" i="27"/>
  <c r="AZ82" i="27"/>
  <c r="R90" i="16"/>
  <c r="K90" i="16"/>
  <c r="AA105" i="27"/>
  <c r="AA108" i="27"/>
  <c r="CH62" i="25"/>
  <c r="CG89" i="25"/>
  <c r="CG103" i="25" s="1"/>
  <c r="DM122" i="3"/>
  <c r="EI122" i="3" s="1"/>
  <c r="DY116" i="3"/>
  <c r="AG61" i="21"/>
  <c r="AC79" i="3"/>
  <c r="AC93" i="17"/>
  <c r="P141" i="3"/>
  <c r="P135" i="3"/>
  <c r="CJ60" i="25"/>
  <c r="CI87" i="25"/>
  <c r="CI101" i="25" s="1"/>
  <c r="AJ35" i="3"/>
  <c r="DK122" i="3"/>
  <c r="DX116" i="3"/>
  <c r="EH116" i="3"/>
  <c r="AL74" i="23"/>
  <c r="DE133" i="3"/>
  <c r="DE134" i="3"/>
  <c r="DU119" i="3"/>
  <c r="AQ31" i="16"/>
  <c r="K92" i="15"/>
  <c r="K76" i="15"/>
  <c r="K57" i="15"/>
  <c r="K91" i="15"/>
  <c r="K90" i="15"/>
  <c r="K67" i="15"/>
  <c r="EI121" i="3"/>
  <c r="Z304" i="3"/>
  <c r="AD27" i="21"/>
  <c r="AD102" i="21"/>
  <c r="AD89" i="21"/>
  <c r="AD63" i="21"/>
  <c r="AQ166" i="21"/>
  <c r="AE72" i="21"/>
  <c r="AF46" i="21"/>
  <c r="DK149" i="3"/>
  <c r="EH147" i="3"/>
  <c r="AN51" i="16"/>
  <c r="AN50" i="16"/>
  <c r="P91" i="16"/>
  <c r="BC90" i="25"/>
  <c r="BD63" i="25"/>
  <c r="AA110" i="25"/>
  <c r="AM62" i="25"/>
  <c r="AL89" i="25"/>
  <c r="AL103" i="25" s="1"/>
  <c r="AV38" i="16"/>
  <c r="AV24" i="16"/>
  <c r="BD57" i="25"/>
  <c r="EJ147" i="3"/>
  <c r="DW121" i="3"/>
  <c r="V128" i="3"/>
  <c r="V126" i="3"/>
  <c r="AT77" i="21"/>
  <c r="AU51" i="21"/>
  <c r="DO123" i="3"/>
  <c r="EJ121" i="3"/>
  <c r="AE32" i="3"/>
  <c r="AD52" i="3"/>
  <c r="N26" i="16"/>
  <c r="P120" i="3"/>
  <c r="P122" i="3"/>
  <c r="P121" i="3"/>
  <c r="AC35" i="27"/>
  <c r="AC47" i="3"/>
  <c r="AC74" i="3" s="1"/>
  <c r="AD84" i="23"/>
  <c r="AD81" i="23"/>
  <c r="AD88" i="23"/>
  <c r="AD89" i="23" s="1"/>
  <c r="AJ220" i="25"/>
  <c r="AE62" i="21"/>
  <c r="AN35" i="16"/>
  <c r="AN84" i="16"/>
  <c r="AN1" i="16" s="1"/>
  <c r="U135" i="3"/>
  <c r="U141" i="3"/>
  <c r="S29" i="16"/>
  <c r="S85" i="16"/>
  <c r="S1" i="16" s="1"/>
  <c r="T28" i="16"/>
  <c r="EI123" i="3"/>
  <c r="AU55" i="25"/>
  <c r="AC88" i="17"/>
  <c r="AC62" i="3"/>
  <c r="AF50" i="21"/>
  <c r="AE76" i="21"/>
  <c r="AD85" i="21"/>
  <c r="AD98" i="21"/>
  <c r="AD24" i="21"/>
  <c r="DX239" i="3"/>
  <c r="EH239" i="3"/>
  <c r="AP167" i="25"/>
  <c r="AE48" i="27"/>
  <c r="AF55" i="27"/>
  <c r="AG55" i="27" s="1"/>
  <c r="AH55" i="27" s="1"/>
  <c r="AI55" i="27" s="1"/>
  <c r="AJ55" i="27" s="1"/>
  <c r="AK55" i="27" s="1"/>
  <c r="AL55" i="27" s="1"/>
  <c r="AM55" i="27" s="1"/>
  <c r="AN55" i="27" s="1"/>
  <c r="AO55" i="27" s="1"/>
  <c r="AP55" i="27" s="1"/>
  <c r="AQ55" i="27" s="1"/>
  <c r="AR55" i="27" s="1"/>
  <c r="AS55" i="27" s="1"/>
  <c r="AT55" i="27" s="1"/>
  <c r="AU55" i="27" s="1"/>
  <c r="AV55" i="27" s="1"/>
  <c r="AW55" i="27" s="1"/>
  <c r="AX55" i="27" s="1"/>
  <c r="AY55" i="27" s="1"/>
  <c r="AZ55" i="27" s="1"/>
  <c r="BA55" i="27" s="1"/>
  <c r="BB55" i="27" s="1"/>
  <c r="BC55" i="27" s="1"/>
  <c r="BD55" i="27" s="1"/>
  <c r="BE55" i="27" s="1"/>
  <c r="BF55" i="27" s="1"/>
  <c r="BG55" i="27" s="1"/>
  <c r="BH55" i="27" s="1"/>
  <c r="BI55" i="27" s="1"/>
  <c r="BJ55" i="27" s="1"/>
  <c r="BK55" i="27" s="1"/>
  <c r="BL55" i="27" s="1"/>
  <c r="BM55" i="27" s="1"/>
  <c r="BN55" i="27" s="1"/>
  <c r="BO55" i="27" s="1"/>
  <c r="BP55" i="27" s="1"/>
  <c r="BQ55" i="27" s="1"/>
  <c r="BR55" i="27" s="1"/>
  <c r="BS55" i="27" s="1"/>
  <c r="BT55" i="27" s="1"/>
  <c r="BU55" i="27" s="1"/>
  <c r="BV55" i="27" s="1"/>
  <c r="BW55" i="27" s="1"/>
  <c r="BX55" i="27" s="1"/>
  <c r="BY55" i="27" s="1"/>
  <c r="BZ55" i="27" s="1"/>
  <c r="CA55" i="27" s="1"/>
  <c r="CB55" i="27" s="1"/>
  <c r="DG122" i="3"/>
  <c r="DV116" i="3"/>
  <c r="AL35" i="16"/>
  <c r="AL84" i="16"/>
  <c r="AL1" i="16" s="1"/>
  <c r="CA60" i="25"/>
  <c r="BZ87" i="25"/>
  <c r="BZ101" i="25" s="1"/>
  <c r="Z159" i="3"/>
  <c r="Z19" i="17"/>
  <c r="Z158" i="3" s="1"/>
  <c r="Z162" i="3" s="1"/>
  <c r="AA17" i="17"/>
  <c r="Z16" i="17"/>
  <c r="Z160" i="3" s="1"/>
  <c r="AM52" i="21"/>
  <c r="R120" i="3"/>
  <c r="DE118" i="3"/>
  <c r="P26" i="16"/>
  <c r="R122" i="3"/>
  <c r="R121" i="3"/>
  <c r="U213" i="3"/>
  <c r="AD93" i="3"/>
  <c r="AD104" i="21"/>
  <c r="AD91" i="21"/>
  <c r="AF65" i="21"/>
  <c r="AE78" i="21"/>
  <c r="AD24" i="27"/>
  <c r="AD68" i="27"/>
  <c r="AD29" i="27"/>
  <c r="DI122" i="3"/>
  <c r="DW116" i="3"/>
  <c r="AS103" i="21"/>
  <c r="AS90" i="21"/>
  <c r="V101" i="15"/>
  <c r="V74" i="15"/>
  <c r="L67" i="15"/>
  <c r="L76" i="15"/>
  <c r="L78" i="15" s="1"/>
  <c r="L57" i="15"/>
  <c r="L92" i="15"/>
  <c r="L90" i="15"/>
  <c r="L91" i="15"/>
  <c r="M206" i="25"/>
  <c r="M29" i="17"/>
  <c r="M19" i="21"/>
  <c r="M158" i="21"/>
  <c r="M3" i="25"/>
  <c r="M3" i="21"/>
  <c r="M313" i="3"/>
  <c r="M200" i="3"/>
  <c r="M153" i="3"/>
  <c r="M9" i="3"/>
  <c r="M22" i="17"/>
  <c r="M54" i="15"/>
  <c r="M6" i="15"/>
  <c r="M164" i="21"/>
  <c r="M157" i="25"/>
  <c r="M5" i="21"/>
  <c r="M17" i="23"/>
  <c r="M3" i="27"/>
  <c r="M253" i="3"/>
  <c r="M164" i="3"/>
  <c r="M68" i="3"/>
  <c r="M41" i="3"/>
  <c r="M3" i="15"/>
  <c r="M4" i="15" s="1"/>
  <c r="M218" i="25"/>
  <c r="M21" i="15"/>
  <c r="M3" i="17"/>
  <c r="M4" i="17" s="1"/>
  <c r="M108" i="21"/>
  <c r="M17" i="25"/>
  <c r="M83" i="17"/>
  <c r="M5" i="23"/>
  <c r="M329" i="3"/>
  <c r="M208" i="3"/>
  <c r="M85" i="3"/>
  <c r="M21" i="3"/>
  <c r="N3" i="3"/>
  <c r="M6" i="17"/>
  <c r="M5" i="27"/>
  <c r="M145" i="3"/>
  <c r="M212" i="25"/>
  <c r="M17" i="27"/>
  <c r="M37" i="17"/>
  <c r="M69" i="15"/>
  <c r="M300" i="3"/>
  <c r="M5" i="25"/>
  <c r="M182" i="3"/>
  <c r="M95" i="15"/>
  <c r="Y161" i="3"/>
  <c r="Y112" i="3" s="1"/>
  <c r="AR51" i="16"/>
  <c r="T91" i="16"/>
  <c r="AR50" i="16"/>
  <c r="AC130" i="25"/>
  <c r="AC154" i="25"/>
  <c r="AC155" i="25" s="1"/>
  <c r="AD119" i="25"/>
  <c r="AM60" i="25"/>
  <c r="AL87" i="25"/>
  <c r="AL101" i="25" s="1"/>
  <c r="AF73" i="23"/>
  <c r="AE83" i="23"/>
  <c r="R141" i="3"/>
  <c r="R135" i="3"/>
  <c r="AQ30" i="16"/>
  <c r="BD56" i="25"/>
  <c r="BC83" i="25"/>
  <c r="BC97" i="25" s="1"/>
  <c r="DK123" i="3"/>
  <c r="EH121" i="3"/>
  <c r="DX121" i="3"/>
  <c r="DY121" i="3" s="1"/>
  <c r="DZ116" i="3"/>
  <c r="EJ116" i="3"/>
  <c r="DO122" i="3"/>
  <c r="AS90" i="25"/>
  <c r="AT63" i="25"/>
  <c r="DL213" i="3"/>
  <c r="AC86" i="23"/>
  <c r="AC87" i="23" s="1"/>
  <c r="AC82" i="23"/>
  <c r="AK78" i="23"/>
  <c r="DL135" i="3"/>
  <c r="V150" i="3" l="1"/>
  <c r="V151" i="3" s="1"/>
  <c r="V75" i="15" s="1"/>
  <c r="AD30" i="3"/>
  <c r="AD88" i="3" s="1"/>
  <c r="DZ121" i="3"/>
  <c r="AE103" i="23"/>
  <c r="AD204" i="25"/>
  <c r="AD83" i="25"/>
  <c r="AD97" i="25" s="1"/>
  <c r="AE70" i="25"/>
  <c r="AG103" i="21"/>
  <c r="AE196" i="25"/>
  <c r="AB79" i="27"/>
  <c r="AC74" i="27" s="1"/>
  <c r="AC77" i="27" s="1"/>
  <c r="AF26" i="21"/>
  <c r="AF99" i="21"/>
  <c r="AF86" i="21"/>
  <c r="AC195" i="25"/>
  <c r="AE203" i="25"/>
  <c r="AE204" i="25" s="1"/>
  <c r="AF168" i="25"/>
  <c r="AE179" i="25"/>
  <c r="AE184" i="25"/>
  <c r="AG73" i="21"/>
  <c r="AH60" i="21"/>
  <c r="AC164" i="25"/>
  <c r="AD159" i="25" s="1"/>
  <c r="AD160" i="25" s="1"/>
  <c r="AD112" i="27"/>
  <c r="AI17" i="21"/>
  <c r="AH20" i="17"/>
  <c r="BB19" i="27"/>
  <c r="BB26" i="3" s="1"/>
  <c r="BC49" i="27"/>
  <c r="BB62" i="27"/>
  <c r="AH51" i="21"/>
  <c r="AH77" i="21" s="1"/>
  <c r="BA56" i="27"/>
  <c r="BA30" i="27"/>
  <c r="CJ50" i="27"/>
  <c r="CJ20" i="27"/>
  <c r="CJ27" i="3" s="1"/>
  <c r="CK48" i="27"/>
  <c r="AC58" i="25"/>
  <c r="AB85" i="25"/>
  <c r="AJ89" i="27"/>
  <c r="AI99" i="27"/>
  <c r="AI97" i="27" s="1"/>
  <c r="AC73" i="25"/>
  <c r="AC100" i="25"/>
  <c r="AC30" i="25"/>
  <c r="AG57" i="25"/>
  <c r="AF84" i="25"/>
  <c r="AF90" i="25"/>
  <c r="AG63" i="25"/>
  <c r="AE288" i="3"/>
  <c r="AD335" i="3"/>
  <c r="AB64" i="3"/>
  <c r="AB90" i="17"/>
  <c r="AF272" i="3"/>
  <c r="AE9" i="17"/>
  <c r="V35" i="16"/>
  <c r="DQ218" i="3"/>
  <c r="BI36" i="23"/>
  <c r="BH47" i="23"/>
  <c r="BH53" i="23" s="1"/>
  <c r="AA29" i="25"/>
  <c r="AA99" i="25"/>
  <c r="AD86" i="25"/>
  <c r="AE59" i="25"/>
  <c r="AH289" i="3"/>
  <c r="AG336" i="3"/>
  <c r="AE98" i="25"/>
  <c r="AE71" i="25"/>
  <c r="DN210" i="3"/>
  <c r="DN213" i="3" s="1"/>
  <c r="DN133" i="3"/>
  <c r="DN135" i="3" s="1"/>
  <c r="DN131" i="3"/>
  <c r="AG68" i="23"/>
  <c r="AF102" i="23"/>
  <c r="AF103" i="23" s="1"/>
  <c r="AF79" i="23"/>
  <c r="AD81" i="3"/>
  <c r="AE37" i="3"/>
  <c r="AD34" i="3"/>
  <c r="AD89" i="3" s="1"/>
  <c r="AH125" i="21"/>
  <c r="AG135" i="21"/>
  <c r="AG133" i="21" s="1"/>
  <c r="AG138" i="21" s="1"/>
  <c r="AG139" i="21" s="1"/>
  <c r="AD43" i="23"/>
  <c r="AC48" i="23"/>
  <c r="AC54" i="23" s="1"/>
  <c r="AE145" i="21"/>
  <c r="AE112" i="21"/>
  <c r="BX85" i="21"/>
  <c r="BX98" i="21"/>
  <c r="BX24" i="21"/>
  <c r="AS35" i="16"/>
  <c r="AS84" i="16"/>
  <c r="AE208" i="25"/>
  <c r="AB139" i="25"/>
  <c r="AB140" i="25" s="1"/>
  <c r="AB132" i="25"/>
  <c r="AB135" i="25"/>
  <c r="Y48" i="21"/>
  <c r="X74" i="21"/>
  <c r="X54" i="21"/>
  <c r="X21" i="21" s="1"/>
  <c r="AA104" i="15"/>
  <c r="AB177" i="3"/>
  <c r="Z182" i="25"/>
  <c r="Z186" i="25"/>
  <c r="Z187" i="25" s="1"/>
  <c r="AF271" i="3"/>
  <c r="AE276" i="3"/>
  <c r="AE319" i="3"/>
  <c r="AD101" i="25"/>
  <c r="AE101" i="25"/>
  <c r="AF131" i="21"/>
  <c r="AF138" i="21"/>
  <c r="AF139" i="21" s="1"/>
  <c r="AH256" i="3"/>
  <c r="BD98" i="21"/>
  <c r="BD85" i="21"/>
  <c r="BD24" i="21"/>
  <c r="AH160" i="21"/>
  <c r="AG162" i="21"/>
  <c r="I87" i="16"/>
  <c r="I49" i="16"/>
  <c r="I52" i="16" s="1"/>
  <c r="I48" i="16"/>
  <c r="AE111" i="21"/>
  <c r="AG53" i="21"/>
  <c r="AF79" i="21"/>
  <c r="AC78" i="3"/>
  <c r="AC92" i="17"/>
  <c r="T75" i="25"/>
  <c r="T78" i="25" s="1"/>
  <c r="T64" i="25"/>
  <c r="T65" i="25" s="1"/>
  <c r="AD144" i="21"/>
  <c r="AD141" i="21"/>
  <c r="AF156" i="21"/>
  <c r="AE62" i="25"/>
  <c r="AD89" i="25"/>
  <c r="AD103" i="25" s="1"/>
  <c r="AA137" i="25"/>
  <c r="AA138" i="25" s="1"/>
  <c r="AA133" i="25"/>
  <c r="CI100" i="21"/>
  <c r="CI87" i="21"/>
  <c r="CJ75" i="21"/>
  <c r="CK49" i="21"/>
  <c r="AD170" i="25"/>
  <c r="AC188" i="25"/>
  <c r="AC194" i="25"/>
  <c r="Z143" i="25"/>
  <c r="Z149" i="25" s="1"/>
  <c r="Z150" i="25" s="1"/>
  <c r="AC50" i="3"/>
  <c r="AC77" i="3" s="1"/>
  <c r="BC88" i="17"/>
  <c r="K147" i="3"/>
  <c r="K149" i="3" s="1"/>
  <c r="K150" i="3" s="1"/>
  <c r="K151" i="3" s="1"/>
  <c r="K75" i="15" s="1"/>
  <c r="K245" i="3"/>
  <c r="K244" i="3" s="1"/>
  <c r="K239" i="3"/>
  <c r="K242" i="3" s="1"/>
  <c r="K243" i="3" s="1"/>
  <c r="K100" i="15"/>
  <c r="AH183" i="25"/>
  <c r="AI174" i="25"/>
  <c r="AB192" i="25"/>
  <c r="AB197" i="25" s="1"/>
  <c r="AB198" i="25" s="1"/>
  <c r="AB199" i="25" s="1"/>
  <c r="AB54" i="25" s="1"/>
  <c r="AB189" i="25"/>
  <c r="BZ46" i="21"/>
  <c r="BY72" i="21"/>
  <c r="AD185" i="3"/>
  <c r="AD192" i="3" s="1"/>
  <c r="DO172" i="3"/>
  <c r="Y172" i="3"/>
  <c r="X105" i="15"/>
  <c r="DP172" i="3"/>
  <c r="DQ172" i="3"/>
  <c r="DN134" i="3"/>
  <c r="DN141" i="3" s="1"/>
  <c r="DN132" i="3"/>
  <c r="AG131" i="21"/>
  <c r="AG155" i="21"/>
  <c r="AH119" i="21"/>
  <c r="BB79" i="21"/>
  <c r="BB92" i="21" s="1"/>
  <c r="BC53" i="21"/>
  <c r="AD125" i="25"/>
  <c r="AC134" i="25"/>
  <c r="W67" i="21"/>
  <c r="W55" i="21"/>
  <c r="W93" i="21"/>
  <c r="Q127" i="3"/>
  <c r="Q123" i="3" s="1"/>
  <c r="O28" i="16" s="1"/>
  <c r="AG221" i="25"/>
  <c r="AF222" i="25"/>
  <c r="AB209" i="25"/>
  <c r="AA210" i="25"/>
  <c r="AB175" i="25"/>
  <c r="AA181" i="25"/>
  <c r="AK172" i="25"/>
  <c r="AJ178" i="25"/>
  <c r="R86" i="23"/>
  <c r="R87" i="23" s="1"/>
  <c r="R82" i="23"/>
  <c r="AE146" i="21"/>
  <c r="BF46" i="21"/>
  <c r="BE72" i="21"/>
  <c r="CC37" i="23"/>
  <c r="CB48" i="23"/>
  <c r="CB54" i="23" s="1"/>
  <c r="AH214" i="25"/>
  <c r="AG216" i="25"/>
  <c r="AE66" i="21"/>
  <c r="AE92" i="21"/>
  <c r="AE31" i="3"/>
  <c r="AE51" i="3" s="1"/>
  <c r="U61" i="25"/>
  <c r="BW88" i="17"/>
  <c r="BW62" i="3"/>
  <c r="AE140" i="21"/>
  <c r="AE123" i="21"/>
  <c r="AF129" i="21"/>
  <c r="AG149" i="21"/>
  <c r="AG259" i="3"/>
  <c r="AF321" i="3"/>
  <c r="CK48" i="21"/>
  <c r="CJ74" i="21"/>
  <c r="CI88" i="21"/>
  <c r="CI101" i="21"/>
  <c r="AG67" i="23"/>
  <c r="AF72" i="23"/>
  <c r="AD84" i="27"/>
  <c r="AD100" i="27"/>
  <c r="AD120" i="27"/>
  <c r="AD121" i="27" s="1"/>
  <c r="AE83" i="27"/>
  <c r="AD98" i="27"/>
  <c r="AA211" i="3"/>
  <c r="AG56" i="27"/>
  <c r="AG30" i="27"/>
  <c r="AC230" i="3"/>
  <c r="AC64" i="15"/>
  <c r="X82" i="25"/>
  <c r="Y55" i="25"/>
  <c r="AB42" i="23"/>
  <c r="AA44" i="23"/>
  <c r="AA36" i="23"/>
  <c r="Y26" i="23"/>
  <c r="Y50" i="23"/>
  <c r="Y45" i="3"/>
  <c r="CI29" i="27"/>
  <c r="CI24" i="27"/>
  <c r="CI68" i="27"/>
  <c r="AH62" i="27"/>
  <c r="AI49" i="27"/>
  <c r="BL42" i="23"/>
  <c r="DV133" i="3"/>
  <c r="DG135" i="3"/>
  <c r="AX97" i="21"/>
  <c r="AX84" i="21"/>
  <c r="AX23" i="21"/>
  <c r="DV118" i="3"/>
  <c r="DG120" i="3"/>
  <c r="DV120" i="3" s="1"/>
  <c r="DG121" i="3"/>
  <c r="DV121" i="3" s="1"/>
  <c r="CK55" i="27"/>
  <c r="CJ61" i="27"/>
  <c r="O127" i="3"/>
  <c r="O123" i="3" s="1"/>
  <c r="M28" i="16" s="1"/>
  <c r="CH35" i="27"/>
  <c r="CH47" i="3"/>
  <c r="CH74" i="3" s="1"/>
  <c r="Z322" i="3"/>
  <c r="Z323" i="3" s="1"/>
  <c r="Z309" i="3"/>
  <c r="DV134" i="3"/>
  <c r="DG141" i="3"/>
  <c r="DV141" i="3" s="1"/>
  <c r="V57" i="16"/>
  <c r="X72" i="3"/>
  <c r="AT57" i="16" s="1"/>
  <c r="V15" i="16"/>
  <c r="AZ45" i="21"/>
  <c r="AY71" i="21"/>
  <c r="Z64" i="27"/>
  <c r="Z32" i="27"/>
  <c r="Z36" i="27"/>
  <c r="Z47" i="23"/>
  <c r="Z38" i="23"/>
  <c r="Z19" i="23"/>
  <c r="S127" i="3"/>
  <c r="S123" i="3" s="1"/>
  <c r="Q28" i="16" s="1"/>
  <c r="AC45" i="21"/>
  <c r="AB71" i="21"/>
  <c r="AA88" i="21"/>
  <c r="AA101" i="21"/>
  <c r="AA305" i="3"/>
  <c r="AA320" i="3"/>
  <c r="AB103" i="3"/>
  <c r="N57" i="23"/>
  <c r="N7" i="3"/>
  <c r="N72" i="27"/>
  <c r="N108" i="25"/>
  <c r="O6" i="3"/>
  <c r="Z73" i="3"/>
  <c r="AV58" i="16" s="1"/>
  <c r="X58" i="16"/>
  <c r="X16" i="16"/>
  <c r="AA23" i="21"/>
  <c r="AA84" i="21"/>
  <c r="AA97" i="21"/>
  <c r="AA58" i="21"/>
  <c r="AT69" i="25"/>
  <c r="AS82" i="25"/>
  <c r="AS96" i="25" s="1"/>
  <c r="AA104" i="3"/>
  <c r="AA105" i="3" s="1"/>
  <c r="CP36" i="23"/>
  <c r="CP47" i="23" s="1"/>
  <c r="CO47" i="23"/>
  <c r="CO53" i="23" s="1"/>
  <c r="N216" i="3"/>
  <c r="N61" i="15" s="1"/>
  <c r="N62" i="15" s="1"/>
  <c r="AG38" i="3"/>
  <c r="N123" i="3"/>
  <c r="L28" i="16" s="1"/>
  <c r="AA115" i="27"/>
  <c r="AA47" i="27" s="1"/>
  <c r="AC104" i="27"/>
  <c r="AD93" i="27"/>
  <c r="DI134" i="3"/>
  <c r="DI131" i="3"/>
  <c r="DW131" i="3" s="1"/>
  <c r="DI132" i="3"/>
  <c r="DW132" i="3" s="1"/>
  <c r="DI133" i="3"/>
  <c r="DW126" i="3"/>
  <c r="R29" i="16"/>
  <c r="R85" i="16"/>
  <c r="R1" i="16" s="1"/>
  <c r="AZ63" i="21"/>
  <c r="AY76" i="21"/>
  <c r="BB50" i="21"/>
  <c r="T135" i="3"/>
  <c r="T141" i="3"/>
  <c r="AK167" i="21"/>
  <c r="AJ168" i="21"/>
  <c r="AS8" i="43"/>
  <c r="AB75" i="26"/>
  <c r="I75" i="26" s="1"/>
  <c r="K75" i="26" s="1"/>
  <c r="U240" i="3"/>
  <c r="U242" i="3" s="1"/>
  <c r="T243" i="3"/>
  <c r="AB105" i="27"/>
  <c r="AB108" i="27"/>
  <c r="AP35" i="16"/>
  <c r="AP84" i="16"/>
  <c r="AX102" i="21"/>
  <c r="AX27" i="21"/>
  <c r="AX89" i="21"/>
  <c r="CE43" i="23"/>
  <c r="AD87" i="27"/>
  <c r="AE94" i="27"/>
  <c r="AD95" i="27"/>
  <c r="AD102" i="27"/>
  <c r="AD103" i="27" s="1"/>
  <c r="K1" i="16"/>
  <c r="BA82" i="27"/>
  <c r="T12" i="17"/>
  <c r="T13" i="17" s="1"/>
  <c r="AP7" i="16"/>
  <c r="T294" i="3"/>
  <c r="T296" i="3" s="1"/>
  <c r="U255" i="3"/>
  <c r="T260" i="3"/>
  <c r="DX123" i="3"/>
  <c r="DY123" i="3" s="1"/>
  <c r="EH123" i="3"/>
  <c r="AG73" i="23"/>
  <c r="AF83" i="23"/>
  <c r="AM87" i="25"/>
  <c r="AM101" i="25" s="1"/>
  <c r="AN60" i="25"/>
  <c r="AE119" i="25"/>
  <c r="AD130" i="25"/>
  <c r="AD154" i="25"/>
  <c r="AD155" i="25" s="1"/>
  <c r="AG65" i="21"/>
  <c r="AF78" i="21"/>
  <c r="R127" i="3"/>
  <c r="R128" i="3" s="1"/>
  <c r="Z161" i="3"/>
  <c r="Z112" i="3" s="1"/>
  <c r="DG127" i="3"/>
  <c r="DG128" i="3" s="1"/>
  <c r="DV128" i="3" s="1"/>
  <c r="DV122" i="3"/>
  <c r="AQ167" i="25"/>
  <c r="AV55" i="25"/>
  <c r="T27" i="16"/>
  <c r="T84" i="16"/>
  <c r="AR49" i="16"/>
  <c r="AV51" i="21"/>
  <c r="AU77" i="21"/>
  <c r="AM89" i="25"/>
  <c r="AM103" i="25" s="1"/>
  <c r="AN62" i="25"/>
  <c r="AE98" i="21"/>
  <c r="AE85" i="21"/>
  <c r="AE24" i="21"/>
  <c r="AR166" i="21"/>
  <c r="DU133" i="3"/>
  <c r="DE135" i="3"/>
  <c r="AK35" i="3"/>
  <c r="CJ87" i="25"/>
  <c r="CJ101" i="25" s="1"/>
  <c r="CK60" i="25"/>
  <c r="AH61" i="21"/>
  <c r="AI61" i="21" s="1"/>
  <c r="AJ61" i="21" s="1"/>
  <c r="AK61" i="21" s="1"/>
  <c r="AL61" i="21" s="1"/>
  <c r="AM61" i="21" s="1"/>
  <c r="AN61" i="21" s="1"/>
  <c r="AO61" i="21" s="1"/>
  <c r="AP61" i="21" s="1"/>
  <c r="AQ61" i="21" s="1"/>
  <c r="AR61" i="21" s="1"/>
  <c r="AS61" i="21" s="1"/>
  <c r="AT61" i="21" s="1"/>
  <c r="AU61" i="21" s="1"/>
  <c r="AV61" i="21" s="1"/>
  <c r="AW61" i="21" s="1"/>
  <c r="AX61" i="21" s="1"/>
  <c r="AY61" i="21" s="1"/>
  <c r="AZ61" i="21" s="1"/>
  <c r="BA61" i="21" s="1"/>
  <c r="BB61" i="21" s="1"/>
  <c r="BC61" i="21" s="1"/>
  <c r="BD61" i="21" s="1"/>
  <c r="BE61" i="21" s="1"/>
  <c r="BF61" i="21" s="1"/>
  <c r="BG61" i="21" s="1"/>
  <c r="BH61" i="21" s="1"/>
  <c r="BI61" i="21" s="1"/>
  <c r="BJ61" i="21" s="1"/>
  <c r="BK61" i="21" s="1"/>
  <c r="BL61" i="21" s="1"/>
  <c r="BM61" i="21" s="1"/>
  <c r="BN61" i="21" s="1"/>
  <c r="BO61" i="21" s="1"/>
  <c r="BP61" i="21" s="1"/>
  <c r="BQ61" i="21" s="1"/>
  <c r="BR61" i="21" s="1"/>
  <c r="BS61" i="21" s="1"/>
  <c r="BT61" i="21" s="1"/>
  <c r="BU61" i="21" s="1"/>
  <c r="BV61" i="21" s="1"/>
  <c r="BW61" i="21" s="1"/>
  <c r="BX61" i="21" s="1"/>
  <c r="BY61" i="21" s="1"/>
  <c r="BZ61" i="21" s="1"/>
  <c r="CA61" i="21" s="1"/>
  <c r="CB61" i="21" s="1"/>
  <c r="CC61" i="21" s="1"/>
  <c r="CD61" i="21" s="1"/>
  <c r="CE61" i="21" s="1"/>
  <c r="CF61" i="21" s="1"/>
  <c r="CG61" i="21" s="1"/>
  <c r="AD147" i="25"/>
  <c r="M56" i="15"/>
  <c r="L79" i="15"/>
  <c r="L84" i="15" s="1"/>
  <c r="L81" i="15"/>
  <c r="L86" i="15" s="1"/>
  <c r="L80" i="15"/>
  <c r="L85" i="15" s="1"/>
  <c r="AF48" i="27"/>
  <c r="AE20" i="27"/>
  <c r="AE27" i="3" s="1"/>
  <c r="AE61" i="27"/>
  <c r="AE102" i="21"/>
  <c r="AE89" i="21"/>
  <c r="AE63" i="21"/>
  <c r="AE27" i="21"/>
  <c r="AK220" i="25"/>
  <c r="AD79" i="3"/>
  <c r="AD93" i="17"/>
  <c r="AD50" i="3"/>
  <c r="DZ123" i="3"/>
  <c r="EJ123" i="3"/>
  <c r="AT103" i="21"/>
  <c r="AT90" i="21"/>
  <c r="DO150" i="3"/>
  <c r="DO151" i="3" s="1"/>
  <c r="EJ149" i="3"/>
  <c r="BE57" i="25"/>
  <c r="AA112" i="25"/>
  <c r="AA111" i="25"/>
  <c r="AA113" i="25"/>
  <c r="BE63" i="25"/>
  <c r="BD90" i="25"/>
  <c r="DK150" i="3"/>
  <c r="DK151" i="3" s="1"/>
  <c r="EH149" i="3"/>
  <c r="K78" i="15"/>
  <c r="AM74" i="23"/>
  <c r="DM128" i="3"/>
  <c r="DY128" i="3" s="1"/>
  <c r="DM126" i="3"/>
  <c r="EI126" i="3" s="1"/>
  <c r="DO126" i="3"/>
  <c r="DO128" i="3"/>
  <c r="DZ122" i="3"/>
  <c r="EJ122" i="3"/>
  <c r="AL78" i="23"/>
  <c r="AT90" i="25"/>
  <c r="AU63" i="25"/>
  <c r="Y155" i="3"/>
  <c r="Y26" i="17"/>
  <c r="Y218" i="3"/>
  <c r="W35" i="16" s="1"/>
  <c r="N29" i="17"/>
  <c r="N212" i="25"/>
  <c r="N22" i="17"/>
  <c r="N17" i="25"/>
  <c r="N17" i="27"/>
  <c r="N108" i="21"/>
  <c r="N3" i="21"/>
  <c r="N54" i="15"/>
  <c r="N56" i="15" s="1"/>
  <c r="N69" i="15"/>
  <c r="N206" i="25"/>
  <c r="N5" i="27"/>
  <c r="N5" i="21"/>
  <c r="N6" i="15"/>
  <c r="N17" i="23"/>
  <c r="N21" i="15"/>
  <c r="N83" i="17"/>
  <c r="N37" i="17"/>
  <c r="N157" i="25"/>
  <c r="N5" i="25"/>
  <c r="N3" i="17"/>
  <c r="N4" i="17" s="1"/>
  <c r="N164" i="21"/>
  <c r="N5" i="23"/>
  <c r="N3" i="15"/>
  <c r="N4" i="15" s="1"/>
  <c r="N3" i="25"/>
  <c r="N313" i="3"/>
  <c r="N164" i="3"/>
  <c r="N145" i="3"/>
  <c r="N218" i="25"/>
  <c r="N19" i="21"/>
  <c r="N300" i="3"/>
  <c r="N208" i="3"/>
  <c r="N85" i="3"/>
  <c r="O3" i="3"/>
  <c r="N95" i="15"/>
  <c r="N158" i="21"/>
  <c r="N253" i="3"/>
  <c r="N200" i="3"/>
  <c r="N41" i="3"/>
  <c r="N68" i="3"/>
  <c r="N329" i="3"/>
  <c r="N21" i="3"/>
  <c r="N6" i="17"/>
  <c r="N182" i="3"/>
  <c r="N3" i="27"/>
  <c r="N153" i="3"/>
  <c r="N9" i="3"/>
  <c r="L93" i="15"/>
  <c r="DE120" i="3"/>
  <c r="DU120" i="3" s="1"/>
  <c r="DU118" i="3"/>
  <c r="DE121" i="3"/>
  <c r="DE122" i="3"/>
  <c r="AB17" i="17"/>
  <c r="AA159" i="3"/>
  <c r="CA87" i="25"/>
  <c r="CA101" i="25" s="1"/>
  <c r="CB60" i="25"/>
  <c r="AG50" i="21"/>
  <c r="AF76" i="21"/>
  <c r="AF62" i="21"/>
  <c r="P127" i="3"/>
  <c r="P123" i="3" s="1"/>
  <c r="N28" i="16" s="1"/>
  <c r="AE52" i="3"/>
  <c r="AF32" i="3"/>
  <c r="AE30" i="3"/>
  <c r="AE88" i="3" s="1"/>
  <c r="T30" i="16"/>
  <c r="V339" i="3"/>
  <c r="V341" i="3" s="1"/>
  <c r="V131" i="3"/>
  <c r="V133" i="3"/>
  <c r="V210" i="3"/>
  <c r="V132" i="3"/>
  <c r="V134" i="3"/>
  <c r="K93" i="15"/>
  <c r="BD83" i="25"/>
  <c r="BD97" i="25" s="1"/>
  <c r="BE56" i="25"/>
  <c r="AE84" i="23"/>
  <c r="AE81" i="23"/>
  <c r="AE88" i="23"/>
  <c r="AE89" i="23" s="1"/>
  <c r="DI127" i="3"/>
  <c r="DI123" i="3" s="1"/>
  <c r="DW123" i="3" s="1"/>
  <c r="DW122" i="3"/>
  <c r="AD35" i="27"/>
  <c r="AD47" i="3"/>
  <c r="AD74" i="3" s="1"/>
  <c r="AE91" i="21"/>
  <c r="AE104" i="21"/>
  <c r="AE93" i="3"/>
  <c r="AN52" i="21"/>
  <c r="AD88" i="17"/>
  <c r="AD62" i="3"/>
  <c r="AD82" i="23"/>
  <c r="AD86" i="23"/>
  <c r="AD87" i="23" s="1"/>
  <c r="AG46" i="21"/>
  <c r="AF72" i="21"/>
  <c r="AA304" i="3"/>
  <c r="AA303" i="3"/>
  <c r="AQ35" i="16"/>
  <c r="AQ84" i="16"/>
  <c r="DE141" i="3"/>
  <c r="DU141" i="3" s="1"/>
  <c r="DU134" i="3"/>
  <c r="DK128" i="3"/>
  <c r="DK126" i="3"/>
  <c r="DX122" i="3"/>
  <c r="DY122" i="3" s="1"/>
  <c r="EH122" i="3"/>
  <c r="CI62" i="25"/>
  <c r="CH89" i="25"/>
  <c r="CH103" i="25" s="1"/>
  <c r="AD77" i="3" l="1"/>
  <c r="AG134" i="21"/>
  <c r="AE83" i="25"/>
  <c r="AE97" i="25" s="1"/>
  <c r="AF70" i="25"/>
  <c r="AG136" i="21"/>
  <c r="Q128" i="3"/>
  <c r="AC76" i="27"/>
  <c r="AC111" i="27" s="1"/>
  <c r="AC110" i="27"/>
  <c r="AE112" i="27"/>
  <c r="AC75" i="27"/>
  <c r="AE185" i="3" s="1"/>
  <c r="AE192" i="3" s="1"/>
  <c r="AC109" i="27"/>
  <c r="AE147" i="25"/>
  <c r="AH73" i="21"/>
  <c r="AI60" i="21"/>
  <c r="AF179" i="25"/>
  <c r="AF203" i="25"/>
  <c r="AF204" i="25" s="1"/>
  <c r="AG168" i="25"/>
  <c r="AF184" i="25"/>
  <c r="AF196" i="25"/>
  <c r="AG196" i="25" s="1"/>
  <c r="AD161" i="25"/>
  <c r="AD193" i="25"/>
  <c r="AG86" i="21"/>
  <c r="AG26" i="21"/>
  <c r="AG99" i="21"/>
  <c r="AD162" i="25"/>
  <c r="AH90" i="21"/>
  <c r="AH103" i="21"/>
  <c r="BC62" i="27"/>
  <c r="BC19" i="27"/>
  <c r="BC26" i="3" s="1"/>
  <c r="BD49" i="27"/>
  <c r="N220" i="3"/>
  <c r="N221" i="3" s="1"/>
  <c r="BB30" i="27"/>
  <c r="BB56" i="27"/>
  <c r="AI51" i="21"/>
  <c r="AI77" i="21" s="1"/>
  <c r="AI20" i="17"/>
  <c r="AJ17" i="21"/>
  <c r="AH135" i="21"/>
  <c r="AH133" i="21" s="1"/>
  <c r="AH138" i="21" s="1"/>
  <c r="AH139" i="21" s="1"/>
  <c r="AI125" i="21"/>
  <c r="AF37" i="3"/>
  <c r="AE81" i="3"/>
  <c r="AE34" i="3"/>
  <c r="AE89" i="3" s="1"/>
  <c r="AH68" i="23"/>
  <c r="AG102" i="23"/>
  <c r="AG103" i="23" s="1"/>
  <c r="AG79" i="23"/>
  <c r="AF59" i="25"/>
  <c r="AE86" i="25"/>
  <c r="AF9" i="17"/>
  <c r="AG272" i="3"/>
  <c r="AG90" i="25"/>
  <c r="AH63" i="25"/>
  <c r="AF98" i="25"/>
  <c r="AF71" i="25"/>
  <c r="AC64" i="3"/>
  <c r="AC90" i="17"/>
  <c r="AK89" i="27"/>
  <c r="AJ99" i="27"/>
  <c r="AJ97" i="27" s="1"/>
  <c r="AC85" i="25"/>
  <c r="AD58" i="25"/>
  <c r="AH336" i="3"/>
  <c r="AI289" i="3"/>
  <c r="AD30" i="25"/>
  <c r="AD100" i="25"/>
  <c r="AD73" i="25"/>
  <c r="BJ36" i="23"/>
  <c r="BI47" i="23"/>
  <c r="BI53" i="23" s="1"/>
  <c r="AF288" i="3"/>
  <c r="AE335" i="3"/>
  <c r="AH57" i="25"/>
  <c r="AG84" i="25"/>
  <c r="AB29" i="25"/>
  <c r="AB99" i="25"/>
  <c r="CK50" i="27"/>
  <c r="CK20" i="27"/>
  <c r="CK27" i="3" s="1"/>
  <c r="CL48" i="27"/>
  <c r="AH67" i="23"/>
  <c r="AG72" i="23"/>
  <c r="CL48" i="21"/>
  <c r="CK74" i="21"/>
  <c r="AH259" i="3"/>
  <c r="AG321" i="3"/>
  <c r="V61" i="25"/>
  <c r="U75" i="25"/>
  <c r="U78" i="25" s="1"/>
  <c r="U64" i="25"/>
  <c r="U65" i="25" s="1"/>
  <c r="AF31" i="3"/>
  <c r="AF51" i="3" s="1"/>
  <c r="AH216" i="25"/>
  <c r="AI214" i="25"/>
  <c r="CD37" i="23"/>
  <c r="CC48" i="23"/>
  <c r="CC54" i="23" s="1"/>
  <c r="BG46" i="21"/>
  <c r="BF72" i="21"/>
  <c r="AA182" i="25"/>
  <c r="AA186" i="25"/>
  <c r="AA187" i="25" s="1"/>
  <c r="AE125" i="25"/>
  <c r="AD134" i="25"/>
  <c r="AH155" i="21"/>
  <c r="AH131" i="21"/>
  <c r="AI119" i="21"/>
  <c r="Z172" i="3"/>
  <c r="Y105" i="15"/>
  <c r="BY85" i="21"/>
  <c r="BY98" i="21"/>
  <c r="BY24" i="21"/>
  <c r="AI183" i="25"/>
  <c r="AJ174" i="25"/>
  <c r="AE170" i="25"/>
  <c r="AD188" i="25"/>
  <c r="AD194" i="25"/>
  <c r="CJ101" i="21"/>
  <c r="CJ88" i="21"/>
  <c r="AE89" i="25"/>
  <c r="AE103" i="25" s="1"/>
  <c r="AF62" i="25"/>
  <c r="AF89" i="25" s="1"/>
  <c r="AF66" i="21"/>
  <c r="AF92" i="21"/>
  <c r="I91" i="16"/>
  <c r="AG50" i="16"/>
  <c r="AG51" i="16"/>
  <c r="BD88" i="17"/>
  <c r="BD62" i="3"/>
  <c r="AI256" i="3"/>
  <c r="AG271" i="3"/>
  <c r="AF276" i="3"/>
  <c r="AF319" i="3"/>
  <c r="AB180" i="3"/>
  <c r="AB168" i="3"/>
  <c r="AB170" i="3" s="1"/>
  <c r="AB179" i="3"/>
  <c r="AA113" i="15"/>
  <c r="AA114" i="15"/>
  <c r="X87" i="21"/>
  <c r="X80" i="21"/>
  <c r="X100" i="21"/>
  <c r="X25" i="21"/>
  <c r="AF208" i="25"/>
  <c r="BX62" i="3"/>
  <c r="BX88" i="17"/>
  <c r="AD48" i="23"/>
  <c r="AD54" i="23" s="1"/>
  <c r="AE43" i="23"/>
  <c r="CP53" i="23"/>
  <c r="AA267" i="3"/>
  <c r="AA322" i="3" s="1"/>
  <c r="AA323" i="3" s="1"/>
  <c r="AE100" i="27"/>
  <c r="AF83" i="27"/>
  <c r="AE120" i="27"/>
  <c r="AE121" i="27" s="1"/>
  <c r="AE84" i="27"/>
  <c r="AE98" i="27"/>
  <c r="CJ87" i="21"/>
  <c r="CJ100" i="21"/>
  <c r="AH149" i="21"/>
  <c r="AI149" i="21" s="1"/>
  <c r="AF123" i="21"/>
  <c r="AG129" i="21"/>
  <c r="AF140" i="21"/>
  <c r="AE144" i="21"/>
  <c r="AE141" i="21"/>
  <c r="AD92" i="17"/>
  <c r="AD78" i="3"/>
  <c r="BE24" i="21"/>
  <c r="BE85" i="21"/>
  <c r="BE98" i="21"/>
  <c r="AL172" i="25"/>
  <c r="AK178" i="25"/>
  <c r="AC175" i="25"/>
  <c r="AB181" i="25"/>
  <c r="AC209" i="25"/>
  <c r="AB210" i="25"/>
  <c r="AH221" i="25"/>
  <c r="AG222" i="25"/>
  <c r="O27" i="16"/>
  <c r="O29" i="16"/>
  <c r="AM49" i="16"/>
  <c r="O84" i="16"/>
  <c r="O1" i="16" s="1"/>
  <c r="AC132" i="25"/>
  <c r="AC139" i="25"/>
  <c r="AC140" i="25" s="1"/>
  <c r="AC135" i="25"/>
  <c r="BC79" i="21"/>
  <c r="BC92" i="21" s="1"/>
  <c r="BD53" i="21"/>
  <c r="AD247" i="3"/>
  <c r="AD248" i="3" s="1"/>
  <c r="AE193" i="3"/>
  <c r="AD194" i="3"/>
  <c r="CA46" i="21"/>
  <c r="BZ72" i="21"/>
  <c r="AB20" i="25"/>
  <c r="AB29" i="3" s="1"/>
  <c r="AB81" i="25"/>
  <c r="AC192" i="25"/>
  <c r="AC197" i="25" s="1"/>
  <c r="AC198" i="25" s="1"/>
  <c r="AC199" i="25" s="1"/>
  <c r="AC54" i="25" s="1"/>
  <c r="AC189" i="25"/>
  <c r="CL49" i="21"/>
  <c r="CK75" i="21"/>
  <c r="AG156" i="21"/>
  <c r="AH53" i="21"/>
  <c r="AG79" i="21"/>
  <c r="I90" i="16"/>
  <c r="AI160" i="21"/>
  <c r="AH162" i="21"/>
  <c r="X24" i="3"/>
  <c r="X55" i="21"/>
  <c r="Z48" i="21"/>
  <c r="Y74" i="21"/>
  <c r="Y54" i="21"/>
  <c r="Y21" i="21" s="1"/>
  <c r="AB137" i="25"/>
  <c r="AB138" i="25" s="1"/>
  <c r="AB133" i="25"/>
  <c r="AE115" i="21"/>
  <c r="AF110" i="21" s="1"/>
  <c r="AE147" i="21"/>
  <c r="AE150" i="21" s="1"/>
  <c r="AE151" i="21" s="1"/>
  <c r="M29" i="16"/>
  <c r="AK49" i="16"/>
  <c r="M84" i="16"/>
  <c r="M1" i="16" s="1"/>
  <c r="M27" i="16"/>
  <c r="AB211" i="3"/>
  <c r="AD45" i="21"/>
  <c r="AC71" i="21"/>
  <c r="AI62" i="27"/>
  <c r="AJ49" i="27"/>
  <c r="AA47" i="23"/>
  <c r="AA38" i="23"/>
  <c r="AA19" i="23"/>
  <c r="AB36" i="23"/>
  <c r="X96" i="25"/>
  <c r="X31" i="25"/>
  <c r="X69" i="25"/>
  <c r="EI128" i="3"/>
  <c r="AA212" i="3"/>
  <c r="AB104" i="3"/>
  <c r="AB212" i="3" s="1"/>
  <c r="AB265" i="3"/>
  <c r="S128" i="3"/>
  <c r="Z53" i="23"/>
  <c r="Z49" i="23"/>
  <c r="Z23" i="23"/>
  <c r="AY23" i="21"/>
  <c r="AY84" i="21"/>
  <c r="AY97" i="21"/>
  <c r="O128" i="3"/>
  <c r="AH56" i="27"/>
  <c r="AH30" i="27"/>
  <c r="W57" i="16"/>
  <c r="W15" i="16"/>
  <c r="Y72" i="3"/>
  <c r="AU57" i="16" s="1"/>
  <c r="AA63" i="15"/>
  <c r="AO49" i="16"/>
  <c r="Q27" i="16"/>
  <c r="Q29" i="16"/>
  <c r="Q84" i="16"/>
  <c r="Q1" i="16" s="1"/>
  <c r="AZ71" i="21"/>
  <c r="BA45" i="21"/>
  <c r="CJ24" i="27"/>
  <c r="CJ68" i="27"/>
  <c r="CJ29" i="27"/>
  <c r="AB44" i="23"/>
  <c r="AC42" i="23"/>
  <c r="AU69" i="25"/>
  <c r="AT82" i="25"/>
  <c r="AT96" i="25" s="1"/>
  <c r="O72" i="27"/>
  <c r="O57" i="23"/>
  <c r="O108" i="25"/>
  <c r="P6" i="3"/>
  <c r="O7" i="3"/>
  <c r="AB84" i="21"/>
  <c r="AB23" i="21"/>
  <c r="AB97" i="21"/>
  <c r="AB58" i="21"/>
  <c r="Z39" i="23"/>
  <c r="Z25" i="3"/>
  <c r="X8" i="16" s="1"/>
  <c r="CL55" i="27"/>
  <c r="CK61" i="27"/>
  <c r="BM42" i="23"/>
  <c r="CI35" i="27"/>
  <c r="CI47" i="3"/>
  <c r="CI74" i="3" s="1"/>
  <c r="Z55" i="25"/>
  <c r="Y82" i="25"/>
  <c r="L34" i="16"/>
  <c r="AH38" i="3"/>
  <c r="AJ49" i="16"/>
  <c r="L84" i="16"/>
  <c r="L27" i="16"/>
  <c r="L29" i="16"/>
  <c r="AB115" i="27"/>
  <c r="AB47" i="27" s="1"/>
  <c r="U260" i="3"/>
  <c r="DK255" i="3"/>
  <c r="DK260" i="3" s="1"/>
  <c r="DK286" i="3" s="1"/>
  <c r="DK293" i="3" s="1"/>
  <c r="U12" i="17"/>
  <c r="U13" i="17" s="1"/>
  <c r="U294" i="3"/>
  <c r="U296" i="3" s="1"/>
  <c r="AQ7" i="16"/>
  <c r="V255" i="3"/>
  <c r="AE87" i="27"/>
  <c r="AF94" i="27"/>
  <c r="AE95" i="27"/>
  <c r="AE102" i="27"/>
  <c r="AE103" i="27" s="1"/>
  <c r="CF43" i="23"/>
  <c r="BC50" i="21"/>
  <c r="AC105" i="27"/>
  <c r="AC108" i="27"/>
  <c r="T99" i="15"/>
  <c r="AP25" i="16"/>
  <c r="T297" i="3"/>
  <c r="AT8" i="43"/>
  <c r="AU8" i="43" s="1"/>
  <c r="AV8" i="43" s="1"/>
  <c r="AW8" i="43" s="1"/>
  <c r="AB32" i="26"/>
  <c r="AY27" i="21"/>
  <c r="AY102" i="21"/>
  <c r="AY89" i="21"/>
  <c r="DW134" i="3"/>
  <c r="DI141" i="3"/>
  <c r="DW141" i="3" s="1"/>
  <c r="AA60" i="27"/>
  <c r="AA50" i="27"/>
  <c r="AA19" i="27"/>
  <c r="BB82" i="27"/>
  <c r="BA63" i="21"/>
  <c r="AZ76" i="21"/>
  <c r="DW133" i="3"/>
  <c r="DI135" i="3"/>
  <c r="R123" i="3"/>
  <c r="P28" i="16" s="1"/>
  <c r="AN49" i="16" s="1"/>
  <c r="T286" i="3"/>
  <c r="T293" i="3" s="1"/>
  <c r="AP9" i="16"/>
  <c r="AP12" i="16" s="1"/>
  <c r="AP81" i="16" s="1"/>
  <c r="AP1" i="16" s="1"/>
  <c r="T298" i="3"/>
  <c r="T14" i="17"/>
  <c r="T42" i="17"/>
  <c r="T43" i="17"/>
  <c r="V240" i="3"/>
  <c r="V242" i="3" s="1"/>
  <c r="U243" i="3"/>
  <c r="AL167" i="21"/>
  <c r="AK168" i="21"/>
  <c r="AK53" i="21" s="1"/>
  <c r="AE93" i="27"/>
  <c r="AD104" i="27"/>
  <c r="AL49" i="16"/>
  <c r="N29" i="16"/>
  <c r="N27" i="16"/>
  <c r="N84" i="16"/>
  <c r="N1" i="16" s="1"/>
  <c r="DI128" i="3"/>
  <c r="DW128" i="3" s="1"/>
  <c r="BE83" i="25"/>
  <c r="BE97" i="25" s="1"/>
  <c r="BF56" i="25"/>
  <c r="AR31" i="16"/>
  <c r="AE79" i="3"/>
  <c r="AE93" i="17"/>
  <c r="AE50" i="3"/>
  <c r="AE77" i="3" s="1"/>
  <c r="P128" i="3"/>
  <c r="AG62" i="21"/>
  <c r="CB87" i="25"/>
  <c r="CB101" i="25" s="1"/>
  <c r="CC60" i="25"/>
  <c r="AC17" i="17"/>
  <c r="AB159" i="3"/>
  <c r="O69" i="15"/>
  <c r="O3" i="17"/>
  <c r="O4" i="17" s="1"/>
  <c r="O37" i="17"/>
  <c r="O3" i="27"/>
  <c r="O206" i="25"/>
  <c r="O5" i="23"/>
  <c r="O157" i="25"/>
  <c r="O19" i="21"/>
  <c r="O300" i="3"/>
  <c r="O182" i="3"/>
  <c r="O145" i="3"/>
  <c r="P3" i="3"/>
  <c r="O83" i="17"/>
  <c r="O21" i="15"/>
  <c r="O22" i="17"/>
  <c r="O5" i="21"/>
  <c r="O3" i="25"/>
  <c r="O3" i="21"/>
  <c r="O17" i="25"/>
  <c r="O253" i="3"/>
  <c r="O164" i="3"/>
  <c r="O68" i="3"/>
  <c r="O41" i="3"/>
  <c r="O212" i="25"/>
  <c r="O95" i="15"/>
  <c r="O29" i="17"/>
  <c r="O5" i="25"/>
  <c r="O3" i="15"/>
  <c r="O4" i="15" s="1"/>
  <c r="O5" i="27"/>
  <c r="O164" i="21"/>
  <c r="O158" i="21"/>
  <c r="O329" i="3"/>
  <c r="O208" i="3"/>
  <c r="O85" i="3"/>
  <c r="O21" i="3"/>
  <c r="O9" i="3"/>
  <c r="O54" i="15"/>
  <c r="O17" i="23"/>
  <c r="O313" i="3"/>
  <c r="O6" i="17"/>
  <c r="O218" i="25"/>
  <c r="O200" i="3"/>
  <c r="O17" i="27"/>
  <c r="O108" i="21"/>
  <c r="O153" i="3"/>
  <c r="O6" i="15"/>
  <c r="AU90" i="25"/>
  <c r="AV63" i="25"/>
  <c r="AV90" i="25" s="1"/>
  <c r="AM78" i="23"/>
  <c r="L87" i="15"/>
  <c r="M90" i="15"/>
  <c r="M67" i="15"/>
  <c r="M76" i="15"/>
  <c r="M91" i="15"/>
  <c r="M57" i="15"/>
  <c r="M92" i="15"/>
  <c r="CK87" i="25"/>
  <c r="CK101" i="25" s="1"/>
  <c r="CL60" i="25"/>
  <c r="AL35" i="3"/>
  <c r="AH65" i="21"/>
  <c r="AG78" i="21"/>
  <c r="AO60" i="25"/>
  <c r="AN87" i="25"/>
  <c r="AN101" i="25" s="1"/>
  <c r="DK134" i="3"/>
  <c r="DK133" i="3"/>
  <c r="DK132" i="3"/>
  <c r="DK210" i="3"/>
  <c r="DK131" i="3"/>
  <c r="DX126" i="3"/>
  <c r="EH126" i="3"/>
  <c r="AF98" i="21"/>
  <c r="AF24" i="21"/>
  <c r="AF85" i="21"/>
  <c r="AR30" i="16"/>
  <c r="AF89" i="21"/>
  <c r="AF63" i="21"/>
  <c r="AF27" i="21"/>
  <c r="AF102" i="21"/>
  <c r="DE127" i="3"/>
  <c r="DU127" i="3" s="1"/>
  <c r="DU122" i="3"/>
  <c r="DZ128" i="3"/>
  <c r="EJ128" i="3"/>
  <c r="DM134" i="3"/>
  <c r="EI134" i="3" s="1"/>
  <c r="DM132" i="3"/>
  <c r="DY132" i="3" s="1"/>
  <c r="DM131" i="3"/>
  <c r="DY131" i="3" s="1"/>
  <c r="DM210" i="3"/>
  <c r="EI210" i="3" s="1"/>
  <c r="DM133" i="3"/>
  <c r="DY126" i="3"/>
  <c r="AN74" i="23"/>
  <c r="AF20" i="27"/>
  <c r="AF27" i="3" s="1"/>
  <c r="AG48" i="27"/>
  <c r="AF61" i="27"/>
  <c r="AU103" i="21"/>
  <c r="AU90" i="21"/>
  <c r="AW55" i="25"/>
  <c r="AE130" i="25"/>
  <c r="AE154" i="25"/>
  <c r="AE155" i="25" s="1"/>
  <c r="AF119" i="25"/>
  <c r="CI89" i="25"/>
  <c r="CI103" i="25" s="1"/>
  <c r="CJ62" i="25"/>
  <c r="DX128" i="3"/>
  <c r="EH128" i="3"/>
  <c r="AB304" i="3"/>
  <c r="AH46" i="21"/>
  <c r="AG72" i="21"/>
  <c r="AO52" i="21"/>
  <c r="AF93" i="3"/>
  <c r="V213" i="3"/>
  <c r="AG76" i="21"/>
  <c r="AH50" i="21"/>
  <c r="DU121" i="3"/>
  <c r="N92" i="15"/>
  <c r="N90" i="15"/>
  <c r="N67" i="15"/>
  <c r="N76" i="15"/>
  <c r="N78" i="15" s="1"/>
  <c r="N91" i="15"/>
  <c r="N57" i="15"/>
  <c r="DO133" i="3"/>
  <c r="DO210" i="3"/>
  <c r="DO131" i="3"/>
  <c r="DO132" i="3"/>
  <c r="DO134" i="3"/>
  <c r="EJ126" i="3"/>
  <c r="DZ126" i="3"/>
  <c r="BE90" i="25"/>
  <c r="BF63" i="25"/>
  <c r="AA115" i="25"/>
  <c r="AL220" i="25"/>
  <c r="AE62" i="3"/>
  <c r="AE88" i="17"/>
  <c r="AV77" i="21"/>
  <c r="AW51" i="21"/>
  <c r="Z155" i="3"/>
  <c r="Z26" i="17"/>
  <c r="Z218" i="3"/>
  <c r="X35" i="16" s="1"/>
  <c r="AF81" i="23"/>
  <c r="AF84" i="23"/>
  <c r="AF88" i="23"/>
  <c r="AF89" i="23" s="1"/>
  <c r="AE82" i="23"/>
  <c r="AE86" i="23"/>
  <c r="AE87" i="23" s="1"/>
  <c r="V141" i="3"/>
  <c r="V135" i="3"/>
  <c r="T85" i="16"/>
  <c r="T1" i="16" s="1"/>
  <c r="T29" i="16"/>
  <c r="AG32" i="3"/>
  <c r="AF52" i="3"/>
  <c r="AF30" i="3"/>
  <c r="AF88" i="3" s="1"/>
  <c r="K81" i="15"/>
  <c r="K86" i="15" s="1"/>
  <c r="K79" i="15"/>
  <c r="K84" i="15" s="1"/>
  <c r="K80" i="15"/>
  <c r="K85" i="15" s="1"/>
  <c r="AA146" i="25"/>
  <c r="BF57" i="25"/>
  <c r="AE24" i="27"/>
  <c r="AE29" i="27"/>
  <c r="AE68" i="27"/>
  <c r="AS166" i="21"/>
  <c r="AN89" i="25"/>
  <c r="AN103" i="25" s="1"/>
  <c r="AO62" i="25"/>
  <c r="AR167" i="25"/>
  <c r="DV127" i="3"/>
  <c r="DG123" i="3"/>
  <c r="DV123" i="3" s="1"/>
  <c r="AF104" i="21"/>
  <c r="AF91" i="21"/>
  <c r="AH73" i="23"/>
  <c r="AG83" i="23"/>
  <c r="N65" i="15" l="1"/>
  <c r="N66" i="15" s="1"/>
  <c r="N239" i="3"/>
  <c r="N242" i="3" s="1"/>
  <c r="N243" i="3" s="1"/>
  <c r="N245" i="3"/>
  <c r="N244" i="3" s="1"/>
  <c r="L52" i="16" s="1"/>
  <c r="L91" i="16" s="1"/>
  <c r="AF147" i="25"/>
  <c r="L36" i="16"/>
  <c r="L37" i="16" s="1"/>
  <c r="AA309" i="3"/>
  <c r="AH136" i="21"/>
  <c r="AB267" i="3"/>
  <c r="AB309" i="3" s="1"/>
  <c r="AE45" i="21"/>
  <c r="AH156" i="21"/>
  <c r="AG70" i="25"/>
  <c r="AF83" i="25"/>
  <c r="AF97" i="25" s="1"/>
  <c r="N100" i="15"/>
  <c r="V243" i="3"/>
  <c r="N147" i="3"/>
  <c r="N148" i="3" s="1"/>
  <c r="N149" i="3" s="1"/>
  <c r="N150" i="3" s="1"/>
  <c r="N151" i="3" s="1"/>
  <c r="N75" i="15" s="1"/>
  <c r="P29" i="16"/>
  <c r="AH134" i="21"/>
  <c r="AC114" i="27"/>
  <c r="AC79" i="27"/>
  <c r="AD74" i="27" s="1"/>
  <c r="AD76" i="27" s="1"/>
  <c r="AH168" i="25"/>
  <c r="AG179" i="25"/>
  <c r="AG203" i="25"/>
  <c r="AG204" i="25" s="1"/>
  <c r="AG184" i="25"/>
  <c r="AH99" i="21"/>
  <c r="AH26" i="21"/>
  <c r="AH86" i="21"/>
  <c r="AD195" i="25"/>
  <c r="AD164" i="25"/>
  <c r="AE159" i="25" s="1"/>
  <c r="AE162" i="25" s="1"/>
  <c r="AI73" i="21"/>
  <c r="AJ60" i="21"/>
  <c r="AJ20" i="17"/>
  <c r="AK17" i="21"/>
  <c r="AI90" i="21"/>
  <c r="AI103" i="21"/>
  <c r="AJ51" i="21"/>
  <c r="AJ77" i="21" s="1"/>
  <c r="BD19" i="27"/>
  <c r="BD26" i="3" s="1"/>
  <c r="BE49" i="27"/>
  <c r="BD62" i="27"/>
  <c r="BC30" i="27"/>
  <c r="BC56" i="27"/>
  <c r="CL50" i="27"/>
  <c r="CL20" i="27"/>
  <c r="CL27" i="3" s="1"/>
  <c r="CM48" i="27"/>
  <c r="AI57" i="25"/>
  <c r="AH84" i="25"/>
  <c r="AG288" i="3"/>
  <c r="AF335" i="3"/>
  <c r="BK36" i="23"/>
  <c r="BJ47" i="23"/>
  <c r="BJ53" i="23" s="1"/>
  <c r="AJ289" i="3"/>
  <c r="AI336" i="3"/>
  <c r="AD85" i="25"/>
  <c r="AE58" i="25"/>
  <c r="AH90" i="25"/>
  <c r="AI63" i="25"/>
  <c r="AH272" i="3"/>
  <c r="AG9" i="17"/>
  <c r="AE73" i="25"/>
  <c r="AE100" i="25"/>
  <c r="AE30" i="25"/>
  <c r="AH102" i="23"/>
  <c r="AH103" i="23" s="1"/>
  <c r="AI68" i="23"/>
  <c r="AH79" i="23"/>
  <c r="AI135" i="21"/>
  <c r="AI133" i="21" s="1"/>
  <c r="AI138" i="21" s="1"/>
  <c r="AJ125" i="21"/>
  <c r="V7" i="16"/>
  <c r="DQ24" i="3"/>
  <c r="AG71" i="25"/>
  <c r="AG98" i="25"/>
  <c r="AD64" i="3"/>
  <c r="AD90" i="17"/>
  <c r="AC99" i="25"/>
  <c r="AC29" i="25"/>
  <c r="AL89" i="27"/>
  <c r="AK99" i="27"/>
  <c r="AK97" i="27" s="1"/>
  <c r="AF86" i="25"/>
  <c r="AG59" i="25"/>
  <c r="AG37" i="3"/>
  <c r="AF81" i="3"/>
  <c r="AF34" i="3"/>
  <c r="AF89" i="3" s="1"/>
  <c r="AC20" i="25"/>
  <c r="AC29" i="3" s="1"/>
  <c r="AC81" i="25"/>
  <c r="AB63" i="15"/>
  <c r="Y87" i="21"/>
  <c r="Y25" i="21"/>
  <c r="Y100" i="21"/>
  <c r="Y80" i="21"/>
  <c r="AI53" i="21"/>
  <c r="AH79" i="21"/>
  <c r="CK88" i="21"/>
  <c r="CK101" i="21"/>
  <c r="AB68" i="25"/>
  <c r="AB24" i="25"/>
  <c r="AB95" i="25"/>
  <c r="BZ85" i="21"/>
  <c r="BZ24" i="21"/>
  <c r="BZ98" i="21"/>
  <c r="AD223" i="3"/>
  <c r="AD198" i="3"/>
  <c r="AB182" i="25"/>
  <c r="AB186" i="25"/>
  <c r="AB187" i="25" s="1"/>
  <c r="BE88" i="17"/>
  <c r="BE62" i="3"/>
  <c r="AG140" i="21"/>
  <c r="AG123" i="21"/>
  <c r="AH129" i="21"/>
  <c r="AG83" i="27"/>
  <c r="AF100" i="27"/>
  <c r="AF84" i="27"/>
  <c r="AF120" i="27"/>
  <c r="AF121" i="27" s="1"/>
  <c r="AF98" i="27"/>
  <c r="AF43" i="23"/>
  <c r="AE48" i="23"/>
  <c r="AE54" i="23" s="1"/>
  <c r="AG208" i="25"/>
  <c r="X63" i="3"/>
  <c r="X89" i="17"/>
  <c r="X22" i="21"/>
  <c r="X106" i="21"/>
  <c r="X67" i="21"/>
  <c r="X93" i="21"/>
  <c r="AJ256" i="3"/>
  <c r="AF103" i="25"/>
  <c r="AG103" i="25"/>
  <c r="AE194" i="25"/>
  <c r="AF170" i="25"/>
  <c r="AE188" i="25"/>
  <c r="AJ183" i="25"/>
  <c r="AK174" i="25"/>
  <c r="BY62" i="3"/>
  <c r="BY88" i="17"/>
  <c r="AD139" i="25"/>
  <c r="AD140" i="25" s="1"/>
  <c r="AD132" i="25"/>
  <c r="AD135" i="25"/>
  <c r="BF85" i="21"/>
  <c r="BF24" i="21"/>
  <c r="BF98" i="21"/>
  <c r="AI216" i="25"/>
  <c r="AJ214" i="25"/>
  <c r="AF50" i="3"/>
  <c r="AF77" i="3" s="1"/>
  <c r="AG31" i="3"/>
  <c r="AG51" i="3" s="1"/>
  <c r="W61" i="25"/>
  <c r="V75" i="25"/>
  <c r="V78" i="25" s="1"/>
  <c r="V64" i="25"/>
  <c r="V65" i="25" s="1"/>
  <c r="CK87" i="21"/>
  <c r="CK100" i="21"/>
  <c r="AF112" i="21"/>
  <c r="AF145" i="21"/>
  <c r="AF113" i="21"/>
  <c r="AF146" i="21"/>
  <c r="Y24" i="3"/>
  <c r="W7" i="16" s="1"/>
  <c r="Y55" i="21"/>
  <c r="AA48" i="21"/>
  <c r="Z54" i="21"/>
  <c r="Z21" i="21" s="1"/>
  <c r="Z74" i="21"/>
  <c r="AJ160" i="21"/>
  <c r="AI162" i="21"/>
  <c r="AG92" i="21"/>
  <c r="AG66" i="21"/>
  <c r="CM49" i="21"/>
  <c r="CL75" i="21"/>
  <c r="CA72" i="21"/>
  <c r="CB46" i="21"/>
  <c r="AF193" i="3"/>
  <c r="AE246" i="3"/>
  <c r="BE53" i="21"/>
  <c r="BD79" i="21"/>
  <c r="BD92" i="21" s="1"/>
  <c r="AC137" i="25"/>
  <c r="AC138" i="25" s="1"/>
  <c r="AC133" i="25"/>
  <c r="AI221" i="25"/>
  <c r="AH222" i="25"/>
  <c r="AD209" i="25"/>
  <c r="AC210" i="25"/>
  <c r="AD175" i="25"/>
  <c r="AC181" i="25"/>
  <c r="AM172" i="25"/>
  <c r="AL178" i="25"/>
  <c r="AF141" i="21"/>
  <c r="AF144" i="21"/>
  <c r="AC167" i="3"/>
  <c r="AB106" i="15"/>
  <c r="AB173" i="3"/>
  <c r="AB340" i="3" s="1"/>
  <c r="AB171" i="3"/>
  <c r="AH271" i="3"/>
  <c r="AG276" i="3"/>
  <c r="AG319" i="3"/>
  <c r="AF111" i="21"/>
  <c r="AD192" i="25"/>
  <c r="AD197" i="25" s="1"/>
  <c r="AD198" i="25" s="1"/>
  <c r="AD199" i="25" s="1"/>
  <c r="AD54" i="25" s="1"/>
  <c r="AD189" i="25"/>
  <c r="AE247" i="3"/>
  <c r="AE248" i="3" s="1"/>
  <c r="AE194" i="3"/>
  <c r="Z105" i="15"/>
  <c r="AA172" i="3"/>
  <c r="AA105" i="15" s="1"/>
  <c r="AI155" i="21"/>
  <c r="AI156" i="21" s="1"/>
  <c r="AI131" i="21"/>
  <c r="AJ119" i="21"/>
  <c r="AJ149" i="21" s="1"/>
  <c r="AI139" i="21"/>
  <c r="AF125" i="25"/>
  <c r="AE134" i="25"/>
  <c r="BH46" i="21"/>
  <c r="BG72" i="21"/>
  <c r="CE37" i="23"/>
  <c r="CD48" i="23"/>
  <c r="CD54" i="23" s="1"/>
  <c r="AE78" i="3"/>
  <c r="AE92" i="17"/>
  <c r="AF112" i="27"/>
  <c r="AI259" i="3"/>
  <c r="AH321" i="3"/>
  <c r="CL74" i="21"/>
  <c r="CM48" i="21"/>
  <c r="AI67" i="23"/>
  <c r="AH72" i="23"/>
  <c r="Y96" i="25"/>
  <c r="Y69" i="25"/>
  <c r="Y31" i="25"/>
  <c r="AV69" i="25"/>
  <c r="AU82" i="25"/>
  <c r="AU96" i="25" s="1"/>
  <c r="AD42" i="23"/>
  <c r="AC44" i="23"/>
  <c r="CJ35" i="27"/>
  <c r="CJ47" i="3"/>
  <c r="CJ74" i="3" s="1"/>
  <c r="BB45" i="21"/>
  <c r="BA71" i="21"/>
  <c r="AA49" i="23"/>
  <c r="AA53" i="23"/>
  <c r="AA23" i="23"/>
  <c r="AJ62" i="27"/>
  <c r="AK49" i="27"/>
  <c r="CM55" i="27"/>
  <c r="CL61" i="27"/>
  <c r="AB322" i="3"/>
  <c r="DE123" i="3"/>
  <c r="DU123" i="3" s="1"/>
  <c r="Z82" i="25"/>
  <c r="AA55" i="25"/>
  <c r="BN42" i="23"/>
  <c r="AZ23" i="21"/>
  <c r="AZ97" i="21"/>
  <c r="AZ84" i="21"/>
  <c r="Z55" i="23"/>
  <c r="Z20" i="23"/>
  <c r="AB305" i="3"/>
  <c r="AB303" i="3" s="1"/>
  <c r="AC103" i="3"/>
  <c r="AC265" i="3" s="1"/>
  <c r="AB320" i="3"/>
  <c r="AB19" i="23"/>
  <c r="AB38" i="23"/>
  <c r="AB47" i="23"/>
  <c r="AC36" i="23"/>
  <c r="AI56" i="27"/>
  <c r="AI30" i="27"/>
  <c r="Q6" i="3"/>
  <c r="P72" i="27"/>
  <c r="P108" i="25"/>
  <c r="P57" i="23"/>
  <c r="P7" i="3"/>
  <c r="X91" i="17"/>
  <c r="X65" i="3"/>
  <c r="DE128" i="3"/>
  <c r="DU128" i="3" s="1"/>
  <c r="CK24" i="27"/>
  <c r="CK68" i="27"/>
  <c r="CK29" i="27"/>
  <c r="AA39" i="23"/>
  <c r="AA25" i="3"/>
  <c r="AD71" i="21"/>
  <c r="AC58" i="21"/>
  <c r="AC23" i="21"/>
  <c r="AC97" i="21"/>
  <c r="AC84" i="21"/>
  <c r="AB105" i="3"/>
  <c r="P84" i="16"/>
  <c r="P1" i="16" s="1"/>
  <c r="AI38" i="3"/>
  <c r="AJ51" i="16"/>
  <c r="AJ50" i="16"/>
  <c r="AC115" i="27"/>
  <c r="AC116" i="27" s="1"/>
  <c r="AC47" i="27" s="1"/>
  <c r="AL53" i="21"/>
  <c r="K87" i="15"/>
  <c r="P27" i="16"/>
  <c r="AF93" i="27"/>
  <c r="AE104" i="27"/>
  <c r="BB63" i="21"/>
  <c r="BA76" i="21"/>
  <c r="BD50" i="21"/>
  <c r="U286" i="3"/>
  <c r="U293" i="3" s="1"/>
  <c r="AQ9" i="16"/>
  <c r="AQ12" i="16" s="1"/>
  <c r="AQ81" i="16" s="1"/>
  <c r="AQ1" i="16" s="1"/>
  <c r="U298" i="3"/>
  <c r="AQ41" i="16" s="1"/>
  <c r="AA26" i="3"/>
  <c r="AA21" i="27"/>
  <c r="AA51" i="27" s="1"/>
  <c r="CG43" i="23"/>
  <c r="U297" i="3"/>
  <c r="U99" i="15"/>
  <c r="AQ25" i="16"/>
  <c r="AB19" i="27"/>
  <c r="AB50" i="27"/>
  <c r="AM167" i="21"/>
  <c r="AL168" i="21"/>
  <c r="BC82" i="27"/>
  <c r="AX8" i="43"/>
  <c r="AB56" i="26"/>
  <c r="I56" i="26" s="1"/>
  <c r="K56" i="26" s="1"/>
  <c r="AP42" i="16"/>
  <c r="AP41" i="16"/>
  <c r="AP27" i="16"/>
  <c r="U43" i="17"/>
  <c r="U42" i="17"/>
  <c r="U14" i="17"/>
  <c r="AD105" i="27"/>
  <c r="AZ102" i="21"/>
  <c r="AZ89" i="21"/>
  <c r="AZ27" i="21"/>
  <c r="AA27" i="27"/>
  <c r="AA67" i="27"/>
  <c r="AA54" i="27"/>
  <c r="AA57" i="27" s="1"/>
  <c r="AA23" i="27"/>
  <c r="AA63" i="27"/>
  <c r="AA70" i="27" s="1"/>
  <c r="AB60" i="27"/>
  <c r="AG94" i="27"/>
  <c r="AF87" i="27"/>
  <c r="AF95" i="27"/>
  <c r="AF102" i="27"/>
  <c r="AF103" i="27" s="1"/>
  <c r="W255" i="3"/>
  <c r="DM255" i="3"/>
  <c r="DM260" i="3" s="1"/>
  <c r="DM286" i="3" s="1"/>
  <c r="DM293" i="3" s="1"/>
  <c r="V12" i="17"/>
  <c r="V13" i="17" s="1"/>
  <c r="AR7" i="16"/>
  <c r="V260" i="3"/>
  <c r="V294" i="3"/>
  <c r="V296" i="3" s="1"/>
  <c r="AI73" i="23"/>
  <c r="AH83" i="23"/>
  <c r="EJ210" i="3"/>
  <c r="DO213" i="3"/>
  <c r="DZ210" i="3"/>
  <c r="AH72" i="21"/>
  <c r="AI46" i="21"/>
  <c r="DM135" i="3"/>
  <c r="DY133" i="3"/>
  <c r="DX132" i="3"/>
  <c r="EH132" i="3"/>
  <c r="AG104" i="21"/>
  <c r="AG91" i="21"/>
  <c r="AS167" i="25"/>
  <c r="AE47" i="3"/>
  <c r="AE74" i="3" s="1"/>
  <c r="AE35" i="27"/>
  <c r="AG52" i="3"/>
  <c r="AH32" i="3"/>
  <c r="AG30" i="3"/>
  <c r="AG88" i="3" s="1"/>
  <c r="AV90" i="21"/>
  <c r="AV103" i="21"/>
  <c r="BF90" i="25"/>
  <c r="BG63" i="25"/>
  <c r="EJ132" i="3"/>
  <c r="DZ132" i="3"/>
  <c r="AG89" i="21"/>
  <c r="AG63" i="21"/>
  <c r="AG27" i="21"/>
  <c r="AG102" i="21"/>
  <c r="AP52" i="21"/>
  <c r="AF68" i="27"/>
  <c r="AF24" i="27"/>
  <c r="AF29" i="27"/>
  <c r="AF88" i="17"/>
  <c r="AF62" i="3"/>
  <c r="DX131" i="3"/>
  <c r="EH131" i="3"/>
  <c r="DK141" i="3"/>
  <c r="DX141" i="3" s="1"/>
  <c r="DX134" i="3"/>
  <c r="EH134" i="3"/>
  <c r="AM35" i="3"/>
  <c r="P3" i="17"/>
  <c r="P4" i="17" s="1"/>
  <c r="P37" i="17"/>
  <c r="P69" i="15"/>
  <c r="P54" i="15"/>
  <c r="P5" i="23"/>
  <c r="P164" i="21"/>
  <c r="P29" i="17"/>
  <c r="P3" i="27"/>
  <c r="P300" i="3"/>
  <c r="P208" i="3"/>
  <c r="P85" i="3"/>
  <c r="Q3" i="3"/>
  <c r="P22" i="17"/>
  <c r="P83" i="17"/>
  <c r="P3" i="25"/>
  <c r="P3" i="21"/>
  <c r="P108" i="21"/>
  <c r="P6" i="17"/>
  <c r="P5" i="21"/>
  <c r="P253" i="3"/>
  <c r="P200" i="3"/>
  <c r="P41" i="3"/>
  <c r="P68" i="3"/>
  <c r="P3" i="15"/>
  <c r="P4" i="15" s="1"/>
  <c r="P218" i="25"/>
  <c r="P212" i="25"/>
  <c r="P5" i="27"/>
  <c r="P157" i="25"/>
  <c r="P19" i="21"/>
  <c r="P5" i="25"/>
  <c r="P158" i="21"/>
  <c r="P329" i="3"/>
  <c r="P182" i="3"/>
  <c r="P153" i="3"/>
  <c r="P9" i="3"/>
  <c r="P21" i="3"/>
  <c r="P17" i="25"/>
  <c r="P313" i="3"/>
  <c r="P206" i="25"/>
  <c r="P21" i="15"/>
  <c r="P164" i="3"/>
  <c r="P95" i="15"/>
  <c r="P17" i="27"/>
  <c r="P145" i="3"/>
  <c r="P6" i="15"/>
  <c r="P17" i="23"/>
  <c r="AC159" i="3"/>
  <c r="AD17" i="17"/>
  <c r="EI131" i="3"/>
  <c r="AG81" i="23"/>
  <c r="AG84" i="23"/>
  <c r="AG88" i="23"/>
  <c r="AG89" i="23" s="1"/>
  <c r="AT166" i="21"/>
  <c r="BG57" i="25"/>
  <c r="AM220" i="25"/>
  <c r="EJ131" i="3"/>
  <c r="DZ131" i="3"/>
  <c r="N80" i="15"/>
  <c r="N85" i="15" s="1"/>
  <c r="N81" i="15"/>
  <c r="N86" i="15" s="1"/>
  <c r="N79" i="15"/>
  <c r="N84" i="15" s="1"/>
  <c r="AG85" i="21"/>
  <c r="AG24" i="21"/>
  <c r="AG98" i="21"/>
  <c r="AG20" i="27"/>
  <c r="AG27" i="3" s="1"/>
  <c r="AG61" i="27"/>
  <c r="AH48" i="27"/>
  <c r="DK213" i="3"/>
  <c r="DX210" i="3"/>
  <c r="EH210" i="3"/>
  <c r="CM60" i="25"/>
  <c r="CL87" i="25"/>
  <c r="CL101" i="25" s="1"/>
  <c r="M93" i="15"/>
  <c r="AN78" i="23"/>
  <c r="CD60" i="25"/>
  <c r="CC87" i="25"/>
  <c r="CC101" i="25" s="1"/>
  <c r="BF83" i="25"/>
  <c r="BF97" i="25" s="1"/>
  <c r="BG56" i="25"/>
  <c r="CK62" i="25"/>
  <c r="CJ89" i="25"/>
  <c r="CJ103" i="25" s="1"/>
  <c r="AX55" i="25"/>
  <c r="DM141" i="3"/>
  <c r="DY141" i="3" s="1"/>
  <c r="DY134" i="3"/>
  <c r="AR84" i="16"/>
  <c r="AR35" i="16"/>
  <c r="AP62" i="25"/>
  <c r="AO89" i="25"/>
  <c r="AO103" i="25" s="1"/>
  <c r="AF79" i="3"/>
  <c r="AF93" i="17"/>
  <c r="EI133" i="3"/>
  <c r="AF82" i="23"/>
  <c r="AF86" i="23"/>
  <c r="AF87" i="23" s="1"/>
  <c r="AX51" i="21"/>
  <c r="AW77" i="21"/>
  <c r="AB110" i="25"/>
  <c r="AA143" i="25"/>
  <c r="AA149" i="25" s="1"/>
  <c r="AA150" i="25" s="1"/>
  <c r="DO141" i="3"/>
  <c r="DZ141" i="3" s="1"/>
  <c r="EJ134" i="3"/>
  <c r="DZ134" i="3"/>
  <c r="DO135" i="3"/>
  <c r="DZ133" i="3"/>
  <c r="EJ133" i="3"/>
  <c r="N93" i="15"/>
  <c r="AH76" i="21"/>
  <c r="AI50" i="21"/>
  <c r="AG93" i="3"/>
  <c r="AG119" i="25"/>
  <c r="AG147" i="25" s="1"/>
  <c r="AF130" i="25"/>
  <c r="AF154" i="25"/>
  <c r="AF155" i="25" s="1"/>
  <c r="AO74" i="23"/>
  <c r="DM213" i="3"/>
  <c r="DY213" i="3" s="1"/>
  <c r="DY210" i="3"/>
  <c r="EI132" i="3"/>
  <c r="DK135" i="3"/>
  <c r="DX133" i="3"/>
  <c r="EH133" i="3"/>
  <c r="AP60" i="25"/>
  <c r="AO87" i="25"/>
  <c r="AO101" i="25" s="1"/>
  <c r="AI65" i="21"/>
  <c r="AH78" i="21"/>
  <c r="M78" i="15"/>
  <c r="O56" i="15"/>
  <c r="AH62" i="21"/>
  <c r="AE71" i="21" l="1"/>
  <c r="AI136" i="21"/>
  <c r="AD109" i="27"/>
  <c r="AC304" i="3"/>
  <c r="AI134" i="21"/>
  <c r="AH70" i="25"/>
  <c r="AG83" i="25"/>
  <c r="AG97" i="25" s="1"/>
  <c r="AG112" i="27"/>
  <c r="AD108" i="27"/>
  <c r="AD75" i="27"/>
  <c r="AF185" i="3" s="1"/>
  <c r="AF192" i="3" s="1"/>
  <c r="AF247" i="3" s="1"/>
  <c r="AF248" i="3" s="1"/>
  <c r="AD77" i="27"/>
  <c r="AD111" i="27" s="1"/>
  <c r="AD110" i="27"/>
  <c r="AJ73" i="21"/>
  <c r="AK60" i="21"/>
  <c r="AE161" i="25"/>
  <c r="AE195" i="25" s="1"/>
  <c r="AE193" i="25"/>
  <c r="AE160" i="25"/>
  <c r="AH203" i="25"/>
  <c r="AH204" i="25" s="1"/>
  <c r="AI168" i="25"/>
  <c r="AH179" i="25"/>
  <c r="AH184" i="25"/>
  <c r="AI86" i="21"/>
  <c r="AI26" i="21"/>
  <c r="AI99" i="21"/>
  <c r="AH196" i="25"/>
  <c r="BD56" i="27"/>
  <c r="BD30" i="27"/>
  <c r="AJ90" i="21"/>
  <c r="AJ103" i="21"/>
  <c r="AL17" i="21"/>
  <c r="AK20" i="17"/>
  <c r="BE62" i="27"/>
  <c r="BE19" i="27"/>
  <c r="BE26" i="3" s="1"/>
  <c r="BF49" i="27"/>
  <c r="AK51" i="21"/>
  <c r="AK77" i="21" s="1"/>
  <c r="AG81" i="3"/>
  <c r="AG34" i="3"/>
  <c r="AG89" i="3" s="1"/>
  <c r="AH37" i="3"/>
  <c r="AF100" i="25"/>
  <c r="AF73" i="25"/>
  <c r="AF30" i="25"/>
  <c r="AM89" i="27"/>
  <c r="AL99" i="27"/>
  <c r="AL97" i="27" s="1"/>
  <c r="AK125" i="21"/>
  <c r="AJ135" i="21"/>
  <c r="AJ133" i="21" s="1"/>
  <c r="AJ138" i="21" s="1"/>
  <c r="AJ139" i="21" s="1"/>
  <c r="AJ63" i="25"/>
  <c r="AI90" i="25"/>
  <c r="AE85" i="25"/>
  <c r="AF58" i="25"/>
  <c r="AH98" i="25"/>
  <c r="AH71" i="25"/>
  <c r="CN48" i="27"/>
  <c r="CM50" i="27"/>
  <c r="CM20" i="27"/>
  <c r="CM27" i="3" s="1"/>
  <c r="AH59" i="25"/>
  <c r="AG86" i="25"/>
  <c r="AJ68" i="23"/>
  <c r="AI102" i="23"/>
  <c r="AI103" i="23" s="1"/>
  <c r="AI79" i="23"/>
  <c r="AE90" i="17"/>
  <c r="AE64" i="3"/>
  <c r="AH9" i="17"/>
  <c r="AI272" i="3"/>
  <c r="AD99" i="25"/>
  <c r="AD29" i="25"/>
  <c r="AK289" i="3"/>
  <c r="AJ336" i="3"/>
  <c r="BL36" i="23"/>
  <c r="BK47" i="23"/>
  <c r="BK53" i="23" s="1"/>
  <c r="AG335" i="3"/>
  <c r="AH288" i="3"/>
  <c r="AJ57" i="25"/>
  <c r="AI84" i="25"/>
  <c r="AD81" i="25"/>
  <c r="AD20" i="25"/>
  <c r="AD29" i="3" s="1"/>
  <c r="N87" i="15"/>
  <c r="AJ67" i="23"/>
  <c r="AI72" i="23"/>
  <c r="CL87" i="21"/>
  <c r="CL100" i="21"/>
  <c r="AI321" i="3"/>
  <c r="AJ259" i="3"/>
  <c r="BG24" i="21"/>
  <c r="BG98" i="21"/>
  <c r="BG85" i="21"/>
  <c r="AE139" i="25"/>
  <c r="AE140" i="25" s="1"/>
  <c r="AE132" i="25"/>
  <c r="AE135" i="25"/>
  <c r="AI271" i="3"/>
  <c r="AH276" i="3"/>
  <c r="AH319" i="3"/>
  <c r="AC177" i="3"/>
  <c r="AN172" i="25"/>
  <c r="AM178" i="25"/>
  <c r="AD181" i="25"/>
  <c r="AE175" i="25"/>
  <c r="AE209" i="25"/>
  <c r="AD210" i="25"/>
  <c r="AJ221" i="25"/>
  <c r="AI222" i="25"/>
  <c r="BE79" i="21"/>
  <c r="BE92" i="21" s="1"/>
  <c r="BF53" i="21"/>
  <c r="AF246" i="3"/>
  <c r="CA24" i="21"/>
  <c r="CA85" i="21"/>
  <c r="CA98" i="21"/>
  <c r="CM75" i="21"/>
  <c r="CN49" i="21"/>
  <c r="Z87" i="21"/>
  <c r="Z25" i="21"/>
  <c r="Z100" i="21"/>
  <c r="Z80" i="21"/>
  <c r="AB48" i="21"/>
  <c r="AA54" i="21"/>
  <c r="AA21" i="21" s="1"/>
  <c r="AA74" i="21"/>
  <c r="AF147" i="21"/>
  <c r="AF150" i="21" s="1"/>
  <c r="AF151" i="21" s="1"/>
  <c r="AF45" i="21" s="1"/>
  <c r="AF71" i="21" s="1"/>
  <c r="W75" i="25"/>
  <c r="W78" i="25" s="1"/>
  <c r="W64" i="25"/>
  <c r="W65" i="25" s="1"/>
  <c r="X61" i="25"/>
  <c r="AF78" i="3"/>
  <c r="AF92" i="17"/>
  <c r="BF62" i="3"/>
  <c r="BF88" i="17"/>
  <c r="AG170" i="25"/>
  <c r="AF188" i="25"/>
  <c r="AK256" i="3"/>
  <c r="X81" i="21"/>
  <c r="X29" i="21"/>
  <c r="X28" i="21"/>
  <c r="X44" i="3"/>
  <c r="DQ44" i="3" s="1"/>
  <c r="DQ71" i="3" s="1"/>
  <c r="AH208" i="25"/>
  <c r="AF37" i="23"/>
  <c r="AG43" i="23"/>
  <c r="AH43" i="23" s="1"/>
  <c r="AI43" i="23" s="1"/>
  <c r="AJ43" i="23" s="1"/>
  <c r="AK43" i="23" s="1"/>
  <c r="AL43" i="23" s="1"/>
  <c r="AM43" i="23" s="1"/>
  <c r="AN43" i="23" s="1"/>
  <c r="AO43" i="23" s="1"/>
  <c r="AP43" i="23" s="1"/>
  <c r="AQ43" i="23" s="1"/>
  <c r="AR43" i="23" s="1"/>
  <c r="AS43" i="23" s="1"/>
  <c r="AT43" i="23" s="1"/>
  <c r="AU43" i="23" s="1"/>
  <c r="AV43" i="23" s="1"/>
  <c r="AW43" i="23" s="1"/>
  <c r="AX43" i="23" s="1"/>
  <c r="AY43" i="23" s="1"/>
  <c r="AZ43" i="23" s="1"/>
  <c r="BA43" i="23" s="1"/>
  <c r="AB35" i="25"/>
  <c r="AB49" i="3"/>
  <c r="AB76" i="3" s="1"/>
  <c r="AH66" i="21"/>
  <c r="AH92" i="21"/>
  <c r="Y22" i="21"/>
  <c r="Y106" i="21"/>
  <c r="Y93" i="21"/>
  <c r="Y67" i="21"/>
  <c r="Y89" i="17"/>
  <c r="Y63" i="3"/>
  <c r="AC68" i="25"/>
  <c r="AC95" i="25"/>
  <c r="AC24" i="25"/>
  <c r="CM74" i="21"/>
  <c r="CN48" i="21"/>
  <c r="CF37" i="23"/>
  <c r="CE48" i="23"/>
  <c r="CE54" i="23" s="1"/>
  <c r="BH72" i="21"/>
  <c r="BI46" i="21"/>
  <c r="AG125" i="25"/>
  <c r="AF134" i="25"/>
  <c r="AJ131" i="21"/>
  <c r="AJ155" i="21"/>
  <c r="AJ156" i="21" s="1"/>
  <c r="AK119" i="21"/>
  <c r="AE223" i="3"/>
  <c r="AE198" i="3"/>
  <c r="AB104" i="15"/>
  <c r="AB172" i="3"/>
  <c r="AB105" i="15" s="1"/>
  <c r="AC186" i="25"/>
  <c r="AC187" i="25" s="1"/>
  <c r="AC182" i="25"/>
  <c r="CC46" i="21"/>
  <c r="CB72" i="21"/>
  <c r="CL101" i="21"/>
  <c r="CL88" i="21"/>
  <c r="AK160" i="21"/>
  <c r="AJ162" i="21"/>
  <c r="AJ50" i="21" s="1"/>
  <c r="Z24" i="3"/>
  <c r="X7" i="16" s="1"/>
  <c r="Z55" i="21"/>
  <c r="AF115" i="21"/>
  <c r="AG110" i="21" s="1"/>
  <c r="AG111" i="21" s="1"/>
  <c r="AH31" i="3"/>
  <c r="AH51" i="3" s="1"/>
  <c r="AK214" i="25"/>
  <c r="AJ216" i="25"/>
  <c r="AD137" i="25"/>
  <c r="AD138" i="25" s="1"/>
  <c r="AD133" i="25"/>
  <c r="AK183" i="25"/>
  <c r="AL174" i="25"/>
  <c r="AE189" i="25"/>
  <c r="AE192" i="25"/>
  <c r="AG100" i="27"/>
  <c r="AH83" i="27"/>
  <c r="AG120" i="27"/>
  <c r="AG121" i="27" s="1"/>
  <c r="AG84" i="27"/>
  <c r="AG98" i="27"/>
  <c r="AH140" i="21"/>
  <c r="AH123" i="21"/>
  <c r="AI129" i="21"/>
  <c r="AG141" i="21"/>
  <c r="AD230" i="3"/>
  <c r="AD64" i="15"/>
  <c r="BZ88" i="17"/>
  <c r="BZ62" i="3"/>
  <c r="AJ53" i="21"/>
  <c r="AI79" i="21"/>
  <c r="AE97" i="21"/>
  <c r="AE58" i="21"/>
  <c r="AE23" i="21"/>
  <c r="AE84" i="21"/>
  <c r="Q57" i="23"/>
  <c r="Q108" i="25"/>
  <c r="R6" i="3"/>
  <c r="Q7" i="3"/>
  <c r="Q72" i="27"/>
  <c r="AB23" i="23"/>
  <c r="AB49" i="23"/>
  <c r="AB53" i="23"/>
  <c r="AA82" i="25"/>
  <c r="AB55" i="25"/>
  <c r="AB323" i="3"/>
  <c r="CN55" i="27"/>
  <c r="CM61" i="27"/>
  <c r="AW69" i="25"/>
  <c r="AV82" i="25"/>
  <c r="AV96" i="25" s="1"/>
  <c r="CK35" i="27"/>
  <c r="CK47" i="3"/>
  <c r="CK74" i="3" s="1"/>
  <c r="AC104" i="3"/>
  <c r="AC105" i="3" s="1"/>
  <c r="AC211" i="3"/>
  <c r="Z26" i="23"/>
  <c r="Z45" i="3"/>
  <c r="Z50" i="23"/>
  <c r="Z31" i="25"/>
  <c r="Z69" i="25"/>
  <c r="Z96" i="25"/>
  <c r="AL49" i="27"/>
  <c r="AK62" i="27"/>
  <c r="AA55" i="23"/>
  <c r="AA20" i="23"/>
  <c r="BA23" i="21"/>
  <c r="BA97" i="21"/>
  <c r="BA84" i="21"/>
  <c r="Y65" i="3"/>
  <c r="Y91" i="17"/>
  <c r="AD84" i="21"/>
  <c r="AD23" i="21"/>
  <c r="AD97" i="21"/>
  <c r="AD58" i="21"/>
  <c r="AB39" i="23"/>
  <c r="AB25" i="3"/>
  <c r="BO42" i="23"/>
  <c r="AJ56" i="27"/>
  <c r="AJ30" i="27"/>
  <c r="BB71" i="21"/>
  <c r="BC45" i="21"/>
  <c r="AE42" i="23"/>
  <c r="AD44" i="23"/>
  <c r="AC19" i="23"/>
  <c r="AC47" i="23"/>
  <c r="AC38" i="23"/>
  <c r="AD36" i="23"/>
  <c r="AC305" i="3"/>
  <c r="AC303" i="3" s="1"/>
  <c r="AD103" i="3"/>
  <c r="AC320" i="3"/>
  <c r="CL24" i="27"/>
  <c r="CL29" i="27"/>
  <c r="CL68" i="27"/>
  <c r="AJ38" i="3"/>
  <c r="L87" i="16"/>
  <c r="L49" i="16"/>
  <c r="L48" i="16"/>
  <c r="L90" i="16" s="1"/>
  <c r="W12" i="17"/>
  <c r="W13" i="17" s="1"/>
  <c r="X111" i="3"/>
  <c r="DO255" i="3"/>
  <c r="DO260" i="3" s="1"/>
  <c r="DO286" i="3" s="1"/>
  <c r="DO293" i="3" s="1"/>
  <c r="AS7" i="16"/>
  <c r="W260" i="3"/>
  <c r="W294" i="3"/>
  <c r="W296" i="3" s="1"/>
  <c r="W243" i="3"/>
  <c r="AH94" i="27"/>
  <c r="AG87" i="27"/>
  <c r="AG95" i="27"/>
  <c r="AG102" i="27"/>
  <c r="AG103" i="27" s="1"/>
  <c r="AN167" i="21"/>
  <c r="AM168" i="21"/>
  <c r="CH43" i="23"/>
  <c r="V99" i="15"/>
  <c r="V297" i="3"/>
  <c r="AR25" i="16"/>
  <c r="AA46" i="3"/>
  <c r="AA73" i="3" s="1"/>
  <c r="AA34" i="27"/>
  <c r="AA25" i="27"/>
  <c r="AB26" i="3"/>
  <c r="AB21" i="27"/>
  <c r="AB51" i="27" s="1"/>
  <c r="BA102" i="21"/>
  <c r="BA89" i="21"/>
  <c r="BA27" i="21"/>
  <c r="AR9" i="16"/>
  <c r="AR12" i="16" s="1"/>
  <c r="AR81" i="16" s="1"/>
  <c r="AR1" i="16" s="1"/>
  <c r="V298" i="3"/>
  <c r="AR41" i="16" s="1"/>
  <c r="V286" i="3"/>
  <c r="V293" i="3" s="1"/>
  <c r="BD82" i="27"/>
  <c r="AQ27" i="16"/>
  <c r="AQ42" i="16"/>
  <c r="BC63" i="21"/>
  <c r="BB76" i="21"/>
  <c r="AM53" i="21"/>
  <c r="AB67" i="27"/>
  <c r="AB27" i="27"/>
  <c r="AB54" i="27"/>
  <c r="AB57" i="27" s="1"/>
  <c r="AC60" i="27"/>
  <c r="AB23" i="27"/>
  <c r="AB63" i="27"/>
  <c r="AB70" i="27" s="1"/>
  <c r="BE50" i="21"/>
  <c r="AG93" i="27"/>
  <c r="AF104" i="27"/>
  <c r="AC50" i="27"/>
  <c r="AC19" i="27"/>
  <c r="AE105" i="27"/>
  <c r="V14" i="17"/>
  <c r="V42" i="17"/>
  <c r="V43" i="17"/>
  <c r="AP37" i="16"/>
  <c r="AP36" i="16"/>
  <c r="AY8" i="43"/>
  <c r="AB82" i="26"/>
  <c r="AB81" i="26"/>
  <c r="I81" i="26" s="1"/>
  <c r="K81" i="26" s="1"/>
  <c r="AB58" i="26"/>
  <c r="AH91" i="21"/>
  <c r="AH104" i="21"/>
  <c r="AB112" i="25"/>
  <c r="AB111" i="25"/>
  <c r="AB113" i="25"/>
  <c r="AW103" i="21"/>
  <c r="AW90" i="21"/>
  <c r="AP89" i="25"/>
  <c r="AP103" i="25" s="1"/>
  <c r="AQ62" i="25"/>
  <c r="AY55" i="25"/>
  <c r="CL62" i="25"/>
  <c r="CK89" i="25"/>
  <c r="CK103" i="25" s="1"/>
  <c r="AH61" i="27"/>
  <c r="AH20" i="27"/>
  <c r="AH27" i="3" s="1"/>
  <c r="AI48" i="27"/>
  <c r="Q37" i="17"/>
  <c r="Q95" i="15"/>
  <c r="Q29" i="17"/>
  <c r="Q19" i="21"/>
  <c r="Q157" i="25"/>
  <c r="Q212" i="25"/>
  <c r="Q5" i="23"/>
  <c r="Q313" i="3"/>
  <c r="Q200" i="3"/>
  <c r="Q153" i="3"/>
  <c r="Q9" i="3"/>
  <c r="Q22" i="17"/>
  <c r="Q54" i="15"/>
  <c r="Q6" i="17"/>
  <c r="Q69" i="15"/>
  <c r="Q17" i="27"/>
  <c r="Q17" i="25"/>
  <c r="Q3" i="25"/>
  <c r="Q3" i="21"/>
  <c r="Q300" i="3"/>
  <c r="Q182" i="3"/>
  <c r="Q145" i="3"/>
  <c r="Q3" i="15"/>
  <c r="Q4" i="15" s="1"/>
  <c r="Q218" i="25"/>
  <c r="Q6" i="15"/>
  <c r="Q164" i="21"/>
  <c r="Q3" i="27"/>
  <c r="Q158" i="21"/>
  <c r="Q5" i="27"/>
  <c r="Q5" i="25"/>
  <c r="Q253" i="3"/>
  <c r="Q164" i="3"/>
  <c r="Q68" i="3"/>
  <c r="Q41" i="3"/>
  <c r="Q206" i="25"/>
  <c r="Q5" i="21"/>
  <c r="Q329" i="3"/>
  <c r="R3" i="3"/>
  <c r="Q21" i="15"/>
  <c r="Q83" i="17"/>
  <c r="Q208" i="3"/>
  <c r="Q3" i="17"/>
  <c r="Q4" i="17" s="1"/>
  <c r="Q17" i="23"/>
  <c r="Q85" i="3"/>
  <c r="Q108" i="21"/>
  <c r="Q21" i="3"/>
  <c r="P56" i="15"/>
  <c r="AJ73" i="23"/>
  <c r="AI83" i="23"/>
  <c r="O57" i="15"/>
  <c r="O92" i="15"/>
  <c r="O90" i="15"/>
  <c r="O67" i="15"/>
  <c r="O76" i="15"/>
  <c r="O91" i="15"/>
  <c r="AJ65" i="21"/>
  <c r="AI78" i="21"/>
  <c r="AP74" i="23"/>
  <c r="EI213" i="3"/>
  <c r="AX77" i="21"/>
  <c r="AY51" i="21"/>
  <c r="AG68" i="27"/>
  <c r="AG24" i="27"/>
  <c r="AG29" i="27"/>
  <c r="AN220" i="25"/>
  <c r="BH57" i="25"/>
  <c r="AU166" i="21"/>
  <c r="AQ52" i="21"/>
  <c r="AH52" i="3"/>
  <c r="AI32" i="3"/>
  <c r="AH30" i="3"/>
  <c r="AH88" i="3" s="1"/>
  <c r="AI72" i="21"/>
  <c r="AJ46" i="21"/>
  <c r="EJ213" i="3"/>
  <c r="DZ213" i="3"/>
  <c r="AI62" i="21"/>
  <c r="AI76" i="21"/>
  <c r="BG83" i="25"/>
  <c r="BG97" i="25" s="1"/>
  <c r="BH56" i="25"/>
  <c r="CN60" i="25"/>
  <c r="CM87" i="25"/>
  <c r="CM101" i="25" s="1"/>
  <c r="DX213" i="3"/>
  <c r="EH213" i="3"/>
  <c r="AG93" i="17"/>
  <c r="AG79" i="3"/>
  <c r="AG50" i="3"/>
  <c r="AG77" i="3" s="1"/>
  <c r="AT167" i="25"/>
  <c r="AH85" i="21"/>
  <c r="AH98" i="21"/>
  <c r="AH24" i="21"/>
  <c r="M80" i="15"/>
  <c r="M85" i="15" s="1"/>
  <c r="M81" i="15"/>
  <c r="M86" i="15" s="1"/>
  <c r="M79" i="15"/>
  <c r="M84" i="15" s="1"/>
  <c r="AQ60" i="25"/>
  <c r="AP87" i="25"/>
  <c r="AP101" i="25" s="1"/>
  <c r="AG130" i="25"/>
  <c r="AG154" i="25"/>
  <c r="AG155" i="25" s="1"/>
  <c r="AH119" i="25"/>
  <c r="AH93" i="3"/>
  <c r="AH27" i="21"/>
  <c r="AH102" i="21"/>
  <c r="AH89" i="21"/>
  <c r="AH63" i="21"/>
  <c r="CD87" i="25"/>
  <c r="CD101" i="25" s="1"/>
  <c r="CE60" i="25"/>
  <c r="AO78" i="23"/>
  <c r="AG62" i="3"/>
  <c r="AG88" i="17"/>
  <c r="AG82" i="23"/>
  <c r="AG86" i="23"/>
  <c r="AG87" i="23" s="1"/>
  <c r="AD159" i="3"/>
  <c r="AE17" i="17"/>
  <c r="AN35" i="3"/>
  <c r="AF35" i="27"/>
  <c r="AF47" i="3"/>
  <c r="AF74" i="3" s="1"/>
  <c r="BG90" i="25"/>
  <c r="BH63" i="25"/>
  <c r="AH84" i="23"/>
  <c r="AH81" i="23"/>
  <c r="AH88" i="23"/>
  <c r="AH89" i="23" s="1"/>
  <c r="AH112" i="27" l="1"/>
  <c r="AI70" i="25"/>
  <c r="AI83" i="25" s="1"/>
  <c r="AH83" i="25"/>
  <c r="AH97" i="25" s="1"/>
  <c r="AE197" i="25"/>
  <c r="AE198" i="25" s="1"/>
  <c r="AE199" i="25" s="1"/>
  <c r="AE54" i="25" s="1"/>
  <c r="AE20" i="25" s="1"/>
  <c r="AE29" i="3" s="1"/>
  <c r="AI196" i="25"/>
  <c r="AJ134" i="21"/>
  <c r="AJ136" i="21"/>
  <c r="AF194" i="3"/>
  <c r="AF223" i="3" s="1"/>
  <c r="AG193" i="3"/>
  <c r="AD79" i="27"/>
  <c r="AE74" i="27" s="1"/>
  <c r="AE108" i="27" s="1"/>
  <c r="AD114" i="27"/>
  <c r="AD115" i="27" s="1"/>
  <c r="AD116" i="27" s="1"/>
  <c r="AD47" i="27" s="1"/>
  <c r="AI203" i="25"/>
  <c r="AI204" i="25" s="1"/>
  <c r="AJ168" i="25"/>
  <c r="AJ196" i="25" s="1"/>
  <c r="AI179" i="25"/>
  <c r="AI184" i="25"/>
  <c r="AL60" i="21"/>
  <c r="AK73" i="21"/>
  <c r="AE164" i="25"/>
  <c r="AF159" i="25" s="1"/>
  <c r="AF192" i="25" s="1"/>
  <c r="AJ99" i="21"/>
  <c r="AJ26" i="21"/>
  <c r="AJ86" i="21"/>
  <c r="AC63" i="15"/>
  <c r="AK90" i="21"/>
  <c r="AK103" i="21"/>
  <c r="AL51" i="21"/>
  <c r="AL77" i="21" s="1"/>
  <c r="AM17" i="21"/>
  <c r="AL20" i="17"/>
  <c r="BG49" i="27"/>
  <c r="BF62" i="27"/>
  <c r="BF19" i="27"/>
  <c r="BF26" i="3" s="1"/>
  <c r="BE30" i="27"/>
  <c r="BE56" i="27"/>
  <c r="AI98" i="25"/>
  <c r="AI71" i="25"/>
  <c r="AI288" i="3"/>
  <c r="AH335" i="3"/>
  <c r="AI9" i="17"/>
  <c r="AJ272" i="3"/>
  <c r="AJ102" i="23"/>
  <c r="AJ103" i="23" s="1"/>
  <c r="AK68" i="23"/>
  <c r="AJ79" i="23"/>
  <c r="AH86" i="25"/>
  <c r="AI59" i="25"/>
  <c r="AF85" i="25"/>
  <c r="AG58" i="25"/>
  <c r="AF90" i="17"/>
  <c r="AF64" i="3"/>
  <c r="AG144" i="21"/>
  <c r="AJ84" i="25"/>
  <c r="BM36" i="23"/>
  <c r="BL47" i="23"/>
  <c r="BL53" i="23" s="1"/>
  <c r="AK336" i="3"/>
  <c r="AL289" i="3"/>
  <c r="AG100" i="25"/>
  <c r="AG30" i="25"/>
  <c r="AG73" i="25"/>
  <c r="CN20" i="27"/>
  <c r="CN27" i="3" s="1"/>
  <c r="CO48" i="27"/>
  <c r="CN50" i="27"/>
  <c r="AE99" i="25"/>
  <c r="AE29" i="25"/>
  <c r="AJ90" i="25"/>
  <c r="AK63" i="25"/>
  <c r="AL125" i="21"/>
  <c r="AK135" i="21"/>
  <c r="AK133" i="21" s="1"/>
  <c r="AK138" i="21" s="1"/>
  <c r="AK139" i="21" s="1"/>
  <c r="AM99" i="27"/>
  <c r="AM97" i="27" s="1"/>
  <c r="AN89" i="27"/>
  <c r="AH81" i="3"/>
  <c r="AI37" i="3"/>
  <c r="AH34" i="3"/>
  <c r="AH89" i="3" s="1"/>
  <c r="O93" i="15"/>
  <c r="AJ79" i="21"/>
  <c r="AM174" i="25"/>
  <c r="AL183" i="25"/>
  <c r="AG92" i="17"/>
  <c r="AG78" i="3"/>
  <c r="AG112" i="21"/>
  <c r="AG146" i="21"/>
  <c r="AG145" i="21"/>
  <c r="AL160" i="21"/>
  <c r="AK162" i="21"/>
  <c r="CC72" i="21"/>
  <c r="CD46" i="21"/>
  <c r="AB113" i="15"/>
  <c r="AB114" i="15"/>
  <c r="AF139" i="25"/>
  <c r="AF140" i="25" s="1"/>
  <c r="AF132" i="25"/>
  <c r="AF135" i="25"/>
  <c r="BI72" i="21"/>
  <c r="BJ46" i="21"/>
  <c r="CM100" i="21"/>
  <c r="CM87" i="21"/>
  <c r="BA44" i="23"/>
  <c r="BB43" i="23"/>
  <c r="AI208" i="25"/>
  <c r="X71" i="3"/>
  <c r="AT56" i="16" s="1"/>
  <c r="V56" i="16"/>
  <c r="V14" i="16"/>
  <c r="AF189" i="25"/>
  <c r="AG188" i="25"/>
  <c r="AH170" i="25"/>
  <c r="AA24" i="3"/>
  <c r="AA55" i="21"/>
  <c r="Z22" i="21"/>
  <c r="Z93" i="21"/>
  <c r="Z67" i="21"/>
  <c r="Z106" i="21"/>
  <c r="Z89" i="17"/>
  <c r="Z63" i="3"/>
  <c r="CN75" i="21"/>
  <c r="CO49" i="21"/>
  <c r="CA88" i="17"/>
  <c r="CA62" i="3"/>
  <c r="AK221" i="25"/>
  <c r="AJ222" i="25"/>
  <c r="AJ56" i="25" s="1"/>
  <c r="AF209" i="25"/>
  <c r="AE210" i="25"/>
  <c r="AD186" i="25"/>
  <c r="AD187" i="25" s="1"/>
  <c r="AD182" i="25"/>
  <c r="AO172" i="25"/>
  <c r="AN178" i="25"/>
  <c r="AC179" i="3"/>
  <c r="AC168" i="3"/>
  <c r="AC170" i="3" s="1"/>
  <c r="AC180" i="3"/>
  <c r="AE137" i="25"/>
  <c r="AE138" i="25" s="1"/>
  <c r="AE133" i="25"/>
  <c r="BG88" i="17"/>
  <c r="BG62" i="3"/>
  <c r="AK67" i="23"/>
  <c r="AJ72" i="23"/>
  <c r="AD24" i="25"/>
  <c r="AD68" i="25"/>
  <c r="AD95" i="25"/>
  <c r="AI92" i="21"/>
  <c r="AI66" i="21"/>
  <c r="AI140" i="21"/>
  <c r="AJ129" i="21"/>
  <c r="AI123" i="21"/>
  <c r="AH141" i="21"/>
  <c r="AH100" i="27"/>
  <c r="AH84" i="27"/>
  <c r="AH120" i="27"/>
  <c r="AH121" i="27" s="1"/>
  <c r="AH98" i="27"/>
  <c r="AI83" i="27"/>
  <c r="AL214" i="25"/>
  <c r="AK216" i="25"/>
  <c r="AK57" i="25" s="1"/>
  <c r="AI31" i="3"/>
  <c r="AI51" i="3" s="1"/>
  <c r="AK50" i="21"/>
  <c r="AJ63" i="21"/>
  <c r="CB98" i="21"/>
  <c r="CB85" i="21"/>
  <c r="CB24" i="21"/>
  <c r="AE64" i="15"/>
  <c r="AE230" i="3"/>
  <c r="AK131" i="21"/>
  <c r="AK155" i="21"/>
  <c r="AK156" i="21" s="1"/>
  <c r="AL119" i="21"/>
  <c r="AK136" i="21"/>
  <c r="AG134" i="25"/>
  <c r="AH125" i="25"/>
  <c r="BH98" i="21"/>
  <c r="BH85" i="21"/>
  <c r="BH24" i="21"/>
  <c r="CG37" i="23"/>
  <c r="CF48" i="23"/>
  <c r="CF54" i="23" s="1"/>
  <c r="CN74" i="21"/>
  <c r="CO48" i="21"/>
  <c r="AC49" i="3"/>
  <c r="AC76" i="3" s="1"/>
  <c r="AC35" i="25"/>
  <c r="Y28" i="21"/>
  <c r="Y44" i="3"/>
  <c r="Y81" i="21"/>
  <c r="Y29" i="21"/>
  <c r="AF48" i="23"/>
  <c r="AF54" i="23" s="1"/>
  <c r="AG37" i="23"/>
  <c r="AL256" i="3"/>
  <c r="Y61" i="25"/>
  <c r="X64" i="25"/>
  <c r="X19" i="25"/>
  <c r="X88" i="25"/>
  <c r="AG113" i="21"/>
  <c r="AA87" i="21"/>
  <c r="AA25" i="21"/>
  <c r="AA100" i="21"/>
  <c r="AA80" i="21"/>
  <c r="AC48" i="21"/>
  <c r="AB74" i="21"/>
  <c r="CM88" i="21"/>
  <c r="CM101" i="21"/>
  <c r="AG246" i="3"/>
  <c r="BG53" i="21"/>
  <c r="BF79" i="21"/>
  <c r="BF92" i="21" s="1"/>
  <c r="AE181" i="25"/>
  <c r="AF175" i="25"/>
  <c r="AJ271" i="3"/>
  <c r="AI276" i="3"/>
  <c r="AI319" i="3"/>
  <c r="AJ321" i="3"/>
  <c r="AK259" i="3"/>
  <c r="AK149" i="21"/>
  <c r="AD104" i="3"/>
  <c r="AD63" i="15" s="1"/>
  <c r="AD211" i="3"/>
  <c r="AD19" i="23"/>
  <c r="AD47" i="23"/>
  <c r="AD38" i="23"/>
  <c r="AE36" i="23"/>
  <c r="AE44" i="23"/>
  <c r="AF42" i="23"/>
  <c r="BP42" i="23"/>
  <c r="AK30" i="27"/>
  <c r="AK56" i="27"/>
  <c r="Z65" i="3"/>
  <c r="Z91" i="17"/>
  <c r="AX69" i="25"/>
  <c r="AW82" i="25"/>
  <c r="AW96" i="25" s="1"/>
  <c r="AC55" i="25"/>
  <c r="AB82" i="25"/>
  <c r="CM68" i="27"/>
  <c r="CM29" i="27"/>
  <c r="CM24" i="27"/>
  <c r="AA69" i="25"/>
  <c r="AA31" i="25"/>
  <c r="AA96" i="25"/>
  <c r="AD265" i="3"/>
  <c r="AC49" i="23"/>
  <c r="AC23" i="23"/>
  <c r="AC53" i="23"/>
  <c r="BB97" i="21"/>
  <c r="BB84" i="21"/>
  <c r="BB23" i="21"/>
  <c r="AA45" i="3"/>
  <c r="AA72" i="3" s="1"/>
  <c r="AA50" i="23"/>
  <c r="AA26" i="23"/>
  <c r="X15" i="16"/>
  <c r="Z72" i="3"/>
  <c r="AV57" i="16" s="1"/>
  <c r="X57" i="16"/>
  <c r="AF84" i="21"/>
  <c r="AF97" i="21"/>
  <c r="AF23" i="21"/>
  <c r="AF58" i="21"/>
  <c r="CO55" i="27"/>
  <c r="CN61" i="27"/>
  <c r="CL35" i="27"/>
  <c r="CL47" i="3"/>
  <c r="CL74" i="3" s="1"/>
  <c r="BC71" i="21"/>
  <c r="BD45" i="21"/>
  <c r="AL62" i="27"/>
  <c r="AM49" i="27"/>
  <c r="AD304" i="3"/>
  <c r="L1" i="16"/>
  <c r="AC25" i="3"/>
  <c r="AC39" i="23"/>
  <c r="AC212" i="3"/>
  <c r="AC267" i="3"/>
  <c r="AB55" i="23"/>
  <c r="AB20" i="23"/>
  <c r="R57" i="23"/>
  <c r="S6" i="3"/>
  <c r="R72" i="27"/>
  <c r="R108" i="25"/>
  <c r="R7" i="3"/>
  <c r="AK38" i="3"/>
  <c r="CI43" i="23"/>
  <c r="CH44" i="23"/>
  <c r="AG104" i="27"/>
  <c r="AH93" i="27"/>
  <c r="AB46" i="3"/>
  <c r="AB73" i="3" s="1"/>
  <c r="AB34" i="27"/>
  <c r="AB25" i="27"/>
  <c r="BD63" i="21"/>
  <c r="BC76" i="21"/>
  <c r="AQ36" i="16"/>
  <c r="AQ37" i="16"/>
  <c r="AA64" i="27"/>
  <c r="AA36" i="27"/>
  <c r="AA32" i="27"/>
  <c r="W286" i="3"/>
  <c r="W293" i="3" s="1"/>
  <c r="AS9" i="16"/>
  <c r="AS12" i="16" s="1"/>
  <c r="AS81" i="16" s="1"/>
  <c r="AS1" i="16" s="1"/>
  <c r="W298" i="3"/>
  <c r="W42" i="17"/>
  <c r="W14" i="17"/>
  <c r="AF105" i="27"/>
  <c r="X263" i="3"/>
  <c r="X113" i="3"/>
  <c r="AZ8" i="43"/>
  <c r="BA8" i="43" s="1"/>
  <c r="AB28" i="26"/>
  <c r="BF50" i="21"/>
  <c r="AC67" i="27"/>
  <c r="AC23" i="27"/>
  <c r="AC63" i="27"/>
  <c r="AC70" i="27" s="1"/>
  <c r="AC27" i="27"/>
  <c r="AC54" i="27"/>
  <c r="AC57" i="27" s="1"/>
  <c r="AR42" i="16"/>
  <c r="AR27" i="16"/>
  <c r="AO167" i="21"/>
  <c r="AN168" i="21"/>
  <c r="AI94" i="27"/>
  <c r="AH87" i="27"/>
  <c r="AH95" i="27"/>
  <c r="AH102" i="27"/>
  <c r="AH103" i="27" s="1"/>
  <c r="BB102" i="21"/>
  <c r="BB27" i="21"/>
  <c r="BB89" i="21"/>
  <c r="W99" i="15"/>
  <c r="W297" i="3"/>
  <c r="AS25" i="16"/>
  <c r="AC26" i="3"/>
  <c r="AC21" i="27"/>
  <c r="AC51" i="27" s="1"/>
  <c r="AN53" i="21"/>
  <c r="BE82" i="27"/>
  <c r="AP78" i="23"/>
  <c r="AH86" i="23"/>
  <c r="AH87" i="23" s="1"/>
  <c r="AH82" i="23"/>
  <c r="AO35" i="3"/>
  <c r="M87" i="15"/>
  <c r="AU167" i="25"/>
  <c r="AI98" i="21"/>
  <c r="AI85" i="21"/>
  <c r="AI24" i="21"/>
  <c r="AI104" i="21"/>
  <c r="AI91" i="21"/>
  <c r="AI81" i="23"/>
  <c r="AI84" i="23"/>
  <c r="AI88" i="23"/>
  <c r="AI89" i="23" s="1"/>
  <c r="P92" i="15"/>
  <c r="P90" i="15"/>
  <c r="P67" i="15"/>
  <c r="P76" i="15"/>
  <c r="P78" i="15" s="1"/>
  <c r="P91" i="15"/>
  <c r="P57" i="15"/>
  <c r="AI102" i="21"/>
  <c r="AI27" i="21"/>
  <c r="AI63" i="21"/>
  <c r="AI89" i="21"/>
  <c r="AV166" i="21"/>
  <c r="BI57" i="25"/>
  <c r="AY77" i="21"/>
  <c r="AZ51" i="21"/>
  <c r="AK65" i="21"/>
  <c r="AJ78" i="21"/>
  <c r="AK73" i="23"/>
  <c r="AJ83" i="23"/>
  <c r="R29" i="17"/>
  <c r="R212" i="25"/>
  <c r="R22" i="17"/>
  <c r="R17" i="25"/>
  <c r="R5" i="23"/>
  <c r="R17" i="27"/>
  <c r="R164" i="21"/>
  <c r="R5" i="27"/>
  <c r="R329" i="3"/>
  <c r="R182" i="3"/>
  <c r="R153" i="3"/>
  <c r="R9" i="3"/>
  <c r="R21" i="3"/>
  <c r="R95" i="15"/>
  <c r="R6" i="17"/>
  <c r="R3" i="15"/>
  <c r="R4" i="15" s="1"/>
  <c r="R218" i="25"/>
  <c r="R158" i="21"/>
  <c r="R3" i="17"/>
  <c r="R4" i="17" s="1"/>
  <c r="R3" i="27"/>
  <c r="R108" i="21"/>
  <c r="R313" i="3"/>
  <c r="R164" i="3"/>
  <c r="R145" i="3"/>
  <c r="R54" i="15"/>
  <c r="R69" i="15"/>
  <c r="R206" i="25"/>
  <c r="R3" i="25"/>
  <c r="R5" i="21"/>
  <c r="R19" i="21"/>
  <c r="R300" i="3"/>
  <c r="R208" i="3"/>
  <c r="R85" i="3"/>
  <c r="S3" i="3"/>
  <c r="R83" i="17"/>
  <c r="R5" i="25"/>
  <c r="R200" i="3"/>
  <c r="R37" i="17"/>
  <c r="R3" i="21"/>
  <c r="R41" i="3"/>
  <c r="R157" i="25"/>
  <c r="R6" i="15"/>
  <c r="R68" i="3"/>
  <c r="R21" i="15"/>
  <c r="R17" i="23"/>
  <c r="R253" i="3"/>
  <c r="AH68" i="27"/>
  <c r="AH29" i="27"/>
  <c r="AH24" i="27"/>
  <c r="CL89" i="25"/>
  <c r="CL103" i="25" s="1"/>
  <c r="CM62" i="25"/>
  <c r="AI93" i="3"/>
  <c r="AH62" i="3"/>
  <c r="AH88" i="17"/>
  <c r="CN87" i="25"/>
  <c r="CN101" i="25" s="1"/>
  <c r="CO60" i="25"/>
  <c r="BI56" i="25"/>
  <c r="BH83" i="25"/>
  <c r="BH97" i="25" s="1"/>
  <c r="AJ32" i="3"/>
  <c r="AI52" i="3"/>
  <c r="AO220" i="25"/>
  <c r="AX103" i="21"/>
  <c r="AX90" i="21"/>
  <c r="AQ74" i="23"/>
  <c r="AR62" i="25"/>
  <c r="AQ89" i="25"/>
  <c r="AQ103" i="25" s="1"/>
  <c r="AB115" i="25"/>
  <c r="AF17" i="17"/>
  <c r="AE159" i="3"/>
  <c r="BH90" i="25"/>
  <c r="BI63" i="25"/>
  <c r="CE87" i="25"/>
  <c r="CE101" i="25" s="1"/>
  <c r="CF60" i="25"/>
  <c r="CF87" i="25" s="1"/>
  <c r="AI119" i="25"/>
  <c r="AH130" i="25"/>
  <c r="AH154" i="25"/>
  <c r="AH155" i="25" s="1"/>
  <c r="AR60" i="25"/>
  <c r="AQ87" i="25"/>
  <c r="AQ101" i="25" s="1"/>
  <c r="AJ62" i="21"/>
  <c r="AK62" i="21" s="1"/>
  <c r="AJ72" i="21"/>
  <c r="AK46" i="21"/>
  <c r="AH79" i="3"/>
  <c r="AH93" i="17"/>
  <c r="AH50" i="3"/>
  <c r="AH77" i="3" s="1"/>
  <c r="AG47" i="3"/>
  <c r="AG74" i="3" s="1"/>
  <c r="AG35" i="27"/>
  <c r="O78" i="15"/>
  <c r="Q56" i="15"/>
  <c r="AI61" i="27"/>
  <c r="AJ48" i="27"/>
  <c r="AI20" i="27"/>
  <c r="AI27" i="3" s="1"/>
  <c r="AZ55" i="25"/>
  <c r="AB146" i="25"/>
  <c r="AH147" i="25"/>
  <c r="AE81" i="25" l="1"/>
  <c r="AF198" i="3"/>
  <c r="AI30" i="3"/>
  <c r="AI88" i="3" s="1"/>
  <c r="AE109" i="27"/>
  <c r="AI97" i="25"/>
  <c r="AE110" i="27"/>
  <c r="AE76" i="27"/>
  <c r="AE77" i="27"/>
  <c r="AE75" i="27"/>
  <c r="AG185" i="3" s="1"/>
  <c r="AG192" i="3" s="1"/>
  <c r="AL149" i="21"/>
  <c r="AK134" i="21"/>
  <c r="AM51" i="21"/>
  <c r="AM77" i="21" s="1"/>
  <c r="AM103" i="21" s="1"/>
  <c r="AD60" i="27"/>
  <c r="AD63" i="27" s="1"/>
  <c r="AD70" i="27" s="1"/>
  <c r="AD50" i="27"/>
  <c r="AD19" i="27"/>
  <c r="AF193" i="25"/>
  <c r="AF161" i="25"/>
  <c r="AF162" i="25"/>
  <c r="AF194" i="25"/>
  <c r="AM60" i="21"/>
  <c r="AL73" i="21"/>
  <c r="AK168" i="25"/>
  <c r="AJ203" i="25"/>
  <c r="AJ204" i="25" s="1"/>
  <c r="AJ179" i="25"/>
  <c r="AJ184" i="25"/>
  <c r="AK196" i="25"/>
  <c r="AK26" i="21"/>
  <c r="AK99" i="21"/>
  <c r="AK86" i="21"/>
  <c r="AF160" i="25"/>
  <c r="BH49" i="27"/>
  <c r="BG62" i="27"/>
  <c r="BG19" i="27"/>
  <c r="BG26" i="3" s="1"/>
  <c r="AL90" i="21"/>
  <c r="AL103" i="21"/>
  <c r="BF30" i="27"/>
  <c r="BF56" i="27"/>
  <c r="AN17" i="21"/>
  <c r="AM20" i="17"/>
  <c r="X269" i="3"/>
  <c r="AT11" i="16" s="1"/>
  <c r="DQ263" i="3"/>
  <c r="DQ269" i="3" s="1"/>
  <c r="AD105" i="3"/>
  <c r="AM125" i="21"/>
  <c r="AL135" i="21"/>
  <c r="AL133" i="21" s="1"/>
  <c r="AL138" i="21" s="1"/>
  <c r="AL139" i="21" s="1"/>
  <c r="CP48" i="27"/>
  <c r="CO50" i="27"/>
  <c r="CO20" i="27"/>
  <c r="CO27" i="3" s="1"/>
  <c r="BN36" i="23"/>
  <c r="BM47" i="23"/>
  <c r="BM53" i="23" s="1"/>
  <c r="AF99" i="25"/>
  <c r="AF29" i="25"/>
  <c r="AH73" i="25"/>
  <c r="AH30" i="25"/>
  <c r="AH100" i="25"/>
  <c r="AL68" i="23"/>
  <c r="AK102" i="23"/>
  <c r="AK103" i="23" s="1"/>
  <c r="AK79" i="23"/>
  <c r="AK272" i="3"/>
  <c r="AJ9" i="17"/>
  <c r="AI81" i="3"/>
  <c r="AJ37" i="3"/>
  <c r="AI34" i="3"/>
  <c r="AI89" i="3" s="1"/>
  <c r="AN99" i="27"/>
  <c r="AN97" i="27" s="1"/>
  <c r="AO89" i="27"/>
  <c r="AL63" i="25"/>
  <c r="AK90" i="25"/>
  <c r="AG90" i="17"/>
  <c r="AG64" i="3"/>
  <c r="AL336" i="3"/>
  <c r="AM289" i="3"/>
  <c r="AJ98" i="25"/>
  <c r="AJ71" i="25"/>
  <c r="AG85" i="25"/>
  <c r="AH58" i="25"/>
  <c r="AI86" i="25"/>
  <c r="AJ59" i="25"/>
  <c r="AI335" i="3"/>
  <c r="AJ288" i="3"/>
  <c r="AK321" i="3"/>
  <c r="AL259" i="3"/>
  <c r="AK271" i="3"/>
  <c r="AJ276" i="3"/>
  <c r="AJ319" i="3"/>
  <c r="AE186" i="25"/>
  <c r="AE187" i="25" s="1"/>
  <c r="AE182" i="25"/>
  <c r="BG79" i="21"/>
  <c r="BG92" i="21" s="1"/>
  <c r="BH53" i="21"/>
  <c r="AA93" i="21"/>
  <c r="AA22" i="21"/>
  <c r="AA106" i="21"/>
  <c r="AA67" i="21"/>
  <c r="AA89" i="17"/>
  <c r="AA63" i="3"/>
  <c r="AG147" i="21"/>
  <c r="AG150" i="21" s="1"/>
  <c r="AG151" i="21" s="1"/>
  <c r="AG45" i="21" s="1"/>
  <c r="AG71" i="21" s="1"/>
  <c r="AG97" i="21" s="1"/>
  <c r="X21" i="25"/>
  <c r="X65" i="25" s="1"/>
  <c r="X28" i="3"/>
  <c r="DQ28" i="3" s="1"/>
  <c r="Z61" i="25"/>
  <c r="Y64" i="25"/>
  <c r="Y88" i="25"/>
  <c r="Y19" i="25"/>
  <c r="AG48" i="23"/>
  <c r="AG54" i="23" s="1"/>
  <c r="AH37" i="23"/>
  <c r="W56" i="16"/>
  <c r="Y71" i="3"/>
  <c r="AU56" i="16" s="1"/>
  <c r="W14" i="16"/>
  <c r="CO74" i="21"/>
  <c r="CP48" i="21"/>
  <c r="CP74" i="21" s="1"/>
  <c r="BH88" i="17"/>
  <c r="BH62" i="3"/>
  <c r="AG132" i="25"/>
  <c r="AG139" i="25"/>
  <c r="AG140" i="25" s="1"/>
  <c r="AG135" i="25"/>
  <c r="AL131" i="21"/>
  <c r="AL155" i="21"/>
  <c r="AL156" i="21" s="1"/>
  <c r="AM119" i="21"/>
  <c r="AG115" i="21"/>
  <c r="AH110" i="21" s="1"/>
  <c r="AK63" i="21"/>
  <c r="AL63" i="21" s="1"/>
  <c r="AM63" i="21" s="1"/>
  <c r="AN63" i="21" s="1"/>
  <c r="AO63" i="21" s="1"/>
  <c r="AP63" i="21" s="1"/>
  <c r="AQ63" i="21" s="1"/>
  <c r="AJ76" i="21"/>
  <c r="AH78" i="3"/>
  <c r="AH92" i="17"/>
  <c r="AK71" i="25"/>
  <c r="AL71" i="25" s="1"/>
  <c r="AM71" i="25" s="1"/>
  <c r="AN71" i="25" s="1"/>
  <c r="AO71" i="25" s="1"/>
  <c r="AP71" i="25" s="1"/>
  <c r="AQ71" i="25" s="1"/>
  <c r="AR71" i="25" s="1"/>
  <c r="AS71" i="25" s="1"/>
  <c r="AT71" i="25" s="1"/>
  <c r="AU71" i="25" s="1"/>
  <c r="AV71" i="25" s="1"/>
  <c r="AL57" i="25"/>
  <c r="AK84" i="25"/>
  <c r="AK98" i="25" s="1"/>
  <c r="AI100" i="27"/>
  <c r="AI120" i="27"/>
  <c r="AI121" i="27" s="1"/>
  <c r="AI84" i="27"/>
  <c r="AI98" i="27"/>
  <c r="AJ83" i="27"/>
  <c r="AK129" i="21"/>
  <c r="AJ140" i="21"/>
  <c r="AJ123" i="21"/>
  <c r="AD35" i="25"/>
  <c r="AD49" i="3"/>
  <c r="AD76" i="3" s="1"/>
  <c r="AL67" i="23"/>
  <c r="AK72" i="23"/>
  <c r="AD167" i="3"/>
  <c r="AC173" i="3"/>
  <c r="AC340" i="3" s="1"/>
  <c r="AC106" i="15"/>
  <c r="AC171" i="3"/>
  <c r="AJ70" i="25"/>
  <c r="AK70" i="25" s="1"/>
  <c r="AL70" i="25" s="1"/>
  <c r="AM70" i="25" s="1"/>
  <c r="AN70" i="25" s="1"/>
  <c r="AO70" i="25" s="1"/>
  <c r="AP70" i="25" s="1"/>
  <c r="AQ70" i="25" s="1"/>
  <c r="AR70" i="25" s="1"/>
  <c r="AS70" i="25" s="1"/>
  <c r="AT70" i="25" s="1"/>
  <c r="AU70" i="25" s="1"/>
  <c r="AV70" i="25" s="1"/>
  <c r="AK56" i="25"/>
  <c r="CP49" i="21"/>
  <c r="CP75" i="21" s="1"/>
  <c r="CO75" i="21"/>
  <c r="AG189" i="25"/>
  <c r="BB44" i="23"/>
  <c r="BC43" i="23"/>
  <c r="BK46" i="21"/>
  <c r="BJ72" i="21"/>
  <c r="CE46" i="21"/>
  <c r="CD72" i="21"/>
  <c r="AM183" i="25"/>
  <c r="AN174" i="25"/>
  <c r="AG175" i="25"/>
  <c r="AF181" i="25"/>
  <c r="AB100" i="21"/>
  <c r="AB87" i="21"/>
  <c r="AC74" i="21"/>
  <c r="AD48" i="21"/>
  <c r="X102" i="25"/>
  <c r="X75" i="25"/>
  <c r="X78" i="25" s="1"/>
  <c r="X91" i="25"/>
  <c r="X105" i="25" s="1"/>
  <c r="X27" i="25"/>
  <c r="X23" i="25"/>
  <c r="AM256" i="3"/>
  <c r="CN100" i="21"/>
  <c r="CN87" i="21"/>
  <c r="CH37" i="23"/>
  <c r="CG48" i="23"/>
  <c r="CG54" i="23" s="1"/>
  <c r="AI125" i="25"/>
  <c r="AH134" i="25"/>
  <c r="CB88" i="17"/>
  <c r="CB62" i="3"/>
  <c r="AL50" i="21"/>
  <c r="AJ31" i="3"/>
  <c r="AJ51" i="3" s="1"/>
  <c r="AM214" i="25"/>
  <c r="AL216" i="25"/>
  <c r="AE68" i="25"/>
  <c r="AE95" i="25"/>
  <c r="AE24" i="25"/>
  <c r="AI141" i="21"/>
  <c r="AP172" i="25"/>
  <c r="AO178" i="25"/>
  <c r="AG209" i="25"/>
  <c r="AF210" i="25"/>
  <c r="AF55" i="25" s="1"/>
  <c r="AL221" i="25"/>
  <c r="AK222" i="25"/>
  <c r="CN101" i="21"/>
  <c r="CN88" i="21"/>
  <c r="Z28" i="21"/>
  <c r="Z81" i="21"/>
  <c r="Z44" i="3"/>
  <c r="Z29" i="21"/>
  <c r="AI170" i="25"/>
  <c r="AH188" i="25"/>
  <c r="AJ208" i="25"/>
  <c r="AF230" i="3"/>
  <c r="AF64" i="15"/>
  <c r="BI85" i="21"/>
  <c r="BI98" i="21"/>
  <c r="BI24" i="21"/>
  <c r="AF137" i="25"/>
  <c r="AF138" i="25" s="1"/>
  <c r="AF133" i="25"/>
  <c r="CC85" i="21"/>
  <c r="CC24" i="21"/>
  <c r="CC98" i="21"/>
  <c r="AM160" i="21"/>
  <c r="AL162" i="21"/>
  <c r="AJ66" i="21"/>
  <c r="AK66" i="21" s="1"/>
  <c r="AJ92" i="21"/>
  <c r="AI112" i="27"/>
  <c r="AJ112" i="27" s="1"/>
  <c r="AC322" i="3"/>
  <c r="AC323" i="3" s="1"/>
  <c r="AC309" i="3"/>
  <c r="AD267" i="3"/>
  <c r="AN49" i="27"/>
  <c r="AM62" i="27"/>
  <c r="P93" i="15"/>
  <c r="AL30" i="27"/>
  <c r="AL56" i="27"/>
  <c r="CP55" i="27"/>
  <c r="CO61" i="27"/>
  <c r="AC20" i="23"/>
  <c r="AC55" i="23"/>
  <c r="AY69" i="25"/>
  <c r="AX82" i="25"/>
  <c r="AX96" i="25" s="1"/>
  <c r="AG42" i="23"/>
  <c r="AF44" i="23"/>
  <c r="AD53" i="23"/>
  <c r="AD49" i="23"/>
  <c r="AD23" i="23"/>
  <c r="T6" i="3"/>
  <c r="S7" i="3"/>
  <c r="S72" i="27"/>
  <c r="S108" i="25"/>
  <c r="S57" i="23"/>
  <c r="CN68" i="27"/>
  <c r="CN29" i="27"/>
  <c r="CN24" i="27"/>
  <c r="AA65" i="3"/>
  <c r="AA91" i="17"/>
  <c r="AB45" i="3"/>
  <c r="AB72" i="3" s="1"/>
  <c r="AB26" i="23"/>
  <c r="AB50" i="23"/>
  <c r="BE45" i="21"/>
  <c r="BD71" i="21"/>
  <c r="AE103" i="3"/>
  <c r="AE104" i="3" s="1"/>
  <c r="AD320" i="3"/>
  <c r="AD305" i="3"/>
  <c r="AD303" i="3" s="1"/>
  <c r="CM47" i="3"/>
  <c r="CM74" i="3" s="1"/>
  <c r="CM35" i="27"/>
  <c r="AB69" i="25"/>
  <c r="AB96" i="25"/>
  <c r="AB31" i="25"/>
  <c r="BQ42" i="23"/>
  <c r="AD39" i="23"/>
  <c r="AD25" i="3"/>
  <c r="BC84" i="21"/>
  <c r="BC97" i="21"/>
  <c r="BC23" i="21"/>
  <c r="AD55" i="25"/>
  <c r="AC82" i="25"/>
  <c r="AE38" i="23"/>
  <c r="AF36" i="23"/>
  <c r="AE19" i="23"/>
  <c r="AE47" i="23"/>
  <c r="AD212" i="3"/>
  <c r="AL38" i="3"/>
  <c r="AD21" i="27"/>
  <c r="AD26" i="3"/>
  <c r="AJ94" i="27"/>
  <c r="AI87" i="27"/>
  <c r="AI95" i="27"/>
  <c r="AI102" i="27"/>
  <c r="AI103" i="27" s="1"/>
  <c r="AP167" i="21"/>
  <c r="AO168" i="21"/>
  <c r="AD27" i="27"/>
  <c r="BG50" i="21"/>
  <c r="X34" i="17"/>
  <c r="V23" i="16"/>
  <c r="BC27" i="21"/>
  <c r="BC102" i="21"/>
  <c r="BC89" i="21"/>
  <c r="AS42" i="16"/>
  <c r="AS27" i="16"/>
  <c r="DQ111" i="3"/>
  <c r="AS41" i="16"/>
  <c r="W43" i="17"/>
  <c r="BE63" i="21"/>
  <c r="BD76" i="21"/>
  <c r="BF82" i="27"/>
  <c r="AR37" i="16"/>
  <c r="AR52" i="16"/>
  <c r="AR36" i="16"/>
  <c r="AC25" i="27"/>
  <c r="AC46" i="3"/>
  <c r="AC73" i="3" s="1"/>
  <c r="AC34" i="27"/>
  <c r="AB32" i="27"/>
  <c r="AB36" i="27"/>
  <c r="AB64" i="27"/>
  <c r="AI93" i="27"/>
  <c r="AH104" i="27"/>
  <c r="AI147" i="25"/>
  <c r="AO53" i="21"/>
  <c r="BB8" i="43"/>
  <c r="AB49" i="26"/>
  <c r="AB34" i="26"/>
  <c r="AB64" i="26"/>
  <c r="AG105" i="27"/>
  <c r="CI44" i="23"/>
  <c r="CJ43" i="23"/>
  <c r="AH35" i="27"/>
  <c r="AH47" i="3"/>
  <c r="AH74" i="3" s="1"/>
  <c r="R56" i="15"/>
  <c r="AJ104" i="21"/>
  <c r="AJ91" i="21"/>
  <c r="AK48" i="27"/>
  <c r="AJ61" i="27"/>
  <c r="AJ20" i="27"/>
  <c r="AJ27" i="3" s="1"/>
  <c r="AL46" i="21"/>
  <c r="AK72" i="21"/>
  <c r="AS60" i="25"/>
  <c r="AR87" i="25"/>
  <c r="AR101" i="25" s="1"/>
  <c r="BI90" i="25"/>
  <c r="BJ63" i="25"/>
  <c r="AI62" i="3"/>
  <c r="AI88" i="17"/>
  <c r="Q92" i="15"/>
  <c r="Q90" i="15"/>
  <c r="Q67" i="15"/>
  <c r="Q76" i="15"/>
  <c r="Q91" i="15"/>
  <c r="Q57" i="15"/>
  <c r="CO87" i="25"/>
  <c r="CO101" i="25" s="1"/>
  <c r="CP60" i="25"/>
  <c r="CP87" i="25" s="1"/>
  <c r="S212" i="25"/>
  <c r="S95" i="15"/>
  <c r="S29" i="17"/>
  <c r="S206" i="25"/>
  <c r="S5" i="21"/>
  <c r="S3" i="25"/>
  <c r="S3" i="21"/>
  <c r="S157" i="25"/>
  <c r="S313" i="3"/>
  <c r="S200" i="3"/>
  <c r="S153" i="3"/>
  <c r="S6" i="15"/>
  <c r="S54" i="15"/>
  <c r="S56" i="15" s="1"/>
  <c r="S6" i="17"/>
  <c r="S5" i="25"/>
  <c r="S164" i="21"/>
  <c r="S5" i="27"/>
  <c r="S218" i="25"/>
  <c r="S17" i="25"/>
  <c r="S300" i="3"/>
  <c r="S182" i="3"/>
  <c r="S145" i="3"/>
  <c r="T3" i="3"/>
  <c r="S69" i="15"/>
  <c r="S3" i="17"/>
  <c r="S4" i="17" s="1"/>
  <c r="S3" i="15"/>
  <c r="S4" i="15" s="1"/>
  <c r="S17" i="27"/>
  <c r="S108" i="21"/>
  <c r="S17" i="23"/>
  <c r="S37" i="17"/>
  <c r="S158" i="21"/>
  <c r="S253" i="3"/>
  <c r="S164" i="3"/>
  <c r="S68" i="3"/>
  <c r="S41" i="3"/>
  <c r="S19" i="21"/>
  <c r="S329" i="3"/>
  <c r="S9" i="3"/>
  <c r="S21" i="15"/>
  <c r="S5" i="23"/>
  <c r="S208" i="3"/>
  <c r="S22" i="17"/>
  <c r="S85" i="3"/>
  <c r="S83" i="17"/>
  <c r="S3" i="27"/>
  <c r="S21" i="3"/>
  <c r="AL73" i="23"/>
  <c r="AK83" i="23"/>
  <c r="AW166" i="21"/>
  <c r="BA55" i="25"/>
  <c r="AP220" i="25"/>
  <c r="AJ119" i="25"/>
  <c r="AI130" i="25"/>
  <c r="AI154" i="25"/>
  <c r="AI155" i="25" s="1"/>
  <c r="AV167" i="25"/>
  <c r="AP35" i="3"/>
  <c r="AQ78" i="23"/>
  <c r="AC110" i="25"/>
  <c r="AB143" i="25"/>
  <c r="AB149" i="25" s="1"/>
  <c r="AB150" i="25" s="1"/>
  <c r="AJ93" i="3"/>
  <c r="CM89" i="25"/>
  <c r="CM103" i="25" s="1"/>
  <c r="CN62" i="25"/>
  <c r="AG17" i="17"/>
  <c r="AF159" i="3"/>
  <c r="AI79" i="3"/>
  <c r="AI93" i="17"/>
  <c r="AI50" i="3"/>
  <c r="AI77" i="3" s="1"/>
  <c r="BI83" i="25"/>
  <c r="BI97" i="25" s="1"/>
  <c r="BJ56" i="25"/>
  <c r="AL65" i="21"/>
  <c r="AK78" i="21"/>
  <c r="AZ77" i="21"/>
  <c r="BA51" i="21"/>
  <c r="AI29" i="27"/>
  <c r="AI24" i="27"/>
  <c r="AI68" i="27"/>
  <c r="O79" i="15"/>
  <c r="O84" i="15" s="1"/>
  <c r="O80" i="15"/>
  <c r="O85" i="15" s="1"/>
  <c r="O81" i="15"/>
  <c r="O86" i="15" s="1"/>
  <c r="AJ85" i="21"/>
  <c r="AJ98" i="21"/>
  <c r="AJ24" i="21"/>
  <c r="AL62" i="21"/>
  <c r="AM62" i="21" s="1"/>
  <c r="AN62" i="21" s="1"/>
  <c r="CG101" i="25"/>
  <c r="CF101" i="25"/>
  <c r="AR89" i="25"/>
  <c r="AR103" i="25" s="1"/>
  <c r="AS62" i="25"/>
  <c r="AR74" i="23"/>
  <c r="AK32" i="3"/>
  <c r="AJ52" i="3"/>
  <c r="AJ81" i="23"/>
  <c r="AJ84" i="23"/>
  <c r="AJ88" i="23"/>
  <c r="AJ89" i="23" s="1"/>
  <c r="AY90" i="21"/>
  <c r="AY103" i="21"/>
  <c r="BJ57" i="25"/>
  <c r="P79" i="15"/>
  <c r="P84" i="15" s="1"/>
  <c r="P80" i="15"/>
  <c r="P85" i="15" s="1"/>
  <c r="P81" i="15"/>
  <c r="P86" i="15" s="1"/>
  <c r="AI86" i="23"/>
  <c r="AI87" i="23" s="1"/>
  <c r="AI82" i="23"/>
  <c r="AE111" i="27" l="1"/>
  <c r="AJ30" i="3"/>
  <c r="AJ88" i="3" s="1"/>
  <c r="AD51" i="27"/>
  <c r="AD54" i="27"/>
  <c r="AD57" i="27" s="1"/>
  <c r="AD23" i="27"/>
  <c r="AD46" i="3" s="1"/>
  <c r="AD73" i="3" s="1"/>
  <c r="AD67" i="27"/>
  <c r="AE79" i="27"/>
  <c r="AF74" i="27" s="1"/>
  <c r="AF77" i="27" s="1"/>
  <c r="CP61" i="27"/>
  <c r="CP68" i="27" s="1"/>
  <c r="AG58" i="21"/>
  <c r="AN51" i="21"/>
  <c r="AN77" i="21" s="1"/>
  <c r="AM90" i="21"/>
  <c r="AG84" i="21"/>
  <c r="AL136" i="21"/>
  <c r="AG23" i="21"/>
  <c r="AK76" i="21"/>
  <c r="AK89" i="21" s="1"/>
  <c r="AJ83" i="25"/>
  <c r="AJ97" i="25" s="1"/>
  <c r="AL134" i="21"/>
  <c r="AL99" i="21"/>
  <c r="AL26" i="21"/>
  <c r="AL86" i="21"/>
  <c r="AF164" i="25"/>
  <c r="AG159" i="25" s="1"/>
  <c r="AG160" i="25" s="1"/>
  <c r="AK203" i="25"/>
  <c r="AK204" i="25" s="1"/>
  <c r="AL168" i="25"/>
  <c r="AK179" i="25"/>
  <c r="AK184" i="25"/>
  <c r="AN60" i="21"/>
  <c r="AM73" i="21"/>
  <c r="AF195" i="25"/>
  <c r="AF197" i="25" s="1"/>
  <c r="AG162" i="25"/>
  <c r="AN20" i="17"/>
  <c r="AO17" i="21"/>
  <c r="BG56" i="27"/>
  <c r="BG30" i="27"/>
  <c r="BH62" i="27"/>
  <c r="BH19" i="27"/>
  <c r="BH26" i="3" s="1"/>
  <c r="BI49" i="27"/>
  <c r="AI100" i="25"/>
  <c r="AI30" i="25"/>
  <c r="AI73" i="25"/>
  <c r="AG29" i="25"/>
  <c r="AG99" i="25"/>
  <c r="AM63" i="25"/>
  <c r="AM90" i="25" s="1"/>
  <c r="AL90" i="25"/>
  <c r="AJ81" i="3"/>
  <c r="AJ34" i="3"/>
  <c r="AJ89" i="3" s="1"/>
  <c r="AK37" i="3"/>
  <c r="AM68" i="23"/>
  <c r="AL102" i="23"/>
  <c r="AL103" i="23" s="1"/>
  <c r="AL79" i="23"/>
  <c r="AH64" i="3"/>
  <c r="AH90" i="17"/>
  <c r="CP50" i="27"/>
  <c r="CP20" i="27"/>
  <c r="CP27" i="3" s="1"/>
  <c r="AM135" i="21"/>
  <c r="AM133" i="21" s="1"/>
  <c r="AM138" i="21" s="1"/>
  <c r="AM139" i="21" s="1"/>
  <c r="AN125" i="21"/>
  <c r="AK288" i="3"/>
  <c r="AJ335" i="3"/>
  <c r="AK59" i="25"/>
  <c r="AJ86" i="25"/>
  <c r="AI58" i="25"/>
  <c r="AH85" i="25"/>
  <c r="AN289" i="3"/>
  <c r="AM336" i="3"/>
  <c r="AO99" i="27"/>
  <c r="AO97" i="27" s="1"/>
  <c r="AP89" i="27"/>
  <c r="AK9" i="17"/>
  <c r="AL272" i="3"/>
  <c r="BO36" i="23"/>
  <c r="BN47" i="23"/>
  <c r="BN53" i="23" s="1"/>
  <c r="AL66" i="21"/>
  <c r="AK79" i="21"/>
  <c r="AK92" i="21" s="1"/>
  <c r="AN160" i="21"/>
  <c r="AM162" i="21"/>
  <c r="CC88" i="17"/>
  <c r="CC62" i="3"/>
  <c r="BI62" i="3"/>
  <c r="BI88" i="17"/>
  <c r="AJ170" i="25"/>
  <c r="AI188" i="25"/>
  <c r="AF69" i="25"/>
  <c r="AG69" i="25" s="1"/>
  <c r="AH69" i="25" s="1"/>
  <c r="AI69" i="25" s="1"/>
  <c r="AJ69" i="25" s="1"/>
  <c r="AG55" i="25"/>
  <c r="AF76" i="27"/>
  <c r="AF111" i="27" s="1"/>
  <c r="AI78" i="3"/>
  <c r="AI92" i="17"/>
  <c r="AH132" i="25"/>
  <c r="AH139" i="25"/>
  <c r="AH140" i="25" s="1"/>
  <c r="AH135" i="25"/>
  <c r="X25" i="25"/>
  <c r="X34" i="25"/>
  <c r="X48" i="3"/>
  <c r="DQ48" i="3" s="1"/>
  <c r="DQ75" i="3" s="1"/>
  <c r="AD74" i="21"/>
  <c r="AE48" i="21"/>
  <c r="AF186" i="25"/>
  <c r="AF187" i="25" s="1"/>
  <c r="AF182" i="25"/>
  <c r="CD98" i="21"/>
  <c r="CD85" i="21"/>
  <c r="CD24" i="21"/>
  <c r="BJ24" i="21"/>
  <c r="BJ98" i="21"/>
  <c r="BJ85" i="21"/>
  <c r="BD43" i="23"/>
  <c r="BC44" i="23"/>
  <c r="CP101" i="21"/>
  <c r="CP88" i="21"/>
  <c r="AL56" i="25"/>
  <c r="AK83" i="25"/>
  <c r="AC104" i="15"/>
  <c r="AC172" i="3"/>
  <c r="AC105" i="15" s="1"/>
  <c r="AF75" i="27"/>
  <c r="AK123" i="21"/>
  <c r="AL129" i="21"/>
  <c r="AK140" i="21"/>
  <c r="AG137" i="25"/>
  <c r="AG138" i="25" s="1"/>
  <c r="AG133" i="25"/>
  <c r="CO100" i="21"/>
  <c r="CO87" i="21"/>
  <c r="AI37" i="23"/>
  <c r="AH48" i="23"/>
  <c r="AH54" i="23" s="1"/>
  <c r="Y28" i="3"/>
  <c r="Y21" i="25"/>
  <c r="Y65" i="25" s="1"/>
  <c r="V10" i="16"/>
  <c r="V11" i="16" s="1"/>
  <c r="X23" i="3"/>
  <c r="DQ23" i="3" s="1"/>
  <c r="AA28" i="21"/>
  <c r="AA81" i="21"/>
  <c r="AA44" i="3"/>
  <c r="AA71" i="3" s="1"/>
  <c r="AA29" i="21"/>
  <c r="BI53" i="21"/>
  <c r="BH79" i="21"/>
  <c r="BH92" i="21" s="1"/>
  <c r="AL271" i="3"/>
  <c r="AK276" i="3"/>
  <c r="AK319" i="3"/>
  <c r="AK208" i="25"/>
  <c r="AH189" i="25"/>
  <c r="X14" i="16"/>
  <c r="Z71" i="3"/>
  <c r="AV56" i="16" s="1"/>
  <c r="X56" i="16"/>
  <c r="AM221" i="25"/>
  <c r="AL222" i="25"/>
  <c r="AH209" i="25"/>
  <c r="AG210" i="25"/>
  <c r="AQ172" i="25"/>
  <c r="AP178" i="25"/>
  <c r="AE35" i="25"/>
  <c r="AE49" i="3"/>
  <c r="AE76" i="3" s="1"/>
  <c r="AN214" i="25"/>
  <c r="AM216" i="25"/>
  <c r="AK31" i="3"/>
  <c r="AK51" i="3" s="1"/>
  <c r="AM50" i="21"/>
  <c r="AL76" i="21"/>
  <c r="AI134" i="25"/>
  <c r="AJ125" i="25"/>
  <c r="CH19" i="23"/>
  <c r="CI37" i="23"/>
  <c r="CH38" i="23"/>
  <c r="CH48" i="23"/>
  <c r="AN256" i="3"/>
  <c r="X61" i="3"/>
  <c r="X87" i="17"/>
  <c r="AC87" i="21"/>
  <c r="AC100" i="21"/>
  <c r="AH175" i="25"/>
  <c r="AG181" i="25"/>
  <c r="AN183" i="25"/>
  <c r="AO174" i="25"/>
  <c r="CE72" i="21"/>
  <c r="CF46" i="21"/>
  <c r="BK72" i="21"/>
  <c r="BL46" i="21"/>
  <c r="CO88" i="21"/>
  <c r="CO101" i="21"/>
  <c r="AD177" i="3"/>
  <c r="AG247" i="3"/>
  <c r="AG248" i="3" s="1"/>
  <c r="AG194" i="3"/>
  <c r="AH193" i="3"/>
  <c r="AM67" i="23"/>
  <c r="AL72" i="23"/>
  <c r="AJ141" i="21"/>
  <c r="AJ100" i="27"/>
  <c r="AK83" i="27"/>
  <c r="AK112" i="27" s="1"/>
  <c r="AJ120" i="27"/>
  <c r="AJ121" i="27" s="1"/>
  <c r="AJ84" i="27"/>
  <c r="AJ98" i="27"/>
  <c r="AM57" i="25"/>
  <c r="AL84" i="25"/>
  <c r="AL98" i="25" s="1"/>
  <c r="AJ89" i="21"/>
  <c r="AJ27" i="21"/>
  <c r="AJ102" i="21"/>
  <c r="AH146" i="21"/>
  <c r="AH112" i="21"/>
  <c r="AH145" i="21"/>
  <c r="AH144" i="21"/>
  <c r="AH111" i="21"/>
  <c r="AM149" i="21"/>
  <c r="AM131" i="21"/>
  <c r="AN119" i="21"/>
  <c r="AM155" i="21"/>
  <c r="AM156" i="21" s="1"/>
  <c r="CP87" i="21"/>
  <c r="CP100" i="21"/>
  <c r="Y27" i="25"/>
  <c r="Y23" i="25"/>
  <c r="Y75" i="25"/>
  <c r="Y78" i="25" s="1"/>
  <c r="Y102" i="25"/>
  <c r="Y91" i="25"/>
  <c r="Y105" i="25" s="1"/>
  <c r="Z19" i="25"/>
  <c r="Z64" i="25"/>
  <c r="Z88" i="25"/>
  <c r="AA61" i="25"/>
  <c r="AB61" i="25" s="1"/>
  <c r="AH113" i="21"/>
  <c r="AL321" i="3"/>
  <c r="AM259" i="3"/>
  <c r="AE114" i="27"/>
  <c r="AE115" i="27" s="1"/>
  <c r="AE116" i="27" s="1"/>
  <c r="AE47" i="27" s="1"/>
  <c r="AE39" i="23"/>
  <c r="AE25" i="3"/>
  <c r="BR42" i="23"/>
  <c r="CN47" i="3"/>
  <c r="CN74" i="3" s="1"/>
  <c r="CN35" i="27"/>
  <c r="AE63" i="15"/>
  <c r="AE212" i="3"/>
  <c r="AF38" i="23"/>
  <c r="AG36" i="23"/>
  <c r="AF19" i="23"/>
  <c r="AF47" i="23"/>
  <c r="AB65" i="3"/>
  <c r="AB91" i="17"/>
  <c r="BF45" i="21"/>
  <c r="BE71" i="21"/>
  <c r="AD20" i="23"/>
  <c r="AD55" i="23"/>
  <c r="AM56" i="27"/>
  <c r="AM30" i="27"/>
  <c r="AE55" i="25"/>
  <c r="AD82" i="25"/>
  <c r="BD97" i="21"/>
  <c r="BD84" i="21"/>
  <c r="BD23" i="21"/>
  <c r="AG44" i="23"/>
  <c r="AH42" i="23"/>
  <c r="AZ69" i="25"/>
  <c r="AY82" i="25"/>
  <c r="AY96" i="25" s="1"/>
  <c r="AN62" i="27"/>
  <c r="AO49" i="27"/>
  <c r="CO24" i="27"/>
  <c r="CO68" i="27"/>
  <c r="CO29" i="27"/>
  <c r="AE53" i="23"/>
  <c r="AE49" i="23"/>
  <c r="AE23" i="23"/>
  <c r="AC69" i="25"/>
  <c r="AC96" i="25"/>
  <c r="AC31" i="25"/>
  <c r="AE265" i="3"/>
  <c r="AE211" i="3"/>
  <c r="AE105" i="3"/>
  <c r="AE304" i="3"/>
  <c r="T57" i="23"/>
  <c r="T108" i="25"/>
  <c r="U6" i="3"/>
  <c r="T7" i="3"/>
  <c r="T72" i="27"/>
  <c r="AC50" i="23"/>
  <c r="AC26" i="23"/>
  <c r="AC45" i="3"/>
  <c r="AC72" i="3" s="1"/>
  <c r="AD322" i="3"/>
  <c r="AD323" i="3" s="1"/>
  <c r="AD309" i="3"/>
  <c r="AE267" i="3"/>
  <c r="AM38" i="3"/>
  <c r="AJ93" i="27"/>
  <c r="AI104" i="27"/>
  <c r="BG82" i="27"/>
  <c r="AD34" i="27"/>
  <c r="AQ167" i="21"/>
  <c r="AP168" i="21"/>
  <c r="AK94" i="27"/>
  <c r="AJ95" i="27"/>
  <c r="AJ87" i="27"/>
  <c r="AJ102" i="27"/>
  <c r="AJ103" i="27" s="1"/>
  <c r="BF63" i="21"/>
  <c r="BE76" i="21"/>
  <c r="AS37" i="16"/>
  <c r="AS36" i="16"/>
  <c r="AS52" i="16"/>
  <c r="CK43" i="23"/>
  <c r="CJ44" i="23"/>
  <c r="BC8" i="43"/>
  <c r="AB85" i="26"/>
  <c r="I85" i="26" s="1"/>
  <c r="K85" i="26" s="1"/>
  <c r="AB45" i="26"/>
  <c r="AB39" i="26"/>
  <c r="AB50" i="26"/>
  <c r="AP53" i="21"/>
  <c r="BD27" i="21"/>
  <c r="BD102" i="21"/>
  <c r="BD89" i="21"/>
  <c r="BH50" i="21"/>
  <c r="AH105" i="27"/>
  <c r="AC64" i="27"/>
  <c r="AC32" i="27"/>
  <c r="AC36" i="27"/>
  <c r="AM65" i="21"/>
  <c r="AL78" i="21"/>
  <c r="BJ90" i="25"/>
  <c r="BK63" i="25"/>
  <c r="O87" i="15"/>
  <c r="AK104" i="21"/>
  <c r="AK91" i="21"/>
  <c r="CN89" i="25"/>
  <c r="CN103" i="25" s="1"/>
  <c r="CO62" i="25"/>
  <c r="AC112" i="25"/>
  <c r="AC113" i="25"/>
  <c r="AC111" i="25"/>
  <c r="AR78" i="23"/>
  <c r="AQ35" i="3"/>
  <c r="AK119" i="25"/>
  <c r="AJ130" i="25"/>
  <c r="AJ154" i="25"/>
  <c r="AJ155" i="25" s="1"/>
  <c r="AQ220" i="25"/>
  <c r="AX166" i="21"/>
  <c r="S57" i="15"/>
  <c r="S92" i="15"/>
  <c r="S90" i="15"/>
  <c r="S67" i="15"/>
  <c r="S76" i="15"/>
  <c r="S78" i="15" s="1"/>
  <c r="S91" i="15"/>
  <c r="AH17" i="17"/>
  <c r="AG159" i="3"/>
  <c r="Q78" i="15"/>
  <c r="AK24" i="21"/>
  <c r="AK98" i="21"/>
  <c r="AK85" i="21"/>
  <c r="AJ68" i="27"/>
  <c r="AJ29" i="27"/>
  <c r="AJ24" i="27"/>
  <c r="P87" i="15"/>
  <c r="AJ79" i="3"/>
  <c r="AJ93" i="17"/>
  <c r="AJ50" i="3"/>
  <c r="AS74" i="23"/>
  <c r="BB51" i="21"/>
  <c r="BA77" i="21"/>
  <c r="AW167" i="25"/>
  <c r="AM73" i="23"/>
  <c r="AL83" i="23"/>
  <c r="T3" i="15"/>
  <c r="T4" i="15" s="1"/>
  <c r="T22" i="17"/>
  <c r="T83" i="17"/>
  <c r="T17" i="23"/>
  <c r="T21" i="15"/>
  <c r="T95" i="15"/>
  <c r="T17" i="27"/>
  <c r="T6" i="17"/>
  <c r="T329" i="3"/>
  <c r="T182" i="3"/>
  <c r="T153" i="3"/>
  <c r="T9" i="3"/>
  <c r="T21" i="3"/>
  <c r="T6" i="15"/>
  <c r="T218" i="25"/>
  <c r="T212" i="25"/>
  <c r="T5" i="23"/>
  <c r="T164" i="21"/>
  <c r="T54" i="15"/>
  <c r="T56" i="15" s="1"/>
  <c r="T3" i="27"/>
  <c r="T157" i="25"/>
  <c r="T313" i="3"/>
  <c r="T164" i="3"/>
  <c r="T145" i="3"/>
  <c r="T3" i="17"/>
  <c r="T4" i="17" s="1"/>
  <c r="T49" i="17"/>
  <c r="T206" i="25"/>
  <c r="T3" i="25"/>
  <c r="T3" i="21"/>
  <c r="T108" i="21"/>
  <c r="T5" i="21"/>
  <c r="T17" i="25"/>
  <c r="T300" i="3"/>
  <c r="T208" i="3"/>
  <c r="T85" i="3"/>
  <c r="U3" i="3"/>
  <c r="T69" i="15"/>
  <c r="T5" i="25"/>
  <c r="T253" i="3"/>
  <c r="T5" i="27"/>
  <c r="T29" i="17"/>
  <c r="T200" i="3"/>
  <c r="T158" i="21"/>
  <c r="T41" i="3"/>
  <c r="T37" i="17"/>
  <c r="T19" i="21"/>
  <c r="T68" i="3"/>
  <c r="AM46" i="21"/>
  <c r="AL72" i="21"/>
  <c r="AK61" i="27"/>
  <c r="AL48" i="27"/>
  <c r="AK20" i="27"/>
  <c r="AK27" i="3" s="1"/>
  <c r="AJ147" i="25"/>
  <c r="R76" i="15"/>
  <c r="R78" i="15" s="1"/>
  <c r="R91" i="15"/>
  <c r="R57" i="15"/>
  <c r="R92" i="15"/>
  <c r="R67" i="15"/>
  <c r="R90" i="15"/>
  <c r="AJ62" i="3"/>
  <c r="AJ88" i="17"/>
  <c r="AK81" i="23"/>
  <c r="AK84" i="23"/>
  <c r="AK88" i="23"/>
  <c r="AK89" i="23" s="1"/>
  <c r="BK57" i="25"/>
  <c r="AJ86" i="23"/>
  <c r="AJ87" i="23" s="1"/>
  <c r="AJ82" i="23"/>
  <c r="AL32" i="3"/>
  <c r="AK52" i="3"/>
  <c r="AT62" i="25"/>
  <c r="AS89" i="25"/>
  <c r="AS103" i="25" s="1"/>
  <c r="AO62" i="21"/>
  <c r="AP62" i="21" s="1"/>
  <c r="AQ62" i="21" s="1"/>
  <c r="AR62" i="21" s="1"/>
  <c r="AS62" i="21" s="1"/>
  <c r="AT62" i="21" s="1"/>
  <c r="AU62" i="21" s="1"/>
  <c r="AV62" i="21" s="1"/>
  <c r="AW62" i="21" s="1"/>
  <c r="AX62" i="21" s="1"/>
  <c r="AY62" i="21" s="1"/>
  <c r="AZ62" i="21" s="1"/>
  <c r="BA62" i="21" s="1"/>
  <c r="BB62" i="21" s="1"/>
  <c r="BC62" i="21" s="1"/>
  <c r="BD62" i="21" s="1"/>
  <c r="BE62" i="21" s="1"/>
  <c r="BF62" i="21" s="1"/>
  <c r="BG62" i="21" s="1"/>
  <c r="BH62" i="21" s="1"/>
  <c r="BI62" i="21" s="1"/>
  <c r="BJ62" i="21" s="1"/>
  <c r="BK62" i="21" s="1"/>
  <c r="BL62" i="21" s="1"/>
  <c r="BM62" i="21" s="1"/>
  <c r="BN62" i="21" s="1"/>
  <c r="BO62" i="21" s="1"/>
  <c r="BP62" i="21" s="1"/>
  <c r="BQ62" i="21" s="1"/>
  <c r="BR62" i="21" s="1"/>
  <c r="BS62" i="21" s="1"/>
  <c r="BT62" i="21" s="1"/>
  <c r="BU62" i="21" s="1"/>
  <c r="BV62" i="21" s="1"/>
  <c r="BW62" i="21" s="1"/>
  <c r="BX62" i="21" s="1"/>
  <c r="BY62" i="21" s="1"/>
  <c r="BZ62" i="21" s="1"/>
  <c r="CA62" i="21" s="1"/>
  <c r="CB62" i="21" s="1"/>
  <c r="CC62" i="21" s="1"/>
  <c r="CD62" i="21" s="1"/>
  <c r="CE62" i="21" s="1"/>
  <c r="CF62" i="21" s="1"/>
  <c r="CG62" i="21" s="1"/>
  <c r="AI35" i="27"/>
  <c r="AI47" i="3"/>
  <c r="AI74" i="3" s="1"/>
  <c r="AZ90" i="21"/>
  <c r="AZ103" i="21"/>
  <c r="BK56" i="25"/>
  <c r="BJ83" i="25"/>
  <c r="BJ97" i="25" s="1"/>
  <c r="AK93" i="3"/>
  <c r="BB55" i="25"/>
  <c r="CP101" i="25"/>
  <c r="Q93" i="15"/>
  <c r="AT60" i="25"/>
  <c r="AS87" i="25"/>
  <c r="AS101" i="25" s="1"/>
  <c r="AJ77" i="3" l="1"/>
  <c r="AK30" i="3"/>
  <c r="AK88" i="3" s="1"/>
  <c r="AD25" i="27"/>
  <c r="AD64" i="27" s="1"/>
  <c r="AF110" i="27"/>
  <c r="AF109" i="27"/>
  <c r="AF108" i="27"/>
  <c r="AM136" i="21"/>
  <c r="AM134" i="21"/>
  <c r="AO51" i="21"/>
  <c r="AO77" i="21" s="1"/>
  <c r="AO90" i="21" s="1"/>
  <c r="D51" i="21" s="1"/>
  <c r="CP24" i="27"/>
  <c r="CP29" i="27"/>
  <c r="AK102" i="21"/>
  <c r="AK27" i="21"/>
  <c r="AF82" i="25"/>
  <c r="AF31" i="25" s="1"/>
  <c r="AF91" i="17" s="1"/>
  <c r="AF198" i="25"/>
  <c r="AF199" i="25" s="1"/>
  <c r="AF54" i="25" s="1"/>
  <c r="AF81" i="25" s="1"/>
  <c r="AN73" i="21"/>
  <c r="AO60" i="21"/>
  <c r="AM86" i="21"/>
  <c r="AM26" i="21"/>
  <c r="AM99" i="21"/>
  <c r="AL203" i="25"/>
  <c r="AL204" i="25" s="1"/>
  <c r="AM168" i="25"/>
  <c r="AL179" i="25"/>
  <c r="AL184" i="25"/>
  <c r="AL196" i="25"/>
  <c r="AG161" i="25"/>
  <c r="AG195" i="25" s="1"/>
  <c r="AG193" i="25"/>
  <c r="AG194" i="25"/>
  <c r="AG192" i="25"/>
  <c r="AC115" i="25"/>
  <c r="AD110" i="25" s="1"/>
  <c r="AO20" i="17"/>
  <c r="AP17" i="21"/>
  <c r="AN90" i="21"/>
  <c r="AN103" i="21"/>
  <c r="BI62" i="27"/>
  <c r="BJ49" i="27"/>
  <c r="BI19" i="27"/>
  <c r="BI26" i="3" s="1"/>
  <c r="BH30" i="27"/>
  <c r="BH56" i="27"/>
  <c r="AL9" i="17"/>
  <c r="AM272" i="3"/>
  <c r="AQ89" i="27"/>
  <c r="AP99" i="27"/>
  <c r="AP97" i="27" s="1"/>
  <c r="AH29" i="25"/>
  <c r="AH99" i="25"/>
  <c r="AJ30" i="25"/>
  <c r="AJ100" i="25"/>
  <c r="AJ73" i="25"/>
  <c r="AK81" i="3"/>
  <c r="AK34" i="3"/>
  <c r="AK89" i="3" s="1"/>
  <c r="AL37" i="3"/>
  <c r="AI64" i="3"/>
  <c r="AI90" i="17"/>
  <c r="BP36" i="23"/>
  <c r="BO47" i="23"/>
  <c r="BO53" i="23" s="1"/>
  <c r="AN336" i="3"/>
  <c r="AO289" i="3"/>
  <c r="AJ58" i="25"/>
  <c r="AI85" i="25"/>
  <c r="AL59" i="25"/>
  <c r="AK86" i="25"/>
  <c r="AK335" i="3"/>
  <c r="AL288" i="3"/>
  <c r="AO125" i="21"/>
  <c r="AN135" i="21"/>
  <c r="AN133" i="21" s="1"/>
  <c r="AN138" i="21" s="1"/>
  <c r="AN139" i="21" s="1"/>
  <c r="AN68" i="23"/>
  <c r="AM102" i="23"/>
  <c r="AM103" i="23" s="1"/>
  <c r="AM79" i="23"/>
  <c r="AE60" i="27"/>
  <c r="AE50" i="27"/>
  <c r="AE19" i="27"/>
  <c r="AB64" i="25"/>
  <c r="AB19" i="25"/>
  <c r="AB28" i="3" s="1"/>
  <c r="AK147" i="25"/>
  <c r="AN259" i="3"/>
  <c r="AM321" i="3"/>
  <c r="AH147" i="21"/>
  <c r="AH150" i="21" s="1"/>
  <c r="AH151" i="21" s="1"/>
  <c r="AH45" i="21" s="1"/>
  <c r="Z75" i="25"/>
  <c r="Z78" i="25" s="1"/>
  <c r="Z27" i="25"/>
  <c r="Z23" i="25"/>
  <c r="Z102" i="25"/>
  <c r="Z91" i="25"/>
  <c r="Z105" i="25" s="1"/>
  <c r="Z21" i="25"/>
  <c r="Z65" i="25" s="1"/>
  <c r="Z28" i="3"/>
  <c r="Y25" i="25"/>
  <c r="Y48" i="3"/>
  <c r="Y34" i="25"/>
  <c r="AN131" i="21"/>
  <c r="AN155" i="21"/>
  <c r="AN156" i="21" s="1"/>
  <c r="AO119" i="21"/>
  <c r="AN136" i="21"/>
  <c r="AN149" i="21"/>
  <c r="AN67" i="23"/>
  <c r="AM72" i="23"/>
  <c r="AG198" i="3"/>
  <c r="AG223" i="3"/>
  <c r="BM46" i="21"/>
  <c r="BL72" i="21"/>
  <c r="CF72" i="21"/>
  <c r="CG46" i="21"/>
  <c r="AO183" i="25"/>
  <c r="AP174" i="25"/>
  <c r="AG182" i="25"/>
  <c r="AG186" i="25"/>
  <c r="AG187" i="25" s="1"/>
  <c r="CH39" i="23"/>
  <c r="CH25" i="3"/>
  <c r="AI132" i="25"/>
  <c r="AI139" i="25"/>
  <c r="AI140" i="25" s="1"/>
  <c r="AI135" i="25"/>
  <c r="AN50" i="21"/>
  <c r="AM76" i="21"/>
  <c r="AL31" i="3"/>
  <c r="AL51" i="3" s="1"/>
  <c r="AO214" i="25"/>
  <c r="AN216" i="25"/>
  <c r="AR172" i="25"/>
  <c r="AQ178" i="25"/>
  <c r="AI209" i="25"/>
  <c r="AH210" i="25"/>
  <c r="AN221" i="25"/>
  <c r="AM222" i="25"/>
  <c r="X87" i="3"/>
  <c r="X90" i="3" s="1"/>
  <c r="X39" i="3"/>
  <c r="AK141" i="21"/>
  <c r="AK97" i="25"/>
  <c r="AK31" i="25"/>
  <c r="BJ88" i="17"/>
  <c r="BJ62" i="3"/>
  <c r="AD87" i="21"/>
  <c r="AD100" i="21"/>
  <c r="AH137" i="25"/>
  <c r="AH138" i="25" s="1"/>
  <c r="AH133" i="25"/>
  <c r="AI189" i="25"/>
  <c r="AA19" i="25"/>
  <c r="AA64" i="25"/>
  <c r="AA88" i="25"/>
  <c r="Y87" i="17"/>
  <c r="Y61" i="3"/>
  <c r="AH115" i="21"/>
  <c r="AI110" i="21" s="1"/>
  <c r="AI111" i="21" s="1"/>
  <c r="AM84" i="25"/>
  <c r="AM98" i="25" s="1"/>
  <c r="AN57" i="25"/>
  <c r="AK84" i="27"/>
  <c r="AL83" i="27"/>
  <c r="AK120" i="27"/>
  <c r="AK121" i="27" s="1"/>
  <c r="AK100" i="27"/>
  <c r="AK98" i="27"/>
  <c r="AH246" i="3"/>
  <c r="AD180" i="3"/>
  <c r="AD168" i="3"/>
  <c r="AD170" i="3" s="1"/>
  <c r="AD179" i="3"/>
  <c r="BK85" i="21"/>
  <c r="BK98" i="21"/>
  <c r="BK24" i="21"/>
  <c r="CE98" i="21"/>
  <c r="CE24" i="21"/>
  <c r="CE85" i="21"/>
  <c r="AI175" i="25"/>
  <c r="AH181" i="25"/>
  <c r="AO256" i="3"/>
  <c r="CH49" i="23"/>
  <c r="CH20" i="23" s="1"/>
  <c r="CH23" i="23"/>
  <c r="CH54" i="23"/>
  <c r="CI38" i="23"/>
  <c r="CI19" i="23"/>
  <c r="CJ37" i="23"/>
  <c r="CI48" i="23"/>
  <c r="AJ134" i="25"/>
  <c r="AK125" i="25"/>
  <c r="AL102" i="21"/>
  <c r="AL89" i="21"/>
  <c r="AJ92" i="17"/>
  <c r="AJ78" i="3"/>
  <c r="AL208" i="25"/>
  <c r="AM271" i="3"/>
  <c r="AL276" i="3"/>
  <c r="AL319" i="3"/>
  <c r="BI79" i="21"/>
  <c r="BI92" i="21" s="1"/>
  <c r="BJ53" i="21"/>
  <c r="W10" i="16"/>
  <c r="W11" i="16" s="1"/>
  <c r="Y23" i="3"/>
  <c r="AI48" i="23"/>
  <c r="AI54" i="23" s="1"/>
  <c r="AJ37" i="23"/>
  <c r="AL140" i="21"/>
  <c r="AL123" i="21"/>
  <c r="AM129" i="21"/>
  <c r="AH185" i="3"/>
  <c r="AH192" i="3" s="1"/>
  <c r="AC114" i="15"/>
  <c r="AC113" i="15"/>
  <c r="AM56" i="25"/>
  <c r="AL83" i="25"/>
  <c r="BD44" i="23"/>
  <c r="BE43" i="23"/>
  <c r="CD88" i="17"/>
  <c r="CD62" i="3"/>
  <c r="AE74" i="21"/>
  <c r="AF48" i="21"/>
  <c r="V60" i="16"/>
  <c r="X43" i="3"/>
  <c r="DQ43" i="3" s="1"/>
  <c r="DQ70" i="3" s="1"/>
  <c r="V17" i="16"/>
  <c r="X75" i="3"/>
  <c r="AT60" i="16" s="1"/>
  <c r="X92" i="25"/>
  <c r="X36" i="25"/>
  <c r="X32" i="25"/>
  <c r="AF79" i="27"/>
  <c r="AG74" i="27" s="1"/>
  <c r="AG75" i="27" s="1"/>
  <c r="AG82" i="25"/>
  <c r="AH55" i="25"/>
  <c r="AK170" i="25"/>
  <c r="AJ188" i="25"/>
  <c r="AO160" i="21"/>
  <c r="AN162" i="21"/>
  <c r="AM66" i="21"/>
  <c r="AL79" i="21"/>
  <c r="AL92" i="21" s="1"/>
  <c r="BA69" i="25"/>
  <c r="AZ82" i="25"/>
  <c r="AZ96" i="25" s="1"/>
  <c r="AF53" i="23"/>
  <c r="AF23" i="23"/>
  <c r="AF49" i="23"/>
  <c r="U108" i="25"/>
  <c r="V6" i="3"/>
  <c r="U72" i="27"/>
  <c r="U7" i="3"/>
  <c r="U57" i="23"/>
  <c r="CO47" i="3"/>
  <c r="CO74" i="3" s="1"/>
  <c r="CO35" i="27"/>
  <c r="BS42" i="23"/>
  <c r="AN56" i="27"/>
  <c r="AN30" i="27"/>
  <c r="AE82" i="25"/>
  <c r="BG45" i="21"/>
  <c r="BF71" i="21"/>
  <c r="AG47" i="23"/>
  <c r="AH36" i="23"/>
  <c r="AG38" i="23"/>
  <c r="AG19" i="23"/>
  <c r="AC65" i="3"/>
  <c r="AC91" i="17"/>
  <c r="AE20" i="23"/>
  <c r="AE55" i="23"/>
  <c r="AI42" i="23"/>
  <c r="AH44" i="23"/>
  <c r="AD50" i="23"/>
  <c r="AD26" i="23"/>
  <c r="AD45" i="3"/>
  <c r="AD72" i="3" s="1"/>
  <c r="AP49" i="27"/>
  <c r="AO62" i="27"/>
  <c r="AD96" i="25"/>
  <c r="AD31" i="25"/>
  <c r="AD69" i="25"/>
  <c r="BE84" i="21"/>
  <c r="BE97" i="21"/>
  <c r="BE23" i="21"/>
  <c r="AF25" i="3"/>
  <c r="AF39" i="23"/>
  <c r="AE309" i="3"/>
  <c r="AE322" i="3"/>
  <c r="AE305" i="3"/>
  <c r="AE303" i="3" s="1"/>
  <c r="AF103" i="3"/>
  <c r="AF265" i="3" s="1"/>
  <c r="AE320" i="3"/>
  <c r="AN38" i="3"/>
  <c r="AR167" i="21"/>
  <c r="AQ168" i="21"/>
  <c r="CK44" i="23"/>
  <c r="CL43" i="23"/>
  <c r="AD36" i="27"/>
  <c r="BH82" i="27"/>
  <c r="BI50" i="21"/>
  <c r="AQ53" i="21"/>
  <c r="BE89" i="21"/>
  <c r="BE27" i="21"/>
  <c r="BE102" i="21"/>
  <c r="AL94" i="27"/>
  <c r="AK87" i="27"/>
  <c r="AK95" i="27"/>
  <c r="AK102" i="27"/>
  <c r="AK103" i="27" s="1"/>
  <c r="AI105" i="27"/>
  <c r="BD8" i="43"/>
  <c r="BE8" i="43" s="1"/>
  <c r="AB31" i="26"/>
  <c r="AB30" i="26"/>
  <c r="BG63" i="21"/>
  <c r="BF76" i="21"/>
  <c r="AK93" i="27"/>
  <c r="AJ104" i="27"/>
  <c r="AJ105" i="27" s="1"/>
  <c r="AK82" i="23"/>
  <c r="AK86" i="23"/>
  <c r="AK87" i="23" s="1"/>
  <c r="AK68" i="27"/>
  <c r="AK29" i="27"/>
  <c r="AK24" i="27"/>
  <c r="U37" i="17"/>
  <c r="U95" i="15"/>
  <c r="U29" i="17"/>
  <c r="U5" i="25"/>
  <c r="U158" i="21"/>
  <c r="U69" i="15"/>
  <c r="U5" i="23"/>
  <c r="U300" i="3"/>
  <c r="U182" i="3"/>
  <c r="U145" i="3"/>
  <c r="U3" i="15"/>
  <c r="U4" i="15" s="1"/>
  <c r="U22" i="17"/>
  <c r="U54" i="15"/>
  <c r="U56" i="15" s="1"/>
  <c r="U6" i="17"/>
  <c r="U164" i="21"/>
  <c r="U83" i="17"/>
  <c r="U212" i="25"/>
  <c r="U3" i="25"/>
  <c r="U3" i="21"/>
  <c r="U253" i="3"/>
  <c r="U164" i="3"/>
  <c r="U68" i="3"/>
  <c r="V3" i="3"/>
  <c r="U218" i="25"/>
  <c r="U6" i="15"/>
  <c r="U108" i="21"/>
  <c r="U157" i="25"/>
  <c r="U17" i="27"/>
  <c r="U5" i="27"/>
  <c r="U5" i="21"/>
  <c r="U329" i="3"/>
  <c r="U208" i="3"/>
  <c r="U85" i="3"/>
  <c r="U21" i="3"/>
  <c r="U41" i="3"/>
  <c r="U3" i="17"/>
  <c r="U4" i="17" s="1"/>
  <c r="U17" i="23"/>
  <c r="U9" i="3"/>
  <c r="U49" i="17"/>
  <c r="U19" i="21"/>
  <c r="U313" i="3"/>
  <c r="U206" i="25"/>
  <c r="U17" i="25"/>
  <c r="U200" i="3"/>
  <c r="U21" i="15"/>
  <c r="U3" i="27"/>
  <c r="U153" i="3"/>
  <c r="Q79" i="15"/>
  <c r="Q84" i="15" s="1"/>
  <c r="Q81" i="15"/>
  <c r="Q86" i="15" s="1"/>
  <c r="Q80" i="15"/>
  <c r="Q85" i="15" s="1"/>
  <c r="AL52" i="3"/>
  <c r="AM32" i="3"/>
  <c r="BL57" i="25"/>
  <c r="R79" i="15"/>
  <c r="R84" i="15" s="1"/>
  <c r="R80" i="15"/>
  <c r="R85" i="15" s="1"/>
  <c r="R81" i="15"/>
  <c r="R86" i="15" s="1"/>
  <c r="AL61" i="27"/>
  <c r="AM48" i="27"/>
  <c r="AL20" i="27"/>
  <c r="AL27" i="3" s="1"/>
  <c r="AX167" i="25"/>
  <c r="AT74" i="23"/>
  <c r="S81" i="15"/>
  <c r="S86" i="15" s="1"/>
  <c r="S79" i="15"/>
  <c r="S84" i="15" s="1"/>
  <c r="S80" i="15"/>
  <c r="S85" i="15" s="1"/>
  <c r="AY166" i="21"/>
  <c r="AR220" i="25"/>
  <c r="AN65" i="21"/>
  <c r="AM78" i="21"/>
  <c r="BL56" i="25"/>
  <c r="BK83" i="25"/>
  <c r="BK97" i="25" s="1"/>
  <c r="CO89" i="25"/>
  <c r="CO103" i="25" s="1"/>
  <c r="CP62" i="25"/>
  <c r="CP89" i="25" s="1"/>
  <c r="AU60" i="25"/>
  <c r="AT87" i="25"/>
  <c r="AT101" i="25" s="1"/>
  <c r="AL98" i="21"/>
  <c r="AL24" i="21"/>
  <c r="AL85" i="21"/>
  <c r="AL81" i="23"/>
  <c r="AL84" i="23"/>
  <c r="AL88" i="23"/>
  <c r="AL89" i="23" s="1"/>
  <c r="BA103" i="21"/>
  <c r="BA90" i="21"/>
  <c r="S93" i="15"/>
  <c r="AR35" i="3"/>
  <c r="AS78" i="23"/>
  <c r="AK62" i="3"/>
  <c r="AK88" i="17"/>
  <c r="BC55" i="25"/>
  <c r="AL93" i="3"/>
  <c r="AT89" i="25"/>
  <c r="AT103" i="25" s="1"/>
  <c r="AU62" i="25"/>
  <c r="AK79" i="3"/>
  <c r="AK93" i="17"/>
  <c r="AK50" i="3"/>
  <c r="R93" i="15"/>
  <c r="AM72" i="21"/>
  <c r="AN46" i="21"/>
  <c r="T62" i="17"/>
  <c r="T66" i="17"/>
  <c r="T53" i="17"/>
  <c r="T54" i="17"/>
  <c r="T58" i="17"/>
  <c r="T55" i="17"/>
  <c r="T76" i="17"/>
  <c r="T56" i="17"/>
  <c r="T77" i="17"/>
  <c r="T75" i="17"/>
  <c r="T73" i="17"/>
  <c r="T71" i="17"/>
  <c r="T72" i="17"/>
  <c r="T70" i="17"/>
  <c r="T69" i="17"/>
  <c r="T67" i="17"/>
  <c r="T65" i="17"/>
  <c r="T63" i="17"/>
  <c r="T60" i="17"/>
  <c r="T52" i="17"/>
  <c r="T64" i="17"/>
  <c r="T61" i="17"/>
  <c r="T68" i="17"/>
  <c r="T59" i="17"/>
  <c r="T74" i="17"/>
  <c r="T57" i="17"/>
  <c r="T67" i="15"/>
  <c r="T76" i="15"/>
  <c r="T78" i="15" s="1"/>
  <c r="T91" i="15"/>
  <c r="T57" i="15"/>
  <c r="T90" i="15"/>
  <c r="T92" i="15"/>
  <c r="AN73" i="23"/>
  <c r="AM83" i="23"/>
  <c r="BB77" i="21"/>
  <c r="BC51" i="21"/>
  <c r="AJ35" i="27"/>
  <c r="AJ47" i="3"/>
  <c r="AJ74" i="3" s="1"/>
  <c r="AI17" i="17"/>
  <c r="AH159" i="3"/>
  <c r="AL119" i="25"/>
  <c r="AK130" i="25"/>
  <c r="AK154" i="25"/>
  <c r="AK155" i="25" s="1"/>
  <c r="AC146" i="25"/>
  <c r="BK90" i="25"/>
  <c r="BL63" i="25"/>
  <c r="AL104" i="21"/>
  <c r="AL91" i="21"/>
  <c r="CP103" i="25" l="1"/>
  <c r="AF114" i="27"/>
  <c r="AF115" i="27" s="1"/>
  <c r="AF116" i="27" s="1"/>
  <c r="AF47" i="27" s="1"/>
  <c r="AK77" i="3"/>
  <c r="AL30" i="3"/>
  <c r="AL88" i="3" s="1"/>
  <c r="AD32" i="27"/>
  <c r="AO103" i="21"/>
  <c r="AF20" i="25"/>
  <c r="AF29" i="3" s="1"/>
  <c r="AK65" i="3"/>
  <c r="AP103" i="21"/>
  <c r="AF65" i="3"/>
  <c r="CP35" i="27"/>
  <c r="CP47" i="3"/>
  <c r="CP74" i="3" s="1"/>
  <c r="AG164" i="25"/>
  <c r="AH159" i="25" s="1"/>
  <c r="AH160" i="25" s="1"/>
  <c r="AO149" i="21"/>
  <c r="AM196" i="25"/>
  <c r="AB21" i="25"/>
  <c r="AB65" i="25" s="1"/>
  <c r="AC143" i="25"/>
  <c r="AC149" i="25" s="1"/>
  <c r="AC150" i="25" s="1"/>
  <c r="AC61" i="25" s="1"/>
  <c r="AD111" i="25"/>
  <c r="AD113" i="25"/>
  <c r="AK91" i="17"/>
  <c r="AN134" i="21"/>
  <c r="AG197" i="25"/>
  <c r="AG198" i="25" s="1"/>
  <c r="AG199" i="25" s="1"/>
  <c r="AG54" i="25" s="1"/>
  <c r="AH193" i="25"/>
  <c r="AH194" i="25"/>
  <c r="AN168" i="25"/>
  <c r="AM179" i="25"/>
  <c r="AM203" i="25"/>
  <c r="AM204" i="25" s="1"/>
  <c r="AM184" i="25"/>
  <c r="AN26" i="21"/>
  <c r="AN86" i="21"/>
  <c r="AN99" i="21"/>
  <c r="AP60" i="21"/>
  <c r="AO73" i="21"/>
  <c r="AF95" i="25"/>
  <c r="AF24" i="25"/>
  <c r="AF68" i="25"/>
  <c r="BI30" i="27"/>
  <c r="BI56" i="27"/>
  <c r="BK49" i="27"/>
  <c r="BJ62" i="27"/>
  <c r="BJ19" i="27"/>
  <c r="BJ26" i="3" s="1"/>
  <c r="AP20" i="17"/>
  <c r="AQ17" i="21"/>
  <c r="CS41" i="3"/>
  <c r="DQ39" i="3"/>
  <c r="AM288" i="3"/>
  <c r="AL335" i="3"/>
  <c r="AK73" i="25"/>
  <c r="AK100" i="25"/>
  <c r="AK30" i="25"/>
  <c r="AI99" i="25"/>
  <c r="AI29" i="25"/>
  <c r="AO336" i="3"/>
  <c r="AP289" i="3"/>
  <c r="AM37" i="3"/>
  <c r="AL81" i="3"/>
  <c r="AL34" i="3"/>
  <c r="AL89" i="3" s="1"/>
  <c r="AM9" i="17"/>
  <c r="AN272" i="3"/>
  <c r="AL27" i="21"/>
  <c r="AN102" i="23"/>
  <c r="AN103" i="23" s="1"/>
  <c r="AO68" i="23"/>
  <c r="AN79" i="23"/>
  <c r="AO135" i="21"/>
  <c r="AO133" i="21" s="1"/>
  <c r="AO138" i="21" s="1"/>
  <c r="AO139" i="21" s="1"/>
  <c r="AP125" i="21"/>
  <c r="AM59" i="25"/>
  <c r="AL86" i="25"/>
  <c r="AK58" i="25"/>
  <c r="AJ85" i="25"/>
  <c r="BQ36" i="23"/>
  <c r="BP47" i="23"/>
  <c r="BP53" i="23" s="1"/>
  <c r="AJ64" i="3"/>
  <c r="AJ90" i="17"/>
  <c r="AR89" i="27"/>
  <c r="AQ99" i="27"/>
  <c r="AQ97" i="27" s="1"/>
  <c r="AI185" i="3"/>
  <c r="AI192" i="3" s="1"/>
  <c r="AJ189" i="25"/>
  <c r="AL170" i="25"/>
  <c r="AK188" i="25"/>
  <c r="AI55" i="25"/>
  <c r="AH82" i="25"/>
  <c r="AF50" i="27"/>
  <c r="AF19" i="27"/>
  <c r="AF74" i="21"/>
  <c r="BF43" i="23"/>
  <c r="BE44" i="23"/>
  <c r="AL31" i="25"/>
  <c r="AL97" i="25"/>
  <c r="AN129" i="21"/>
  <c r="AM140" i="21"/>
  <c r="AM123" i="21"/>
  <c r="AL141" i="21"/>
  <c r="AM208" i="25"/>
  <c r="AJ132" i="25"/>
  <c r="AJ139" i="25"/>
  <c r="AJ140" i="25" s="1"/>
  <c r="AJ135" i="25"/>
  <c r="CJ19" i="23"/>
  <c r="CJ25" i="3" s="1"/>
  <c r="CK37" i="23"/>
  <c r="CJ38" i="23"/>
  <c r="CJ48" i="23"/>
  <c r="AP256" i="3"/>
  <c r="AH182" i="25"/>
  <c r="AH186" i="25"/>
  <c r="AH187" i="25" s="1"/>
  <c r="AL100" i="27"/>
  <c r="AL84" i="27"/>
  <c r="AM83" i="27"/>
  <c r="AL120" i="27"/>
  <c r="AL121" i="27" s="1"/>
  <c r="AL98" i="27"/>
  <c r="AN84" i="25"/>
  <c r="AN98" i="25" s="1"/>
  <c r="AO57" i="25"/>
  <c r="AI145" i="21"/>
  <c r="AI112" i="21"/>
  <c r="AI146" i="21"/>
  <c r="AI144" i="21"/>
  <c r="AA102" i="25"/>
  <c r="AA27" i="25"/>
  <c r="AA23" i="25"/>
  <c r="AA75" i="25"/>
  <c r="AA78" i="25" s="1"/>
  <c r="AA91" i="25"/>
  <c r="AA105" i="25" s="1"/>
  <c r="AA28" i="3"/>
  <c r="AA23" i="3" s="1"/>
  <c r="AA21" i="25"/>
  <c r="AA65" i="25" s="1"/>
  <c r="AM31" i="3"/>
  <c r="AM89" i="21"/>
  <c r="AM102" i="21"/>
  <c r="AI137" i="25"/>
  <c r="AI138" i="25" s="1"/>
  <c r="AI133" i="25"/>
  <c r="CF24" i="21"/>
  <c r="CF85" i="21"/>
  <c r="CF98" i="21"/>
  <c r="BN46" i="21"/>
  <c r="BM72" i="21"/>
  <c r="AO67" i="23"/>
  <c r="AN72" i="23"/>
  <c r="AP119" i="21"/>
  <c r="AO155" i="21"/>
  <c r="AO156" i="21" s="1"/>
  <c r="AO131" i="21"/>
  <c r="Y75" i="3"/>
  <c r="AU60" i="16" s="1"/>
  <c r="W60" i="16"/>
  <c r="Y43" i="3"/>
  <c r="W17" i="16"/>
  <c r="Z23" i="3"/>
  <c r="X10" i="16"/>
  <c r="X11" i="16" s="1"/>
  <c r="Z25" i="25"/>
  <c r="Z48" i="3"/>
  <c r="Z34" i="25"/>
  <c r="AO259" i="3"/>
  <c r="AN321" i="3"/>
  <c r="AB88" i="25"/>
  <c r="AN66" i="21"/>
  <c r="AM79" i="21"/>
  <c r="AM92" i="21" s="1"/>
  <c r="AO162" i="21"/>
  <c r="AP160" i="21"/>
  <c r="AG96" i="25"/>
  <c r="AG31" i="25"/>
  <c r="AG76" i="27"/>
  <c r="AG109" i="27"/>
  <c r="AG110" i="27"/>
  <c r="AG108" i="27"/>
  <c r="AG77" i="27"/>
  <c r="AG79" i="27" s="1"/>
  <c r="AH74" i="27" s="1"/>
  <c r="V62" i="16"/>
  <c r="X54" i="3"/>
  <c r="DQ54" i="3" s="1"/>
  <c r="X66" i="3"/>
  <c r="X70" i="3"/>
  <c r="AE100" i="21"/>
  <c r="AE87" i="21"/>
  <c r="AM83" i="25"/>
  <c r="AN56" i="25"/>
  <c r="AH194" i="3"/>
  <c r="AH247" i="3"/>
  <c r="AH248" i="3" s="1"/>
  <c r="AK37" i="23"/>
  <c r="AJ48" i="23"/>
  <c r="AJ54" i="23" s="1"/>
  <c r="Y39" i="3"/>
  <c r="CT41" i="3" s="1"/>
  <c r="Y87" i="3"/>
  <c r="Y90" i="3" s="1"/>
  <c r="BK53" i="21"/>
  <c r="BJ79" i="21"/>
  <c r="BJ92" i="21" s="1"/>
  <c r="AN271" i="3"/>
  <c r="AM276" i="3"/>
  <c r="AM319" i="3"/>
  <c r="AK134" i="25"/>
  <c r="AL125" i="25"/>
  <c r="CI23" i="23"/>
  <c r="CI49" i="23"/>
  <c r="CI54" i="23"/>
  <c r="CI25" i="3"/>
  <c r="CI39" i="23"/>
  <c r="CH50" i="23"/>
  <c r="CH26" i="23"/>
  <c r="CH45" i="3"/>
  <c r="CH72" i="3" s="1"/>
  <c r="AJ175" i="25"/>
  <c r="AI181" i="25"/>
  <c r="CE88" i="17"/>
  <c r="CE62" i="3"/>
  <c r="BK88" i="17"/>
  <c r="BK62" i="3"/>
  <c r="AD106" i="15"/>
  <c r="AE167" i="3"/>
  <c r="AD173" i="3"/>
  <c r="AD340" i="3" s="1"/>
  <c r="AD171" i="3"/>
  <c r="AI193" i="3"/>
  <c r="V13" i="16"/>
  <c r="X327" i="3"/>
  <c r="DQ90" i="3"/>
  <c r="AO221" i="25"/>
  <c r="AN222" i="25"/>
  <c r="AJ209" i="25"/>
  <c r="AI210" i="25"/>
  <c r="AS172" i="25"/>
  <c r="AR178" i="25"/>
  <c r="AP214" i="25"/>
  <c r="AO216" i="25"/>
  <c r="AK92" i="17"/>
  <c r="AK78" i="3"/>
  <c r="AN76" i="21"/>
  <c r="AO50" i="21"/>
  <c r="AP183" i="25"/>
  <c r="AQ174" i="25"/>
  <c r="CG72" i="21"/>
  <c r="CH46" i="21"/>
  <c r="BL85" i="21"/>
  <c r="BL24" i="21"/>
  <c r="BL98" i="21"/>
  <c r="AG64" i="15"/>
  <c r="AG230" i="3"/>
  <c r="AH71" i="21"/>
  <c r="Y36" i="25"/>
  <c r="Y92" i="25"/>
  <c r="Y32" i="25"/>
  <c r="Z61" i="3"/>
  <c r="Z87" i="17"/>
  <c r="AI113" i="21"/>
  <c r="AL112" i="27"/>
  <c r="AE26" i="3"/>
  <c r="AE21" i="27"/>
  <c r="AE51" i="27" s="1"/>
  <c r="AE63" i="27"/>
  <c r="AE70" i="27" s="1"/>
  <c r="AE27" i="27"/>
  <c r="AE54" i="27"/>
  <c r="AE57" i="27" s="1"/>
  <c r="AF60" i="27"/>
  <c r="AE67" i="27"/>
  <c r="AE23" i="27"/>
  <c r="AF305" i="3"/>
  <c r="AF303" i="3" s="1"/>
  <c r="AG103" i="3"/>
  <c r="AF320" i="3"/>
  <c r="BG71" i="21"/>
  <c r="BH45" i="21"/>
  <c r="V108" i="25"/>
  <c r="V7" i="3"/>
  <c r="W6" i="3"/>
  <c r="V57" i="23"/>
  <c r="V72" i="27"/>
  <c r="AO56" i="27"/>
  <c r="AO30" i="27"/>
  <c r="AH19" i="23"/>
  <c r="AH47" i="23"/>
  <c r="AI36" i="23"/>
  <c r="AH38" i="23"/>
  <c r="AF96" i="25"/>
  <c r="AE69" i="25"/>
  <c r="AE31" i="25"/>
  <c r="AE96" i="25"/>
  <c r="AF211" i="3"/>
  <c r="AF104" i="3"/>
  <c r="AF63" i="15" s="1"/>
  <c r="AE323" i="3"/>
  <c r="AQ49" i="27"/>
  <c r="AP62" i="27"/>
  <c r="AG49" i="23"/>
  <c r="AG23" i="23"/>
  <c r="AG53" i="23"/>
  <c r="BT42" i="23"/>
  <c r="AF55" i="23"/>
  <c r="AF20" i="23"/>
  <c r="BB69" i="25"/>
  <c r="BA82" i="25"/>
  <c r="BA96" i="25" s="1"/>
  <c r="AJ42" i="23"/>
  <c r="AI44" i="23"/>
  <c r="AD91" i="17"/>
  <c r="AD65" i="3"/>
  <c r="AE45" i="3"/>
  <c r="AE72" i="3" s="1"/>
  <c r="AE50" i="23"/>
  <c r="AE26" i="23"/>
  <c r="AG39" i="23"/>
  <c r="AG25" i="3"/>
  <c r="BF84" i="21"/>
  <c r="BF23" i="21"/>
  <c r="BF97" i="21"/>
  <c r="AF304" i="3"/>
  <c r="AG304" i="3" s="1"/>
  <c r="AO38" i="3"/>
  <c r="S87" i="15"/>
  <c r="BF27" i="21"/>
  <c r="BF102" i="21"/>
  <c r="BF89" i="21"/>
  <c r="BI82" i="27"/>
  <c r="R87" i="15"/>
  <c r="BH63" i="21"/>
  <c r="BG76" i="21"/>
  <c r="BJ50" i="21"/>
  <c r="CM43" i="23"/>
  <c r="CL44" i="23"/>
  <c r="AK104" i="27"/>
  <c r="AK105" i="27" s="1"/>
  <c r="AL93" i="27"/>
  <c r="AS167" i="21"/>
  <c r="AR168" i="21"/>
  <c r="BF8" i="43"/>
  <c r="AB68" i="26"/>
  <c r="I68" i="26" s="1"/>
  <c r="K68" i="26" s="1"/>
  <c r="AB87" i="26"/>
  <c r="I87" i="26" s="1"/>
  <c r="K87" i="26" s="1"/>
  <c r="AB67" i="26"/>
  <c r="I67" i="26" s="1"/>
  <c r="K67" i="26" s="1"/>
  <c r="AL87" i="27"/>
  <c r="AL95" i="27"/>
  <c r="AM94" i="27"/>
  <c r="AL102" i="27"/>
  <c r="AL103" i="27" s="1"/>
  <c r="AR53" i="21"/>
  <c r="T79" i="15"/>
  <c r="T84" i="15" s="1"/>
  <c r="T81" i="15"/>
  <c r="T86" i="15" s="1"/>
  <c r="T80" i="15"/>
  <c r="T85" i="15" s="1"/>
  <c r="AO73" i="23"/>
  <c r="AN83" i="23"/>
  <c r="AL62" i="3"/>
  <c r="AL88" i="17"/>
  <c r="AV60" i="25"/>
  <c r="AU87" i="25"/>
  <c r="AU101" i="25" s="1"/>
  <c r="AO65" i="21"/>
  <c r="AN78" i="21"/>
  <c r="AS220" i="25"/>
  <c r="BM57" i="25"/>
  <c r="U61" i="17"/>
  <c r="U59" i="17"/>
  <c r="U73" i="17"/>
  <c r="U52" i="17"/>
  <c r="U66" i="17"/>
  <c r="U60" i="17"/>
  <c r="U55" i="17"/>
  <c r="U54" i="17"/>
  <c r="U67" i="17"/>
  <c r="U76" i="17"/>
  <c r="U56" i="17"/>
  <c r="U58" i="17"/>
  <c r="U65" i="17"/>
  <c r="U70" i="17"/>
  <c r="U75" i="17"/>
  <c r="U68" i="17"/>
  <c r="U69" i="17"/>
  <c r="U63" i="17"/>
  <c r="U72" i="17"/>
  <c r="U57" i="17"/>
  <c r="U64" i="17"/>
  <c r="U53" i="17"/>
  <c r="U77" i="17"/>
  <c r="U74" i="17"/>
  <c r="U62" i="17"/>
  <c r="U71" i="17"/>
  <c r="V69" i="15"/>
  <c r="V218" i="25"/>
  <c r="V157" i="25"/>
  <c r="V3" i="21"/>
  <c r="V3" i="27"/>
  <c r="V164" i="21"/>
  <c r="V253" i="3"/>
  <c r="V200" i="3"/>
  <c r="V41" i="3"/>
  <c r="V68" i="3"/>
  <c r="V21" i="15"/>
  <c r="V83" i="17"/>
  <c r="V49" i="17"/>
  <c r="V206" i="25"/>
  <c r="V17" i="25"/>
  <c r="V6" i="15"/>
  <c r="V5" i="21"/>
  <c r="V108" i="21"/>
  <c r="V329" i="3"/>
  <c r="V182" i="3"/>
  <c r="V153" i="3"/>
  <c r="V9" i="3"/>
  <c r="V21" i="3"/>
  <c r="V95" i="15"/>
  <c r="V29" i="17"/>
  <c r="V212" i="25"/>
  <c r="V37" i="17"/>
  <c r="V3" i="17"/>
  <c r="V4" i="17" s="1"/>
  <c r="V158" i="21"/>
  <c r="V5" i="25"/>
  <c r="V5" i="27"/>
  <c r="V19" i="21"/>
  <c r="V313" i="3"/>
  <c r="V164" i="3"/>
  <c r="V145" i="3"/>
  <c r="V6" i="17"/>
  <c r="V5" i="23"/>
  <c r="V300" i="3"/>
  <c r="V3" i="15"/>
  <c r="V4" i="15" s="1"/>
  <c r="V17" i="27"/>
  <c r="V208" i="3"/>
  <c r="V22" i="17"/>
  <c r="V17" i="23"/>
  <c r="V85" i="3"/>
  <c r="V54" i="15"/>
  <c r="V56" i="15" s="1"/>
  <c r="V3" i="25"/>
  <c r="W3" i="3"/>
  <c r="AK47" i="3"/>
  <c r="AK74" i="3" s="1"/>
  <c r="AK35" i="27"/>
  <c r="AL154" i="25"/>
  <c r="AL155" i="25" s="1"/>
  <c r="AL130" i="25"/>
  <c r="AM119" i="25"/>
  <c r="AM20" i="27"/>
  <c r="AM27" i="3" s="1"/>
  <c r="AM61" i="27"/>
  <c r="AN48" i="27"/>
  <c r="AO46" i="21"/>
  <c r="AN72" i="21"/>
  <c r="AM93" i="3"/>
  <c r="AT78" i="23"/>
  <c r="BL90" i="25"/>
  <c r="BM63" i="25"/>
  <c r="BD51" i="21"/>
  <c r="BC77" i="21"/>
  <c r="T93" i="15"/>
  <c r="AM24" i="21"/>
  <c r="AM98" i="21"/>
  <c r="AM85" i="21"/>
  <c r="AV62" i="25"/>
  <c r="AU89" i="25"/>
  <c r="AU103" i="25" s="1"/>
  <c r="AL82" i="23"/>
  <c r="AL86" i="23"/>
  <c r="AL87" i="23" s="1"/>
  <c r="AL147" i="25"/>
  <c r="AZ166" i="21"/>
  <c r="AL29" i="27"/>
  <c r="AL24" i="27"/>
  <c r="AL68" i="27"/>
  <c r="AN32" i="3"/>
  <c r="AM52" i="3"/>
  <c r="U92" i="15"/>
  <c r="U90" i="15"/>
  <c r="U67" i="15"/>
  <c r="U76" i="15"/>
  <c r="U78" i="15" s="1"/>
  <c r="U91" i="15"/>
  <c r="U57" i="15"/>
  <c r="T78" i="17"/>
  <c r="BD55" i="25"/>
  <c r="AJ17" i="17"/>
  <c r="AI159" i="3"/>
  <c r="BB103" i="21"/>
  <c r="BB90" i="21"/>
  <c r="AM81" i="23"/>
  <c r="AM84" i="23"/>
  <c r="AM88" i="23"/>
  <c r="AM89" i="23" s="1"/>
  <c r="AS35" i="3"/>
  <c r="BL83" i="25"/>
  <c r="BL97" i="25" s="1"/>
  <c r="BM56" i="25"/>
  <c r="AM104" i="21"/>
  <c r="AM91" i="21"/>
  <c r="AU74" i="23"/>
  <c r="AY167" i="25"/>
  <c r="AL79" i="3"/>
  <c r="AL93" i="17"/>
  <c r="AL50" i="3"/>
  <c r="AL77" i="3" s="1"/>
  <c r="AD112" i="25"/>
  <c r="Q87" i="15"/>
  <c r="AI115" i="21" l="1"/>
  <c r="AJ110" i="21" s="1"/>
  <c r="AO136" i="21"/>
  <c r="AN196" i="25"/>
  <c r="AM30" i="3"/>
  <c r="AM88" i="3" s="1"/>
  <c r="AM51" i="3"/>
  <c r="AH161" i="25"/>
  <c r="AM112" i="27"/>
  <c r="AO134" i="21"/>
  <c r="AH162" i="25"/>
  <c r="AH192" i="25"/>
  <c r="CJ39" i="23"/>
  <c r="AL91" i="17"/>
  <c r="AL65" i="3"/>
  <c r="AD146" i="25"/>
  <c r="X56" i="3"/>
  <c r="DQ56" i="3" s="1"/>
  <c r="DQ82" i="3" s="1"/>
  <c r="AQ60" i="21"/>
  <c r="AP73" i="21"/>
  <c r="AO168" i="25"/>
  <c r="AN203" i="25"/>
  <c r="AN204" i="25" s="1"/>
  <c r="AN179" i="25"/>
  <c r="AN184" i="25"/>
  <c r="AF35" i="25"/>
  <c r="AF49" i="3"/>
  <c r="AF76" i="3" s="1"/>
  <c r="AO26" i="21"/>
  <c r="AO86" i="21"/>
  <c r="AO99" i="21"/>
  <c r="AG81" i="25"/>
  <c r="AG20" i="25"/>
  <c r="AG29" i="3" s="1"/>
  <c r="BJ56" i="27"/>
  <c r="BJ30" i="27"/>
  <c r="AQ20" i="17"/>
  <c r="AR17" i="21"/>
  <c r="BK62" i="27"/>
  <c r="BK19" i="27"/>
  <c r="BK26" i="3" s="1"/>
  <c r="BL49" i="27"/>
  <c r="AJ29" i="25"/>
  <c r="AJ99" i="25"/>
  <c r="AL30" i="25"/>
  <c r="AL100" i="25"/>
  <c r="AL73" i="25"/>
  <c r="AQ125" i="21"/>
  <c r="AP135" i="21"/>
  <c r="AP133" i="21" s="1"/>
  <c r="AP138" i="21" s="1"/>
  <c r="AO272" i="3"/>
  <c r="AN9" i="17"/>
  <c r="AN37" i="3"/>
  <c r="AM81" i="3"/>
  <c r="AM34" i="3"/>
  <c r="AM89" i="3" s="1"/>
  <c r="AS89" i="27"/>
  <c r="AR99" i="27"/>
  <c r="AR97" i="27" s="1"/>
  <c r="BR36" i="23"/>
  <c r="BQ47" i="23"/>
  <c r="BQ53" i="23" s="1"/>
  <c r="AK85" i="25"/>
  <c r="AL58" i="25"/>
  <c r="AM86" i="25"/>
  <c r="AN59" i="25"/>
  <c r="AP68" i="23"/>
  <c r="AO102" i="23"/>
  <c r="AO103" i="23" s="1"/>
  <c r="AO79" i="23"/>
  <c r="AP336" i="3"/>
  <c r="AQ289" i="3"/>
  <c r="AK64" i="3"/>
  <c r="AK90" i="17"/>
  <c r="AN288" i="3"/>
  <c r="AM335" i="3"/>
  <c r="AH97" i="21"/>
  <c r="AH84" i="21"/>
  <c r="AH58" i="21"/>
  <c r="AH23" i="21"/>
  <c r="BL88" i="17"/>
  <c r="BL62" i="3"/>
  <c r="CI46" i="21"/>
  <c r="CH72" i="21"/>
  <c r="AR174" i="25"/>
  <c r="AQ183" i="25"/>
  <c r="AP50" i="21"/>
  <c r="AO76" i="21"/>
  <c r="AJ145" i="21"/>
  <c r="AJ112" i="21"/>
  <c r="AJ146" i="21"/>
  <c r="AJ144" i="21"/>
  <c r="AD172" i="3"/>
  <c r="AD105" i="15" s="1"/>
  <c r="AD104" i="15"/>
  <c r="AE177" i="3"/>
  <c r="AI182" i="25"/>
  <c r="AI186" i="25"/>
  <c r="AI187" i="25" s="1"/>
  <c r="CI55" i="23"/>
  <c r="CI20" i="23"/>
  <c r="AL134" i="25"/>
  <c r="AM125" i="25"/>
  <c r="W13" i="16"/>
  <c r="Y327" i="3"/>
  <c r="AO56" i="25"/>
  <c r="AN83" i="25"/>
  <c r="AH110" i="27"/>
  <c r="AH76" i="27"/>
  <c r="AH109" i="27"/>
  <c r="AH108" i="27"/>
  <c r="AP162" i="21"/>
  <c r="AQ160" i="21"/>
  <c r="AB75" i="25"/>
  <c r="AB78" i="25" s="1"/>
  <c r="AB27" i="25"/>
  <c r="AB91" i="25"/>
  <c r="AB105" i="25" s="1"/>
  <c r="AB102" i="25"/>
  <c r="AB23" i="25"/>
  <c r="AO321" i="3"/>
  <c r="AP259" i="3"/>
  <c r="X17" i="16"/>
  <c r="X60" i="16"/>
  <c r="Z75" i="3"/>
  <c r="AV60" i="16" s="1"/>
  <c r="Z43" i="3"/>
  <c r="BM85" i="21"/>
  <c r="BM98" i="21"/>
  <c r="BM24" i="21"/>
  <c r="CF62" i="3"/>
  <c r="CF88" i="17"/>
  <c r="AL92" i="17"/>
  <c r="AL78" i="3"/>
  <c r="AA25" i="25"/>
  <c r="AA48" i="3"/>
  <c r="AA34" i="25"/>
  <c r="CJ54" i="23"/>
  <c r="CJ23" i="23"/>
  <c r="CJ49" i="23"/>
  <c r="CL37" i="23"/>
  <c r="CK19" i="23"/>
  <c r="CK38" i="23"/>
  <c r="CK48" i="23"/>
  <c r="AJ137" i="25"/>
  <c r="AJ138" i="25" s="1"/>
  <c r="AJ133" i="25"/>
  <c r="AM141" i="21"/>
  <c r="AF87" i="21"/>
  <c r="AF100" i="21"/>
  <c r="AF26" i="3"/>
  <c r="AF21" i="27"/>
  <c r="AF51" i="27" s="1"/>
  <c r="AH96" i="25"/>
  <c r="AH31" i="25"/>
  <c r="AM170" i="25"/>
  <c r="AL188" i="25"/>
  <c r="AH75" i="27"/>
  <c r="AE34" i="27"/>
  <c r="AE46" i="3"/>
  <c r="AE73" i="3" s="1"/>
  <c r="AE25" i="27"/>
  <c r="AF54" i="27"/>
  <c r="AF57" i="27" s="1"/>
  <c r="AF67" i="27"/>
  <c r="AF23" i="27"/>
  <c r="AF63" i="27"/>
  <c r="AF70" i="27" s="1"/>
  <c r="AF27" i="27"/>
  <c r="AJ113" i="21"/>
  <c r="CG98" i="21"/>
  <c r="CG24" i="21"/>
  <c r="CG85" i="21"/>
  <c r="AN89" i="21"/>
  <c r="AN102" i="21"/>
  <c r="AQ214" i="25"/>
  <c r="AP216" i="25"/>
  <c r="AT172" i="25"/>
  <c r="AS178" i="25"/>
  <c r="AK209" i="25"/>
  <c r="AJ210" i="25"/>
  <c r="AP221" i="25"/>
  <c r="AO222" i="25"/>
  <c r="V81" i="16"/>
  <c r="V12" i="16"/>
  <c r="AJ111" i="21"/>
  <c r="AI246" i="3"/>
  <c r="AJ193" i="3"/>
  <c r="AJ246" i="3" s="1"/>
  <c r="AK175" i="25"/>
  <c r="AJ181" i="25"/>
  <c r="AK132" i="25"/>
  <c r="AK139" i="25"/>
  <c r="AK140" i="25" s="1"/>
  <c r="AK135" i="25"/>
  <c r="AO271" i="3"/>
  <c r="AN276" i="3"/>
  <c r="AN319" i="3"/>
  <c r="BL53" i="21"/>
  <c r="BK79" i="21"/>
  <c r="BK92" i="21" s="1"/>
  <c r="AL37" i="23"/>
  <c r="AK48" i="23"/>
  <c r="AK54" i="23" s="1"/>
  <c r="AH223" i="3"/>
  <c r="AH198" i="3"/>
  <c r="AM97" i="25"/>
  <c r="AM31" i="25"/>
  <c r="X94" i="17"/>
  <c r="X86" i="17" s="1"/>
  <c r="V19" i="16"/>
  <c r="AG111" i="27"/>
  <c r="AG114" i="27" s="1"/>
  <c r="AH77" i="27"/>
  <c r="AG65" i="3"/>
  <c r="AG91" i="17"/>
  <c r="AO66" i="21"/>
  <c r="AN79" i="21"/>
  <c r="AN92" i="21" s="1"/>
  <c r="Z32" i="25"/>
  <c r="Z92" i="25"/>
  <c r="Z36" i="25"/>
  <c r="Z39" i="3"/>
  <c r="Z87" i="3"/>
  <c r="Z90" i="3" s="1"/>
  <c r="Y70" i="3"/>
  <c r="W62" i="16"/>
  <c r="Y54" i="3"/>
  <c r="Y66" i="3"/>
  <c r="AP149" i="21"/>
  <c r="AP155" i="21"/>
  <c r="AP156" i="21" s="1"/>
  <c r="AP131" i="21"/>
  <c r="AQ119" i="21"/>
  <c r="AP136" i="21"/>
  <c r="AP139" i="21"/>
  <c r="AP67" i="23"/>
  <c r="AO72" i="23"/>
  <c r="BO46" i="21"/>
  <c r="BN72" i="21"/>
  <c r="AM27" i="21"/>
  <c r="AN31" i="3"/>
  <c r="AN51" i="3" s="1"/>
  <c r="AA39" i="3"/>
  <c r="AA87" i="3"/>
  <c r="AA90" i="3" s="1"/>
  <c r="AA327" i="3" s="1"/>
  <c r="AA61" i="3"/>
  <c r="AA87" i="17"/>
  <c r="AI147" i="21"/>
  <c r="AI150" i="21" s="1"/>
  <c r="AI151" i="21" s="1"/>
  <c r="AI45" i="21" s="1"/>
  <c r="AO84" i="25"/>
  <c r="AO98" i="25" s="1"/>
  <c r="AP57" i="25"/>
  <c r="AM100" i="27"/>
  <c r="AM120" i="27"/>
  <c r="AM121" i="27" s="1"/>
  <c r="AM84" i="27"/>
  <c r="AN83" i="27"/>
  <c r="AM98" i="27"/>
  <c r="AQ256" i="3"/>
  <c r="AN208" i="25"/>
  <c r="AN140" i="21"/>
  <c r="AN123" i="21"/>
  <c r="AO129" i="21"/>
  <c r="BF44" i="23"/>
  <c r="BG43" i="23"/>
  <c r="AJ55" i="25"/>
  <c r="AJ82" i="25" s="1"/>
  <c r="AI82" i="25"/>
  <c r="AK189" i="25"/>
  <c r="AI194" i="3"/>
  <c r="AI247" i="3"/>
  <c r="AI248" i="3" s="1"/>
  <c r="BH71" i="21"/>
  <c r="BI45" i="21"/>
  <c r="AJ44" i="23"/>
  <c r="AK42" i="23"/>
  <c r="AH53" i="23"/>
  <c r="AH49" i="23"/>
  <c r="AH23" i="23"/>
  <c r="AG55" i="23"/>
  <c r="AG20" i="23"/>
  <c r="AG104" i="3"/>
  <c r="AG105" i="3" s="1"/>
  <c r="AF212" i="3"/>
  <c r="AF267" i="3"/>
  <c r="AH25" i="3"/>
  <c r="AH39" i="23"/>
  <c r="BC69" i="25"/>
  <c r="BB82" i="25"/>
  <c r="BB96" i="25" s="1"/>
  <c r="BT44" i="23"/>
  <c r="BU42" i="23"/>
  <c r="AP30" i="27"/>
  <c r="AP56" i="27"/>
  <c r="AF105" i="3"/>
  <c r="X6" i="3"/>
  <c r="W72" i="27"/>
  <c r="W108" i="25"/>
  <c r="W57" i="23"/>
  <c r="W7" i="3"/>
  <c r="BG97" i="21"/>
  <c r="BG23" i="21"/>
  <c r="BG84" i="21"/>
  <c r="AG265" i="3"/>
  <c r="AG211" i="3"/>
  <c r="AF26" i="23"/>
  <c r="AF45" i="3"/>
  <c r="AF72" i="3" s="1"/>
  <c r="AF50" i="23"/>
  <c r="AQ62" i="27"/>
  <c r="AR49" i="27"/>
  <c r="AE65" i="3"/>
  <c r="AE91" i="17"/>
  <c r="AI47" i="23"/>
  <c r="AI19" i="23"/>
  <c r="AI38" i="23"/>
  <c r="AJ36" i="23"/>
  <c r="AP38" i="3"/>
  <c r="BK50" i="21"/>
  <c r="AS53" i="21"/>
  <c r="K20" i="26"/>
  <c r="AT167" i="21"/>
  <c r="AS168" i="21"/>
  <c r="AM93" i="27"/>
  <c r="AL104" i="27"/>
  <c r="AL105" i="27" s="1"/>
  <c r="CN43" i="23"/>
  <c r="CM44" i="23"/>
  <c r="BI63" i="21"/>
  <c r="BH76" i="21"/>
  <c r="BJ82" i="27"/>
  <c r="AM95" i="27"/>
  <c r="AM87" i="27"/>
  <c r="AN94" i="27"/>
  <c r="AM102" i="27"/>
  <c r="AM103" i="27" s="1"/>
  <c r="BG8" i="43"/>
  <c r="AB37" i="26"/>
  <c r="BG89" i="21"/>
  <c r="BG27" i="21"/>
  <c r="BG102" i="21"/>
  <c r="AD115" i="25"/>
  <c r="AD143" i="25" s="1"/>
  <c r="AM147" i="25"/>
  <c r="T87" i="15"/>
  <c r="AV74" i="23"/>
  <c r="U93" i="15"/>
  <c r="BM90" i="25"/>
  <c r="BN63" i="25"/>
  <c r="AM68" i="27"/>
  <c r="AM29" i="27"/>
  <c r="AM24" i="27"/>
  <c r="V76" i="15"/>
  <c r="V78" i="15" s="1"/>
  <c r="V91" i="15"/>
  <c r="V57" i="15"/>
  <c r="V92" i="15"/>
  <c r="V90" i="15"/>
  <c r="V67" i="15"/>
  <c r="U78" i="17"/>
  <c r="U80" i="17" s="1"/>
  <c r="AP65" i="21"/>
  <c r="AO78" i="21"/>
  <c r="AL35" i="27"/>
  <c r="AL47" i="3"/>
  <c r="AL74" i="3" s="1"/>
  <c r="AN85" i="21"/>
  <c r="AN98" i="21"/>
  <c r="AN24" i="21"/>
  <c r="V55" i="17"/>
  <c r="V57" i="17"/>
  <c r="V69" i="17"/>
  <c r="V52" i="17"/>
  <c r="V54" i="17"/>
  <c r="V60" i="17"/>
  <c r="V75" i="17"/>
  <c r="V58" i="17"/>
  <c r="V71" i="17"/>
  <c r="V61" i="17"/>
  <c r="V56" i="17"/>
  <c r="V53" i="17"/>
  <c r="V68" i="17"/>
  <c r="V67" i="17"/>
  <c r="V73" i="17"/>
  <c r="V63" i="17"/>
  <c r="V62" i="17"/>
  <c r="V72" i="17"/>
  <c r="V70" i="17"/>
  <c r="V76" i="17"/>
  <c r="V77" i="17"/>
  <c r="V74" i="17"/>
  <c r="V59" i="17"/>
  <c r="V66" i="17"/>
  <c r="V65" i="17"/>
  <c r="V64" i="17"/>
  <c r="AT220" i="25"/>
  <c r="AM86" i="23"/>
  <c r="AM87" i="23" s="1"/>
  <c r="AM82" i="23"/>
  <c r="AK17" i="17"/>
  <c r="AJ159" i="3"/>
  <c r="BE55" i="25"/>
  <c r="U80" i="15"/>
  <c r="U85" i="15" s="1"/>
  <c r="U81" i="15"/>
  <c r="U86" i="15" s="1"/>
  <c r="U79" i="15"/>
  <c r="U84" i="15" s="1"/>
  <c r="AC88" i="25"/>
  <c r="AC19" i="25"/>
  <c r="AC64" i="25"/>
  <c r="AM79" i="3"/>
  <c r="AM93" i="17"/>
  <c r="AM88" i="17"/>
  <c r="AM62" i="3"/>
  <c r="BC103" i="21"/>
  <c r="BC90" i="21"/>
  <c r="AO72" i="21"/>
  <c r="AP46" i="21"/>
  <c r="W212" i="25"/>
  <c r="W95" i="15"/>
  <c r="W29" i="17"/>
  <c r="W3" i="27"/>
  <c r="W3" i="25"/>
  <c r="W3" i="21"/>
  <c r="W206" i="25"/>
  <c r="W49" i="17"/>
  <c r="W6" i="15"/>
  <c r="W54" i="15"/>
  <c r="W56" i="15" s="1"/>
  <c r="W6" i="17"/>
  <c r="W5" i="21"/>
  <c r="W5" i="27"/>
  <c r="W164" i="21"/>
  <c r="W157" i="25"/>
  <c r="W37" i="17"/>
  <c r="W69" i="15"/>
  <c r="W3" i="17"/>
  <c r="W4" i="17" s="1"/>
  <c r="W5" i="25"/>
  <c r="W22" i="17"/>
  <c r="W17" i="23"/>
  <c r="W3" i="15"/>
  <c r="W4" i="15" s="1"/>
  <c r="W17" i="25"/>
  <c r="W108" i="21"/>
  <c r="W17" i="27"/>
  <c r="W158" i="21"/>
  <c r="W313" i="3"/>
  <c r="W200" i="3"/>
  <c r="W153" i="3"/>
  <c r="W83" i="17"/>
  <c r="W218" i="25"/>
  <c r="W19" i="21"/>
  <c r="W300" i="3"/>
  <c r="W182" i="3"/>
  <c r="W145" i="3"/>
  <c r="W41" i="3"/>
  <c r="W5" i="23"/>
  <c r="W253" i="3"/>
  <c r="W164" i="3"/>
  <c r="W68" i="3"/>
  <c r="W9" i="3"/>
  <c r="W21" i="15"/>
  <c r="W329" i="3"/>
  <c r="W208" i="3"/>
  <c r="W85" i="3"/>
  <c r="W21" i="3"/>
  <c r="X3" i="3"/>
  <c r="AV87" i="25"/>
  <c r="AV101" i="25" s="1"/>
  <c r="AW60" i="25"/>
  <c r="AN81" i="23"/>
  <c r="AN84" i="23"/>
  <c r="AN88" i="23"/>
  <c r="AN89" i="23" s="1"/>
  <c r="AZ167" i="25"/>
  <c r="BN56" i="25"/>
  <c r="BM83" i="25"/>
  <c r="BM97" i="25" s="1"/>
  <c r="AT35" i="3"/>
  <c r="AN52" i="3"/>
  <c r="AO32" i="3"/>
  <c r="AN30" i="3"/>
  <c r="AN88" i="3" s="1"/>
  <c r="BA166" i="21"/>
  <c r="AV89" i="25"/>
  <c r="AV103" i="25" s="1"/>
  <c r="AW62" i="25"/>
  <c r="BD77" i="21"/>
  <c r="BE51" i="21"/>
  <c r="AU78" i="23"/>
  <c r="AN93" i="3"/>
  <c r="AO48" i="27"/>
  <c r="AN61" i="27"/>
  <c r="AN20" i="27"/>
  <c r="AN27" i="3" s="1"/>
  <c r="AN119" i="25"/>
  <c r="AM154" i="25"/>
  <c r="AM155" i="25" s="1"/>
  <c r="AM130" i="25"/>
  <c r="BN57" i="25"/>
  <c r="AN91" i="21"/>
  <c r="AN104" i="21"/>
  <c r="AP73" i="23"/>
  <c r="AO83" i="23"/>
  <c r="AH164" i="25" l="1"/>
  <c r="AI159" i="25" s="1"/>
  <c r="AH195" i="25"/>
  <c r="AH197" i="25" s="1"/>
  <c r="AH198" i="25" s="1"/>
  <c r="AH199" i="25" s="1"/>
  <c r="AH54" i="25" s="1"/>
  <c r="AD149" i="25"/>
  <c r="AD150" i="25" s="1"/>
  <c r="AD61" i="25" s="1"/>
  <c r="AD19" i="25" s="1"/>
  <c r="AP134" i="21"/>
  <c r="AG63" i="15"/>
  <c r="AE110" i="25"/>
  <c r="AE112" i="25" s="1"/>
  <c r="X97" i="3"/>
  <c r="X95" i="3" s="1"/>
  <c r="X96" i="3" s="1"/>
  <c r="D48" i="21"/>
  <c r="AG48" i="21" s="1"/>
  <c r="X59" i="3"/>
  <c r="DQ59" i="3" s="1"/>
  <c r="DQ83" i="3" s="1"/>
  <c r="CS58" i="3"/>
  <c r="X82" i="3"/>
  <c r="AT62" i="16" s="1"/>
  <c r="AI193" i="25"/>
  <c r="AI161" i="25"/>
  <c r="AI194" i="25"/>
  <c r="AI192" i="25"/>
  <c r="AI162" i="25"/>
  <c r="AI160" i="25"/>
  <c r="AO179" i="25"/>
  <c r="AP168" i="25"/>
  <c r="AO203" i="25"/>
  <c r="AO204" i="25" s="1"/>
  <c r="AO184" i="25"/>
  <c r="AP26" i="21"/>
  <c r="AP86" i="21"/>
  <c r="AP99" i="21"/>
  <c r="AG95" i="25"/>
  <c r="AG68" i="25"/>
  <c r="AG24" i="25"/>
  <c r="AH20" i="25"/>
  <c r="AH29" i="3" s="1"/>
  <c r="AH81" i="25"/>
  <c r="AO196" i="25"/>
  <c r="AR60" i="21"/>
  <c r="AQ73" i="21"/>
  <c r="BM49" i="27"/>
  <c r="BL62" i="27"/>
  <c r="BL19" i="27"/>
  <c r="BL26" i="3" s="1"/>
  <c r="BK30" i="27"/>
  <c r="BK56" i="27"/>
  <c r="AR20" i="17"/>
  <c r="AS17" i="21"/>
  <c r="AQ149" i="21"/>
  <c r="AN335" i="3"/>
  <c r="AO288" i="3"/>
  <c r="AO59" i="25"/>
  <c r="AN86" i="25"/>
  <c r="AM58" i="25"/>
  <c r="AL85" i="25"/>
  <c r="AO37" i="3"/>
  <c r="AN81" i="3"/>
  <c r="AN34" i="3"/>
  <c r="AN89" i="3" s="1"/>
  <c r="AO9" i="17"/>
  <c r="AP272" i="3"/>
  <c r="AQ135" i="21"/>
  <c r="AQ133" i="21" s="1"/>
  <c r="AQ138" i="21" s="1"/>
  <c r="AR125" i="21"/>
  <c r="AR289" i="3"/>
  <c r="AQ336" i="3"/>
  <c r="AP102" i="23"/>
  <c r="AP103" i="23" s="1"/>
  <c r="AQ68" i="23"/>
  <c r="AP79" i="23"/>
  <c r="AM100" i="25"/>
  <c r="AM30" i="25"/>
  <c r="AM73" i="25"/>
  <c r="AK29" i="25"/>
  <c r="AK99" i="25"/>
  <c r="BS36" i="23"/>
  <c r="BR47" i="23"/>
  <c r="BR53" i="23" s="1"/>
  <c r="AS99" i="27"/>
  <c r="AS97" i="27" s="1"/>
  <c r="AT89" i="27"/>
  <c r="AL90" i="17"/>
  <c r="AL64" i="3"/>
  <c r="AG115" i="27"/>
  <c r="AG116" i="27" s="1"/>
  <c r="AG47" i="27" s="1"/>
  <c r="AI71" i="21"/>
  <c r="AI96" i="25"/>
  <c r="AI31" i="25"/>
  <c r="BG44" i="23"/>
  <c r="BH43" i="23"/>
  <c r="AO123" i="21"/>
  <c r="AP129" i="21"/>
  <c r="AO140" i="21"/>
  <c r="AN141" i="21"/>
  <c r="AO83" i="27"/>
  <c r="AN100" i="27"/>
  <c r="AN120" i="27"/>
  <c r="AN121" i="27" s="1"/>
  <c r="AN84" i="27"/>
  <c r="AN98" i="27"/>
  <c r="AP84" i="25"/>
  <c r="AP98" i="25" s="1"/>
  <c r="AQ57" i="25"/>
  <c r="AM78" i="3"/>
  <c r="AM92" i="17"/>
  <c r="BN98" i="21"/>
  <c r="BN85" i="21"/>
  <c r="BN24" i="21"/>
  <c r="Y56" i="3"/>
  <c r="W19" i="16"/>
  <c r="Y94" i="17"/>
  <c r="AH111" i="27"/>
  <c r="AP271" i="3"/>
  <c r="AO276" i="3"/>
  <c r="AO319" i="3"/>
  <c r="AJ182" i="25"/>
  <c r="AJ186" i="25"/>
  <c r="AJ187" i="25" s="1"/>
  <c r="AJ115" i="21"/>
  <c r="AK110" i="21" s="1"/>
  <c r="AQ221" i="25"/>
  <c r="AP222" i="25"/>
  <c r="AL209" i="25"/>
  <c r="AK210" i="25"/>
  <c r="AU172" i="25"/>
  <c r="AT178" i="25"/>
  <c r="AQ216" i="25"/>
  <c r="AR214" i="25"/>
  <c r="AE64" i="27"/>
  <c r="AE36" i="27"/>
  <c r="AE32" i="27"/>
  <c r="AL189" i="25"/>
  <c r="AH65" i="3"/>
  <c r="AH91" i="17"/>
  <c r="CM37" i="23"/>
  <c r="CL38" i="23"/>
  <c r="CL19" i="23"/>
  <c r="CL48" i="23"/>
  <c r="AA43" i="3"/>
  <c r="AA75" i="3"/>
  <c r="BM62" i="3"/>
  <c r="BM88" i="17"/>
  <c r="AB61" i="3"/>
  <c r="AB87" i="17"/>
  <c r="AR160" i="21"/>
  <c r="AQ162" i="21"/>
  <c r="AP56" i="25"/>
  <c r="AO83" i="25"/>
  <c r="W12" i="16"/>
  <c r="W81" i="16"/>
  <c r="AL132" i="25"/>
  <c r="AL139" i="25"/>
  <c r="AL140" i="25" s="1"/>
  <c r="AL135" i="25"/>
  <c r="AE180" i="3"/>
  <c r="AE179" i="3"/>
  <c r="AE168" i="3"/>
  <c r="AE170" i="3" s="1"/>
  <c r="AQ50" i="21"/>
  <c r="AQ76" i="21" s="1"/>
  <c r="AP76" i="21"/>
  <c r="AS174" i="25"/>
  <c r="AR183" i="25"/>
  <c r="CJ46" i="21"/>
  <c r="CI72" i="21"/>
  <c r="AN112" i="27"/>
  <c r="AO112" i="27" s="1"/>
  <c r="AM50" i="3"/>
  <c r="AM77" i="3" s="1"/>
  <c r="AI223" i="3"/>
  <c r="AI198" i="3"/>
  <c r="AK96" i="25"/>
  <c r="AJ96" i="25"/>
  <c r="AJ31" i="25"/>
  <c r="AO208" i="25"/>
  <c r="AR256" i="3"/>
  <c r="AO31" i="3"/>
  <c r="AO51" i="3" s="1"/>
  <c r="AM65" i="3"/>
  <c r="AM91" i="17"/>
  <c r="BP46" i="21"/>
  <c r="BO72" i="21"/>
  <c r="AQ67" i="23"/>
  <c r="AP72" i="23"/>
  <c r="AQ131" i="21"/>
  <c r="AR119" i="21"/>
  <c r="AQ155" i="21"/>
  <c r="AQ156" i="21" s="1"/>
  <c r="AQ139" i="21"/>
  <c r="Z327" i="3"/>
  <c r="X13" i="16"/>
  <c r="AP66" i="21"/>
  <c r="AO79" i="21"/>
  <c r="AO92" i="21" s="1"/>
  <c r="X106" i="17"/>
  <c r="X98" i="17"/>
  <c r="X105" i="17"/>
  <c r="X100" i="17"/>
  <c r="X103" i="17"/>
  <c r="X102" i="17"/>
  <c r="X104" i="17"/>
  <c r="X101" i="17"/>
  <c r="X99" i="17"/>
  <c r="AH230" i="3"/>
  <c r="AH64" i="15"/>
  <c r="AL48" i="23"/>
  <c r="AL54" i="23" s="1"/>
  <c r="AM37" i="23"/>
  <c r="BM53" i="21"/>
  <c r="BL79" i="21"/>
  <c r="BL92" i="21" s="1"/>
  <c r="AK137" i="25"/>
  <c r="AK138" i="25" s="1"/>
  <c r="AK133" i="25"/>
  <c r="AL175" i="25"/>
  <c r="AK181" i="25"/>
  <c r="AN27" i="21"/>
  <c r="CG62" i="3"/>
  <c r="CG88" i="17"/>
  <c r="AJ147" i="21"/>
  <c r="AJ150" i="21" s="1"/>
  <c r="AJ151" i="21" s="1"/>
  <c r="AJ45" i="21" s="1"/>
  <c r="AF25" i="27"/>
  <c r="AF46" i="3"/>
  <c r="AF73" i="3" s="1"/>
  <c r="AF34" i="27"/>
  <c r="AH79" i="27"/>
  <c r="AI74" i="27" s="1"/>
  <c r="AI75" i="27" s="1"/>
  <c r="AJ185" i="3"/>
  <c r="AJ192" i="3" s="1"/>
  <c r="AM188" i="25"/>
  <c r="AN170" i="25"/>
  <c r="CK23" i="23"/>
  <c r="CK54" i="23"/>
  <c r="CK49" i="23"/>
  <c r="CK39" i="23"/>
  <c r="CK25" i="3"/>
  <c r="CJ55" i="23"/>
  <c r="CJ20" i="23"/>
  <c r="AA36" i="25"/>
  <c r="AA92" i="25"/>
  <c r="AA32" i="25"/>
  <c r="Z66" i="3"/>
  <c r="X62" i="16"/>
  <c r="Z70" i="3"/>
  <c r="Z54" i="3"/>
  <c r="AP321" i="3"/>
  <c r="AQ259" i="3"/>
  <c r="AB34" i="25"/>
  <c r="AB48" i="3"/>
  <c r="AB25" i="25"/>
  <c r="X95" i="17"/>
  <c r="AN31" i="25"/>
  <c r="AN97" i="25"/>
  <c r="AN125" i="25"/>
  <c r="AM134" i="25"/>
  <c r="CI26" i="23"/>
  <c r="CI50" i="23"/>
  <c r="CI45" i="3"/>
  <c r="CI72" i="3" s="1"/>
  <c r="AD114" i="15"/>
  <c r="AD113" i="15"/>
  <c r="AO102" i="21"/>
  <c r="AO89" i="21"/>
  <c r="CH98" i="21"/>
  <c r="CH24" i="21"/>
  <c r="CH85" i="21"/>
  <c r="AI39" i="23"/>
  <c r="AI25" i="3"/>
  <c r="AG212" i="3"/>
  <c r="AI53" i="23"/>
  <c r="AI49" i="23"/>
  <c r="AI23" i="23"/>
  <c r="AR62" i="27"/>
  <c r="AS49" i="27"/>
  <c r="BU44" i="23"/>
  <c r="BV42" i="23"/>
  <c r="BD69" i="25"/>
  <c r="BC82" i="25"/>
  <c r="BC96" i="25" s="1"/>
  <c r="AG50" i="23"/>
  <c r="AG26" i="23"/>
  <c r="AG45" i="3"/>
  <c r="AG72" i="3" s="1"/>
  <c r="AK36" i="23"/>
  <c r="AJ19" i="23"/>
  <c r="AJ47" i="23"/>
  <c r="AJ38" i="23"/>
  <c r="AQ30" i="27"/>
  <c r="AQ56" i="27"/>
  <c r="AH103" i="3"/>
  <c r="AG305" i="3"/>
  <c r="AG303" i="3" s="1"/>
  <c r="AG320" i="3"/>
  <c r="X72" i="27"/>
  <c r="Y6" i="3"/>
  <c r="X108" i="25"/>
  <c r="X7" i="3"/>
  <c r="X57" i="23"/>
  <c r="AF322" i="3"/>
  <c r="AF323" i="3" s="1"/>
  <c r="AG267" i="3"/>
  <c r="AF309" i="3"/>
  <c r="AH55" i="23"/>
  <c r="AH20" i="23"/>
  <c r="AL42" i="23"/>
  <c r="AK44" i="23"/>
  <c r="BI71" i="21"/>
  <c r="BJ45" i="21"/>
  <c r="BH84" i="21"/>
  <c r="BH23" i="21"/>
  <c r="BH97" i="21"/>
  <c r="AQ38" i="3"/>
  <c r="BH102" i="21"/>
  <c r="BH89" i="21"/>
  <c r="BH27" i="21"/>
  <c r="CN44" i="23"/>
  <c r="CO43" i="23"/>
  <c r="AM104" i="27"/>
  <c r="AM105" i="27" s="1"/>
  <c r="AN93" i="27"/>
  <c r="AU167" i="21"/>
  <c r="AT168" i="21"/>
  <c r="BJ63" i="21"/>
  <c r="BI76" i="21"/>
  <c r="BH8" i="43"/>
  <c r="AB61" i="26"/>
  <c r="AB51" i="26"/>
  <c r="AN87" i="27"/>
  <c r="AN95" i="27"/>
  <c r="AO94" i="27"/>
  <c r="AN102" i="27"/>
  <c r="AN103" i="27" s="1"/>
  <c r="BK82" i="27"/>
  <c r="AT53" i="21"/>
  <c r="BL50" i="21"/>
  <c r="BO57" i="25"/>
  <c r="AN130" i="25"/>
  <c r="AN154" i="25"/>
  <c r="AN155" i="25" s="1"/>
  <c r="AO119" i="25"/>
  <c r="AV78" i="23"/>
  <c r="AX62" i="25"/>
  <c r="AW89" i="25"/>
  <c r="AW103" i="25" s="1"/>
  <c r="BB166" i="21"/>
  <c r="AC28" i="3"/>
  <c r="AC21" i="25"/>
  <c r="AC65" i="25" s="1"/>
  <c r="AU220" i="25"/>
  <c r="AM35" i="27"/>
  <c r="AM47" i="3"/>
  <c r="AM74" i="3" s="1"/>
  <c r="AW74" i="23"/>
  <c r="X37" i="17"/>
  <c r="X69" i="15"/>
  <c r="X3" i="25"/>
  <c r="X3" i="21"/>
  <c r="X157" i="25"/>
  <c r="X108" i="21"/>
  <c r="X5" i="25"/>
  <c r="X95" i="15"/>
  <c r="X313" i="3"/>
  <c r="X164" i="3"/>
  <c r="X145" i="3"/>
  <c r="X3" i="15"/>
  <c r="X4" i="15" s="1"/>
  <c r="X22" i="17"/>
  <c r="X83" i="17"/>
  <c r="X5" i="27"/>
  <c r="X54" i="15"/>
  <c r="X56" i="15" s="1"/>
  <c r="X29" i="17"/>
  <c r="X19" i="21"/>
  <c r="X17" i="27"/>
  <c r="X300" i="3"/>
  <c r="X208" i="3"/>
  <c r="X85" i="3"/>
  <c r="Y3" i="3"/>
  <c r="X6" i="15"/>
  <c r="X218" i="25"/>
  <c r="X212" i="25"/>
  <c r="X17" i="23"/>
  <c r="X6" i="17"/>
  <c r="X17" i="25"/>
  <c r="X3" i="27"/>
  <c r="X253" i="3"/>
  <c r="X200" i="3"/>
  <c r="X41" i="3"/>
  <c r="X68" i="3"/>
  <c r="X3" i="17"/>
  <c r="X4" i="17" s="1"/>
  <c r="X49" i="17"/>
  <c r="X206" i="25"/>
  <c r="X21" i="15"/>
  <c r="X5" i="23"/>
  <c r="X164" i="21"/>
  <c r="X158" i="21"/>
  <c r="X5" i="21"/>
  <c r="X329" i="3"/>
  <c r="X182" i="3"/>
  <c r="X153" i="3"/>
  <c r="X9" i="3"/>
  <c r="X21" i="3"/>
  <c r="W71" i="17"/>
  <c r="W55" i="17"/>
  <c r="W72" i="17"/>
  <c r="W62" i="17"/>
  <c r="W77" i="17"/>
  <c r="W68" i="17"/>
  <c r="W75" i="17"/>
  <c r="W74" i="17"/>
  <c r="W57" i="17"/>
  <c r="W59" i="17"/>
  <c r="W53" i="17"/>
  <c r="W64" i="17"/>
  <c r="W60" i="17"/>
  <c r="W52" i="17"/>
  <c r="W66" i="17"/>
  <c r="W65" i="17"/>
  <c r="W63" i="17"/>
  <c r="W61" i="17"/>
  <c r="W56" i="17"/>
  <c r="W67" i="17"/>
  <c r="W54" i="17"/>
  <c r="W58" i="17"/>
  <c r="W73" i="17"/>
  <c r="W70" i="17"/>
  <c r="W69" i="17"/>
  <c r="W76" i="17"/>
  <c r="AP72" i="21"/>
  <c r="AQ46" i="21"/>
  <c r="AC102" i="25"/>
  <c r="AC75" i="25"/>
  <c r="AC78" i="25" s="1"/>
  <c r="AC27" i="25"/>
  <c r="AC23" i="25"/>
  <c r="AC91" i="25"/>
  <c r="AC105" i="25" s="1"/>
  <c r="AL17" i="17"/>
  <c r="AK159" i="3"/>
  <c r="AN147" i="25"/>
  <c r="AD88" i="25"/>
  <c r="AD64" i="25"/>
  <c r="AU35" i="3"/>
  <c r="BA167" i="25"/>
  <c r="AO81" i="23"/>
  <c r="AO84" i="23"/>
  <c r="AO88" i="23"/>
  <c r="AO89" i="23" s="1"/>
  <c r="AN68" i="27"/>
  <c r="AN29" i="27"/>
  <c r="AN24" i="27"/>
  <c r="AO93" i="3"/>
  <c r="BE77" i="21"/>
  <c r="BF51" i="21"/>
  <c r="AP32" i="3"/>
  <c r="AO52" i="3"/>
  <c r="AO30" i="3"/>
  <c r="AO88" i="3" s="1"/>
  <c r="BN83" i="25"/>
  <c r="BN97" i="25" s="1"/>
  <c r="BO56" i="25"/>
  <c r="AN86" i="23"/>
  <c r="AN87" i="23" s="1"/>
  <c r="AN82" i="23"/>
  <c r="AO98" i="21"/>
  <c r="AO85" i="21"/>
  <c r="AO24" i="21"/>
  <c r="U87" i="15"/>
  <c r="AE111" i="25"/>
  <c r="AO104" i="21"/>
  <c r="AO91" i="21"/>
  <c r="V93" i="15"/>
  <c r="V81" i="15"/>
  <c r="V86" i="15" s="1"/>
  <c r="V79" i="15"/>
  <c r="V84" i="15" s="1"/>
  <c r="V80" i="15"/>
  <c r="V85" i="15" s="1"/>
  <c r="BN90" i="25"/>
  <c r="BO63" i="25"/>
  <c r="AQ73" i="23"/>
  <c r="AP83" i="23"/>
  <c r="AP48" i="27"/>
  <c r="AO20" i="27"/>
  <c r="AO27" i="3" s="1"/>
  <c r="AO61" i="27"/>
  <c r="BD103" i="21"/>
  <c r="BD90" i="21"/>
  <c r="AN79" i="3"/>
  <c r="AN93" i="17"/>
  <c r="AN50" i="3"/>
  <c r="AN77" i="3" s="1"/>
  <c r="AX60" i="25"/>
  <c r="AW87" i="25"/>
  <c r="AW101" i="25" s="1"/>
  <c r="W91" i="15"/>
  <c r="W57" i="15"/>
  <c r="W92" i="15"/>
  <c r="W90" i="15"/>
  <c r="W67" i="15"/>
  <c r="W76" i="15"/>
  <c r="W78" i="15" s="1"/>
  <c r="BF55" i="25"/>
  <c r="V78" i="17"/>
  <c r="V80" i="17" s="1"/>
  <c r="AN62" i="3"/>
  <c r="AN88" i="17"/>
  <c r="AQ65" i="21"/>
  <c r="AP78" i="21"/>
  <c r="AE113" i="25" l="1"/>
  <c r="AQ136" i="21"/>
  <c r="X33" i="17"/>
  <c r="X41" i="17" s="1"/>
  <c r="X214" i="3"/>
  <c r="V33" i="16" s="1"/>
  <c r="X98" i="3"/>
  <c r="X102" i="3"/>
  <c r="V20" i="16"/>
  <c r="V82" i="16" s="1"/>
  <c r="AP196" i="25"/>
  <c r="X98" i="15"/>
  <c r="X107" i="3"/>
  <c r="X108" i="3" s="1"/>
  <c r="X308" i="3" s="1"/>
  <c r="AT29" i="16"/>
  <c r="AT83" i="16" s="1"/>
  <c r="X25" i="17"/>
  <c r="X27" i="17" s="1"/>
  <c r="X40" i="17" s="1"/>
  <c r="AT45" i="16" s="1"/>
  <c r="X83" i="3"/>
  <c r="X101" i="3"/>
  <c r="X109" i="3" s="1"/>
  <c r="X110" i="3" s="1"/>
  <c r="AG74" i="21"/>
  <c r="AG87" i="21" s="1"/>
  <c r="AH48" i="21"/>
  <c r="AH74" i="21" s="1"/>
  <c r="AI195" i="25"/>
  <c r="AI197" i="25" s="1"/>
  <c r="AI198" i="25" s="1"/>
  <c r="AI199" i="25" s="1"/>
  <c r="AI54" i="25" s="1"/>
  <c r="AR73" i="21"/>
  <c r="AS60" i="21"/>
  <c r="AH68" i="25"/>
  <c r="AH95" i="25"/>
  <c r="AH24" i="25"/>
  <c r="AG35" i="25"/>
  <c r="AG49" i="3"/>
  <c r="AG76" i="3" s="1"/>
  <c r="AQ168" i="25"/>
  <c r="AQ196" i="25" s="1"/>
  <c r="AP179" i="25"/>
  <c r="AP203" i="25"/>
  <c r="AP204" i="25" s="1"/>
  <c r="AP184" i="25"/>
  <c r="AQ26" i="21"/>
  <c r="AQ86" i="21"/>
  <c r="D47" i="21" s="1"/>
  <c r="AQ99" i="21"/>
  <c r="AI164" i="25"/>
  <c r="AJ159" i="25" s="1"/>
  <c r="AJ162" i="25" s="1"/>
  <c r="AS20" i="17"/>
  <c r="AT17" i="21"/>
  <c r="BM62" i="27"/>
  <c r="BM19" i="27"/>
  <c r="BM26" i="3" s="1"/>
  <c r="BN49" i="27"/>
  <c r="AQ134" i="21"/>
  <c r="BL30" i="27"/>
  <c r="BL56" i="27"/>
  <c r="BT36" i="23"/>
  <c r="BS47" i="23"/>
  <c r="BS53" i="23" s="1"/>
  <c r="AM64" i="3"/>
  <c r="AM90" i="17"/>
  <c r="AR336" i="3"/>
  <c r="AS289" i="3"/>
  <c r="AS125" i="21"/>
  <c r="AR135" i="21"/>
  <c r="AR133" i="21" s="1"/>
  <c r="AR138" i="21" s="1"/>
  <c r="AR139" i="21" s="1"/>
  <c r="AP9" i="17"/>
  <c r="AQ272" i="3"/>
  <c r="AP37" i="3"/>
  <c r="AO34" i="3"/>
  <c r="AO89" i="3" s="1"/>
  <c r="AO81" i="3"/>
  <c r="AM85" i="25"/>
  <c r="AN58" i="25"/>
  <c r="AP59" i="25"/>
  <c r="AO86" i="25"/>
  <c r="AU89" i="27"/>
  <c r="AT99" i="27"/>
  <c r="AT97" i="27" s="1"/>
  <c r="AR68" i="23"/>
  <c r="AQ102" i="23"/>
  <c r="AQ103" i="23" s="1"/>
  <c r="AQ79" i="23"/>
  <c r="AL99" i="25"/>
  <c r="AL29" i="25"/>
  <c r="AN100" i="25"/>
  <c r="AN73" i="25"/>
  <c r="AN30" i="25"/>
  <c r="AO335" i="3"/>
  <c r="AP288" i="3"/>
  <c r="AO125" i="25"/>
  <c r="AN134" i="25"/>
  <c r="AB36" i="25"/>
  <c r="AB32" i="25"/>
  <c r="AB92" i="25"/>
  <c r="CJ26" i="23"/>
  <c r="CJ50" i="23"/>
  <c r="CJ45" i="3"/>
  <c r="CJ72" i="3" s="1"/>
  <c r="CK55" i="23"/>
  <c r="CK20" i="23"/>
  <c r="AO170" i="25"/>
  <c r="AN188" i="25"/>
  <c r="AK185" i="3"/>
  <c r="AK192" i="3" s="1"/>
  <c r="AI110" i="27"/>
  <c r="AI76" i="27"/>
  <c r="AI109" i="27"/>
  <c r="AI108" i="27"/>
  <c r="AJ71" i="21"/>
  <c r="AN65" i="3"/>
  <c r="AN91" i="17"/>
  <c r="AM175" i="25"/>
  <c r="AL181" i="25"/>
  <c r="BN53" i="21"/>
  <c r="BM79" i="21"/>
  <c r="BM92" i="21" s="1"/>
  <c r="X12" i="16"/>
  <c r="X81" i="16"/>
  <c r="AR131" i="21"/>
  <c r="AS119" i="21"/>
  <c r="AR155" i="21"/>
  <c r="AR156" i="21" s="1"/>
  <c r="AR136" i="21"/>
  <c r="AR134" i="21"/>
  <c r="BO98" i="21"/>
  <c r="BO24" i="21"/>
  <c r="BO85" i="21"/>
  <c r="AP31" i="3"/>
  <c r="AP51" i="3" s="1"/>
  <c r="AS256" i="3"/>
  <c r="CJ72" i="21"/>
  <c r="CK46" i="21"/>
  <c r="AS183" i="25"/>
  <c r="AT174" i="25"/>
  <c r="AQ89" i="21"/>
  <c r="AR102" i="21"/>
  <c r="AQ102" i="21"/>
  <c r="AL137" i="25"/>
  <c r="AL138" i="25" s="1"/>
  <c r="AL133" i="25"/>
  <c r="AQ56" i="25"/>
  <c r="AP83" i="25"/>
  <c r="CL54" i="23"/>
  <c r="CL23" i="23"/>
  <c r="CL49" i="23"/>
  <c r="AV172" i="25"/>
  <c r="AU178" i="25"/>
  <c r="AM209" i="25"/>
  <c r="AL210" i="25"/>
  <c r="AR221" i="25"/>
  <c r="AQ222" i="25"/>
  <c r="AK112" i="21"/>
  <c r="AK145" i="21"/>
  <c r="AK146" i="21"/>
  <c r="AK144" i="21"/>
  <c r="Y86" i="17"/>
  <c r="Y82" i="3"/>
  <c r="AU62" i="16" s="1"/>
  <c r="CT58" i="3"/>
  <c r="Y59" i="3"/>
  <c r="Y97" i="3"/>
  <c r="Y95" i="17"/>
  <c r="BN88" i="17"/>
  <c r="BN62" i="3"/>
  <c r="AO141" i="21"/>
  <c r="AH114" i="27"/>
  <c r="AE115" i="25"/>
  <c r="AO147" i="25"/>
  <c r="CH62" i="3"/>
  <c r="CH88" i="17"/>
  <c r="AO27" i="21"/>
  <c r="AM132" i="25"/>
  <c r="AM139" i="25"/>
  <c r="AM140" i="25" s="1"/>
  <c r="AM135" i="25"/>
  <c r="AB75" i="3"/>
  <c r="AR259" i="3"/>
  <c r="AQ321" i="3"/>
  <c r="Z56" i="3"/>
  <c r="Z94" i="17"/>
  <c r="X19" i="16"/>
  <c r="AM189" i="25"/>
  <c r="AK193" i="3"/>
  <c r="AJ247" i="3"/>
  <c r="AJ248" i="3" s="1"/>
  <c r="AJ194" i="3"/>
  <c r="AF36" i="27"/>
  <c r="AF64" i="27"/>
  <c r="AF32" i="27"/>
  <c r="AK113" i="21"/>
  <c r="AK182" i="25"/>
  <c r="AK186" i="25"/>
  <c r="AK187" i="25" s="1"/>
  <c r="AN37" i="23"/>
  <c r="AM48" i="23"/>
  <c r="AM54" i="23" s="1"/>
  <c r="AQ66" i="21"/>
  <c r="AP79" i="21"/>
  <c r="AP92" i="21" s="1"/>
  <c r="AR67" i="23"/>
  <c r="AQ72" i="23"/>
  <c r="BQ46" i="21"/>
  <c r="BP72" i="21"/>
  <c r="AN78" i="3"/>
  <c r="AN92" i="17"/>
  <c r="AP208" i="25"/>
  <c r="AJ65" i="3"/>
  <c r="AJ91" i="17"/>
  <c r="AI230" i="3"/>
  <c r="AI64" i="15"/>
  <c r="CI24" i="21"/>
  <c r="CI85" i="21"/>
  <c r="CI98" i="21"/>
  <c r="AP102" i="21"/>
  <c r="AP27" i="21"/>
  <c r="AP89" i="21"/>
  <c r="AE173" i="3"/>
  <c r="AE340" i="3" s="1"/>
  <c r="AF167" i="3"/>
  <c r="AE106" i="15"/>
  <c r="AE171" i="3"/>
  <c r="AO31" i="25"/>
  <c r="AO97" i="25"/>
  <c r="AR162" i="21"/>
  <c r="AS160" i="21"/>
  <c r="AA54" i="3"/>
  <c r="AA94" i="17" s="1"/>
  <c r="AA86" i="17" s="1"/>
  <c r="AA70" i="3"/>
  <c r="AA66" i="3"/>
  <c r="CL25" i="3"/>
  <c r="CL39" i="23"/>
  <c r="CN37" i="23"/>
  <c r="CM19" i="23"/>
  <c r="CM38" i="23"/>
  <c r="CM48" i="23"/>
  <c r="AR216" i="25"/>
  <c r="AS214" i="25"/>
  <c r="AK111" i="21"/>
  <c r="AQ271" i="3"/>
  <c r="AP276" i="3"/>
  <c r="AP319" i="3"/>
  <c r="AI77" i="27"/>
  <c r="AR149" i="21"/>
  <c r="AS149" i="21" s="1"/>
  <c r="AR57" i="25"/>
  <c r="AQ84" i="25"/>
  <c r="AQ98" i="25" s="1"/>
  <c r="AO100" i="27"/>
  <c r="AP83" i="27"/>
  <c r="AO84" i="27"/>
  <c r="AO120" i="27"/>
  <c r="AO121" i="27" s="1"/>
  <c r="AO98" i="27"/>
  <c r="AP123" i="21"/>
  <c r="AQ129" i="21"/>
  <c r="AP140" i="21"/>
  <c r="BH44" i="23"/>
  <c r="BI43" i="23"/>
  <c r="AI91" i="17"/>
  <c r="AI65" i="3"/>
  <c r="AI97" i="21"/>
  <c r="AI84" i="21"/>
  <c r="AI23" i="21"/>
  <c r="AI58" i="21"/>
  <c r="AG19" i="27"/>
  <c r="AG50" i="27"/>
  <c r="AG60" i="27"/>
  <c r="AH211" i="3"/>
  <c r="AH304" i="3"/>
  <c r="AL44" i="23"/>
  <c r="AM42" i="23"/>
  <c r="AG322" i="3"/>
  <c r="AG323" i="3" s="1"/>
  <c r="AG309" i="3"/>
  <c r="Y108" i="25"/>
  <c r="Y57" i="23"/>
  <c r="Y7" i="3"/>
  <c r="Z6" i="3"/>
  <c r="Y72" i="27"/>
  <c r="BE69" i="25"/>
  <c r="BD82" i="25"/>
  <c r="BD96" i="25" s="1"/>
  <c r="AI55" i="23"/>
  <c r="AI20" i="23"/>
  <c r="AS62" i="27"/>
  <c r="AS19" i="27"/>
  <c r="AS26" i="3" s="1"/>
  <c r="BI84" i="21"/>
  <c r="BI97" i="21"/>
  <c r="BI23" i="21"/>
  <c r="AH265" i="3"/>
  <c r="AJ39" i="23"/>
  <c r="AJ25" i="3"/>
  <c r="AR30" i="27"/>
  <c r="AR56" i="27"/>
  <c r="AH104" i="3"/>
  <c r="BJ71" i="21"/>
  <c r="BK45" i="21"/>
  <c r="AH50" i="23"/>
  <c r="AH26" i="23"/>
  <c r="AH45" i="3"/>
  <c r="AH72" i="3" s="1"/>
  <c r="AJ49" i="23"/>
  <c r="AJ23" i="23"/>
  <c r="AJ53" i="23"/>
  <c r="BW42" i="23"/>
  <c r="BV44" i="23"/>
  <c r="AK38" i="23"/>
  <c r="AL36" i="23"/>
  <c r="AK19" i="23"/>
  <c r="AK47" i="23"/>
  <c r="AR38" i="3"/>
  <c r="AU53" i="21"/>
  <c r="BK63" i="21"/>
  <c r="BJ76" i="21"/>
  <c r="BL82" i="27"/>
  <c r="BI8" i="43"/>
  <c r="AB69" i="26"/>
  <c r="AB62" i="26"/>
  <c r="CO44" i="23"/>
  <c r="CP43" i="23"/>
  <c r="V87" i="15"/>
  <c r="BM50" i="21"/>
  <c r="AV167" i="21"/>
  <c r="AU168" i="21"/>
  <c r="AO87" i="27"/>
  <c r="AP94" i="27"/>
  <c r="AO95" i="27"/>
  <c r="AO102" i="27"/>
  <c r="AO103" i="27" s="1"/>
  <c r="BI27" i="21"/>
  <c r="BI102" i="21"/>
  <c r="BI89" i="21"/>
  <c r="AN104" i="27"/>
  <c r="AN105" i="27" s="1"/>
  <c r="AO93" i="27"/>
  <c r="W79" i="15"/>
  <c r="W84" i="15" s="1"/>
  <c r="W80" i="15"/>
  <c r="W85" i="15" s="1"/>
  <c r="W81" i="15"/>
  <c r="W86" i="15" s="1"/>
  <c r="AO62" i="3"/>
  <c r="AO88" i="17"/>
  <c r="BP56" i="25"/>
  <c r="BO83" i="25"/>
  <c r="BO97" i="25" s="1"/>
  <c r="BE103" i="21"/>
  <c r="BE90" i="21"/>
  <c r="AP93" i="3"/>
  <c r="AO82" i="23"/>
  <c r="AO86" i="23"/>
  <c r="AO87" i="23" s="1"/>
  <c r="AM17" i="17"/>
  <c r="AL159" i="3"/>
  <c r="AP24" i="21"/>
  <c r="AP85" i="21"/>
  <c r="AP98" i="21"/>
  <c r="AF110" i="25"/>
  <c r="AF111" i="25" s="1"/>
  <c r="AE143" i="25"/>
  <c r="AO79" i="3"/>
  <c r="AO93" i="17"/>
  <c r="AO50" i="3"/>
  <c r="AO77" i="3" s="1"/>
  <c r="AV35" i="3"/>
  <c r="AD28" i="3"/>
  <c r="AD21" i="25"/>
  <c r="AD65" i="25" s="1"/>
  <c r="W78" i="17"/>
  <c r="W80" i="17" s="1"/>
  <c r="AV220" i="25"/>
  <c r="AP119" i="25"/>
  <c r="AP147" i="25" s="1"/>
  <c r="AO130" i="25"/>
  <c r="AO154" i="25"/>
  <c r="AO155" i="25" s="1"/>
  <c r="BP57" i="25"/>
  <c r="AP91" i="21"/>
  <c r="AP104" i="21"/>
  <c r="W93" i="15"/>
  <c r="AX87" i="25"/>
  <c r="AX101" i="25" s="1"/>
  <c r="AY60" i="25"/>
  <c r="AP81" i="23"/>
  <c r="AP84" i="23"/>
  <c r="AP88" i="23"/>
  <c r="AP89" i="23" s="1"/>
  <c r="BO90" i="25"/>
  <c r="BP63" i="25"/>
  <c r="AE146" i="25"/>
  <c r="AQ32" i="3"/>
  <c r="AP52" i="3"/>
  <c r="AP30" i="3"/>
  <c r="AP88" i="3" s="1"/>
  <c r="BB167" i="25"/>
  <c r="AD102" i="25"/>
  <c r="AD75" i="25"/>
  <c r="AD78" i="25" s="1"/>
  <c r="AD27" i="25"/>
  <c r="AD23" i="25"/>
  <c r="AD91" i="25"/>
  <c r="AD105" i="25" s="1"/>
  <c r="AC34" i="25"/>
  <c r="AC48" i="3"/>
  <c r="AC25" i="25"/>
  <c r="X57" i="17"/>
  <c r="X69" i="17"/>
  <c r="X67" i="17"/>
  <c r="X76" i="17"/>
  <c r="X58" i="17"/>
  <c r="X52" i="17"/>
  <c r="X71" i="17"/>
  <c r="X61" i="17"/>
  <c r="X59" i="17"/>
  <c r="X62" i="17"/>
  <c r="X66" i="17"/>
  <c r="X55" i="17"/>
  <c r="X73" i="17"/>
  <c r="X63" i="17"/>
  <c r="X53" i="17"/>
  <c r="X60" i="17"/>
  <c r="X70" i="17"/>
  <c r="X74" i="17"/>
  <c r="X72" i="17"/>
  <c r="X65" i="17"/>
  <c r="X77" i="17"/>
  <c r="X75" i="17"/>
  <c r="X68" i="17"/>
  <c r="X56" i="17"/>
  <c r="X64" i="17"/>
  <c r="X54" i="17"/>
  <c r="X57" i="15"/>
  <c r="BC166" i="21"/>
  <c r="AW78" i="23"/>
  <c r="AO29" i="27"/>
  <c r="AO24" i="27"/>
  <c r="AO68" i="27"/>
  <c r="AR65" i="21"/>
  <c r="AQ78" i="21"/>
  <c r="BG55" i="25"/>
  <c r="AP20" i="27"/>
  <c r="AP27" i="3" s="1"/>
  <c r="AP61" i="27"/>
  <c r="AQ48" i="27"/>
  <c r="AR73" i="23"/>
  <c r="AQ83" i="23"/>
  <c r="BF77" i="21"/>
  <c r="BG51" i="21"/>
  <c r="AN47" i="3"/>
  <c r="AN74" i="3" s="1"/>
  <c r="AN35" i="27"/>
  <c r="AC61" i="3"/>
  <c r="AC87" i="17"/>
  <c r="AR46" i="21"/>
  <c r="AQ72" i="21"/>
  <c r="Y3" i="15"/>
  <c r="Y4" i="15" s="1"/>
  <c r="Y22" i="17"/>
  <c r="Y54" i="15"/>
  <c r="Y56" i="15" s="1"/>
  <c r="Y29" i="17"/>
  <c r="Y19" i="21"/>
  <c r="Y212" i="25"/>
  <c r="Y5" i="25"/>
  <c r="Y17" i="23"/>
  <c r="Y253" i="3"/>
  <c r="Y164" i="3"/>
  <c r="Y68" i="3"/>
  <c r="Z3" i="3"/>
  <c r="Y218" i="25"/>
  <c r="Y6" i="17"/>
  <c r="Y83" i="17"/>
  <c r="Y69" i="15"/>
  <c r="Y157" i="25"/>
  <c r="Y5" i="21"/>
  <c r="Y5" i="23"/>
  <c r="Y329" i="3"/>
  <c r="Y208" i="3"/>
  <c r="Y85" i="3"/>
  <c r="Y21" i="3"/>
  <c r="Y41" i="3"/>
  <c r="Y49" i="17"/>
  <c r="Y206" i="25"/>
  <c r="Y6" i="15"/>
  <c r="Y164" i="21"/>
  <c r="Y17" i="27"/>
  <c r="Y17" i="25"/>
  <c r="Y3" i="25"/>
  <c r="Y3" i="21"/>
  <c r="Y313" i="3"/>
  <c r="Y200" i="3"/>
  <c r="Y153" i="3"/>
  <c r="Y9" i="3"/>
  <c r="Y37" i="17"/>
  <c r="Y95" i="15"/>
  <c r="Y21" i="15"/>
  <c r="Y3" i="17"/>
  <c r="Y4" i="17" s="1"/>
  <c r="Y108" i="21"/>
  <c r="Y3" i="27"/>
  <c r="Y158" i="21"/>
  <c r="Y5" i="27"/>
  <c r="Y300" i="3"/>
  <c r="Y182" i="3"/>
  <c r="Y145" i="3"/>
  <c r="AX74" i="23"/>
  <c r="AX89" i="25"/>
  <c r="AX103" i="25" s="1"/>
  <c r="AY62" i="25"/>
  <c r="AK115" i="21" l="1"/>
  <c r="AL110" i="21" s="1"/>
  <c r="AK147" i="21"/>
  <c r="AT47" i="16"/>
  <c r="AT44" i="16"/>
  <c r="DQ214" i="3"/>
  <c r="V18" i="16"/>
  <c r="V25" i="16"/>
  <c r="AT48" i="16"/>
  <c r="AT28" i="16"/>
  <c r="X32" i="17"/>
  <c r="CS109" i="3"/>
  <c r="X315" i="3"/>
  <c r="X317" i="3" s="1"/>
  <c r="X326" i="3" s="1"/>
  <c r="X114" i="3"/>
  <c r="X118" i="3" s="1"/>
  <c r="V26" i="16" s="1"/>
  <c r="X39" i="17"/>
  <c r="AT43" i="16" s="1"/>
  <c r="X60" i="15"/>
  <c r="X116" i="3"/>
  <c r="X117" i="3" s="1"/>
  <c r="X215" i="3" s="1"/>
  <c r="X216" i="3" s="1"/>
  <c r="AG100" i="21"/>
  <c r="AI48" i="21"/>
  <c r="AJ48" i="21" s="1"/>
  <c r="AO65" i="3"/>
  <c r="AH100" i="21"/>
  <c r="AH87" i="21"/>
  <c r="AI79" i="27"/>
  <c r="AJ74" i="27" s="1"/>
  <c r="AJ109" i="27" s="1"/>
  <c r="AA56" i="3"/>
  <c r="AA82" i="3" s="1"/>
  <c r="AH49" i="3"/>
  <c r="AH76" i="3" s="1"/>
  <c r="AH35" i="25"/>
  <c r="AR26" i="21"/>
  <c r="AR99" i="21"/>
  <c r="AR86" i="21"/>
  <c r="AJ193" i="25"/>
  <c r="AJ161" i="25"/>
  <c r="AJ195" i="25" s="1"/>
  <c r="AJ194" i="25"/>
  <c r="AJ192" i="25"/>
  <c r="AI20" i="25"/>
  <c r="AI29" i="3" s="1"/>
  <c r="AI81" i="25"/>
  <c r="AJ160" i="25"/>
  <c r="AR168" i="25"/>
  <c r="AQ203" i="25"/>
  <c r="AQ204" i="25" s="1"/>
  <c r="AQ179" i="25"/>
  <c r="AQ184" i="25"/>
  <c r="AS73" i="21"/>
  <c r="AT60" i="21"/>
  <c r="AT20" i="17"/>
  <c r="AU17" i="21"/>
  <c r="BN62" i="27"/>
  <c r="BO49" i="27"/>
  <c r="BN19" i="27"/>
  <c r="BN26" i="3" s="1"/>
  <c r="BM30" i="27"/>
  <c r="BM56" i="27"/>
  <c r="AR102" i="23"/>
  <c r="AR103" i="23" s="1"/>
  <c r="AS68" i="23"/>
  <c r="AR79" i="23"/>
  <c r="AU99" i="27"/>
  <c r="AU97" i="27" s="1"/>
  <c r="AV89" i="27"/>
  <c r="AQ59" i="25"/>
  <c r="AP86" i="25"/>
  <c r="AM99" i="25"/>
  <c r="AM29" i="25"/>
  <c r="AR272" i="3"/>
  <c r="AQ9" i="17"/>
  <c r="AT289" i="3"/>
  <c r="AS336" i="3"/>
  <c r="AP335" i="3"/>
  <c r="AQ288" i="3"/>
  <c r="AN64" i="3"/>
  <c r="AN90" i="17"/>
  <c r="AO100" i="25"/>
  <c r="AO30" i="25"/>
  <c r="AO73" i="25"/>
  <c r="AN85" i="25"/>
  <c r="AO58" i="25"/>
  <c r="AQ37" i="3"/>
  <c r="AP81" i="3"/>
  <c r="AP34" i="3"/>
  <c r="AP89" i="3" s="1"/>
  <c r="AT125" i="21"/>
  <c r="AS135" i="21"/>
  <c r="AS133" i="21" s="1"/>
  <c r="AS138" i="21" s="1"/>
  <c r="AS139" i="21" s="1"/>
  <c r="BT19" i="23"/>
  <c r="BU36" i="23"/>
  <c r="BT38" i="23"/>
  <c r="BT47" i="23"/>
  <c r="AG23" i="27"/>
  <c r="AG54" i="27"/>
  <c r="AG57" i="27" s="1"/>
  <c r="AG27" i="27"/>
  <c r="AG67" i="27"/>
  <c r="AG63" i="27"/>
  <c r="AG70" i="27" s="1"/>
  <c r="AG21" i="27"/>
  <c r="AG51" i="27" s="1"/>
  <c r="AG26" i="3"/>
  <c r="BI44" i="23"/>
  <c r="BJ43" i="23"/>
  <c r="AP141" i="21"/>
  <c r="AP100" i="27"/>
  <c r="AP120" i="27"/>
  <c r="AP121" i="27" s="1"/>
  <c r="AQ83" i="27"/>
  <c r="AP84" i="27"/>
  <c r="AP98" i="27"/>
  <c r="AR271" i="3"/>
  <c r="AQ276" i="3"/>
  <c r="AQ319" i="3"/>
  <c r="AT214" i="25"/>
  <c r="AS216" i="25"/>
  <c r="CM49" i="23"/>
  <c r="CM54" i="23"/>
  <c r="CM23" i="23"/>
  <c r="CM39" i="23"/>
  <c r="CM25" i="3"/>
  <c r="AT160" i="21"/>
  <c r="AS162" i="21"/>
  <c r="Y307" i="3"/>
  <c r="CI62" i="3"/>
  <c r="CI88" i="17"/>
  <c r="AQ208" i="25"/>
  <c r="BQ72" i="21"/>
  <c r="BR46" i="21"/>
  <c r="AS67" i="23"/>
  <c r="AR72" i="23"/>
  <c r="AR66" i="21"/>
  <c r="AQ79" i="21"/>
  <c r="AO37" i="23"/>
  <c r="AN48" i="23"/>
  <c r="AN54" i="23" s="1"/>
  <c r="Z97" i="3"/>
  <c r="Z59" i="3"/>
  <c r="Z82" i="3"/>
  <c r="AV62" i="16" s="1"/>
  <c r="AR321" i="3"/>
  <c r="AS259" i="3"/>
  <c r="AO91" i="17"/>
  <c r="Y101" i="3"/>
  <c r="Y109" i="3" s="1"/>
  <c r="Y110" i="3" s="1"/>
  <c r="Y83" i="3"/>
  <c r="Y104" i="17"/>
  <c r="Y102" i="17"/>
  <c r="Y105" i="17"/>
  <c r="Y103" i="17"/>
  <c r="Y98" i="17"/>
  <c r="Y100" i="17"/>
  <c r="Y101" i="17"/>
  <c r="Y99" i="17"/>
  <c r="AL113" i="21"/>
  <c r="AL112" i="21"/>
  <c r="AL146" i="21"/>
  <c r="AL145" i="21"/>
  <c r="AL144" i="21"/>
  <c r="CL20" i="23"/>
  <c r="CL55" i="23"/>
  <c r="AQ83" i="25"/>
  <c r="AR56" i="25"/>
  <c r="CJ24" i="21"/>
  <c r="CJ98" i="21"/>
  <c r="CJ85" i="21"/>
  <c r="AT256" i="3"/>
  <c r="AO78" i="3"/>
  <c r="AO92" i="17"/>
  <c r="BO53" i="21"/>
  <c r="BN79" i="21"/>
  <c r="BN92" i="21" s="1"/>
  <c r="AM181" i="25"/>
  <c r="AN175" i="25"/>
  <c r="AJ76" i="27"/>
  <c r="AK194" i="3"/>
  <c r="AK247" i="3"/>
  <c r="AK248" i="3" s="1"/>
  <c r="AN189" i="25"/>
  <c r="CK50" i="23"/>
  <c r="CK45" i="3"/>
  <c r="CK72" i="3" s="1"/>
  <c r="CK26" i="23"/>
  <c r="AN139" i="25"/>
  <c r="AN140" i="25" s="1"/>
  <c r="AN132" i="25"/>
  <c r="AN135" i="25"/>
  <c r="AQ140" i="21"/>
  <c r="AQ123" i="21"/>
  <c r="AR129" i="21"/>
  <c r="AS57" i="25"/>
  <c r="AR84" i="25"/>
  <c r="AR98" i="25" s="1"/>
  <c r="AI111" i="27"/>
  <c r="AI114" i="27" s="1"/>
  <c r="AL111" i="21"/>
  <c r="CO37" i="23"/>
  <c r="CN38" i="23"/>
  <c r="CN19" i="23"/>
  <c r="CN48" i="23"/>
  <c r="AA106" i="17"/>
  <c r="AA104" i="17"/>
  <c r="AA100" i="17"/>
  <c r="AA101" i="17"/>
  <c r="AA99" i="17"/>
  <c r="AA98" i="17"/>
  <c r="AA102" i="17"/>
  <c r="AA105" i="17"/>
  <c r="AA103" i="17"/>
  <c r="AE172" i="3"/>
  <c r="AE105" i="15" s="1"/>
  <c r="AE104" i="15"/>
  <c r="AF177" i="3"/>
  <c r="BP98" i="21"/>
  <c r="BP85" i="21"/>
  <c r="BP24" i="21"/>
  <c r="AK150" i="21"/>
  <c r="AK151" i="21" s="1"/>
  <c r="AK45" i="21" s="1"/>
  <c r="AJ223" i="3"/>
  <c r="AJ198" i="3"/>
  <c r="AK246" i="3"/>
  <c r="AL193" i="3"/>
  <c r="Z95" i="17"/>
  <c r="Z86" i="17"/>
  <c r="AM137" i="25"/>
  <c r="AM138" i="25" s="1"/>
  <c r="AM133" i="25"/>
  <c r="Y33" i="17"/>
  <c r="Y95" i="3"/>
  <c r="Y96" i="3" s="1"/>
  <c r="Y107" i="3"/>
  <c r="Y98" i="15"/>
  <c r="Y98" i="3"/>
  <c r="Y25" i="17"/>
  <c r="Y27" i="17" s="1"/>
  <c r="Y39" i="17" s="1"/>
  <c r="AU43" i="16" s="1"/>
  <c r="W20" i="16"/>
  <c r="AU29" i="16"/>
  <c r="AU83" i="16" s="1"/>
  <c r="Y214" i="3"/>
  <c r="W33" i="16" s="1"/>
  <c r="Y102" i="3"/>
  <c r="Y106" i="17"/>
  <c r="AS221" i="25"/>
  <c r="AR222" i="25"/>
  <c r="AN209" i="25"/>
  <c r="AM210" i="25"/>
  <c r="AW172" i="25"/>
  <c r="AV178" i="25"/>
  <c r="AP97" i="25"/>
  <c r="AP31" i="25"/>
  <c r="AP65" i="3" s="1"/>
  <c r="AT183" i="25"/>
  <c r="AU174" i="25"/>
  <c r="CL46" i="21"/>
  <c r="CK72" i="21"/>
  <c r="AP112" i="27"/>
  <c r="AQ31" i="3"/>
  <c r="BO88" i="17"/>
  <c r="BO62" i="3"/>
  <c r="AT119" i="21"/>
  <c r="AS155" i="21"/>
  <c r="AS156" i="21" s="1"/>
  <c r="AS131" i="21"/>
  <c r="AS136" i="21"/>
  <c r="AL182" i="25"/>
  <c r="AL186" i="25"/>
  <c r="AL187" i="25" s="1"/>
  <c r="AJ84" i="21"/>
  <c r="AJ58" i="21"/>
  <c r="AJ97" i="21"/>
  <c r="AJ23" i="21"/>
  <c r="AO188" i="25"/>
  <c r="AP170" i="25"/>
  <c r="AP125" i="25"/>
  <c r="AO134" i="25"/>
  <c r="AH115" i="27"/>
  <c r="AH116" i="27" s="1"/>
  <c r="AH47" i="27" s="1"/>
  <c r="BJ84" i="21"/>
  <c r="BJ23" i="21"/>
  <c r="BJ97" i="21"/>
  <c r="AS56" i="27"/>
  <c r="AS30" i="27"/>
  <c r="AH63" i="15"/>
  <c r="AH212" i="3"/>
  <c r="AN42" i="23"/>
  <c r="AM44" i="23"/>
  <c r="AK39" i="23"/>
  <c r="AK25" i="3"/>
  <c r="AI103" i="3"/>
  <c r="AI104" i="3" s="1"/>
  <c r="AH305" i="3"/>
  <c r="AH303" i="3" s="1"/>
  <c r="AH320" i="3"/>
  <c r="AI50" i="23"/>
  <c r="AI26" i="23"/>
  <c r="AI45" i="3"/>
  <c r="AI72" i="3" s="1"/>
  <c r="AH267" i="3"/>
  <c r="AH105" i="3"/>
  <c r="AK49" i="23"/>
  <c r="AK23" i="23"/>
  <c r="AK53" i="23"/>
  <c r="BF69" i="25"/>
  <c r="BE82" i="25"/>
  <c r="BE96" i="25" s="1"/>
  <c r="AM36" i="23"/>
  <c r="AL47" i="23"/>
  <c r="AL19" i="23"/>
  <c r="AL38" i="23"/>
  <c r="BW44" i="23"/>
  <c r="BX42" i="23"/>
  <c r="AJ55" i="23"/>
  <c r="AJ20" i="23"/>
  <c r="BK71" i="21"/>
  <c r="BL45" i="21"/>
  <c r="Z57" i="23"/>
  <c r="Z108" i="25"/>
  <c r="AA6" i="3"/>
  <c r="Z7" i="3"/>
  <c r="Z72" i="27"/>
  <c r="AS38" i="3"/>
  <c r="BJ8" i="43"/>
  <c r="BK8" i="43" s="1"/>
  <c r="AB63" i="26"/>
  <c r="AB76" i="26"/>
  <c r="AV53" i="21"/>
  <c r="AQ94" i="27"/>
  <c r="AP87" i="27"/>
  <c r="AP95" i="27"/>
  <c r="AP102" i="27"/>
  <c r="AP103" i="27" s="1"/>
  <c r="BN50" i="21"/>
  <c r="BM82" i="27"/>
  <c r="BJ89" i="21"/>
  <c r="BJ27" i="21"/>
  <c r="BJ102" i="21"/>
  <c r="AW167" i="21"/>
  <c r="AV168" i="21"/>
  <c r="AP93" i="27"/>
  <c r="AO104" i="27"/>
  <c r="AO105" i="27" s="1"/>
  <c r="CP44" i="23"/>
  <c r="BL63" i="21"/>
  <c r="BK76" i="21"/>
  <c r="Y65" i="17"/>
  <c r="Y60" i="17"/>
  <c r="Y61" i="17"/>
  <c r="Y58" i="17"/>
  <c r="Y52" i="17"/>
  <c r="Y53" i="17"/>
  <c r="Y77" i="17"/>
  <c r="Y70" i="17"/>
  <c r="Y59" i="17"/>
  <c r="Y73" i="17"/>
  <c r="Y68" i="17"/>
  <c r="Y69" i="17"/>
  <c r="Y63" i="17"/>
  <c r="Y54" i="17"/>
  <c r="Y62" i="17"/>
  <c r="Y75" i="17"/>
  <c r="Y74" i="17"/>
  <c r="Y55" i="17"/>
  <c r="Y72" i="17"/>
  <c r="Y71" i="17"/>
  <c r="Y56" i="17"/>
  <c r="Y76" i="17"/>
  <c r="Y57" i="17"/>
  <c r="Y66" i="17"/>
  <c r="Y67" i="17"/>
  <c r="Y64" i="17"/>
  <c r="BG77" i="21"/>
  <c r="BH51" i="21"/>
  <c r="AS73" i="23"/>
  <c r="AR83" i="23"/>
  <c r="AP24" i="27"/>
  <c r="AP68" i="27"/>
  <c r="AP29" i="27"/>
  <c r="BH55" i="25"/>
  <c r="BC167" i="25"/>
  <c r="BP90" i="25"/>
  <c r="BQ63" i="25"/>
  <c r="BQ57" i="25"/>
  <c r="AP154" i="25"/>
  <c r="AP155" i="25" s="1"/>
  <c r="AQ119" i="25"/>
  <c r="AP130" i="25"/>
  <c r="AE149" i="25"/>
  <c r="AE150" i="25" s="1"/>
  <c r="AE61" i="25" s="1"/>
  <c r="BQ56" i="25"/>
  <c r="BP83" i="25"/>
  <c r="BP97" i="25" s="1"/>
  <c r="AQ104" i="21"/>
  <c r="AQ91" i="21"/>
  <c r="D52" i="21" s="1"/>
  <c r="AR52" i="21" s="1"/>
  <c r="AX78" i="23"/>
  <c r="AC32" i="25"/>
  <c r="AC92" i="25"/>
  <c r="AC36" i="25"/>
  <c r="AD34" i="25"/>
  <c r="AD25" i="25"/>
  <c r="AD48" i="3"/>
  <c r="AP82" i="23"/>
  <c r="AP86" i="23"/>
  <c r="AP87" i="23" s="1"/>
  <c r="AF112" i="25"/>
  <c r="AP62" i="3"/>
  <c r="AP88" i="17"/>
  <c r="AN17" i="17"/>
  <c r="AM159" i="3"/>
  <c r="BF103" i="21"/>
  <c r="BF90" i="21"/>
  <c r="AZ62" i="25"/>
  <c r="AY89" i="25"/>
  <c r="AY103" i="25" s="1"/>
  <c r="AY74" i="23"/>
  <c r="Z54" i="15"/>
  <c r="Z56" i="15" s="1"/>
  <c r="Z29" i="17"/>
  <c r="Z212" i="25"/>
  <c r="Z37" i="17"/>
  <c r="Z6" i="15"/>
  <c r="Z5" i="27"/>
  <c r="Z3" i="27"/>
  <c r="Z5" i="23"/>
  <c r="Z329" i="3"/>
  <c r="Z182" i="3"/>
  <c r="Z153" i="3"/>
  <c r="Z9" i="3"/>
  <c r="Z21" i="3"/>
  <c r="Z6" i="17"/>
  <c r="Z3" i="15"/>
  <c r="Z4" i="15" s="1"/>
  <c r="Z22" i="17"/>
  <c r="Z157" i="25"/>
  <c r="Z17" i="23"/>
  <c r="Z5" i="21"/>
  <c r="Z164" i="21"/>
  <c r="Z3" i="21"/>
  <c r="Z313" i="3"/>
  <c r="Z164" i="3"/>
  <c r="Z145" i="3"/>
  <c r="Z69" i="15"/>
  <c r="Z218" i="25"/>
  <c r="Z17" i="25"/>
  <c r="Z5" i="25"/>
  <c r="Z3" i="25"/>
  <c r="Z108" i="21"/>
  <c r="Z300" i="3"/>
  <c r="Z208" i="3"/>
  <c r="Z85" i="3"/>
  <c r="AA3" i="3"/>
  <c r="Z95" i="15"/>
  <c r="Z21" i="15"/>
  <c r="Z83" i="17"/>
  <c r="Z49" i="17"/>
  <c r="Z206" i="25"/>
  <c r="Z158" i="21"/>
  <c r="Z17" i="27"/>
  <c r="Z3" i="17"/>
  <c r="Z4" i="17" s="1"/>
  <c r="Z19" i="21"/>
  <c r="Z253" i="3"/>
  <c r="Z200" i="3"/>
  <c r="Z41" i="3"/>
  <c r="Z68" i="3"/>
  <c r="AQ98" i="21"/>
  <c r="AQ85" i="21"/>
  <c r="AQ24" i="21"/>
  <c r="AS65" i="21"/>
  <c r="AT65" i="21" s="1"/>
  <c r="AU65" i="21" s="1"/>
  <c r="AV65" i="21" s="1"/>
  <c r="AW65" i="21" s="1"/>
  <c r="AX65" i="21" s="1"/>
  <c r="AY65" i="21" s="1"/>
  <c r="AZ65" i="21" s="1"/>
  <c r="BA65" i="21" s="1"/>
  <c r="BB65" i="21" s="1"/>
  <c r="BC65" i="21" s="1"/>
  <c r="BD65" i="21" s="1"/>
  <c r="BE65" i="21" s="1"/>
  <c r="BF65" i="21" s="1"/>
  <c r="BG65" i="21" s="1"/>
  <c r="BH65" i="21" s="1"/>
  <c r="BI65" i="21" s="1"/>
  <c r="BJ65" i="21" s="1"/>
  <c r="BK65" i="21" s="1"/>
  <c r="BL65" i="21" s="1"/>
  <c r="BM65" i="21" s="1"/>
  <c r="BN65" i="21" s="1"/>
  <c r="BO65" i="21" s="1"/>
  <c r="BP65" i="21" s="1"/>
  <c r="BQ65" i="21" s="1"/>
  <c r="BR65" i="21" s="1"/>
  <c r="BS65" i="21" s="1"/>
  <c r="BT65" i="21" s="1"/>
  <c r="BU65" i="21" s="1"/>
  <c r="BV65" i="21" s="1"/>
  <c r="BW65" i="21" s="1"/>
  <c r="BX65" i="21" s="1"/>
  <c r="BY65" i="21" s="1"/>
  <c r="BZ65" i="21" s="1"/>
  <c r="CA65" i="21" s="1"/>
  <c r="CB65" i="21" s="1"/>
  <c r="CC65" i="21" s="1"/>
  <c r="CD65" i="21" s="1"/>
  <c r="CE65" i="21" s="1"/>
  <c r="CF65" i="21" s="1"/>
  <c r="CG65" i="21" s="1"/>
  <c r="CH65" i="21" s="1"/>
  <c r="CI65" i="21" s="1"/>
  <c r="CJ65" i="21" s="1"/>
  <c r="CK65" i="21" s="1"/>
  <c r="CL65" i="21" s="1"/>
  <c r="CM65" i="21" s="1"/>
  <c r="CN65" i="21" s="1"/>
  <c r="CO65" i="21" s="1"/>
  <c r="BD166" i="21"/>
  <c r="X78" i="17"/>
  <c r="X80" i="17" s="1"/>
  <c r="AC75" i="3"/>
  <c r="AD61" i="3"/>
  <c r="AD87" i="17"/>
  <c r="AP79" i="3"/>
  <c r="AP93" i="17"/>
  <c r="AP50" i="3"/>
  <c r="AP77" i="3" s="1"/>
  <c r="AF113" i="25"/>
  <c r="AW220" i="25"/>
  <c r="AQ93" i="3"/>
  <c r="AO47" i="3"/>
  <c r="AO74" i="3" s="1"/>
  <c r="AO35" i="27"/>
  <c r="Y57" i="15"/>
  <c r="AR72" i="21"/>
  <c r="AS46" i="21"/>
  <c r="AQ81" i="23"/>
  <c r="AQ84" i="23"/>
  <c r="AQ88" i="23"/>
  <c r="AQ89" i="23" s="1"/>
  <c r="AQ20" i="27"/>
  <c r="AQ27" i="3" s="1"/>
  <c r="AQ61" i="27"/>
  <c r="AR48" i="27"/>
  <c r="AQ147" i="25"/>
  <c r="AR32" i="3"/>
  <c r="AQ52" i="3"/>
  <c r="AY87" i="25"/>
  <c r="AY101" i="25" s="1"/>
  <c r="AZ60" i="25"/>
  <c r="AW35" i="3"/>
  <c r="W87" i="15"/>
  <c r="AJ77" i="27" l="1"/>
  <c r="AJ108" i="27"/>
  <c r="AQ30" i="3"/>
  <c r="AQ88" i="3" s="1"/>
  <c r="AQ51" i="3"/>
  <c r="AQ50" i="3" s="1"/>
  <c r="X325" i="3"/>
  <c r="AT46" i="16" s="1"/>
  <c r="V83" i="16"/>
  <c r="CS118" i="3"/>
  <c r="AL115" i="21"/>
  <c r="AM110" i="21" s="1"/>
  <c r="AM111" i="21" s="1"/>
  <c r="AS134" i="21"/>
  <c r="AI74" i="21"/>
  <c r="AI87" i="21" s="1"/>
  <c r="AA97" i="3"/>
  <c r="AA25" i="17" s="1"/>
  <c r="AK48" i="21"/>
  <c r="AJ74" i="21"/>
  <c r="X121" i="3"/>
  <c r="AJ164" i="25"/>
  <c r="AK159" i="25" s="1"/>
  <c r="AK161" i="25" s="1"/>
  <c r="AA59" i="3"/>
  <c r="AA83" i="3" s="1"/>
  <c r="AI304" i="3"/>
  <c r="AJ75" i="27"/>
  <c r="AL185" i="3" s="1"/>
  <c r="AL192" i="3" s="1"/>
  <c r="AL247" i="3" s="1"/>
  <c r="AL248" i="3" s="1"/>
  <c r="AJ110" i="27"/>
  <c r="AA95" i="17"/>
  <c r="AS26" i="21"/>
  <c r="AS99" i="21"/>
  <c r="AS86" i="21"/>
  <c r="AS168" i="25"/>
  <c r="AR203" i="25"/>
  <c r="AR204" i="25" s="1"/>
  <c r="AR179" i="25"/>
  <c r="AR184" i="25"/>
  <c r="AI68" i="25"/>
  <c r="AI24" i="25"/>
  <c r="AI95" i="25"/>
  <c r="AR196" i="25"/>
  <c r="AT73" i="21"/>
  <c r="AU60" i="21"/>
  <c r="AJ197" i="25"/>
  <c r="AJ198" i="25" s="1"/>
  <c r="AJ199" i="25" s="1"/>
  <c r="AJ54" i="25" s="1"/>
  <c r="BP49" i="27"/>
  <c r="BO19" i="27"/>
  <c r="BO26" i="3" s="1"/>
  <c r="BO62" i="27"/>
  <c r="AV17" i="21"/>
  <c r="AU20" i="17"/>
  <c r="BN56" i="27"/>
  <c r="BN30" i="27"/>
  <c r="BT49" i="23"/>
  <c r="BT20" i="23" s="1"/>
  <c r="BT53" i="23"/>
  <c r="BT23" i="23"/>
  <c r="BV36" i="23"/>
  <c r="BU38" i="23"/>
  <c r="BU19" i="23"/>
  <c r="BU47" i="23"/>
  <c r="AQ81" i="3"/>
  <c r="AR37" i="3"/>
  <c r="AQ34" i="3"/>
  <c r="AQ89" i="3" s="1"/>
  <c r="AN29" i="25"/>
  <c r="AN99" i="25"/>
  <c r="AO64" i="3"/>
  <c r="AO90" i="17"/>
  <c r="AT336" i="3"/>
  <c r="AU289" i="3"/>
  <c r="AR9" i="17"/>
  <c r="AS272" i="3"/>
  <c r="AR59" i="25"/>
  <c r="AQ86" i="25"/>
  <c r="AT68" i="23"/>
  <c r="AS102" i="23"/>
  <c r="AS103" i="23" s="1"/>
  <c r="AS79" i="23"/>
  <c r="DQ216" i="3"/>
  <c r="DQ215" i="3"/>
  <c r="BT25" i="3"/>
  <c r="BT39" i="23"/>
  <c r="AU125" i="21"/>
  <c r="AT135" i="21"/>
  <c r="AT133" i="21" s="1"/>
  <c r="AT138" i="21" s="1"/>
  <c r="AT139" i="21" s="1"/>
  <c r="AO85" i="25"/>
  <c r="AP58" i="25"/>
  <c r="AR288" i="3"/>
  <c r="AQ335" i="3"/>
  <c r="AP100" i="25"/>
  <c r="AP73" i="25"/>
  <c r="AP30" i="25"/>
  <c r="AW89" i="27"/>
  <c r="AV99" i="27"/>
  <c r="AV97" i="27" s="1"/>
  <c r="AM145" i="21"/>
  <c r="AH19" i="27"/>
  <c r="AH50" i="27"/>
  <c r="AP134" i="25"/>
  <c r="AQ125" i="25"/>
  <c r="AO189" i="25"/>
  <c r="AU119" i="21"/>
  <c r="AT155" i="21"/>
  <c r="AT131" i="21"/>
  <c r="AP78" i="3"/>
  <c r="AP92" i="17"/>
  <c r="CK98" i="21"/>
  <c r="CK24" i="21"/>
  <c r="CK85" i="21"/>
  <c r="AU183" i="25"/>
  <c r="AV174" i="25"/>
  <c r="AU48" i="16"/>
  <c r="AU47" i="16"/>
  <c r="W82" i="16"/>
  <c r="W18" i="16"/>
  <c r="Y108" i="3"/>
  <c r="Y308" i="3" s="1"/>
  <c r="AU28" i="16"/>
  <c r="CT109" i="3"/>
  <c r="Y60" i="15"/>
  <c r="Y315" i="3"/>
  <c r="Y317" i="3" s="1"/>
  <c r="Y32" i="17"/>
  <c r="AJ64" i="15"/>
  <c r="AJ230" i="3"/>
  <c r="BP88" i="17"/>
  <c r="BP62" i="3"/>
  <c r="AF180" i="3"/>
  <c r="AF168" i="3"/>
  <c r="AF170" i="3" s="1"/>
  <c r="AF179" i="3"/>
  <c r="CN39" i="23"/>
  <c r="CN25" i="3"/>
  <c r="CP37" i="23"/>
  <c r="CO19" i="23"/>
  <c r="CO38" i="23"/>
  <c r="CO48" i="23"/>
  <c r="AR140" i="21"/>
  <c r="AR123" i="21"/>
  <c r="AS129" i="21"/>
  <c r="AQ141" i="21"/>
  <c r="AJ111" i="27"/>
  <c r="AM186" i="25"/>
  <c r="AM187" i="25" s="1"/>
  <c r="AM182" i="25"/>
  <c r="BP53" i="21"/>
  <c r="BO79" i="21"/>
  <c r="BO92" i="21" s="1"/>
  <c r="AR83" i="25"/>
  <c r="AS56" i="25"/>
  <c r="CL26" i="23"/>
  <c r="CL50" i="23"/>
  <c r="CL45" i="3"/>
  <c r="CL72" i="3" s="1"/>
  <c r="X221" i="3"/>
  <c r="V34" i="16"/>
  <c r="V37" i="16" s="1"/>
  <c r="Z101" i="3"/>
  <c r="Z109" i="3" s="1"/>
  <c r="Z110" i="3" s="1"/>
  <c r="Z83" i="3"/>
  <c r="AQ92" i="21"/>
  <c r="AQ27" i="21"/>
  <c r="BS46" i="21"/>
  <c r="BR72" i="21"/>
  <c r="AP91" i="17"/>
  <c r="CM20" i="23"/>
  <c r="CM55" i="23"/>
  <c r="AT216" i="25"/>
  <c r="AU214" i="25"/>
  <c r="AT149" i="21"/>
  <c r="BK43" i="23"/>
  <c r="BJ44" i="23"/>
  <c r="AH60" i="27"/>
  <c r="AI265" i="3"/>
  <c r="AI320" i="3" s="1"/>
  <c r="AO132" i="25"/>
  <c r="AO139" i="25"/>
  <c r="AO140" i="25" s="1"/>
  <c r="AO135" i="25"/>
  <c r="AQ170" i="25"/>
  <c r="AP188" i="25"/>
  <c r="AP189" i="25" s="1"/>
  <c r="AT156" i="21"/>
  <c r="AR31" i="3"/>
  <c r="AR51" i="3" s="1"/>
  <c r="CM46" i="21"/>
  <c r="CL72" i="21"/>
  <c r="AX172" i="25"/>
  <c r="AW178" i="25"/>
  <c r="AO209" i="25"/>
  <c r="AN210" i="25"/>
  <c r="AT221" i="25"/>
  <c r="AS222" i="25"/>
  <c r="AI115" i="27"/>
  <c r="AI116" i="27" s="1"/>
  <c r="AI47" i="27" s="1"/>
  <c r="Z106" i="17"/>
  <c r="Z98" i="17"/>
  <c r="Z100" i="17"/>
  <c r="Z105" i="17"/>
  <c r="Z103" i="17"/>
  <c r="Z104" i="17"/>
  <c r="Z102" i="17"/>
  <c r="Z101" i="17"/>
  <c r="Z99" i="17"/>
  <c r="AL246" i="3"/>
  <c r="AK71" i="21"/>
  <c r="AE114" i="15"/>
  <c r="AE113" i="15"/>
  <c r="CN23" i="23"/>
  <c r="CN49" i="23"/>
  <c r="CN54" i="23"/>
  <c r="AT57" i="25"/>
  <c r="AS84" i="25"/>
  <c r="AS98" i="25" s="1"/>
  <c r="AN137" i="25"/>
  <c r="AN138" i="25" s="1"/>
  <c r="AN133" i="25"/>
  <c r="AK223" i="3"/>
  <c r="AK198" i="3"/>
  <c r="AN181" i="25"/>
  <c r="AO175" i="25"/>
  <c r="AU256" i="3"/>
  <c r="CJ88" i="17"/>
  <c r="CJ62" i="3"/>
  <c r="AQ97" i="25"/>
  <c r="AQ31" i="25"/>
  <c r="AL147" i="21"/>
  <c r="AL150" i="21" s="1"/>
  <c r="AL151" i="21" s="1"/>
  <c r="AL45" i="21" s="1"/>
  <c r="X122" i="3"/>
  <c r="AT259" i="3"/>
  <c r="AS321" i="3"/>
  <c r="Z98" i="15"/>
  <c r="Z33" i="17"/>
  <c r="Z95" i="3"/>
  <c r="Z96" i="3" s="1"/>
  <c r="Z25" i="17"/>
  <c r="Z27" i="17" s="1"/>
  <c r="Z39" i="17" s="1"/>
  <c r="AV43" i="16" s="1"/>
  <c r="Z107" i="3"/>
  <c r="X20" i="16"/>
  <c r="Z102" i="3"/>
  <c r="Z214" i="3"/>
  <c r="X33" i="16" s="1"/>
  <c r="AV29" i="16"/>
  <c r="AV83" i="16" s="1"/>
  <c r="Z98" i="3"/>
  <c r="AP37" i="23"/>
  <c r="AO48" i="23"/>
  <c r="AO54" i="23" s="1"/>
  <c r="AS66" i="21"/>
  <c r="AR79" i="21"/>
  <c r="AT67" i="23"/>
  <c r="AS72" i="23"/>
  <c r="BQ85" i="21"/>
  <c r="BQ98" i="21"/>
  <c r="BQ24" i="21"/>
  <c r="AR208" i="25"/>
  <c r="AU160" i="21"/>
  <c r="AT162" i="21"/>
  <c r="AS271" i="3"/>
  <c r="AR276" i="3"/>
  <c r="AR319" i="3"/>
  <c r="AQ112" i="27"/>
  <c r="AQ100" i="27"/>
  <c r="AQ120" i="27"/>
  <c r="AQ121" i="27" s="1"/>
  <c r="AR83" i="27"/>
  <c r="AQ84" i="27"/>
  <c r="AQ98" i="27"/>
  <c r="AG34" i="27"/>
  <c r="AG46" i="3"/>
  <c r="AG73" i="3" s="1"/>
  <c r="AG25" i="27"/>
  <c r="BX44" i="23"/>
  <c r="BY42" i="23"/>
  <c r="BG69" i="25"/>
  <c r="BF82" i="25"/>
  <c r="BF96" i="25" s="1"/>
  <c r="BK84" i="21"/>
  <c r="BK97" i="21"/>
  <c r="BK23" i="21"/>
  <c r="AL49" i="23"/>
  <c r="AL23" i="23"/>
  <c r="AL53" i="23"/>
  <c r="AI212" i="3"/>
  <c r="AJ45" i="3"/>
  <c r="AJ72" i="3" s="1"/>
  <c r="AJ26" i="23"/>
  <c r="AJ50" i="23"/>
  <c r="AM38" i="23"/>
  <c r="AN36" i="23"/>
  <c r="AM19" i="23"/>
  <c r="AM47" i="23"/>
  <c r="AI63" i="15"/>
  <c r="AI105" i="3"/>
  <c r="AI211" i="3"/>
  <c r="BM45" i="21"/>
  <c r="BL71" i="21"/>
  <c r="AL25" i="3"/>
  <c r="AL39" i="23"/>
  <c r="AA7" i="3"/>
  <c r="AB6" i="3"/>
  <c r="AA57" i="23"/>
  <c r="AA72" i="27"/>
  <c r="AA108" i="25"/>
  <c r="AK55" i="23"/>
  <c r="AK20" i="23"/>
  <c r="AH322" i="3"/>
  <c r="AH323" i="3" s="1"/>
  <c r="AH309" i="3"/>
  <c r="AI267" i="3"/>
  <c r="AN44" i="23"/>
  <c r="AO42" i="23"/>
  <c r="AT38" i="3"/>
  <c r="BM63" i="21"/>
  <c r="BL76" i="21"/>
  <c r="AX167" i="21"/>
  <c r="AW168" i="21"/>
  <c r="BO50" i="21"/>
  <c r="BL8" i="43"/>
  <c r="BM8" i="43" s="1"/>
  <c r="BN8" i="43" s="1"/>
  <c r="BO8" i="43" s="1"/>
  <c r="BP8" i="43" s="1"/>
  <c r="BQ8" i="43" s="1"/>
  <c r="BR8" i="43" s="1"/>
  <c r="BS8" i="43" s="1"/>
  <c r="BT8" i="43" s="1"/>
  <c r="BU8" i="43" s="1"/>
  <c r="BV8" i="43" s="1"/>
  <c r="BW8" i="43" s="1"/>
  <c r="BX8" i="43" s="1"/>
  <c r="BY8" i="43" s="1"/>
  <c r="BZ8" i="43" s="1"/>
  <c r="CA8" i="43" s="1"/>
  <c r="CB8" i="43" s="1"/>
  <c r="CC8" i="43" s="1"/>
  <c r="CD8" i="43" s="1"/>
  <c r="CE8" i="43" s="1"/>
  <c r="CF8" i="43" s="1"/>
  <c r="CG8" i="43" s="1"/>
  <c r="CH8" i="43" s="1"/>
  <c r="CI8" i="43" s="1"/>
  <c r="CJ8" i="43" s="1"/>
  <c r="CK8" i="43" s="1"/>
  <c r="CL8" i="43" s="1"/>
  <c r="CM8" i="43" s="1"/>
  <c r="CN8" i="43" s="1"/>
  <c r="CO8" i="43" s="1"/>
  <c r="CP8" i="43" s="1"/>
  <c r="CQ8" i="43" s="1"/>
  <c r="CR8" i="43" s="1"/>
  <c r="CS8" i="43" s="1"/>
  <c r="CT8" i="43" s="1"/>
  <c r="CU8" i="43" s="1"/>
  <c r="CV8" i="43" s="1"/>
  <c r="CW8" i="43" s="1"/>
  <c r="CX8" i="43" s="1"/>
  <c r="CY8" i="43" s="1"/>
  <c r="CZ8" i="43" s="1"/>
  <c r="DA8" i="43" s="1"/>
  <c r="DB8" i="43" s="1"/>
  <c r="DC8" i="43" s="1"/>
  <c r="DD8" i="43" s="1"/>
  <c r="DE8" i="43" s="1"/>
  <c r="DF8" i="43" s="1"/>
  <c r="DG8" i="43" s="1"/>
  <c r="DH8" i="43" s="1"/>
  <c r="DI8" i="43" s="1"/>
  <c r="DJ8" i="43" s="1"/>
  <c r="DK8" i="43" s="1"/>
  <c r="AB78" i="26"/>
  <c r="I78" i="26" s="1"/>
  <c r="AB54" i="26"/>
  <c r="AF115" i="25"/>
  <c r="AG110" i="25" s="1"/>
  <c r="AG113" i="25" s="1"/>
  <c r="BN82" i="27"/>
  <c r="BK89" i="21"/>
  <c r="BK27" i="21"/>
  <c r="BK102" i="21"/>
  <c r="AQ93" i="27"/>
  <c r="AP104" i="27"/>
  <c r="AP105" i="27" s="1"/>
  <c r="AQ95" i="27"/>
  <c r="AQ87" i="27"/>
  <c r="AR94" i="27"/>
  <c r="AQ102" i="27"/>
  <c r="AQ103" i="27" s="1"/>
  <c r="AR85" i="21"/>
  <c r="AR98" i="21"/>
  <c r="AR24" i="21"/>
  <c r="BE166" i="21"/>
  <c r="AQ88" i="17"/>
  <c r="AQ62" i="3"/>
  <c r="Z63" i="17"/>
  <c r="Z61" i="17"/>
  <c r="Z73" i="17"/>
  <c r="Z58" i="17"/>
  <c r="Z76" i="17"/>
  <c r="Z56" i="17"/>
  <c r="Z66" i="17"/>
  <c r="Z62" i="17"/>
  <c r="Z75" i="17"/>
  <c r="Z65" i="17"/>
  <c r="Z54" i="17"/>
  <c r="Z53" i="17"/>
  <c r="Z64" i="17"/>
  <c r="Z77" i="17"/>
  <c r="Z67" i="17"/>
  <c r="Z57" i="17"/>
  <c r="Z60" i="17"/>
  <c r="Z70" i="17"/>
  <c r="Z72" i="17"/>
  <c r="Z71" i="17"/>
  <c r="Z69" i="17"/>
  <c r="Z59" i="17"/>
  <c r="Z55" i="17"/>
  <c r="Z68" i="17"/>
  <c r="Z52" i="17"/>
  <c r="Z74" i="17"/>
  <c r="AA69" i="15"/>
  <c r="AA3" i="17"/>
  <c r="AA4" i="17" s="1"/>
  <c r="AA6" i="17"/>
  <c r="AA3" i="27"/>
  <c r="AA108" i="21"/>
  <c r="AA3" i="25"/>
  <c r="AA3" i="21"/>
  <c r="AA17" i="25"/>
  <c r="AA313" i="3"/>
  <c r="AA200" i="3"/>
  <c r="AA153" i="3"/>
  <c r="AA41" i="3"/>
  <c r="AA83" i="17"/>
  <c r="AA218" i="25"/>
  <c r="AA5" i="21"/>
  <c r="AA49" i="17"/>
  <c r="AA5" i="27"/>
  <c r="AA206" i="25"/>
  <c r="AA158" i="21"/>
  <c r="AA300" i="3"/>
  <c r="AA182" i="3"/>
  <c r="AA145" i="3"/>
  <c r="AA9" i="3"/>
  <c r="AA212" i="25"/>
  <c r="AA95" i="15"/>
  <c r="AA21" i="15"/>
  <c r="AA5" i="25"/>
  <c r="AA3" i="15"/>
  <c r="AA4" i="15" s="1"/>
  <c r="AA37" i="17"/>
  <c r="AA17" i="23"/>
  <c r="AA19" i="21"/>
  <c r="AA164" i="21"/>
  <c r="AA253" i="3"/>
  <c r="AA164" i="3"/>
  <c r="AA68" i="3"/>
  <c r="AB3" i="3"/>
  <c r="AA6" i="15"/>
  <c r="AA54" i="15"/>
  <c r="AA56" i="15" s="1"/>
  <c r="AA29" i="17"/>
  <c r="AA17" i="27"/>
  <c r="AA22" i="17"/>
  <c r="AA5" i="23"/>
  <c r="AA157" i="25"/>
  <c r="AA329" i="3"/>
  <c r="AA208" i="3"/>
  <c r="AA85" i="3"/>
  <c r="AA21" i="3"/>
  <c r="AZ74" i="23"/>
  <c r="BA62" i="25"/>
  <c r="AZ89" i="25"/>
  <c r="AZ103" i="25" s="1"/>
  <c r="AD32" i="25"/>
  <c r="AD92" i="25"/>
  <c r="AD36" i="25"/>
  <c r="BQ83" i="25"/>
  <c r="BQ97" i="25" s="1"/>
  <c r="BR56" i="25"/>
  <c r="BR57" i="25"/>
  <c r="AR81" i="23"/>
  <c r="AR84" i="23"/>
  <c r="AR88" i="23"/>
  <c r="AR89" i="23" s="1"/>
  <c r="AR20" i="27"/>
  <c r="AR27" i="3" s="1"/>
  <c r="AS48" i="27"/>
  <c r="AR61" i="27"/>
  <c r="AR93" i="3"/>
  <c r="AE88" i="25"/>
  <c r="AE64" i="25"/>
  <c r="AE19" i="25"/>
  <c r="AR119" i="25"/>
  <c r="AQ130" i="25"/>
  <c r="AQ154" i="25"/>
  <c r="AQ155" i="25" s="1"/>
  <c r="AT73" i="23"/>
  <c r="AS83" i="23"/>
  <c r="AZ87" i="25"/>
  <c r="AZ101" i="25" s="1"/>
  <c r="BA60" i="25"/>
  <c r="AX35" i="3"/>
  <c r="AQ93" i="17"/>
  <c r="AQ79" i="3"/>
  <c r="AQ68" i="27"/>
  <c r="AQ29" i="27"/>
  <c r="AQ24" i="27"/>
  <c r="AX220" i="25"/>
  <c r="AF146" i="25"/>
  <c r="AR78" i="21"/>
  <c r="AS52" i="21"/>
  <c r="Z57" i="15"/>
  <c r="AN159" i="3"/>
  <c r="AO17" i="17"/>
  <c r="BH77" i="21"/>
  <c r="BI51" i="21"/>
  <c r="AQ82" i="23"/>
  <c r="AQ86" i="23"/>
  <c r="AQ87" i="23" s="1"/>
  <c r="AR52" i="3"/>
  <c r="AS32" i="3"/>
  <c r="AR30" i="3"/>
  <c r="AR88" i="3" s="1"/>
  <c r="AT46" i="21"/>
  <c r="AS72" i="21"/>
  <c r="AD75" i="3"/>
  <c r="AY78" i="23"/>
  <c r="BR63" i="25"/>
  <c r="BQ90" i="25"/>
  <c r="BD167" i="25"/>
  <c r="BI55" i="25"/>
  <c r="AP35" i="27"/>
  <c r="AP47" i="3"/>
  <c r="AP74" i="3" s="1"/>
  <c r="BG90" i="21"/>
  <c r="BG103" i="21"/>
  <c r="Y78" i="17"/>
  <c r="Y80" i="17" s="1"/>
  <c r="AK160" i="25" l="1"/>
  <c r="AK192" i="25"/>
  <c r="AQ77" i="3"/>
  <c r="AT134" i="21"/>
  <c r="AL194" i="3"/>
  <c r="AL223" i="3" s="1"/>
  <c r="AM113" i="21"/>
  <c r="AM112" i="21"/>
  <c r="AS196" i="25"/>
  <c r="AK194" i="25"/>
  <c r="AK193" i="25"/>
  <c r="AA214" i="3"/>
  <c r="AA98" i="15"/>
  <c r="AA95" i="3"/>
  <c r="AA96" i="3" s="1"/>
  <c r="AA102" i="3"/>
  <c r="AA33" i="17"/>
  <c r="AT136" i="21"/>
  <c r="AM146" i="21"/>
  <c r="AA107" i="3"/>
  <c r="AA315" i="3" s="1"/>
  <c r="AA317" i="3" s="1"/>
  <c r="AU149" i="21"/>
  <c r="AM144" i="21"/>
  <c r="AK162" i="25"/>
  <c r="AK195" i="25" s="1"/>
  <c r="AA98" i="3"/>
  <c r="AI100" i="21"/>
  <c r="AJ87" i="21"/>
  <c r="AJ100" i="21"/>
  <c r="AL48" i="21"/>
  <c r="AK74" i="21"/>
  <c r="X127" i="3"/>
  <c r="DP127" i="3" s="1"/>
  <c r="AK164" i="25"/>
  <c r="AL159" i="25" s="1"/>
  <c r="AL161" i="25" s="1"/>
  <c r="AA101" i="3"/>
  <c r="AA109" i="3" s="1"/>
  <c r="AA110" i="3" s="1"/>
  <c r="AF143" i="25"/>
  <c r="AF149" i="25" s="1"/>
  <c r="AF150" i="25" s="1"/>
  <c r="AF61" i="25" s="1"/>
  <c r="DQ221" i="3"/>
  <c r="DQ147" i="3" s="1"/>
  <c r="DQ149" i="3" s="1"/>
  <c r="DQ150" i="3" s="1"/>
  <c r="DQ151" i="3" s="1"/>
  <c r="AM193" i="3"/>
  <c r="AJ79" i="27"/>
  <c r="AK74" i="27" s="1"/>
  <c r="AK75" i="27" s="1"/>
  <c r="AJ103" i="3"/>
  <c r="AJ104" i="3" s="1"/>
  <c r="AJ212" i="3" s="1"/>
  <c r="AJ114" i="27"/>
  <c r="AJ115" i="27" s="1"/>
  <c r="AJ116" i="27" s="1"/>
  <c r="AJ47" i="27" s="1"/>
  <c r="AJ19" i="27" s="1"/>
  <c r="AI305" i="3"/>
  <c r="AI303" i="3" s="1"/>
  <c r="AL194" i="25"/>
  <c r="AJ81" i="25"/>
  <c r="AJ20" i="25"/>
  <c r="AJ29" i="3" s="1"/>
  <c r="AT26" i="21"/>
  <c r="AT86" i="21"/>
  <c r="AT99" i="21"/>
  <c r="AT168" i="25"/>
  <c r="AS203" i="25"/>
  <c r="AS204" i="25" s="1"/>
  <c r="AS179" i="25"/>
  <c r="AS184" i="25"/>
  <c r="AV60" i="21"/>
  <c r="AU73" i="21"/>
  <c r="AI49" i="3"/>
  <c r="AI76" i="3" s="1"/>
  <c r="AI35" i="25"/>
  <c r="AL160" i="25"/>
  <c r="AQ65" i="3"/>
  <c r="AV20" i="17"/>
  <c r="AW17" i="21"/>
  <c r="BO56" i="27"/>
  <c r="BO30" i="27"/>
  <c r="BQ49" i="27"/>
  <c r="BP62" i="27"/>
  <c r="BP19" i="27"/>
  <c r="BP26" i="3" s="1"/>
  <c r="AP64" i="3"/>
  <c r="AP90" i="17"/>
  <c r="AR335" i="3"/>
  <c r="AS288" i="3"/>
  <c r="AO29" i="25"/>
  <c r="AO99" i="25"/>
  <c r="AV125" i="21"/>
  <c r="AU135" i="21"/>
  <c r="AU133" i="21" s="1"/>
  <c r="AU138" i="21" s="1"/>
  <c r="AU139" i="21" s="1"/>
  <c r="AQ73" i="25"/>
  <c r="AQ100" i="25"/>
  <c r="AQ30" i="25"/>
  <c r="AS9" i="17"/>
  <c r="AT272" i="3"/>
  <c r="AU336" i="3"/>
  <c r="AV289" i="3"/>
  <c r="BU25" i="3"/>
  <c r="BU39" i="23"/>
  <c r="BW36" i="23"/>
  <c r="BV38" i="23"/>
  <c r="BV19" i="23"/>
  <c r="BV47" i="23"/>
  <c r="AW99" i="27"/>
  <c r="AW97" i="27" s="1"/>
  <c r="AX89" i="27"/>
  <c r="AP85" i="25"/>
  <c r="AQ58" i="25"/>
  <c r="AT102" i="23"/>
  <c r="AT103" i="23" s="1"/>
  <c r="AU68" i="23"/>
  <c r="AT79" i="23"/>
  <c r="AR86" i="25"/>
  <c r="AS59" i="25"/>
  <c r="AS37" i="3"/>
  <c r="AR81" i="3"/>
  <c r="AR34" i="3"/>
  <c r="AR89" i="3" s="1"/>
  <c r="BU23" i="23"/>
  <c r="BU49" i="23"/>
  <c r="BU53" i="23"/>
  <c r="BT26" i="23"/>
  <c r="BT50" i="23"/>
  <c r="BT45" i="3"/>
  <c r="BT72" i="3" s="1"/>
  <c r="AR112" i="27"/>
  <c r="AR100" i="27"/>
  <c r="AS83" i="27"/>
  <c r="AR98" i="27"/>
  <c r="AR120" i="27"/>
  <c r="AR121" i="27" s="1"/>
  <c r="AR84" i="27"/>
  <c r="AT271" i="3"/>
  <c r="AS276" i="3"/>
  <c r="AS319" i="3"/>
  <c r="AU162" i="21"/>
  <c r="AV160" i="21"/>
  <c r="AR92" i="21"/>
  <c r="AR27" i="21"/>
  <c r="AV47" i="16"/>
  <c r="X18" i="16"/>
  <c r="AV48" i="16"/>
  <c r="X82" i="16"/>
  <c r="X290" i="3"/>
  <c r="DQ290" i="3" s="1"/>
  <c r="AL71" i="21"/>
  <c r="AV256" i="3"/>
  <c r="AN182" i="25"/>
  <c r="AN186" i="25"/>
  <c r="AN187" i="25" s="1"/>
  <c r="AK97" i="21"/>
  <c r="AK84" i="21"/>
  <c r="AK58" i="21"/>
  <c r="AK23" i="21"/>
  <c r="CL98" i="21"/>
  <c r="CL24" i="21"/>
  <c r="CL85" i="21"/>
  <c r="AS31" i="3"/>
  <c r="AQ188" i="25"/>
  <c r="AQ189" i="25" s="1"/>
  <c r="AR170" i="25"/>
  <c r="CM45" i="3"/>
  <c r="CM72" i="3" s="1"/>
  <c r="CM50" i="23"/>
  <c r="CM26" i="23"/>
  <c r="BS72" i="21"/>
  <c r="BT46" i="21"/>
  <c r="X147" i="3"/>
  <c r="X149" i="3" s="1"/>
  <c r="X150" i="3" s="1"/>
  <c r="X151" i="3" s="1"/>
  <c r="X75" i="15" s="1"/>
  <c r="X245" i="3"/>
  <c r="X100" i="15"/>
  <c r="X239" i="3"/>
  <c r="AS83" i="25"/>
  <c r="AT56" i="25"/>
  <c r="CP19" i="23"/>
  <c r="CP38" i="23"/>
  <c r="CP48" i="23"/>
  <c r="AF173" i="3"/>
  <c r="AF340" i="3" s="1"/>
  <c r="AG167" i="3"/>
  <c r="AF106" i="15"/>
  <c r="AF171" i="3"/>
  <c r="AV183" i="25"/>
  <c r="AW174" i="25"/>
  <c r="AU131" i="21"/>
  <c r="AV119" i="21"/>
  <c r="AU155" i="21"/>
  <c r="AU156" i="21" s="1"/>
  <c r="AP139" i="25"/>
  <c r="AP140" i="25" s="1"/>
  <c r="AP132" i="25"/>
  <c r="AP135" i="25"/>
  <c r="AH26" i="3"/>
  <c r="AH21" i="27"/>
  <c r="AH51" i="27" s="1"/>
  <c r="AJ265" i="3"/>
  <c r="AJ320" i="3" s="1"/>
  <c r="AG36" i="27"/>
  <c r="AG32" i="27"/>
  <c r="AG64" i="27"/>
  <c r="AS208" i="25"/>
  <c r="BQ88" i="17"/>
  <c r="BQ62" i="3"/>
  <c r="AU67" i="23"/>
  <c r="AT72" i="23"/>
  <c r="AT66" i="21"/>
  <c r="AS79" i="21"/>
  <c r="AP48" i="23"/>
  <c r="AP54" i="23" s="1"/>
  <c r="AQ37" i="23"/>
  <c r="Z60" i="15"/>
  <c r="Z32" i="17"/>
  <c r="AV28" i="16"/>
  <c r="Z108" i="3"/>
  <c r="Z308" i="3" s="1"/>
  <c r="AA307" i="3" s="1"/>
  <c r="Z315" i="3"/>
  <c r="Z317" i="3" s="1"/>
  <c r="AU259" i="3"/>
  <c r="AT321" i="3"/>
  <c r="AO181" i="25"/>
  <c r="AP175" i="25"/>
  <c r="AK64" i="15"/>
  <c r="AK230" i="3"/>
  <c r="AT84" i="25"/>
  <c r="AT98" i="25" s="1"/>
  <c r="AU57" i="25"/>
  <c r="CN20" i="23"/>
  <c r="CN55" i="23"/>
  <c r="AM246" i="3"/>
  <c r="AI50" i="27"/>
  <c r="AI19" i="27"/>
  <c r="AU221" i="25"/>
  <c r="AT222" i="25"/>
  <c r="AP209" i="25"/>
  <c r="AO210" i="25"/>
  <c r="AY172" i="25"/>
  <c r="AX178" i="25"/>
  <c r="CN46" i="21"/>
  <c r="CM72" i="21"/>
  <c r="AQ78" i="3"/>
  <c r="AQ92" i="17"/>
  <c r="AL198" i="3"/>
  <c r="AO137" i="25"/>
  <c r="AO138" i="25" s="1"/>
  <c r="AO133" i="25"/>
  <c r="AH23" i="27"/>
  <c r="AH63" i="27"/>
  <c r="AH70" i="27" s="1"/>
  <c r="AI60" i="27"/>
  <c r="AH67" i="27"/>
  <c r="AH54" i="27"/>
  <c r="AH57" i="27" s="1"/>
  <c r="AH27" i="27"/>
  <c r="BL43" i="23"/>
  <c r="BK44" i="23"/>
  <c r="AV214" i="25"/>
  <c r="AU216" i="25"/>
  <c r="BR85" i="21"/>
  <c r="BR24" i="21"/>
  <c r="BR98" i="21"/>
  <c r="AQ91" i="17"/>
  <c r="V48" i="16"/>
  <c r="V49" i="16"/>
  <c r="V52" i="16" s="1"/>
  <c r="V87" i="16"/>
  <c r="X61" i="15"/>
  <c r="X62" i="15" s="1"/>
  <c r="X66" i="15" s="1"/>
  <c r="X204" i="3"/>
  <c r="X205" i="3" s="1"/>
  <c r="Y202" i="3" s="1"/>
  <c r="X206" i="3"/>
  <c r="X143" i="3" s="1"/>
  <c r="X281" i="3"/>
  <c r="AR97" i="25"/>
  <c r="AR31" i="25"/>
  <c r="BP79" i="21"/>
  <c r="BP92" i="21" s="1"/>
  <c r="BQ53" i="21"/>
  <c r="AS140" i="21"/>
  <c r="AS141" i="21" s="1"/>
  <c r="AS123" i="21"/>
  <c r="AT129" i="21"/>
  <c r="AR141" i="21"/>
  <c r="CO49" i="23"/>
  <c r="CO23" i="23"/>
  <c r="CO54" i="23"/>
  <c r="CO25" i="3"/>
  <c r="CO39" i="23"/>
  <c r="Y326" i="3"/>
  <c r="Y325" i="3"/>
  <c r="AU46" i="16" s="1"/>
  <c r="Z307" i="3"/>
  <c r="CK62" i="3"/>
  <c r="CK88" i="17"/>
  <c r="AR125" i="25"/>
  <c r="AQ134" i="25"/>
  <c r="AI309" i="3"/>
  <c r="AI322" i="3"/>
  <c r="AI323" i="3" s="1"/>
  <c r="AJ267" i="3"/>
  <c r="BM71" i="21"/>
  <c r="BN45" i="21"/>
  <c r="AM39" i="23"/>
  <c r="AM25" i="3"/>
  <c r="BH69" i="25"/>
  <c r="BG82" i="25"/>
  <c r="BG96" i="25" s="1"/>
  <c r="AO44" i="23"/>
  <c r="AP42" i="23"/>
  <c r="AO36" i="23"/>
  <c r="AN19" i="23"/>
  <c r="AN38" i="23"/>
  <c r="AN47" i="23"/>
  <c r="AL55" i="23"/>
  <c r="AL20" i="23"/>
  <c r="BY44" i="23"/>
  <c r="BZ42" i="23"/>
  <c r="AJ63" i="15"/>
  <c r="AK26" i="23"/>
  <c r="AK45" i="3"/>
  <c r="AK72" i="3" s="1"/>
  <c r="AK50" i="23"/>
  <c r="AB72" i="27"/>
  <c r="AB108" i="25"/>
  <c r="AB7" i="3"/>
  <c r="AB57" i="23"/>
  <c r="AC6" i="3"/>
  <c r="BL23" i="21"/>
  <c r="BL97" i="21"/>
  <c r="BL84" i="21"/>
  <c r="AM23" i="23"/>
  <c r="AM53" i="23"/>
  <c r="AM49" i="23"/>
  <c r="AU38" i="3"/>
  <c r="BO82" i="27"/>
  <c r="BL89" i="21"/>
  <c r="BL27" i="21"/>
  <c r="BL102" i="21"/>
  <c r="AY167" i="21"/>
  <c r="AX168" i="21"/>
  <c r="BN63" i="21"/>
  <c r="BM76" i="21"/>
  <c r="AS94" i="27"/>
  <c r="AR95" i="27"/>
  <c r="AR87" i="27"/>
  <c r="AR102" i="27"/>
  <c r="AR103" i="27" s="1"/>
  <c r="AR93" i="27"/>
  <c r="AQ104" i="27"/>
  <c r="AQ105" i="27" s="1"/>
  <c r="BP50" i="21"/>
  <c r="BR90" i="25"/>
  <c r="BS63" i="25"/>
  <c r="AS98" i="21"/>
  <c r="AS85" i="21"/>
  <c r="AS24" i="21"/>
  <c r="AQ35" i="27"/>
  <c r="AQ47" i="3"/>
  <c r="AQ74" i="3" s="1"/>
  <c r="AY35" i="3"/>
  <c r="AU73" i="23"/>
  <c r="AT83" i="23"/>
  <c r="AS119" i="25"/>
  <c r="AR130" i="25"/>
  <c r="AR154" i="25"/>
  <c r="AR155" i="25" s="1"/>
  <c r="AE75" i="25"/>
  <c r="AE78" i="25" s="1"/>
  <c r="AE102" i="25"/>
  <c r="AE27" i="25"/>
  <c r="AE23" i="25"/>
  <c r="AE91" i="25"/>
  <c r="AE105" i="25" s="1"/>
  <c r="AS61" i="27"/>
  <c r="AS50" i="27"/>
  <c r="AT48" i="27"/>
  <c r="AS20" i="27"/>
  <c r="Z78" i="17"/>
  <c r="Z80" i="17" s="1"/>
  <c r="AR62" i="3"/>
  <c r="AR88" i="17"/>
  <c r="AT52" i="21"/>
  <c r="AS78" i="21"/>
  <c r="BS56" i="25"/>
  <c r="BR83" i="25"/>
  <c r="BR97" i="25" s="1"/>
  <c r="BA89" i="25"/>
  <c r="BA103" i="25" s="1"/>
  <c r="BB62" i="25"/>
  <c r="AA57" i="15"/>
  <c r="BE167" i="25"/>
  <c r="AT72" i="21"/>
  <c r="AU46" i="21"/>
  <c r="AT32" i="3"/>
  <c r="AS52" i="3"/>
  <c r="BJ51" i="21"/>
  <c r="BI77" i="21"/>
  <c r="AR91" i="21"/>
  <c r="AR104" i="21"/>
  <c r="BA87" i="25"/>
  <c r="BA101" i="25" s="1"/>
  <c r="BB60" i="25"/>
  <c r="AE21" i="25"/>
  <c r="AE65" i="25" s="1"/>
  <c r="AE28" i="3"/>
  <c r="BS57" i="25"/>
  <c r="BA74" i="23"/>
  <c r="AR147" i="25"/>
  <c r="BJ55" i="25"/>
  <c r="AZ78" i="23"/>
  <c r="AR79" i="3"/>
  <c r="AR93" i="17"/>
  <c r="AR50" i="3"/>
  <c r="AR77" i="3" s="1"/>
  <c r="BH103" i="21"/>
  <c r="BH90" i="21"/>
  <c r="AP17" i="17"/>
  <c r="AO159" i="3"/>
  <c r="AY220" i="25"/>
  <c r="AS81" i="23"/>
  <c r="AS84" i="23"/>
  <c r="AS88" i="23"/>
  <c r="AS89" i="23" s="1"/>
  <c r="AS93" i="3"/>
  <c r="AR68" i="27"/>
  <c r="AR29" i="27"/>
  <c r="AR24" i="27"/>
  <c r="AR82" i="23"/>
  <c r="AR86" i="23"/>
  <c r="AR87" i="23" s="1"/>
  <c r="AB6" i="15"/>
  <c r="AB218" i="25"/>
  <c r="AB212" i="25"/>
  <c r="AB5" i="27"/>
  <c r="AB95" i="15"/>
  <c r="AB164" i="21"/>
  <c r="AB5" i="25"/>
  <c r="AB157" i="25"/>
  <c r="AB253" i="3"/>
  <c r="AB200" i="3"/>
  <c r="AB41" i="3"/>
  <c r="AB21" i="3"/>
  <c r="AB3" i="17"/>
  <c r="AB4" i="17" s="1"/>
  <c r="AB49" i="17"/>
  <c r="AB206" i="25"/>
  <c r="AB29" i="17"/>
  <c r="AB17" i="23"/>
  <c r="AB54" i="15"/>
  <c r="AB56" i="15" s="1"/>
  <c r="AB108" i="21"/>
  <c r="AB17" i="27"/>
  <c r="AB17" i="25"/>
  <c r="AB329" i="3"/>
  <c r="AB182" i="3"/>
  <c r="AB153" i="3"/>
  <c r="AB9" i="3"/>
  <c r="AB37" i="17"/>
  <c r="AB69" i="15"/>
  <c r="AB6" i="17"/>
  <c r="AB5" i="23"/>
  <c r="AB19" i="21"/>
  <c r="AB3" i="27"/>
  <c r="AB158" i="21"/>
  <c r="AB313" i="3"/>
  <c r="AB164" i="3"/>
  <c r="AB145" i="3"/>
  <c r="AC3" i="3"/>
  <c r="AB3" i="15"/>
  <c r="AB4" i="15" s="1"/>
  <c r="AB22" i="17"/>
  <c r="AB83" i="17"/>
  <c r="AB3" i="25"/>
  <c r="AB3" i="21"/>
  <c r="AB21" i="15"/>
  <c r="AB5" i="21"/>
  <c r="AB300" i="3"/>
  <c r="AB208" i="3"/>
  <c r="AB85" i="3"/>
  <c r="AB68" i="3"/>
  <c r="AA75" i="17"/>
  <c r="AA66" i="17"/>
  <c r="AA64" i="17"/>
  <c r="AA62" i="17"/>
  <c r="AA57" i="17"/>
  <c r="AA68" i="17"/>
  <c r="AA77" i="17"/>
  <c r="AA59" i="17"/>
  <c r="AA58" i="17"/>
  <c r="AA65" i="17"/>
  <c r="AA55" i="17"/>
  <c r="AA73" i="17"/>
  <c r="AA60" i="17"/>
  <c r="AA71" i="17"/>
  <c r="AA52" i="17"/>
  <c r="AA53" i="17"/>
  <c r="AA67" i="17"/>
  <c r="AA72" i="17"/>
  <c r="AA63" i="17"/>
  <c r="AA61" i="17"/>
  <c r="AA74" i="17"/>
  <c r="AA54" i="17"/>
  <c r="AA70" i="17"/>
  <c r="AA56" i="17"/>
  <c r="AA76" i="17"/>
  <c r="AA69" i="17"/>
  <c r="BF166" i="21"/>
  <c r="AG112" i="25"/>
  <c r="AG146" i="25" s="1"/>
  <c r="AG111" i="25"/>
  <c r="AU136" i="21" l="1"/>
  <c r="AK197" i="25"/>
  <c r="AM115" i="21"/>
  <c r="AN110" i="21" s="1"/>
  <c r="AN144" i="21" s="1"/>
  <c r="AJ211" i="3"/>
  <c r="AM147" i="21"/>
  <c r="AM150" i="21" s="1"/>
  <c r="AM151" i="21" s="1"/>
  <c r="AM45" i="21" s="1"/>
  <c r="AL192" i="25"/>
  <c r="AL193" i="25"/>
  <c r="AL162" i="25"/>
  <c r="AL195" i="25" s="1"/>
  <c r="AU134" i="21"/>
  <c r="AT196" i="25"/>
  <c r="AS30" i="3"/>
  <c r="AS88" i="3" s="1"/>
  <c r="AS51" i="3"/>
  <c r="AS50" i="3" s="1"/>
  <c r="AA60" i="15"/>
  <c r="AA108" i="3"/>
  <c r="AA308" i="3" s="1"/>
  <c r="AB307" i="3" s="1"/>
  <c r="AA32" i="17"/>
  <c r="AK110" i="27"/>
  <c r="AK100" i="21"/>
  <c r="AK87" i="21"/>
  <c r="AM48" i="21"/>
  <c r="AL74" i="21"/>
  <c r="AR65" i="3"/>
  <c r="V90" i="16"/>
  <c r="X123" i="3"/>
  <c r="V28" i="16" s="1"/>
  <c r="V84" i="16" s="1"/>
  <c r="X128" i="3"/>
  <c r="X126" i="3"/>
  <c r="X134" i="3" s="1"/>
  <c r="AT31" i="16" s="1"/>
  <c r="T123" i="15" s="1"/>
  <c r="T124" i="15" s="1"/>
  <c r="AL164" i="25"/>
  <c r="AM159" i="25" s="1"/>
  <c r="AM160" i="25" s="1"/>
  <c r="DQ239" i="3"/>
  <c r="AK77" i="27"/>
  <c r="AK76" i="27"/>
  <c r="AK108" i="27"/>
  <c r="AK109" i="27"/>
  <c r="AJ105" i="3"/>
  <c r="AJ304" i="3"/>
  <c r="AK103" i="3"/>
  <c r="AK211" i="3" s="1"/>
  <c r="AJ50" i="27"/>
  <c r="AJ305" i="3"/>
  <c r="AJ303" i="3" s="1"/>
  <c r="AK198" i="25"/>
  <c r="AK199" i="25" s="1"/>
  <c r="AK54" i="25" s="1"/>
  <c r="AM162" i="25"/>
  <c r="AU86" i="21"/>
  <c r="AU26" i="21"/>
  <c r="AU99" i="21"/>
  <c r="AT179" i="25"/>
  <c r="AU168" i="25"/>
  <c r="AU196" i="25" s="1"/>
  <c r="AT203" i="25"/>
  <c r="AT204" i="25" s="1"/>
  <c r="AT184" i="25"/>
  <c r="AV73" i="21"/>
  <c r="AW60" i="21"/>
  <c r="AJ95" i="25"/>
  <c r="AJ24" i="25"/>
  <c r="AJ68" i="25"/>
  <c r="BP30" i="27"/>
  <c r="BP56" i="27"/>
  <c r="BQ62" i="27"/>
  <c r="BQ19" i="27"/>
  <c r="BQ26" i="3" s="1"/>
  <c r="BR49" i="27"/>
  <c r="AX17" i="21"/>
  <c r="AW20" i="17"/>
  <c r="AG115" i="25"/>
  <c r="AG143" i="25" s="1"/>
  <c r="AG149" i="25" s="1"/>
  <c r="AG150" i="25" s="1"/>
  <c r="AG61" i="25" s="1"/>
  <c r="AS86" i="25"/>
  <c r="AT59" i="25"/>
  <c r="AP29" i="25"/>
  <c r="AP99" i="25"/>
  <c r="BV25" i="3"/>
  <c r="BV39" i="23"/>
  <c r="BW19" i="23"/>
  <c r="BX36" i="23"/>
  <c r="BW38" i="23"/>
  <c r="BW47" i="23"/>
  <c r="AS335" i="3"/>
  <c r="AT288" i="3"/>
  <c r="BU55" i="23"/>
  <c r="BU20" i="23"/>
  <c r="AT37" i="3"/>
  <c r="AS81" i="3"/>
  <c r="AS34" i="3"/>
  <c r="AS89" i="3" s="1"/>
  <c r="AR73" i="25"/>
  <c r="AR30" i="25"/>
  <c r="AR100" i="25"/>
  <c r="AU102" i="23"/>
  <c r="AU103" i="23" s="1"/>
  <c r="AV68" i="23"/>
  <c r="AU79" i="23"/>
  <c r="AQ85" i="25"/>
  <c r="AR58" i="25"/>
  <c r="AX99" i="27"/>
  <c r="AX97" i="27" s="1"/>
  <c r="AY89" i="27"/>
  <c r="BV23" i="23"/>
  <c r="BV49" i="23"/>
  <c r="BV53" i="23"/>
  <c r="AV336" i="3"/>
  <c r="AW289" i="3"/>
  <c r="AT9" i="17"/>
  <c r="AU272" i="3"/>
  <c r="AQ64" i="3"/>
  <c r="AQ90" i="17"/>
  <c r="AW125" i="21"/>
  <c r="AV135" i="21"/>
  <c r="AV133" i="21" s="1"/>
  <c r="AV138" i="21" s="1"/>
  <c r="X284" i="3"/>
  <c r="AT16" i="16" s="1"/>
  <c r="AT15" i="16" s="1"/>
  <c r="DQ281" i="3"/>
  <c r="DQ284" i="3" s="1"/>
  <c r="AR134" i="25"/>
  <c r="AS125" i="25"/>
  <c r="CO20" i="23"/>
  <c r="CO55" i="23"/>
  <c r="BR53" i="21"/>
  <c r="BQ79" i="21"/>
  <c r="BQ92" i="21" s="1"/>
  <c r="CM85" i="21"/>
  <c r="CM98" i="21"/>
  <c r="CM24" i="21"/>
  <c r="AI26" i="3"/>
  <c r="AI21" i="27"/>
  <c r="AI51" i="27" s="1"/>
  <c r="AV57" i="25"/>
  <c r="AU84" i="25"/>
  <c r="AU98" i="25" s="1"/>
  <c r="AP181" i="25"/>
  <c r="AQ175" i="25"/>
  <c r="Z325" i="3"/>
  <c r="AV46" i="16" s="1"/>
  <c r="Z326" i="3"/>
  <c r="AU66" i="21"/>
  <c r="AT79" i="21"/>
  <c r="AV67" i="23"/>
  <c r="AU72" i="23"/>
  <c r="AT208" i="25"/>
  <c r="AA325" i="3"/>
  <c r="AA326" i="3"/>
  <c r="AP137" i="25"/>
  <c r="AP138" i="25" s="1"/>
  <c r="AP133" i="25"/>
  <c r="AV131" i="21"/>
  <c r="AW119" i="21"/>
  <c r="AV155" i="21"/>
  <c r="AV156" i="21" s="1"/>
  <c r="AV136" i="21"/>
  <c r="AV139" i="21"/>
  <c r="AW183" i="25"/>
  <c r="AX174" i="25"/>
  <c r="AF104" i="15"/>
  <c r="AF172" i="3"/>
  <c r="AF105" i="15" s="1"/>
  <c r="AG177" i="3"/>
  <c r="CP49" i="23"/>
  <c r="CP54" i="23"/>
  <c r="CP23" i="23"/>
  <c r="CP25" i="3"/>
  <c r="CP39" i="23"/>
  <c r="AM185" i="3"/>
  <c r="AM192" i="3" s="1"/>
  <c r="AS97" i="25"/>
  <c r="AS31" i="25"/>
  <c r="BS85" i="21"/>
  <c r="BS98" i="21"/>
  <c r="BS24" i="21"/>
  <c r="AV149" i="21"/>
  <c r="AR92" i="17"/>
  <c r="AR78" i="3"/>
  <c r="CL62" i="3"/>
  <c r="CL88" i="17"/>
  <c r="AW256" i="3"/>
  <c r="AL58" i="21"/>
  <c r="AL97" i="21"/>
  <c r="AL84" i="21"/>
  <c r="AL23" i="21"/>
  <c r="X337" i="3"/>
  <c r="X338" i="3" s="1"/>
  <c r="Y331" i="3"/>
  <c r="X332" i="3"/>
  <c r="X333" i="3" s="1"/>
  <c r="X292" i="3"/>
  <c r="DQ292" i="3" s="1"/>
  <c r="AT17" i="16"/>
  <c r="AJ21" i="27"/>
  <c r="AJ26" i="3"/>
  <c r="AQ132" i="25"/>
  <c r="AQ139" i="25"/>
  <c r="AQ140" i="25" s="1"/>
  <c r="AQ135" i="25"/>
  <c r="AT140" i="21"/>
  <c r="AT141" i="21" s="1"/>
  <c r="AT123" i="21"/>
  <c r="AU129" i="21"/>
  <c r="AT51" i="16"/>
  <c r="AT50" i="16"/>
  <c r="BR62" i="3"/>
  <c r="BR88" i="17"/>
  <c r="AW214" i="25"/>
  <c r="AV216" i="25"/>
  <c r="BL44" i="23"/>
  <c r="BM43" i="23"/>
  <c r="AI54" i="27"/>
  <c r="AI57" i="27" s="1"/>
  <c r="AI23" i="27"/>
  <c r="AI27" i="27"/>
  <c r="AI67" i="27"/>
  <c r="AI63" i="27"/>
  <c r="AI70" i="27" s="1"/>
  <c r="AJ60" i="27"/>
  <c r="AH25" i="27"/>
  <c r="AH34" i="27"/>
  <c r="AH46" i="3"/>
  <c r="AH73" i="3" s="1"/>
  <c r="AL64" i="15"/>
  <c r="AL230" i="3"/>
  <c r="CO46" i="21"/>
  <c r="CN72" i="21"/>
  <c r="AZ172" i="25"/>
  <c r="AY178" i="25"/>
  <c r="AQ209" i="25"/>
  <c r="AP210" i="25"/>
  <c r="AV221" i="25"/>
  <c r="AU222" i="25"/>
  <c r="CN26" i="23"/>
  <c r="CN50" i="23"/>
  <c r="CN45" i="3"/>
  <c r="CN72" i="3" s="1"/>
  <c r="AO182" i="25"/>
  <c r="AO186" i="25"/>
  <c r="AO187" i="25" s="1"/>
  <c r="AV259" i="3"/>
  <c r="AU321" i="3"/>
  <c r="AQ48" i="23"/>
  <c r="AQ54" i="23" s="1"/>
  <c r="AR37" i="23"/>
  <c r="AS27" i="21"/>
  <c r="AS92" i="21"/>
  <c r="AT83" i="25"/>
  <c r="AU56" i="25"/>
  <c r="AM71" i="21"/>
  <c r="X255" i="3"/>
  <c r="DQ255" i="3" s="1"/>
  <c r="DQ260" i="3" s="1"/>
  <c r="X242" i="3"/>
  <c r="X244" i="3"/>
  <c r="V91" i="16" s="1"/>
  <c r="X250" i="3"/>
  <c r="BU46" i="21"/>
  <c r="BU72" i="21" s="1"/>
  <c r="BT72" i="21"/>
  <c r="AR188" i="25"/>
  <c r="AR189" i="25" s="1"/>
  <c r="AS170" i="25"/>
  <c r="AT31" i="3"/>
  <c r="AT51" i="3" s="1"/>
  <c r="AR91" i="17"/>
  <c r="AV162" i="21"/>
  <c r="AW160" i="21"/>
  <c r="AU271" i="3"/>
  <c r="AT276" i="3"/>
  <c r="AT319" i="3"/>
  <c r="AT83" i="27"/>
  <c r="AS100" i="27"/>
  <c r="AS120" i="27"/>
  <c r="AS121" i="27" s="1"/>
  <c r="AS84" i="27"/>
  <c r="AS98" i="27"/>
  <c r="AS112" i="27"/>
  <c r="AL45" i="3"/>
  <c r="AL72" i="3" s="1"/>
  <c r="AL50" i="23"/>
  <c r="AL26" i="23"/>
  <c r="AN23" i="23"/>
  <c r="AN53" i="23"/>
  <c r="AN49" i="23"/>
  <c r="AC108" i="25"/>
  <c r="AD6" i="3"/>
  <c r="AC7" i="3"/>
  <c r="AC72" i="27"/>
  <c r="AC57" i="23"/>
  <c r="AN39" i="23"/>
  <c r="AN25" i="3"/>
  <c r="AP44" i="23"/>
  <c r="AQ42" i="23"/>
  <c r="AM55" i="23"/>
  <c r="AM20" i="23"/>
  <c r="BM97" i="21"/>
  <c r="BM23" i="21"/>
  <c r="BM84" i="21"/>
  <c r="AJ309" i="3"/>
  <c r="AJ322" i="3"/>
  <c r="AJ323" i="3" s="1"/>
  <c r="CA42" i="23"/>
  <c r="BZ44" i="23"/>
  <c r="AP36" i="23"/>
  <c r="AO19" i="23"/>
  <c r="AO47" i="23"/>
  <c r="AO38" i="23"/>
  <c r="BI69" i="25"/>
  <c r="BH82" i="25"/>
  <c r="BH96" i="25" s="1"/>
  <c r="BN71" i="21"/>
  <c r="BO45" i="21"/>
  <c r="AV38" i="3"/>
  <c r="BQ50" i="21"/>
  <c r="BP82" i="27"/>
  <c r="AS147" i="25"/>
  <c r="BM102" i="21"/>
  <c r="BM89" i="21"/>
  <c r="BM27" i="21"/>
  <c r="AR104" i="27"/>
  <c r="AR105" i="27" s="1"/>
  <c r="AS93" i="27"/>
  <c r="AT94" i="27"/>
  <c r="AS95" i="27"/>
  <c r="AS87" i="27"/>
  <c r="AS102" i="27"/>
  <c r="AS103" i="27" s="1"/>
  <c r="BO63" i="21"/>
  <c r="BN76" i="21"/>
  <c r="AZ167" i="21"/>
  <c r="AY168" i="21"/>
  <c r="BC60" i="25"/>
  <c r="BB87" i="25"/>
  <c r="BB101" i="25" s="1"/>
  <c r="BI103" i="21"/>
  <c r="BI90" i="21"/>
  <c r="AU72" i="21"/>
  <c r="AV46" i="21"/>
  <c r="AT50" i="27"/>
  <c r="AU48" i="27"/>
  <c r="AT20" i="27"/>
  <c r="AT61" i="27"/>
  <c r="AS154" i="25"/>
  <c r="AS155" i="25" s="1"/>
  <c r="AT119" i="25"/>
  <c r="AS130" i="25"/>
  <c r="AS82" i="23"/>
  <c r="AS86" i="23"/>
  <c r="AS87" i="23" s="1"/>
  <c r="BA78" i="23"/>
  <c r="AF88" i="25"/>
  <c r="AF19" i="25"/>
  <c r="AF64" i="25"/>
  <c r="BT57" i="25"/>
  <c r="BK51" i="21"/>
  <c r="BJ77" i="21"/>
  <c r="AT24" i="21"/>
  <c r="AT85" i="21"/>
  <c r="AT98" i="21"/>
  <c r="BF167" i="25"/>
  <c r="BS83" i="25"/>
  <c r="BS97" i="25" s="1"/>
  <c r="BT56" i="25"/>
  <c r="AS104" i="21"/>
  <c r="AS91" i="21"/>
  <c r="AE48" i="3"/>
  <c r="AE25" i="25"/>
  <c r="AE34" i="25"/>
  <c r="AZ35" i="3"/>
  <c r="AS62" i="3"/>
  <c r="AS88" i="17"/>
  <c r="BG166" i="21"/>
  <c r="AC218" i="25"/>
  <c r="AC6" i="17"/>
  <c r="AC212" i="25"/>
  <c r="AC5" i="21"/>
  <c r="AC158" i="21"/>
  <c r="AC17" i="23"/>
  <c r="AC17" i="27"/>
  <c r="AC253" i="3"/>
  <c r="AC164" i="3"/>
  <c r="AC68" i="3"/>
  <c r="AC41" i="3"/>
  <c r="AC49" i="17"/>
  <c r="AC206" i="25"/>
  <c r="AC6" i="15"/>
  <c r="AC164" i="21"/>
  <c r="AC69" i="15"/>
  <c r="AC83" i="17"/>
  <c r="AC5" i="23"/>
  <c r="AC3" i="27"/>
  <c r="AC329" i="3"/>
  <c r="AC208" i="3"/>
  <c r="AC85" i="3"/>
  <c r="AC21" i="3"/>
  <c r="AC37" i="17"/>
  <c r="AC95" i="15"/>
  <c r="AC21" i="15"/>
  <c r="AC3" i="17"/>
  <c r="AC4" i="17" s="1"/>
  <c r="AC108" i="21"/>
  <c r="AC157" i="25"/>
  <c r="AC3" i="25"/>
  <c r="AC3" i="21"/>
  <c r="AC313" i="3"/>
  <c r="AC200" i="3"/>
  <c r="AC153" i="3"/>
  <c r="AC9" i="3"/>
  <c r="AC3" i="15"/>
  <c r="AC4" i="15" s="1"/>
  <c r="AC22" i="17"/>
  <c r="AC54" i="15"/>
  <c r="AC56" i="15" s="1"/>
  <c r="AC29" i="17"/>
  <c r="AC19" i="21"/>
  <c r="AC17" i="25"/>
  <c r="AC5" i="27"/>
  <c r="AC5" i="25"/>
  <c r="AC300" i="3"/>
  <c r="AC182" i="3"/>
  <c r="AC145" i="3"/>
  <c r="AD3" i="3"/>
  <c r="AR35" i="27"/>
  <c r="AR47" i="3"/>
  <c r="AR74" i="3" s="1"/>
  <c r="AT93" i="3"/>
  <c r="BK55" i="25"/>
  <c r="AS79" i="3"/>
  <c r="AS93" i="17"/>
  <c r="BC62" i="25"/>
  <c r="BB89" i="25"/>
  <c r="BB103" i="25" s="1"/>
  <c r="AT78" i="21"/>
  <c r="AU52" i="21"/>
  <c r="AS29" i="27"/>
  <c r="AS24" i="27"/>
  <c r="AS68" i="27"/>
  <c r="AE61" i="3"/>
  <c r="AE87" i="17"/>
  <c r="AT81" i="23"/>
  <c r="AT84" i="23"/>
  <c r="AT88" i="23"/>
  <c r="AT89" i="23" s="1"/>
  <c r="AA78" i="17"/>
  <c r="AA80" i="17" s="1"/>
  <c r="AB57" i="15"/>
  <c r="AB69" i="17"/>
  <c r="AB75" i="17"/>
  <c r="AB65" i="17"/>
  <c r="AB72" i="17"/>
  <c r="AB64" i="17"/>
  <c r="AB66" i="17"/>
  <c r="AB76" i="17"/>
  <c r="AB61" i="17"/>
  <c r="AB67" i="17"/>
  <c r="AB57" i="17"/>
  <c r="AB68" i="17"/>
  <c r="AB70" i="17"/>
  <c r="AB74" i="17"/>
  <c r="AB53" i="17"/>
  <c r="AB59" i="17"/>
  <c r="AB71" i="17"/>
  <c r="AB54" i="17"/>
  <c r="AB52" i="17"/>
  <c r="AB55" i="17"/>
  <c r="AB77" i="17"/>
  <c r="AB56" i="17"/>
  <c r="AB73" i="17"/>
  <c r="AB63" i="17"/>
  <c r="AB62" i="17"/>
  <c r="AB58" i="17"/>
  <c r="AB60" i="17"/>
  <c r="AZ220" i="25"/>
  <c r="AQ17" i="17"/>
  <c r="AP159" i="3"/>
  <c r="BB74" i="23"/>
  <c r="AU32" i="3"/>
  <c r="AT52" i="3"/>
  <c r="AS27" i="3"/>
  <c r="AS21" i="27"/>
  <c r="AS51" i="27" s="1"/>
  <c r="AV73" i="23"/>
  <c r="AU83" i="23"/>
  <c r="BS90" i="25"/>
  <c r="BT63" i="25"/>
  <c r="AN146" i="21" l="1"/>
  <c r="AN112" i="21"/>
  <c r="AN111" i="21"/>
  <c r="AN113" i="21"/>
  <c r="AN147" i="21" s="1"/>
  <c r="AL197" i="25"/>
  <c r="AL198" i="25" s="1"/>
  <c r="AL199" i="25" s="1"/>
  <c r="AL54" i="25" s="1"/>
  <c r="AN145" i="21"/>
  <c r="AN150" i="21" s="1"/>
  <c r="AN151" i="21" s="1"/>
  <c r="AN45" i="21" s="1"/>
  <c r="AN71" i="21" s="1"/>
  <c r="AV134" i="21"/>
  <c r="AM194" i="25"/>
  <c r="AS77" i="3"/>
  <c r="AN115" i="21"/>
  <c r="AO110" i="21" s="1"/>
  <c r="AO111" i="21" s="1"/>
  <c r="AM161" i="25"/>
  <c r="AM164" i="25" s="1"/>
  <c r="AN159" i="25" s="1"/>
  <c r="AT30" i="3"/>
  <c r="AT88" i="3" s="1"/>
  <c r="AW149" i="21"/>
  <c r="AK111" i="27"/>
  <c r="AK114" i="27" s="1"/>
  <c r="AK115" i="27" s="1"/>
  <c r="AK116" i="27" s="1"/>
  <c r="AK47" i="27" s="1"/>
  <c r="AM195" i="25"/>
  <c r="AH110" i="25"/>
  <c r="AH111" i="25" s="1"/>
  <c r="AK104" i="3"/>
  <c r="AK105" i="3" s="1"/>
  <c r="AM193" i="25"/>
  <c r="AJ51" i="27"/>
  <c r="AM192" i="25"/>
  <c r="AK79" i="27"/>
  <c r="AL74" i="27" s="1"/>
  <c r="AL108" i="27" s="1"/>
  <c r="AS91" i="17"/>
  <c r="X339" i="3"/>
  <c r="X341" i="3" s="1"/>
  <c r="AT49" i="16"/>
  <c r="V27" i="16"/>
  <c r="AL100" i="21"/>
  <c r="AL87" i="21"/>
  <c r="AN48" i="21"/>
  <c r="AM74" i="21"/>
  <c r="X131" i="3"/>
  <c r="X210" i="3"/>
  <c r="X213" i="3" s="1"/>
  <c r="X133" i="3"/>
  <c r="CS134" i="3" s="1"/>
  <c r="X132" i="3"/>
  <c r="AT30" i="16" s="1"/>
  <c r="V30" i="16"/>
  <c r="V85" i="16" s="1"/>
  <c r="V1" i="16" s="1"/>
  <c r="AK265" i="3"/>
  <c r="AK305" i="3" s="1"/>
  <c r="AK303" i="3" s="1"/>
  <c r="AK304" i="3"/>
  <c r="AL20" i="25"/>
  <c r="AL29" i="3" s="1"/>
  <c r="AV26" i="21"/>
  <c r="AV86" i="21"/>
  <c r="AV99" i="21"/>
  <c r="AV168" i="25"/>
  <c r="AV196" i="25" s="1"/>
  <c r="AU179" i="25"/>
  <c r="AU203" i="25"/>
  <c r="AU204" i="25" s="1"/>
  <c r="AU184" i="25"/>
  <c r="AJ49" i="3"/>
  <c r="AJ76" i="3" s="1"/>
  <c r="AJ35" i="25"/>
  <c r="AW73" i="21"/>
  <c r="AX60" i="21"/>
  <c r="AK20" i="25"/>
  <c r="AK29" i="3" s="1"/>
  <c r="AK81" i="25"/>
  <c r="AL81" i="25" s="1"/>
  <c r="BS49" i="27"/>
  <c r="BR62" i="27"/>
  <c r="BR19" i="27"/>
  <c r="BR26" i="3" s="1"/>
  <c r="BQ56" i="27"/>
  <c r="BQ30" i="27"/>
  <c r="AY17" i="21"/>
  <c r="AX20" i="17"/>
  <c r="AX125" i="21"/>
  <c r="AW135" i="21"/>
  <c r="AW133" i="21" s="1"/>
  <c r="AW138" i="21" s="1"/>
  <c r="AW139" i="21" s="1"/>
  <c r="BV20" i="23"/>
  <c r="BV55" i="23"/>
  <c r="AY99" i="27"/>
  <c r="AY97" i="27" s="1"/>
  <c r="AZ89" i="27"/>
  <c r="AR85" i="25"/>
  <c r="AS58" i="25"/>
  <c r="AR90" i="17"/>
  <c r="AR64" i="3"/>
  <c r="AU37" i="3"/>
  <c r="AT81" i="3"/>
  <c r="AT34" i="3"/>
  <c r="AT89" i="3" s="1"/>
  <c r="BW25" i="3"/>
  <c r="BW39" i="23"/>
  <c r="AS73" i="25"/>
  <c r="AS100" i="25"/>
  <c r="AS30" i="25"/>
  <c r="AU9" i="17"/>
  <c r="AV272" i="3"/>
  <c r="AW336" i="3"/>
  <c r="AX289" i="3"/>
  <c r="AQ29" i="25"/>
  <c r="AQ99" i="25"/>
  <c r="AV102" i="23"/>
  <c r="AV103" i="23" s="1"/>
  <c r="AW68" i="23"/>
  <c r="AV79" i="23"/>
  <c r="BU26" i="23"/>
  <c r="BU45" i="3"/>
  <c r="BU72" i="3" s="1"/>
  <c r="BU50" i="23"/>
  <c r="AT335" i="3"/>
  <c r="AU288" i="3"/>
  <c r="BW23" i="23"/>
  <c r="BW49" i="23"/>
  <c r="BW53" i="23"/>
  <c r="BX19" i="23"/>
  <c r="BY36" i="23"/>
  <c r="BX38" i="23"/>
  <c r="BX47" i="23"/>
  <c r="AT86" i="25"/>
  <c r="AU59" i="25"/>
  <c r="DQ286" i="3"/>
  <c r="DQ293" i="3" s="1"/>
  <c r="AT100" i="27"/>
  <c r="AT120" i="27"/>
  <c r="AT121" i="27" s="1"/>
  <c r="AT84" i="27"/>
  <c r="AU83" i="27"/>
  <c r="AT98" i="27"/>
  <c r="AW162" i="21"/>
  <c r="AX160" i="21"/>
  <c r="AT35" i="16"/>
  <c r="AT84" i="16"/>
  <c r="AU31" i="3"/>
  <c r="AT170" i="25"/>
  <c r="AS188" i="25"/>
  <c r="AS189" i="25" s="1"/>
  <c r="BT24" i="21"/>
  <c r="BT98" i="21"/>
  <c r="BT85" i="21"/>
  <c r="X101" i="15"/>
  <c r="X74" i="15"/>
  <c r="X76" i="15" s="1"/>
  <c r="X78" i="15" s="1"/>
  <c r="Y240" i="3"/>
  <c r="X243" i="3"/>
  <c r="AM58" i="21"/>
  <c r="AM23" i="21"/>
  <c r="AM84" i="21"/>
  <c r="AM97" i="21"/>
  <c r="AV56" i="25"/>
  <c r="AV83" i="25" s="1"/>
  <c r="AU83" i="25"/>
  <c r="AL76" i="27"/>
  <c r="AR48" i="23"/>
  <c r="AR54" i="23" s="1"/>
  <c r="AS37" i="23"/>
  <c r="AW221" i="25"/>
  <c r="AV222" i="25"/>
  <c r="AR209" i="25"/>
  <c r="AQ210" i="25"/>
  <c r="BA172" i="25"/>
  <c r="AZ178" i="25"/>
  <c r="CO72" i="21"/>
  <c r="CP46" i="21"/>
  <c r="CP72" i="21" s="1"/>
  <c r="AJ63" i="27"/>
  <c r="AJ70" i="27" s="1"/>
  <c r="AJ23" i="27"/>
  <c r="AJ27" i="27"/>
  <c r="AJ67" i="27"/>
  <c r="AJ54" i="27"/>
  <c r="AJ57" i="27" s="1"/>
  <c r="AI25" i="27"/>
  <c r="AI46" i="3"/>
  <c r="AI73" i="3" s="1"/>
  <c r="AI34" i="27"/>
  <c r="BN43" i="23"/>
  <c r="BM44" i="23"/>
  <c r="AQ137" i="25"/>
  <c r="AQ138" i="25" s="1"/>
  <c r="AQ133" i="25"/>
  <c r="AS65" i="3"/>
  <c r="AX183" i="25"/>
  <c r="AY174" i="25"/>
  <c r="AW131" i="21"/>
  <c r="AX119" i="21"/>
  <c r="AW155" i="21"/>
  <c r="AW156" i="21" s="1"/>
  <c r="AW134" i="21"/>
  <c r="AU208" i="25"/>
  <c r="AT27" i="21"/>
  <c r="AT92" i="21"/>
  <c r="AQ181" i="25"/>
  <c r="AR175" i="25"/>
  <c r="CM62" i="3"/>
  <c r="CM88" i="17"/>
  <c r="BR79" i="21"/>
  <c r="BR92" i="21" s="1"/>
  <c r="BS53" i="21"/>
  <c r="CO26" i="23"/>
  <c r="CO50" i="23"/>
  <c r="CO45" i="3"/>
  <c r="CO72" i="3" s="1"/>
  <c r="AT125" i="25"/>
  <c r="AS134" i="25"/>
  <c r="AT112" i="27"/>
  <c r="AV271" i="3"/>
  <c r="AU276" i="3"/>
  <c r="AU319" i="3"/>
  <c r="AS78" i="3"/>
  <c r="AS92" i="17"/>
  <c r="BU98" i="21"/>
  <c r="BU24" i="21"/>
  <c r="BV98" i="21"/>
  <c r="BU85" i="21"/>
  <c r="X260" i="3"/>
  <c r="Y111" i="3"/>
  <c r="X12" i="17"/>
  <c r="X13" i="17" s="1"/>
  <c r="X294" i="3"/>
  <c r="X296" i="3" s="1"/>
  <c r="AT7" i="16"/>
  <c r="AT97" i="25"/>
  <c r="AT31" i="25"/>
  <c r="AL77" i="27"/>
  <c r="AW259" i="3"/>
  <c r="AV321" i="3"/>
  <c r="CN85" i="21"/>
  <c r="CN24" i="21"/>
  <c r="CN98" i="21"/>
  <c r="AH64" i="27"/>
  <c r="AH32" i="27"/>
  <c r="AH36" i="27"/>
  <c r="AW216" i="25"/>
  <c r="AX214" i="25"/>
  <c r="AV129" i="21"/>
  <c r="AU140" i="21"/>
  <c r="AU141" i="21" s="1"/>
  <c r="AU123" i="21"/>
  <c r="AO146" i="21"/>
  <c r="AO145" i="21"/>
  <c r="AT18" i="16"/>
  <c r="AT19" i="16" s="1"/>
  <c r="AT82" i="16" s="1"/>
  <c r="X35" i="17"/>
  <c r="AX256" i="3"/>
  <c r="BS62" i="3"/>
  <c r="BS88" i="17"/>
  <c r="AM194" i="3"/>
  <c r="AM247" i="3"/>
  <c r="AM248" i="3" s="1"/>
  <c r="AN193" i="3"/>
  <c r="AN246" i="3" s="1"/>
  <c r="CP20" i="23"/>
  <c r="CP55" i="23"/>
  <c r="AG168" i="3"/>
  <c r="AG170" i="3" s="1"/>
  <c r="AG180" i="3"/>
  <c r="AG179" i="3"/>
  <c r="AF114" i="15"/>
  <c r="AF113" i="15"/>
  <c r="AW67" i="23"/>
  <c r="AV72" i="23"/>
  <c r="AV66" i="21"/>
  <c r="AV79" i="21" s="1"/>
  <c r="AU79" i="21"/>
  <c r="AP182" i="25"/>
  <c r="AP186" i="25"/>
  <c r="AP187" i="25" s="1"/>
  <c r="AV84" i="25"/>
  <c r="AV98" i="25" s="1"/>
  <c r="AR132" i="25"/>
  <c r="AR139" i="25"/>
  <c r="AR140" i="25" s="1"/>
  <c r="AR135" i="25"/>
  <c r="BN84" i="21"/>
  <c r="BN23" i="21"/>
  <c r="BN97" i="21"/>
  <c r="AO49" i="23"/>
  <c r="AO23" i="23"/>
  <c r="AO53" i="23"/>
  <c r="AO39" i="23"/>
  <c r="AO25" i="3"/>
  <c r="AK212" i="3"/>
  <c r="AM50" i="23"/>
  <c r="AM26" i="23"/>
  <c r="AM45" i="3"/>
  <c r="AM72" i="3" s="1"/>
  <c r="AD57" i="23"/>
  <c r="AD108" i="25"/>
  <c r="AD72" i="27"/>
  <c r="AD7" i="3"/>
  <c r="AE6" i="3"/>
  <c r="BJ69" i="25"/>
  <c r="BI82" i="25"/>
  <c r="BI96" i="25" s="1"/>
  <c r="AP47" i="23"/>
  <c r="AQ36" i="23"/>
  <c r="AP19" i="23"/>
  <c r="AP38" i="23"/>
  <c r="AK267" i="3"/>
  <c r="AN20" i="23"/>
  <c r="AN55" i="23"/>
  <c r="BO71" i="21"/>
  <c r="BP45" i="21"/>
  <c r="CA44" i="23"/>
  <c r="CB42" i="23"/>
  <c r="AQ44" i="23"/>
  <c r="AR42" i="23"/>
  <c r="AW38" i="3"/>
  <c r="BA167" i="21"/>
  <c r="AZ168" i="21"/>
  <c r="BN27" i="21"/>
  <c r="BN89" i="21"/>
  <c r="BN102" i="21"/>
  <c r="BQ82" i="27"/>
  <c r="BP63" i="21"/>
  <c r="BO76" i="21"/>
  <c r="AT95" i="27"/>
  <c r="AT87" i="27"/>
  <c r="AU94" i="27"/>
  <c r="AT102" i="27"/>
  <c r="AT103" i="27" s="1"/>
  <c r="AT93" i="27"/>
  <c r="AS104" i="27"/>
  <c r="AS105" i="27" s="1"/>
  <c r="BR50" i="21"/>
  <c r="AV32" i="3"/>
  <c r="AU52" i="3"/>
  <c r="AT86" i="23"/>
  <c r="AT87" i="23" s="1"/>
  <c r="AT82" i="23"/>
  <c r="AT104" i="21"/>
  <c r="AT91" i="21"/>
  <c r="BD62" i="25"/>
  <c r="BC89" i="25"/>
  <c r="BC103" i="25" s="1"/>
  <c r="AC57" i="15"/>
  <c r="AH113" i="25"/>
  <c r="BJ103" i="21"/>
  <c r="BJ90" i="21"/>
  <c r="AT29" i="27"/>
  <c r="AT24" i="27"/>
  <c r="AT68" i="27"/>
  <c r="AV72" i="21"/>
  <c r="AW46" i="21"/>
  <c r="BT90" i="25"/>
  <c r="BU63" i="25"/>
  <c r="AU81" i="23"/>
  <c r="AU84" i="23"/>
  <c r="AU88" i="23"/>
  <c r="AU89" i="23" s="1"/>
  <c r="AR17" i="17"/>
  <c r="AQ159" i="3"/>
  <c r="AE92" i="25"/>
  <c r="AE36" i="25"/>
  <c r="AE32" i="25"/>
  <c r="BL51" i="21"/>
  <c r="BK77" i="21"/>
  <c r="BU57" i="25"/>
  <c r="AF28" i="3"/>
  <c r="AF21" i="25"/>
  <c r="AF65" i="25" s="1"/>
  <c r="AT27" i="3"/>
  <c r="AT21" i="27"/>
  <c r="AT51" i="27" s="1"/>
  <c r="AU98" i="21"/>
  <c r="AU85" i="21"/>
  <c r="AU24" i="21"/>
  <c r="BD60" i="25"/>
  <c r="BC87" i="25"/>
  <c r="BC101" i="25" s="1"/>
  <c r="AW73" i="23"/>
  <c r="AV83" i="23"/>
  <c r="BA220" i="25"/>
  <c r="AB78" i="17"/>
  <c r="AB80" i="17" s="1"/>
  <c r="AC52" i="17"/>
  <c r="AC56" i="17"/>
  <c r="AC70" i="17"/>
  <c r="AC59" i="17"/>
  <c r="AC53" i="17"/>
  <c r="AC74" i="17"/>
  <c r="AC69" i="17"/>
  <c r="AC63" i="17"/>
  <c r="AC76" i="17"/>
  <c r="AC67" i="17"/>
  <c r="AC57" i="17"/>
  <c r="AC66" i="17"/>
  <c r="AC77" i="17"/>
  <c r="AC72" i="17"/>
  <c r="AC71" i="17"/>
  <c r="AC68" i="17"/>
  <c r="AC75" i="17"/>
  <c r="AC61" i="17"/>
  <c r="AC58" i="17"/>
  <c r="AC54" i="17"/>
  <c r="AC64" i="17"/>
  <c r="AC65" i="17"/>
  <c r="AC60" i="17"/>
  <c r="AC62" i="17"/>
  <c r="AC73" i="17"/>
  <c r="AC55" i="17"/>
  <c r="BA35" i="3"/>
  <c r="AE75" i="3"/>
  <c r="BG167" i="25"/>
  <c r="AF75" i="25"/>
  <c r="AF78" i="25" s="1"/>
  <c r="AF102" i="25"/>
  <c r="AF23" i="25"/>
  <c r="AF91" i="25"/>
  <c r="AF105" i="25" s="1"/>
  <c r="AF27" i="25"/>
  <c r="AU119" i="25"/>
  <c r="AT130" i="25"/>
  <c r="AT154" i="25"/>
  <c r="AT155" i="25" s="1"/>
  <c r="AU50" i="27"/>
  <c r="AV48" i="27"/>
  <c r="AU20" i="27"/>
  <c r="AU61" i="27"/>
  <c r="AT147" i="25"/>
  <c r="AT79" i="3"/>
  <c r="AT93" i="17"/>
  <c r="AT50" i="3"/>
  <c r="AT77" i="3" s="1"/>
  <c r="BC74" i="23"/>
  <c r="AS35" i="27"/>
  <c r="AS47" i="3"/>
  <c r="AS74" i="3" s="1"/>
  <c r="AU78" i="21"/>
  <c r="AV52" i="21"/>
  <c r="BL55" i="25"/>
  <c r="AU93" i="3"/>
  <c r="AD54" i="15"/>
  <c r="AD56" i="15" s="1"/>
  <c r="AD29" i="17"/>
  <c r="AD212" i="25"/>
  <c r="AD37" i="17"/>
  <c r="AD157" i="25"/>
  <c r="AD3" i="27"/>
  <c r="AD3" i="21"/>
  <c r="AD19" i="21"/>
  <c r="AD300" i="3"/>
  <c r="AD208" i="3"/>
  <c r="AD85" i="3"/>
  <c r="AD68" i="3"/>
  <c r="AD6" i="17"/>
  <c r="AD3" i="15"/>
  <c r="AD4" i="15" s="1"/>
  <c r="AD22" i="17"/>
  <c r="AD17" i="25"/>
  <c r="AD3" i="25"/>
  <c r="AD5" i="21"/>
  <c r="AD6" i="15"/>
  <c r="AD5" i="27"/>
  <c r="AD253" i="3"/>
  <c r="AD200" i="3"/>
  <c r="AD41" i="3"/>
  <c r="AD21" i="3"/>
  <c r="AD69" i="15"/>
  <c r="AD218" i="25"/>
  <c r="AD158" i="21"/>
  <c r="AD5" i="25"/>
  <c r="AD17" i="23"/>
  <c r="AD164" i="21"/>
  <c r="AD329" i="3"/>
  <c r="AD182" i="3"/>
  <c r="AD153" i="3"/>
  <c r="AD9" i="3"/>
  <c r="AD95" i="15"/>
  <c r="AD21" i="15"/>
  <c r="AD83" i="17"/>
  <c r="AD49" i="17"/>
  <c r="AD206" i="25"/>
  <c r="AD3" i="17"/>
  <c r="AD4" i="17" s="1"/>
  <c r="AD17" i="27"/>
  <c r="AD5" i="23"/>
  <c r="AD108" i="21"/>
  <c r="AD313" i="3"/>
  <c r="AD164" i="3"/>
  <c r="AD145" i="3"/>
  <c r="AE3" i="3"/>
  <c r="BH166" i="21"/>
  <c r="AG88" i="25"/>
  <c r="AG19" i="25"/>
  <c r="AG64" i="25"/>
  <c r="BT83" i="25"/>
  <c r="BT97" i="25" s="1"/>
  <c r="BU56" i="25"/>
  <c r="AT62" i="3"/>
  <c r="AT88" i="17"/>
  <c r="BB78" i="23"/>
  <c r="AK320" i="3" l="1"/>
  <c r="AK63" i="15"/>
  <c r="AW136" i="21"/>
  <c r="AL75" i="27"/>
  <c r="AL109" i="27"/>
  <c r="AL110" i="27"/>
  <c r="AH112" i="25"/>
  <c r="AO144" i="21"/>
  <c r="AO112" i="21"/>
  <c r="AO113" i="21"/>
  <c r="AM197" i="25"/>
  <c r="AM198" i="25" s="1"/>
  <c r="AM199" i="25" s="1"/>
  <c r="AM54" i="25" s="1"/>
  <c r="AM81" i="25" s="1"/>
  <c r="AU30" i="3"/>
  <c r="AU88" i="3" s="1"/>
  <c r="AU51" i="3"/>
  <c r="V29" i="16"/>
  <c r="AL103" i="3"/>
  <c r="AL265" i="3" s="1"/>
  <c r="AL320" i="3" s="1"/>
  <c r="AU112" i="27"/>
  <c r="X135" i="3"/>
  <c r="X141" i="3"/>
  <c r="AM100" i="21"/>
  <c r="AM87" i="21"/>
  <c r="AN74" i="21"/>
  <c r="AO48" i="21"/>
  <c r="AH115" i="25"/>
  <c r="AI110" i="25" s="1"/>
  <c r="AI113" i="25" s="1"/>
  <c r="AL95" i="25"/>
  <c r="AL24" i="25"/>
  <c r="AL68" i="25"/>
  <c r="AM20" i="25"/>
  <c r="AM29" i="3" s="1"/>
  <c r="AX73" i="21"/>
  <c r="AY60" i="21"/>
  <c r="AN162" i="25"/>
  <c r="AN161" i="25"/>
  <c r="AN194" i="25"/>
  <c r="AN193" i="25"/>
  <c r="AN192" i="25"/>
  <c r="AN160" i="25"/>
  <c r="AK68" i="25"/>
  <c r="AK24" i="25"/>
  <c r="AK95" i="25"/>
  <c r="AW26" i="21"/>
  <c r="AW99" i="21"/>
  <c r="AW86" i="21"/>
  <c r="AV203" i="25"/>
  <c r="AV204" i="25" s="1"/>
  <c r="AW168" i="25"/>
  <c r="AV179" i="25"/>
  <c r="AV184" i="25"/>
  <c r="AZ17" i="21"/>
  <c r="AY20" i="17"/>
  <c r="BR30" i="27"/>
  <c r="BR56" i="27"/>
  <c r="AU147" i="25"/>
  <c r="BS62" i="27"/>
  <c r="BS19" i="27"/>
  <c r="BS26" i="3" s="1"/>
  <c r="BT49" i="27"/>
  <c r="AV59" i="25"/>
  <c r="AU86" i="25"/>
  <c r="BX49" i="23"/>
  <c r="BX53" i="23"/>
  <c r="BX23" i="23"/>
  <c r="BZ36" i="23"/>
  <c r="BY38" i="23"/>
  <c r="BY19" i="23"/>
  <c r="BY47" i="23"/>
  <c r="AU81" i="3"/>
  <c r="AU34" i="3"/>
  <c r="AU89" i="3" s="1"/>
  <c r="AV37" i="3"/>
  <c r="AR29" i="25"/>
  <c r="AR99" i="25"/>
  <c r="BV45" i="3"/>
  <c r="BV72" i="3" s="1"/>
  <c r="BV26" i="23"/>
  <c r="BV50" i="23"/>
  <c r="AX135" i="21"/>
  <c r="AX133" i="21" s="1"/>
  <c r="AX138" i="21" s="1"/>
  <c r="AX139" i="21" s="1"/>
  <c r="AY125" i="21"/>
  <c r="AW84" i="25"/>
  <c r="AW31" i="25" s="1"/>
  <c r="AT65" i="3"/>
  <c r="AT100" i="25"/>
  <c r="AT73" i="25"/>
  <c r="AT30" i="25"/>
  <c r="BX25" i="3"/>
  <c r="BX39" i="23"/>
  <c r="BW55" i="23"/>
  <c r="BW20" i="23"/>
  <c r="AU335" i="3"/>
  <c r="AV288" i="3"/>
  <c r="AW102" i="23"/>
  <c r="AW103" i="23" s="1"/>
  <c r="AX68" i="23"/>
  <c r="AW79" i="23"/>
  <c r="AY289" i="3"/>
  <c r="AX336" i="3"/>
  <c r="AW272" i="3"/>
  <c r="AV9" i="17"/>
  <c r="AS90" i="17"/>
  <c r="AS64" i="3"/>
  <c r="AS85" i="25"/>
  <c r="AT58" i="25"/>
  <c r="AZ99" i="27"/>
  <c r="AZ97" i="27" s="1"/>
  <c r="BA89" i="27"/>
  <c r="AW98" i="25"/>
  <c r="AU92" i="21"/>
  <c r="AU27" i="21"/>
  <c r="AH167" i="3"/>
  <c r="AG106" i="15"/>
  <c r="AG173" i="3"/>
  <c r="AG340" i="3" s="1"/>
  <c r="AG171" i="3"/>
  <c r="CP45" i="3"/>
  <c r="CP72" i="3" s="1"/>
  <c r="CP26" i="23"/>
  <c r="CP50" i="23"/>
  <c r="AY256" i="3"/>
  <c r="AW129" i="21"/>
  <c r="AV140" i="21"/>
  <c r="AV141" i="21" s="1"/>
  <c r="AV123" i="21"/>
  <c r="AW321" i="3"/>
  <c r="AX259" i="3"/>
  <c r="X14" i="17"/>
  <c r="X42" i="17"/>
  <c r="X298" i="3"/>
  <c r="AT9" i="16"/>
  <c r="AT12" i="16" s="1"/>
  <c r="AT81" i="16" s="1"/>
  <c r="AT1" i="16" s="1"/>
  <c r="X286" i="3"/>
  <c r="X293" i="3" s="1"/>
  <c r="AS132" i="25"/>
  <c r="AS139" i="25"/>
  <c r="AS140" i="25" s="1"/>
  <c r="AS135" i="25"/>
  <c r="AQ182" i="25"/>
  <c r="AQ186" i="25"/>
  <c r="AQ187" i="25" s="1"/>
  <c r="AT91" i="17"/>
  <c r="AV208" i="25"/>
  <c r="AN185" i="3"/>
  <c r="AN192" i="3" s="1"/>
  <c r="BN44" i="23"/>
  <c r="BO43" i="23"/>
  <c r="AJ25" i="27"/>
  <c r="AJ34" i="27"/>
  <c r="AJ46" i="3"/>
  <c r="AJ73" i="3" s="1"/>
  <c r="CP85" i="21"/>
  <c r="CP98" i="21"/>
  <c r="CP24" i="21"/>
  <c r="AS48" i="23"/>
  <c r="AS54" i="23" s="1"/>
  <c r="AT37" i="23"/>
  <c r="AL79" i="27"/>
  <c r="AM74" i="27" s="1"/>
  <c r="AM77" i="27" s="1"/>
  <c r="AV97" i="25"/>
  <c r="AW97" i="25"/>
  <c r="AV31" i="25"/>
  <c r="X80" i="15"/>
  <c r="X85" i="15" s="1"/>
  <c r="X79" i="15"/>
  <c r="X84" i="15" s="1"/>
  <c r="X81" i="15"/>
  <c r="X86" i="15" s="1"/>
  <c r="BT88" i="17"/>
  <c r="BT62" i="3"/>
  <c r="AT188" i="25"/>
  <c r="AT189" i="25" s="1"/>
  <c r="AU170" i="25"/>
  <c r="AU50" i="3"/>
  <c r="AV31" i="3"/>
  <c r="AX162" i="21"/>
  <c r="AY160" i="21"/>
  <c r="AN23" i="21"/>
  <c r="AN97" i="21"/>
  <c r="AN84" i="21"/>
  <c r="AN58" i="21"/>
  <c r="AR137" i="25"/>
  <c r="AR138" i="25" s="1"/>
  <c r="AR133" i="25"/>
  <c r="AV92" i="21"/>
  <c r="AV27" i="21"/>
  <c r="AX67" i="23"/>
  <c r="AW72" i="23"/>
  <c r="AM223" i="3"/>
  <c r="AM198" i="3"/>
  <c r="AY214" i="25"/>
  <c r="AX216" i="25"/>
  <c r="CN88" i="17"/>
  <c r="CN62" i="3"/>
  <c r="AL111" i="27"/>
  <c r="AT25" i="16"/>
  <c r="X99" i="15"/>
  <c r="X297" i="3"/>
  <c r="Y263" i="3"/>
  <c r="Y269" i="3" s="1"/>
  <c r="AU11" i="16" s="1"/>
  <c r="Y113" i="3"/>
  <c r="BU62" i="3"/>
  <c r="BU88" i="17"/>
  <c r="AW271" i="3"/>
  <c r="AV276" i="3"/>
  <c r="AV319" i="3"/>
  <c r="AU125" i="25"/>
  <c r="AT134" i="25"/>
  <c r="BS79" i="21"/>
  <c r="BS92" i="21" s="1"/>
  <c r="BT53" i="21"/>
  <c r="AR181" i="25"/>
  <c r="AS175" i="25"/>
  <c r="AX155" i="21"/>
  <c r="AX156" i="21" s="1"/>
  <c r="AX131" i="21"/>
  <c r="AY119" i="21"/>
  <c r="AX136" i="21"/>
  <c r="AY183" i="25"/>
  <c r="AZ174" i="25"/>
  <c r="AK50" i="27"/>
  <c r="AK19" i="27"/>
  <c r="AX149" i="21"/>
  <c r="AI64" i="27"/>
  <c r="AI36" i="27"/>
  <c r="AI32" i="27"/>
  <c r="AK60" i="27"/>
  <c r="CO85" i="21"/>
  <c r="CO98" i="21"/>
  <c r="CO24" i="21"/>
  <c r="BB172" i="25"/>
  <c r="BA178" i="25"/>
  <c r="AS209" i="25"/>
  <c r="AR210" i="25"/>
  <c r="AX221" i="25"/>
  <c r="AW222" i="25"/>
  <c r="AU97" i="25"/>
  <c r="AU31" i="25"/>
  <c r="AT92" i="17"/>
  <c r="AT78" i="3"/>
  <c r="AU100" i="27"/>
  <c r="AU120" i="27"/>
  <c r="AU121" i="27" s="1"/>
  <c r="AU84" i="27"/>
  <c r="AU98" i="27"/>
  <c r="AV83" i="27"/>
  <c r="AF6" i="3"/>
  <c r="AE7" i="3"/>
  <c r="AE57" i="23"/>
  <c r="AE72" i="27"/>
  <c r="AE108" i="25"/>
  <c r="BP71" i="21"/>
  <c r="BQ45" i="21"/>
  <c r="AP25" i="3"/>
  <c r="AP39" i="23"/>
  <c r="BK69" i="25"/>
  <c r="BJ82" i="25"/>
  <c r="BJ96" i="25" s="1"/>
  <c r="CB44" i="23"/>
  <c r="CC42" i="23"/>
  <c r="AL305" i="3"/>
  <c r="AL303" i="3" s="1"/>
  <c r="AP49" i="23"/>
  <c r="AP23" i="23"/>
  <c r="AP53" i="23"/>
  <c r="AL104" i="3"/>
  <c r="AL304" i="3"/>
  <c r="BO84" i="21"/>
  <c r="BO97" i="21"/>
  <c r="BO23" i="21"/>
  <c r="AQ19" i="23"/>
  <c r="AQ47" i="23"/>
  <c r="AQ38" i="23"/>
  <c r="AR36" i="23"/>
  <c r="AS42" i="23"/>
  <c r="AR44" i="23"/>
  <c r="AN50" i="23"/>
  <c r="AN26" i="23"/>
  <c r="AN45" i="3"/>
  <c r="AN72" i="3" s="1"/>
  <c r="AK309" i="3"/>
  <c r="AK322" i="3"/>
  <c r="AK323" i="3" s="1"/>
  <c r="AL267" i="3"/>
  <c r="AO20" i="23"/>
  <c r="AO55" i="23"/>
  <c r="AX38" i="3"/>
  <c r="BS50" i="21"/>
  <c r="AU93" i="27"/>
  <c r="AT104" i="27"/>
  <c r="AT105" i="27" s="1"/>
  <c r="BO89" i="21"/>
  <c r="BO27" i="21"/>
  <c r="BO102" i="21"/>
  <c r="AU87" i="27"/>
  <c r="AU95" i="27"/>
  <c r="AV94" i="27"/>
  <c r="AU102" i="27"/>
  <c r="AU103" i="27" s="1"/>
  <c r="BQ63" i="21"/>
  <c r="BP76" i="21"/>
  <c r="BB167" i="21"/>
  <c r="BA168" i="21"/>
  <c r="BR82" i="27"/>
  <c r="AG28" i="3"/>
  <c r="AG21" i="25"/>
  <c r="AG65" i="25" s="1"/>
  <c r="AE212" i="25"/>
  <c r="AE95" i="15"/>
  <c r="AE21" i="15"/>
  <c r="AE37" i="17"/>
  <c r="AE3" i="27"/>
  <c r="AE3" i="15"/>
  <c r="AE4" i="15" s="1"/>
  <c r="AE5" i="27"/>
  <c r="AE218" i="25"/>
  <c r="AE108" i="21"/>
  <c r="AE83" i="17"/>
  <c r="AE29" i="17"/>
  <c r="AE5" i="25"/>
  <c r="AE19" i="21"/>
  <c r="AE17" i="23"/>
  <c r="AE17" i="25"/>
  <c r="AE313" i="3"/>
  <c r="AE200" i="3"/>
  <c r="AE153" i="3"/>
  <c r="AE9" i="3"/>
  <c r="AE69" i="15"/>
  <c r="AE54" i="15"/>
  <c r="AE56" i="15" s="1"/>
  <c r="AE6" i="17"/>
  <c r="AE17" i="27"/>
  <c r="AE5" i="23"/>
  <c r="AE158" i="21"/>
  <c r="AE300" i="3"/>
  <c r="AE182" i="3"/>
  <c r="AE145" i="3"/>
  <c r="AE41" i="3"/>
  <c r="AE6" i="15"/>
  <c r="AE49" i="17"/>
  <c r="AE5" i="21"/>
  <c r="AE206" i="25"/>
  <c r="AE3" i="21"/>
  <c r="AE253" i="3"/>
  <c r="AE164" i="3"/>
  <c r="AE68" i="3"/>
  <c r="AF3" i="3"/>
  <c r="AE3" i="17"/>
  <c r="AE4" i="17" s="1"/>
  <c r="AE22" i="17"/>
  <c r="AE164" i="21"/>
  <c r="AE3" i="25"/>
  <c r="AE157" i="25"/>
  <c r="AE329" i="3"/>
  <c r="AE208" i="3"/>
  <c r="AE85" i="3"/>
  <c r="AE21" i="3"/>
  <c r="AU29" i="27"/>
  <c r="AU24" i="27"/>
  <c r="AU68" i="27"/>
  <c r="BB35" i="3"/>
  <c r="AV81" i="23"/>
  <c r="AV84" i="23"/>
  <c r="AV88" i="23"/>
  <c r="AV89" i="23" s="1"/>
  <c r="BE60" i="25"/>
  <c r="BD87" i="25"/>
  <c r="BD101" i="25" s="1"/>
  <c r="AU62" i="3"/>
  <c r="AU88" i="17"/>
  <c r="BE62" i="25"/>
  <c r="BD89" i="25"/>
  <c r="BD103" i="25" s="1"/>
  <c r="AG102" i="25"/>
  <c r="AG75" i="25"/>
  <c r="AG78" i="25" s="1"/>
  <c r="AG23" i="25"/>
  <c r="AG91" i="25"/>
  <c r="AG105" i="25" s="1"/>
  <c r="AG27" i="25"/>
  <c r="BD74" i="23"/>
  <c r="AU27" i="3"/>
  <c r="AU21" i="27"/>
  <c r="AU51" i="27" s="1"/>
  <c r="AU130" i="25"/>
  <c r="AU154" i="25"/>
  <c r="AU155" i="25" s="1"/>
  <c r="AV119" i="25"/>
  <c r="AF87" i="17"/>
  <c r="AF61" i="3"/>
  <c r="AX73" i="23"/>
  <c r="AW83" i="23"/>
  <c r="BK103" i="21"/>
  <c r="BK90" i="21"/>
  <c r="AU82" i="23"/>
  <c r="AU86" i="23"/>
  <c r="AU87" i="23" s="1"/>
  <c r="AU79" i="3"/>
  <c r="AU93" i="17"/>
  <c r="AD59" i="17"/>
  <c r="AD57" i="17"/>
  <c r="AD69" i="17"/>
  <c r="AD62" i="17"/>
  <c r="AD58" i="17"/>
  <c r="AD70" i="17"/>
  <c r="AD55" i="17"/>
  <c r="AD63" i="17"/>
  <c r="AD52" i="17"/>
  <c r="AD60" i="17"/>
  <c r="AD64" i="17"/>
  <c r="AD73" i="17"/>
  <c r="AD77" i="17"/>
  <c r="AD68" i="17"/>
  <c r="AD76" i="17"/>
  <c r="AD72" i="17"/>
  <c r="AD75" i="17"/>
  <c r="AD65" i="17"/>
  <c r="AD61" i="17"/>
  <c r="AD74" i="17"/>
  <c r="AD53" i="17"/>
  <c r="AD67" i="17"/>
  <c r="AD71" i="17"/>
  <c r="AD66" i="17"/>
  <c r="AD54" i="17"/>
  <c r="AD56" i="17"/>
  <c r="BC78" i="23"/>
  <c r="AD57" i="15"/>
  <c r="BM55" i="25"/>
  <c r="AW52" i="21"/>
  <c r="AV78" i="21"/>
  <c r="AW48" i="27"/>
  <c r="AV61" i="27"/>
  <c r="AV20" i="27"/>
  <c r="AV50" i="27"/>
  <c r="BH167" i="25"/>
  <c r="AC78" i="17"/>
  <c r="AC80" i="17" s="1"/>
  <c r="BB220" i="25"/>
  <c r="BL77" i="21"/>
  <c r="BM51" i="21"/>
  <c r="AS17" i="17"/>
  <c r="AR159" i="3"/>
  <c r="BU90" i="25"/>
  <c r="BV63" i="25"/>
  <c r="AW72" i="21"/>
  <c r="AX46" i="21"/>
  <c r="AH146" i="25"/>
  <c r="AV52" i="3"/>
  <c r="AW32" i="3"/>
  <c r="BU83" i="25"/>
  <c r="BU97" i="25" s="1"/>
  <c r="BV56" i="25"/>
  <c r="BI166" i="21"/>
  <c r="AV93" i="3"/>
  <c r="AU104" i="21"/>
  <c r="AU91" i="21"/>
  <c r="AF25" i="25"/>
  <c r="AF48" i="3"/>
  <c r="AF34" i="25"/>
  <c r="BV57" i="25"/>
  <c r="AV85" i="21"/>
  <c r="AV98" i="21"/>
  <c r="AV24" i="21"/>
  <c r="AT35" i="27"/>
  <c r="AT47" i="3"/>
  <c r="AT74" i="3" s="1"/>
  <c r="AO115" i="21" l="1"/>
  <c r="AP110" i="21" s="1"/>
  <c r="AP145" i="21"/>
  <c r="AP112" i="21"/>
  <c r="AO147" i="21"/>
  <c r="AO150" i="21" s="1"/>
  <c r="AO151" i="21" s="1"/>
  <c r="AO45" i="21" s="1"/>
  <c r="AH143" i="25"/>
  <c r="AL114" i="27"/>
  <c r="AL115" i="27" s="1"/>
  <c r="AL116" i="27" s="1"/>
  <c r="AL47" i="27" s="1"/>
  <c r="AL50" i="27" s="1"/>
  <c r="AP113" i="21"/>
  <c r="AP111" i="21"/>
  <c r="AU77" i="3"/>
  <c r="AP144" i="21"/>
  <c r="AM103" i="3"/>
  <c r="AM304" i="3" s="1"/>
  <c r="AL211" i="3"/>
  <c r="AV30" i="3"/>
  <c r="AV88" i="3" s="1"/>
  <c r="AV51" i="3"/>
  <c r="AV50" i="3" s="1"/>
  <c r="AV77" i="3" s="1"/>
  <c r="AP146" i="21"/>
  <c r="AN195" i="25"/>
  <c r="AN197" i="25" s="1"/>
  <c r="AN198" i="25" s="1"/>
  <c r="AN199" i="25" s="1"/>
  <c r="AN54" i="25" s="1"/>
  <c r="AX84" i="25"/>
  <c r="AX98" i="25" s="1"/>
  <c r="AV91" i="17"/>
  <c r="AN87" i="21"/>
  <c r="AN100" i="21"/>
  <c r="AO74" i="21"/>
  <c r="AP48" i="21"/>
  <c r="AX168" i="25"/>
  <c r="AW179" i="25"/>
  <c r="AW203" i="25"/>
  <c r="AW204" i="25" s="1"/>
  <c r="AW184" i="25"/>
  <c r="AY73" i="21"/>
  <c r="AZ60" i="21"/>
  <c r="AM24" i="25"/>
  <c r="AM68" i="25"/>
  <c r="AM95" i="25"/>
  <c r="AL35" i="25"/>
  <c r="AL49" i="3"/>
  <c r="AL76" i="3" s="1"/>
  <c r="AW196" i="25"/>
  <c r="AK35" i="25"/>
  <c r="AK49" i="3"/>
  <c r="AK76" i="3" s="1"/>
  <c r="AN164" i="25"/>
  <c r="AO159" i="25" s="1"/>
  <c r="AO160" i="25" s="1"/>
  <c r="AX99" i="21"/>
  <c r="AX26" i="21"/>
  <c r="AX86" i="21"/>
  <c r="BT62" i="27"/>
  <c r="BT19" i="27"/>
  <c r="BT26" i="3" s="1"/>
  <c r="BU49" i="27"/>
  <c r="BS30" i="27"/>
  <c r="BS56" i="27"/>
  <c r="BA17" i="21"/>
  <c r="AZ20" i="17"/>
  <c r="AS29" i="25"/>
  <c r="AS99" i="25"/>
  <c r="AX272" i="3"/>
  <c r="AW9" i="17"/>
  <c r="AY336" i="3"/>
  <c r="AZ289" i="3"/>
  <c r="AY68" i="23"/>
  <c r="AX102" i="23"/>
  <c r="AX103" i="23" s="1"/>
  <c r="AX79" i="23"/>
  <c r="AW288" i="3"/>
  <c r="AV335" i="3"/>
  <c r="BW45" i="3"/>
  <c r="BW72" i="3" s="1"/>
  <c r="BW26" i="23"/>
  <c r="BW50" i="23"/>
  <c r="AT64" i="3"/>
  <c r="AT90" i="17"/>
  <c r="AW37" i="3"/>
  <c r="AV81" i="3"/>
  <c r="AV34" i="3"/>
  <c r="AV89" i="3" s="1"/>
  <c r="BY39" i="23"/>
  <c r="BY25" i="3"/>
  <c r="CA36" i="23"/>
  <c r="BZ38" i="23"/>
  <c r="BZ19" i="23"/>
  <c r="BZ47" i="23"/>
  <c r="AU30" i="25"/>
  <c r="AU73" i="25"/>
  <c r="AU100" i="25"/>
  <c r="AU65" i="3"/>
  <c r="AX134" i="21"/>
  <c r="BB89" i="27"/>
  <c r="BA99" i="27"/>
  <c r="BA97" i="27" s="1"/>
  <c r="AT85" i="25"/>
  <c r="AU58" i="25"/>
  <c r="AY135" i="21"/>
  <c r="AY133" i="21" s="1"/>
  <c r="AY138" i="21" s="1"/>
  <c r="AY139" i="21" s="1"/>
  <c r="AZ125" i="21"/>
  <c r="BY49" i="23"/>
  <c r="BY23" i="23"/>
  <c r="BY53" i="23"/>
  <c r="BX55" i="23"/>
  <c r="BX20" i="23"/>
  <c r="AV86" i="25"/>
  <c r="AW59" i="25"/>
  <c r="AL19" i="27"/>
  <c r="AY221" i="25"/>
  <c r="AX222" i="25"/>
  <c r="AT209" i="25"/>
  <c r="AS210" i="25"/>
  <c r="BC172" i="25"/>
  <c r="BB178" i="25"/>
  <c r="AK67" i="27"/>
  <c r="AK63" i="27"/>
  <c r="AK70" i="27" s="1"/>
  <c r="AK27" i="27"/>
  <c r="AK54" i="27"/>
  <c r="AK57" i="27" s="1"/>
  <c r="AK23" i="27"/>
  <c r="AY149" i="21"/>
  <c r="AY155" i="21"/>
  <c r="AY156" i="21" s="1"/>
  <c r="AY131" i="21"/>
  <c r="AZ119" i="21"/>
  <c r="AR186" i="25"/>
  <c r="AR187" i="25" s="1"/>
  <c r="AR182" i="25"/>
  <c r="AU134" i="25"/>
  <c r="AV125" i="25"/>
  <c r="W23" i="16"/>
  <c r="Y114" i="3"/>
  <c r="Y116" i="3"/>
  <c r="Y34" i="17"/>
  <c r="AT42" i="16"/>
  <c r="AT27" i="16"/>
  <c r="AZ214" i="25"/>
  <c r="AY216" i="25"/>
  <c r="AM64" i="15"/>
  <c r="AM230" i="3"/>
  <c r="AY67" i="23"/>
  <c r="AX72" i="23"/>
  <c r="AZ160" i="21"/>
  <c r="AY162" i="21"/>
  <c r="AW31" i="3"/>
  <c r="AW51" i="3" s="1"/>
  <c r="AU188" i="25"/>
  <c r="AU189" i="25" s="1"/>
  <c r="AV170" i="25"/>
  <c r="AM76" i="27"/>
  <c r="AM111" i="27" s="1"/>
  <c r="AM109" i="27"/>
  <c r="AM110" i="27"/>
  <c r="AM108" i="27"/>
  <c r="AJ36" i="27"/>
  <c r="AJ64" i="27"/>
  <c r="AJ32" i="27"/>
  <c r="AO71" i="21"/>
  <c r="AM75" i="27"/>
  <c r="AS137" i="25"/>
  <c r="AS138" i="25" s="1"/>
  <c r="AS133" i="25"/>
  <c r="X43" i="17"/>
  <c r="AT41" i="16"/>
  <c r="AG104" i="15"/>
  <c r="AG172" i="3"/>
  <c r="AG105" i="15" s="1"/>
  <c r="AU91" i="17"/>
  <c r="AV100" i="27"/>
  <c r="AW83" i="27"/>
  <c r="AV120" i="27"/>
  <c r="AV121" i="27" s="1"/>
  <c r="AV84" i="27"/>
  <c r="AV98" i="27"/>
  <c r="CO88" i="17"/>
  <c r="CO62" i="3"/>
  <c r="AK21" i="27"/>
  <c r="AK51" i="27" s="1"/>
  <c r="AK26" i="3"/>
  <c r="BA174" i="25"/>
  <c r="AZ183" i="25"/>
  <c r="AT175" i="25"/>
  <c r="AS181" i="25"/>
  <c r="BU53" i="21"/>
  <c r="BT79" i="21"/>
  <c r="BT92" i="21" s="1"/>
  <c r="AT132" i="25"/>
  <c r="AT139" i="25"/>
  <c r="AT140" i="25" s="1"/>
  <c r="AT135" i="25"/>
  <c r="AX271" i="3"/>
  <c r="AW276" i="3"/>
  <c r="AW319" i="3"/>
  <c r="AU78" i="3"/>
  <c r="AU92" i="17"/>
  <c r="X87" i="15"/>
  <c r="AV65" i="3"/>
  <c r="AU37" i="23"/>
  <c r="AT48" i="23"/>
  <c r="AT54" i="23" s="1"/>
  <c r="CP62" i="3"/>
  <c r="CP88" i="17"/>
  <c r="BO44" i="23"/>
  <c r="BP43" i="23"/>
  <c r="AP147" i="21"/>
  <c r="AP150" i="21" s="1"/>
  <c r="AP151" i="21" s="1"/>
  <c r="AP45" i="21" s="1"/>
  <c r="AO193" i="3"/>
  <c r="AN247" i="3"/>
  <c r="AN248" i="3" s="1"/>
  <c r="AN194" i="3"/>
  <c r="AW208" i="25"/>
  <c r="AV112" i="27"/>
  <c r="AY259" i="3"/>
  <c r="AX321" i="3"/>
  <c r="AW140" i="21"/>
  <c r="AW141" i="21" s="1"/>
  <c r="AW123" i="21"/>
  <c r="AX129" i="21"/>
  <c r="AZ256" i="3"/>
  <c r="AH177" i="3"/>
  <c r="AW65" i="3"/>
  <c r="AW91" i="17"/>
  <c r="AT42" i="23"/>
  <c r="AS44" i="23"/>
  <c r="AL212" i="3"/>
  <c r="AQ49" i="23"/>
  <c r="AQ23" i="23"/>
  <c r="AQ53" i="23"/>
  <c r="CD42" i="23"/>
  <c r="CC44" i="23"/>
  <c r="BQ71" i="21"/>
  <c r="BR45" i="21"/>
  <c r="AL309" i="3"/>
  <c r="AL322" i="3"/>
  <c r="AL323" i="3" s="1"/>
  <c r="AQ25" i="3"/>
  <c r="AQ39" i="23"/>
  <c r="AL63" i="15"/>
  <c r="BP97" i="21"/>
  <c r="BP23" i="21"/>
  <c r="BP84" i="21"/>
  <c r="AO45" i="3"/>
  <c r="AO72" i="3" s="1"/>
  <c r="AO50" i="23"/>
  <c r="AO26" i="23"/>
  <c r="AR19" i="23"/>
  <c r="AR38" i="23"/>
  <c r="AR47" i="23"/>
  <c r="AS36" i="23"/>
  <c r="AP55" i="23"/>
  <c r="AP20" i="23"/>
  <c r="AM265" i="3"/>
  <c r="BL69" i="25"/>
  <c r="BK82" i="25"/>
  <c r="BK96" i="25" s="1"/>
  <c r="AL105" i="3"/>
  <c r="AG6" i="3"/>
  <c r="AF7" i="3"/>
  <c r="AF108" i="25"/>
  <c r="AF57" i="23"/>
  <c r="AF72" i="27"/>
  <c r="AY38" i="3"/>
  <c r="BP89" i="21"/>
  <c r="BP102" i="21"/>
  <c r="BP27" i="21"/>
  <c r="BT50" i="21"/>
  <c r="BS82" i="27"/>
  <c r="BR63" i="21"/>
  <c r="BQ76" i="21"/>
  <c r="AV87" i="27"/>
  <c r="AV95" i="27"/>
  <c r="AW94" i="27"/>
  <c r="AV102" i="27"/>
  <c r="AV103" i="27" s="1"/>
  <c r="AU104" i="27"/>
  <c r="AU105" i="27" s="1"/>
  <c r="AV93" i="27"/>
  <c r="BC167" i="21"/>
  <c r="BB168" i="21"/>
  <c r="AV62" i="3"/>
  <c r="AV88" i="17"/>
  <c r="BV83" i="25"/>
  <c r="BV97" i="25" s="1"/>
  <c r="BW56" i="25"/>
  <c r="BV90" i="25"/>
  <c r="BW63" i="25"/>
  <c r="BI167" i="25"/>
  <c r="AV27" i="3"/>
  <c r="AV21" i="27"/>
  <c r="AV51" i="27" s="1"/>
  <c r="AV91" i="21"/>
  <c r="AV104" i="21"/>
  <c r="BN55" i="25"/>
  <c r="BD78" i="23"/>
  <c r="AD78" i="17"/>
  <c r="AD80" i="17" s="1"/>
  <c r="AW81" i="23"/>
  <c r="AW84" i="23"/>
  <c r="AW88" i="23"/>
  <c r="AW89" i="23" s="1"/>
  <c r="AG87" i="17"/>
  <c r="AG61" i="3"/>
  <c r="BF62" i="25"/>
  <c r="BE89" i="25"/>
  <c r="BE103" i="25" s="1"/>
  <c r="AE54" i="17"/>
  <c r="AE76" i="17"/>
  <c r="AE66" i="17"/>
  <c r="AE69" i="17"/>
  <c r="AE73" i="17"/>
  <c r="AE56" i="17"/>
  <c r="AE67" i="17"/>
  <c r="AE60" i="17"/>
  <c r="AE58" i="17"/>
  <c r="AE53" i="17"/>
  <c r="AE57" i="17"/>
  <c r="AE71" i="17"/>
  <c r="AE70" i="17"/>
  <c r="AE77" i="17"/>
  <c r="AE63" i="17"/>
  <c r="AE75" i="17"/>
  <c r="AE68" i="17"/>
  <c r="AE72" i="17"/>
  <c r="AE55" i="17"/>
  <c r="AE62" i="17"/>
  <c r="AE61" i="17"/>
  <c r="AE74" i="17"/>
  <c r="AE59" i="17"/>
  <c r="AE52" i="17"/>
  <c r="AE64" i="17"/>
  <c r="AE65" i="17"/>
  <c r="AH149" i="25"/>
  <c r="AH150" i="25" s="1"/>
  <c r="AH61" i="25" s="1"/>
  <c r="AF75" i="3"/>
  <c r="AW93" i="3"/>
  <c r="BM77" i="21"/>
  <c r="BN51" i="21"/>
  <c r="AV24" i="27"/>
  <c r="AV68" i="27"/>
  <c r="AV29" i="27"/>
  <c r="AW78" i="21"/>
  <c r="AX52" i="21"/>
  <c r="AY73" i="23"/>
  <c r="AX83" i="23"/>
  <c r="AW119" i="25"/>
  <c r="AV130" i="25"/>
  <c r="AV154" i="25"/>
  <c r="AV155" i="25" s="1"/>
  <c r="AV147" i="25"/>
  <c r="BC35" i="3"/>
  <c r="AU47" i="3"/>
  <c r="AU74" i="3" s="1"/>
  <c r="AU35" i="27"/>
  <c r="AF3" i="15"/>
  <c r="AF4" i="15" s="1"/>
  <c r="AF22" i="17"/>
  <c r="AF83" i="17"/>
  <c r="AF17" i="23"/>
  <c r="AF157" i="25"/>
  <c r="AF108" i="21"/>
  <c r="AF5" i="25"/>
  <c r="AF253" i="3"/>
  <c r="AF200" i="3"/>
  <c r="AF41" i="3"/>
  <c r="AF21" i="3"/>
  <c r="AF6" i="15"/>
  <c r="AF218" i="25"/>
  <c r="AF212" i="25"/>
  <c r="AF5" i="23"/>
  <c r="AF17" i="25"/>
  <c r="AF19" i="21"/>
  <c r="AF17" i="27"/>
  <c r="AF329" i="3"/>
  <c r="AF182" i="3"/>
  <c r="AF153" i="3"/>
  <c r="AF9" i="3"/>
  <c r="AF3" i="17"/>
  <c r="AF4" i="17" s="1"/>
  <c r="AF49" i="17"/>
  <c r="AF206" i="25"/>
  <c r="AF95" i="15"/>
  <c r="AF3" i="25"/>
  <c r="AF3" i="21"/>
  <c r="AF158" i="21"/>
  <c r="AF29" i="17"/>
  <c r="AF3" i="27"/>
  <c r="AF313" i="3"/>
  <c r="AF164" i="3"/>
  <c r="AF145" i="3"/>
  <c r="AG3" i="3"/>
  <c r="AF37" i="17"/>
  <c r="AF69" i="15"/>
  <c r="AF54" i="15"/>
  <c r="AF56" i="15" s="1"/>
  <c r="AF5" i="27"/>
  <c r="AF21" i="15"/>
  <c r="AF164" i="21"/>
  <c r="AF6" i="17"/>
  <c r="AF5" i="21"/>
  <c r="AF300" i="3"/>
  <c r="AF208" i="3"/>
  <c r="AF85" i="3"/>
  <c r="AF68" i="3"/>
  <c r="AI112" i="25"/>
  <c r="AI146" i="25" s="1"/>
  <c r="AI111" i="25"/>
  <c r="BW57" i="25"/>
  <c r="AF92" i="25"/>
  <c r="AF32" i="25"/>
  <c r="AF36" i="25"/>
  <c r="AX32" i="3"/>
  <c r="AW52" i="3"/>
  <c r="AX72" i="21"/>
  <c r="AY46" i="21"/>
  <c r="BL103" i="21"/>
  <c r="BL90" i="21"/>
  <c r="AW61" i="27"/>
  <c r="AW50" i="27"/>
  <c r="AX48" i="27"/>
  <c r="AW20" i="27"/>
  <c r="BE74" i="23"/>
  <c r="AG34" i="25"/>
  <c r="AG48" i="3"/>
  <c r="AG25" i="25"/>
  <c r="AE57" i="15"/>
  <c r="BJ166" i="21"/>
  <c r="AV93" i="17"/>
  <c r="AV79" i="3"/>
  <c r="AW98" i="21"/>
  <c r="AW85" i="21"/>
  <c r="AW24" i="21"/>
  <c r="AT17" i="17"/>
  <c r="AS159" i="3"/>
  <c r="BC220" i="25"/>
  <c r="BF60" i="25"/>
  <c r="BE87" i="25"/>
  <c r="BE101" i="25" s="1"/>
  <c r="AV86" i="23"/>
  <c r="AV87" i="23" s="1"/>
  <c r="AV82" i="23"/>
  <c r="AP115" i="21" l="1"/>
  <c r="AQ110" i="21" s="1"/>
  <c r="AL60" i="27"/>
  <c r="AW30" i="3"/>
  <c r="AW88" i="3" s="1"/>
  <c r="AM211" i="3"/>
  <c r="AM104" i="3"/>
  <c r="AM63" i="15" s="1"/>
  <c r="AY134" i="21"/>
  <c r="AY136" i="21"/>
  <c r="AY84" i="25"/>
  <c r="AZ84" i="25" s="1"/>
  <c r="AX31" i="25"/>
  <c r="AX65" i="3" s="1"/>
  <c r="AO100" i="21"/>
  <c r="AO87" i="21"/>
  <c r="AP74" i="21"/>
  <c r="AQ48" i="21"/>
  <c r="AM267" i="3"/>
  <c r="AM322" i="3" s="1"/>
  <c r="AW112" i="27"/>
  <c r="AX196" i="25"/>
  <c r="AO162" i="25"/>
  <c r="AM49" i="3"/>
  <c r="AM76" i="3" s="1"/>
  <c r="AM35" i="25"/>
  <c r="AY99" i="21"/>
  <c r="AY86" i="21"/>
  <c r="AY26" i="21"/>
  <c r="AN81" i="25"/>
  <c r="AN20" i="25"/>
  <c r="AN29" i="3" s="1"/>
  <c r="AX203" i="25"/>
  <c r="AX204" i="25" s="1"/>
  <c r="AY168" i="25"/>
  <c r="AX179" i="25"/>
  <c r="AX184" i="25"/>
  <c r="AO193" i="25"/>
  <c r="AO161" i="25"/>
  <c r="AO194" i="25"/>
  <c r="AO192" i="25"/>
  <c r="AZ73" i="21"/>
  <c r="BA60" i="21"/>
  <c r="BA20" i="17"/>
  <c r="BB17" i="21"/>
  <c r="BV49" i="27"/>
  <c r="BU62" i="27"/>
  <c r="BU19" i="27"/>
  <c r="BU26" i="3" s="1"/>
  <c r="BT56" i="27"/>
  <c r="BT30" i="27"/>
  <c r="AW147" i="25"/>
  <c r="AM114" i="27"/>
  <c r="AM115" i="27" s="1"/>
  <c r="AM116" i="27" s="1"/>
  <c r="AM47" i="27" s="1"/>
  <c r="AM60" i="27" s="1"/>
  <c r="AZ149" i="21"/>
  <c r="AV30" i="25"/>
  <c r="AV100" i="25"/>
  <c r="AV73" i="25"/>
  <c r="BA125" i="21"/>
  <c r="AZ135" i="21"/>
  <c r="AZ133" i="21" s="1"/>
  <c r="AZ138" i="21" s="1"/>
  <c r="AZ139" i="21" s="1"/>
  <c r="AV58" i="25"/>
  <c r="AU85" i="25"/>
  <c r="AU90" i="17"/>
  <c r="AU64" i="3"/>
  <c r="BZ25" i="3"/>
  <c r="BZ39" i="23"/>
  <c r="CB36" i="23"/>
  <c r="CA38" i="23"/>
  <c r="CA19" i="23"/>
  <c r="CA47" i="23"/>
  <c r="AX288" i="3"/>
  <c r="AW335" i="3"/>
  <c r="AZ336" i="3"/>
  <c r="BA289" i="3"/>
  <c r="AM79" i="27"/>
  <c r="AN74" i="27" s="1"/>
  <c r="AN77" i="27" s="1"/>
  <c r="AW86" i="25"/>
  <c r="AX59" i="25"/>
  <c r="BX50" i="23"/>
  <c r="BX45" i="3"/>
  <c r="BX72" i="3" s="1"/>
  <c r="BX26" i="23"/>
  <c r="BY55" i="23"/>
  <c r="BY20" i="23"/>
  <c r="AT99" i="25"/>
  <c r="AT29" i="25"/>
  <c r="BC89" i="27"/>
  <c r="BB99" i="27"/>
  <c r="BB97" i="27" s="1"/>
  <c r="BZ49" i="23"/>
  <c r="BZ53" i="23"/>
  <c r="BZ23" i="23"/>
  <c r="AW81" i="3"/>
  <c r="AX37" i="3"/>
  <c r="AW34" i="3"/>
  <c r="AW89" i="3" s="1"/>
  <c r="AZ68" i="23"/>
  <c r="AY102" i="23"/>
  <c r="AY103" i="23" s="1"/>
  <c r="AY79" i="23"/>
  <c r="AX9" i="17"/>
  <c r="AY272" i="3"/>
  <c r="BA256" i="3"/>
  <c r="AQ146" i="21"/>
  <c r="AQ145" i="21"/>
  <c r="AQ112" i="21"/>
  <c r="AQ144" i="21"/>
  <c r="AP71" i="21"/>
  <c r="BP44" i="23"/>
  <c r="BQ43" i="23"/>
  <c r="AT137" i="25"/>
  <c r="AT138" i="25" s="1"/>
  <c r="AT133" i="25"/>
  <c r="BV53" i="21"/>
  <c r="BU79" i="21"/>
  <c r="BU92" i="21" s="1"/>
  <c r="AT181" i="25"/>
  <c r="AU175" i="25"/>
  <c r="BB174" i="25"/>
  <c r="BA183" i="25"/>
  <c r="AW100" i="27"/>
  <c r="AW120" i="27"/>
  <c r="AW121" i="27" s="1"/>
  <c r="AW84" i="27"/>
  <c r="AX83" i="27"/>
  <c r="AW98" i="27"/>
  <c r="AY31" i="25"/>
  <c r="AG113" i="15"/>
  <c r="AG114" i="15"/>
  <c r="AO58" i="21"/>
  <c r="AO84" i="21"/>
  <c r="AO97" i="21"/>
  <c r="AO23" i="21"/>
  <c r="AX31" i="3"/>
  <c r="AZ162" i="21"/>
  <c r="BA160" i="21"/>
  <c r="AZ67" i="23"/>
  <c r="AY72" i="23"/>
  <c r="BA214" i="25"/>
  <c r="AZ216" i="25"/>
  <c r="AT37" i="16"/>
  <c r="AT36" i="16"/>
  <c r="AT52" i="16"/>
  <c r="Y40" i="17"/>
  <c r="AU45" i="16" s="1"/>
  <c r="Y41" i="17"/>
  <c r="CT118" i="3"/>
  <c r="Y118" i="3"/>
  <c r="W26" i="16" s="1"/>
  <c r="AW125" i="25"/>
  <c r="AV134" i="25"/>
  <c r="AK46" i="3"/>
  <c r="AK73" i="3" s="1"/>
  <c r="AK34" i="27"/>
  <c r="AK25" i="27"/>
  <c r="BD172" i="25"/>
  <c r="BC178" i="25"/>
  <c r="AU209" i="25"/>
  <c r="AT210" i="25"/>
  <c r="AZ221" i="25"/>
  <c r="AY222" i="25"/>
  <c r="AL26" i="3"/>
  <c r="AL21" i="27"/>
  <c r="AL51" i="27" s="1"/>
  <c r="AH180" i="3"/>
  <c r="AH168" i="3"/>
  <c r="AH170" i="3" s="1"/>
  <c r="AH179" i="3"/>
  <c r="AX123" i="21"/>
  <c r="AY129" i="21"/>
  <c r="AX140" i="21"/>
  <c r="AX141" i="21" s="1"/>
  <c r="AY321" i="3"/>
  <c r="AZ259" i="3"/>
  <c r="AX208" i="25"/>
  <c r="AN198" i="3"/>
  <c r="AN223" i="3"/>
  <c r="AO246" i="3"/>
  <c r="AQ113" i="21"/>
  <c r="AU48" i="23"/>
  <c r="AU54" i="23" s="1"/>
  <c r="AV37" i="23"/>
  <c r="AY271" i="3"/>
  <c r="AX276" i="3"/>
  <c r="AX319" i="3"/>
  <c r="AS182" i="25"/>
  <c r="AS186" i="25"/>
  <c r="AS187" i="25" s="1"/>
  <c r="AX91" i="17"/>
  <c r="AO185" i="3"/>
  <c r="AO192" i="3" s="1"/>
  <c r="AP193" i="3" s="1"/>
  <c r="AP246" i="3" s="1"/>
  <c r="AW170" i="25"/>
  <c r="AV188" i="25"/>
  <c r="AV189" i="25" s="1"/>
  <c r="AV92" i="17"/>
  <c r="AV78" i="3"/>
  <c r="Y117" i="3"/>
  <c r="Y215" i="3" s="1"/>
  <c r="AU44" i="16"/>
  <c r="W25" i="16"/>
  <c r="W83" i="16" s="1"/>
  <c r="AU139" i="25"/>
  <c r="AU140" i="25" s="1"/>
  <c r="AU132" i="25"/>
  <c r="AU135" i="25"/>
  <c r="BA119" i="21"/>
  <c r="AZ155" i="21"/>
  <c r="AZ156" i="21" s="1"/>
  <c r="AZ131" i="21"/>
  <c r="AL27" i="27"/>
  <c r="AL67" i="27"/>
  <c r="AL63" i="27"/>
  <c r="AL70" i="27" s="1"/>
  <c r="AL23" i="27"/>
  <c r="AL54" i="27"/>
  <c r="AL57" i="27" s="1"/>
  <c r="AQ111" i="21"/>
  <c r="AR25" i="3"/>
  <c r="AR39" i="23"/>
  <c r="BR71" i="21"/>
  <c r="BS45" i="21"/>
  <c r="BM69" i="25"/>
  <c r="BL82" i="25"/>
  <c r="BL96" i="25" s="1"/>
  <c r="AN103" i="3"/>
  <c r="AM320" i="3"/>
  <c r="AM305" i="3"/>
  <c r="AM303" i="3" s="1"/>
  <c r="AS47" i="23"/>
  <c r="AS38" i="23"/>
  <c r="AT36" i="23"/>
  <c r="AS19" i="23"/>
  <c r="BQ23" i="21"/>
  <c r="BQ97" i="21"/>
  <c r="BQ84" i="21"/>
  <c r="AQ55" i="23"/>
  <c r="AQ20" i="23"/>
  <c r="AG57" i="23"/>
  <c r="AG72" i="27"/>
  <c r="AG7" i="3"/>
  <c r="AG108" i="25"/>
  <c r="AH6" i="3"/>
  <c r="AP50" i="23"/>
  <c r="AP26" i="23"/>
  <c r="AP45" i="3"/>
  <c r="AP72" i="3" s="1"/>
  <c r="AR23" i="23"/>
  <c r="AR53" i="23"/>
  <c r="AR49" i="23"/>
  <c r="CD44" i="23"/>
  <c r="CE42" i="23"/>
  <c r="AT44" i="23"/>
  <c r="AU42" i="23"/>
  <c r="AZ38" i="3"/>
  <c r="AW95" i="27"/>
  <c r="AX94" i="27"/>
  <c r="AW87" i="27"/>
  <c r="AW102" i="27"/>
  <c r="AW103" i="27" s="1"/>
  <c r="BQ89" i="21"/>
  <c r="BQ27" i="21"/>
  <c r="BQ102" i="21"/>
  <c r="BS63" i="21"/>
  <c r="BR76" i="21"/>
  <c r="BD167" i="21"/>
  <c r="BC168" i="21"/>
  <c r="AW93" i="27"/>
  <c r="AV104" i="27"/>
  <c r="AV105" i="27" s="1"/>
  <c r="BT82" i="27"/>
  <c r="BU50" i="21"/>
  <c r="BK166" i="21"/>
  <c r="AW24" i="27"/>
  <c r="AW68" i="27"/>
  <c r="AW29" i="27"/>
  <c r="AX52" i="3"/>
  <c r="AY32" i="3"/>
  <c r="AW130" i="25"/>
  <c r="AW154" i="25"/>
  <c r="AW155" i="25" s="1"/>
  <c r="AX119" i="25"/>
  <c r="AX93" i="3"/>
  <c r="AH88" i="25"/>
  <c r="AH19" i="25"/>
  <c r="AH64" i="25"/>
  <c r="BX63" i="25"/>
  <c r="BW90" i="25"/>
  <c r="AU17" i="17"/>
  <c r="AT159" i="3"/>
  <c r="AW88" i="17"/>
  <c r="AW62" i="3"/>
  <c r="AG92" i="25"/>
  <c r="AG36" i="25"/>
  <c r="AG32" i="25"/>
  <c r="AW27" i="3"/>
  <c r="AW21" i="27"/>
  <c r="AW51" i="27" s="1"/>
  <c r="AF65" i="17"/>
  <c r="AF70" i="17"/>
  <c r="AF58" i="17"/>
  <c r="AF61" i="17"/>
  <c r="AF75" i="17"/>
  <c r="AF54" i="17"/>
  <c r="AF68" i="17"/>
  <c r="AF71" i="17"/>
  <c r="AF76" i="17"/>
  <c r="AF64" i="17"/>
  <c r="AF67" i="17"/>
  <c r="AF55" i="17"/>
  <c r="AF72" i="17"/>
  <c r="AF60" i="17"/>
  <c r="AF63" i="17"/>
  <c r="AF77" i="17"/>
  <c r="AF56" i="17"/>
  <c r="AF59" i="17"/>
  <c r="AF53" i="17"/>
  <c r="AF73" i="17"/>
  <c r="AF52" i="17"/>
  <c r="AF66" i="17"/>
  <c r="AF69" i="17"/>
  <c r="AF74" i="17"/>
  <c r="AF62" i="17"/>
  <c r="AF57" i="17"/>
  <c r="AX81" i="23"/>
  <c r="AX84" i="23"/>
  <c r="AX88" i="23"/>
  <c r="AX89" i="23" s="1"/>
  <c r="AV35" i="27"/>
  <c r="AV47" i="3"/>
  <c r="AV74" i="3" s="1"/>
  <c r="BN77" i="21"/>
  <c r="BO51" i="21"/>
  <c r="BE78" i="23"/>
  <c r="BO55" i="25"/>
  <c r="BJ167" i="25"/>
  <c r="BW83" i="25"/>
  <c r="BW97" i="25" s="1"/>
  <c r="BX56" i="25"/>
  <c r="AG75" i="3"/>
  <c r="BF74" i="23"/>
  <c r="AY48" i="27"/>
  <c r="AX20" i="27"/>
  <c r="AX61" i="27"/>
  <c r="AX50" i="27"/>
  <c r="AY72" i="21"/>
  <c r="AZ46" i="21"/>
  <c r="AG218" i="25"/>
  <c r="AG6" i="17"/>
  <c r="AG69" i="15"/>
  <c r="AG5" i="25"/>
  <c r="AG17" i="27"/>
  <c r="AG5" i="27"/>
  <c r="AG83" i="17"/>
  <c r="AG329" i="3"/>
  <c r="AG208" i="3"/>
  <c r="AG85" i="3"/>
  <c r="AG21" i="3"/>
  <c r="AG49" i="17"/>
  <c r="AG206" i="25"/>
  <c r="AG6" i="15"/>
  <c r="AG164" i="21"/>
  <c r="AG157" i="25"/>
  <c r="AG3" i="27"/>
  <c r="AG17" i="23"/>
  <c r="AG5" i="21"/>
  <c r="AG313" i="3"/>
  <c r="AG200" i="3"/>
  <c r="AG153" i="3"/>
  <c r="AH3" i="3"/>
  <c r="AG37" i="17"/>
  <c r="AG95" i="15"/>
  <c r="AG21" i="15"/>
  <c r="AG3" i="17"/>
  <c r="AG4" i="17" s="1"/>
  <c r="AG108" i="21"/>
  <c r="AG17" i="25"/>
  <c r="AG212" i="25"/>
  <c r="AG5" i="23"/>
  <c r="AG300" i="3"/>
  <c r="AG182" i="3"/>
  <c r="AG145" i="3"/>
  <c r="AG41" i="3"/>
  <c r="AG3" i="15"/>
  <c r="AG4" i="15" s="1"/>
  <c r="AG22" i="17"/>
  <c r="AG54" i="15"/>
  <c r="AG56" i="15" s="1"/>
  <c r="AG29" i="17"/>
  <c r="AG19" i="21"/>
  <c r="AG158" i="21"/>
  <c r="AG3" i="25"/>
  <c r="AG3" i="21"/>
  <c r="AG253" i="3"/>
  <c r="AG164" i="3"/>
  <c r="AG68" i="3"/>
  <c r="AG9" i="3"/>
  <c r="BD35" i="3"/>
  <c r="AZ73" i="23"/>
  <c r="AY83" i="23"/>
  <c r="AX78" i="21"/>
  <c r="AY52" i="21"/>
  <c r="BM103" i="21"/>
  <c r="BM90" i="21"/>
  <c r="AE78" i="17"/>
  <c r="AE80" i="17" s="1"/>
  <c r="AW86" i="23"/>
  <c r="AW87" i="23" s="1"/>
  <c r="AW82" i="23"/>
  <c r="BF87" i="25"/>
  <c r="BF101" i="25" s="1"/>
  <c r="BG60" i="25"/>
  <c r="BD220" i="25"/>
  <c r="AX24" i="21"/>
  <c r="AX85" i="21"/>
  <c r="AX98" i="21"/>
  <c r="AW79" i="3"/>
  <c r="AW93" i="17"/>
  <c r="BX57" i="25"/>
  <c r="AI115" i="25"/>
  <c r="AF57" i="15"/>
  <c r="AW104" i="21"/>
  <c r="AW91" i="21"/>
  <c r="BF89" i="25"/>
  <c r="BF103" i="25" s="1"/>
  <c r="BG62" i="25"/>
  <c r="AX147" i="25" l="1"/>
  <c r="AM212" i="3"/>
  <c r="AM105" i="3"/>
  <c r="AZ136" i="21"/>
  <c r="AY98" i="25"/>
  <c r="AX30" i="3"/>
  <c r="AX88" i="3" s="1"/>
  <c r="AX51" i="3"/>
  <c r="AZ134" i="21"/>
  <c r="AO195" i="25"/>
  <c r="AO197" i="25" s="1"/>
  <c r="AO198" i="25" s="1"/>
  <c r="AO199" i="25" s="1"/>
  <c r="AO54" i="25" s="1"/>
  <c r="AP100" i="21"/>
  <c r="AP87" i="21"/>
  <c r="AR48" i="21"/>
  <c r="AQ74" i="21"/>
  <c r="AM309" i="3"/>
  <c r="AO164" i="25"/>
  <c r="AP159" i="25" s="1"/>
  <c r="AP162" i="25" s="1"/>
  <c r="AN76" i="27"/>
  <c r="AN110" i="27"/>
  <c r="AN75" i="27"/>
  <c r="AN108" i="27"/>
  <c r="AN109" i="27"/>
  <c r="AZ26" i="21"/>
  <c r="AZ86" i="21"/>
  <c r="AZ99" i="21"/>
  <c r="AY203" i="25"/>
  <c r="AY204" i="25" s="1"/>
  <c r="AY179" i="25"/>
  <c r="AZ168" i="25"/>
  <c r="AY184" i="25"/>
  <c r="BA73" i="21"/>
  <c r="BB60" i="21"/>
  <c r="AY196" i="25"/>
  <c r="AZ196" i="25" s="1"/>
  <c r="AP192" i="25"/>
  <c r="AN24" i="25"/>
  <c r="AN95" i="25"/>
  <c r="AN68" i="25"/>
  <c r="AP160" i="25"/>
  <c r="BU30" i="27"/>
  <c r="BU56" i="27"/>
  <c r="BB20" i="17"/>
  <c r="BC17" i="21"/>
  <c r="BV62" i="27"/>
  <c r="BV19" i="27"/>
  <c r="BV26" i="3" s="1"/>
  <c r="BW49" i="27"/>
  <c r="BY50" i="23"/>
  <c r="BY45" i="3"/>
  <c r="BY72" i="3" s="1"/>
  <c r="BY26" i="23"/>
  <c r="AW73" i="25"/>
  <c r="AW100" i="25"/>
  <c r="AW30" i="25"/>
  <c r="BA336" i="3"/>
  <c r="BB289" i="3"/>
  <c r="CA49" i="23"/>
  <c r="CA23" i="23"/>
  <c r="CA53" i="23"/>
  <c r="AU29" i="25"/>
  <c r="AU99" i="25"/>
  <c r="AV64" i="3"/>
  <c r="AV90" i="17"/>
  <c r="AN111" i="27"/>
  <c r="AZ272" i="3"/>
  <c r="AY9" i="17"/>
  <c r="AZ102" i="23"/>
  <c r="AZ103" i="23" s="1"/>
  <c r="BA68" i="23"/>
  <c r="AZ79" i="23"/>
  <c r="AX81" i="3"/>
  <c r="AX34" i="3"/>
  <c r="AX89" i="3" s="1"/>
  <c r="AY37" i="3"/>
  <c r="BZ55" i="23"/>
  <c r="BZ20" i="23"/>
  <c r="BD89" i="27"/>
  <c r="BC99" i="27"/>
  <c r="BC97" i="27" s="1"/>
  <c r="AY59" i="25"/>
  <c r="AX86" i="25"/>
  <c r="AX335" i="3"/>
  <c r="AY288" i="3"/>
  <c r="CA39" i="23"/>
  <c r="CA25" i="3"/>
  <c r="CB19" i="23"/>
  <c r="CC36" i="23"/>
  <c r="CB38" i="23"/>
  <c r="CB47" i="23"/>
  <c r="AV85" i="25"/>
  <c r="AW58" i="25"/>
  <c r="BB125" i="21"/>
  <c r="BA135" i="21"/>
  <c r="BA133" i="21" s="1"/>
  <c r="BA138" i="21" s="1"/>
  <c r="BA139" i="21" s="1"/>
  <c r="Y122" i="3"/>
  <c r="Y290" i="3" s="1"/>
  <c r="Y121" i="3"/>
  <c r="Y127" i="3" s="1"/>
  <c r="Y216" i="3"/>
  <c r="Y221" i="3" s="1"/>
  <c r="AX170" i="25"/>
  <c r="AW188" i="25"/>
  <c r="AW189" i="25" s="1"/>
  <c r="BA162" i="21"/>
  <c r="BB160" i="21"/>
  <c r="AW92" i="17"/>
  <c r="AW78" i="3"/>
  <c r="BV79" i="21"/>
  <c r="BV92" i="21" s="1"/>
  <c r="BW53" i="21"/>
  <c r="BB256" i="3"/>
  <c r="AM23" i="27"/>
  <c r="AM27" i="27"/>
  <c r="AM54" i="27"/>
  <c r="AM57" i="27" s="1"/>
  <c r="AM67" i="27"/>
  <c r="AM63" i="27"/>
  <c r="AM70" i="27" s="1"/>
  <c r="AL34" i="27"/>
  <c r="AL46" i="3"/>
  <c r="AL73" i="3" s="1"/>
  <c r="AL25" i="27"/>
  <c r="AZ271" i="3"/>
  <c r="AY276" i="3"/>
  <c r="AY319" i="3"/>
  <c r="AN230" i="3"/>
  <c r="AN64" i="15"/>
  <c r="BA259" i="3"/>
  <c r="AZ321" i="3"/>
  <c r="AH106" i="15"/>
  <c r="AI167" i="3"/>
  <c r="AH173" i="3"/>
  <c r="AH340" i="3" s="1"/>
  <c r="AH171" i="3"/>
  <c r="AK32" i="27"/>
  <c r="AK64" i="27"/>
  <c r="AK36" i="27"/>
  <c r="AV139" i="25"/>
  <c r="AV140" i="25" s="1"/>
  <c r="AV132" i="25"/>
  <c r="AV135" i="25"/>
  <c r="BC174" i="25"/>
  <c r="BB183" i="25"/>
  <c r="AT186" i="25"/>
  <c r="AT187" i="25" s="1"/>
  <c r="AT182" i="25"/>
  <c r="AW50" i="3"/>
  <c r="AW77" i="3" s="1"/>
  <c r="AQ115" i="21"/>
  <c r="AR110" i="21" s="1"/>
  <c r="BA131" i="21"/>
  <c r="BB119" i="21"/>
  <c r="BA155" i="21"/>
  <c r="BA156" i="21" s="1"/>
  <c r="BA134" i="21"/>
  <c r="AU137" i="25"/>
  <c r="AU138" i="25" s="1"/>
  <c r="AU133" i="25"/>
  <c r="AM19" i="27"/>
  <c r="AM50" i="27"/>
  <c r="AO194" i="3"/>
  <c r="AO247" i="3"/>
  <c r="AO248" i="3" s="1"/>
  <c r="AV48" i="23"/>
  <c r="AV54" i="23" s="1"/>
  <c r="AW37" i="23"/>
  <c r="AQ147" i="21"/>
  <c r="AQ150" i="21" s="1"/>
  <c r="AQ151" i="21" s="1"/>
  <c r="AQ45" i="21" s="1"/>
  <c r="AY208" i="25"/>
  <c r="AZ129" i="21"/>
  <c r="AY140" i="21"/>
  <c r="AY141" i="21" s="1"/>
  <c r="AY123" i="21"/>
  <c r="BA221" i="25"/>
  <c r="AZ222" i="25"/>
  <c r="AV209" i="25"/>
  <c r="AU210" i="25"/>
  <c r="BE172" i="25"/>
  <c r="BD178" i="25"/>
  <c r="BA149" i="21"/>
  <c r="AW134" i="25"/>
  <c r="AX125" i="25"/>
  <c r="BA216" i="25"/>
  <c r="BB214" i="25"/>
  <c r="BA67" i="23"/>
  <c r="AZ72" i="23"/>
  <c r="AY31" i="3"/>
  <c r="AX50" i="3"/>
  <c r="AX77" i="3" s="1"/>
  <c r="AY65" i="3"/>
  <c r="AY91" i="17"/>
  <c r="AZ98" i="25"/>
  <c r="BA84" i="25"/>
  <c r="AZ31" i="25"/>
  <c r="AX100" i="27"/>
  <c r="AY83" i="27"/>
  <c r="AX84" i="27"/>
  <c r="AX120" i="27"/>
  <c r="AX121" i="27" s="1"/>
  <c r="AX98" i="27"/>
  <c r="AV175" i="25"/>
  <c r="AU181" i="25"/>
  <c r="BQ44" i="23"/>
  <c r="BR43" i="23"/>
  <c r="AP23" i="21"/>
  <c r="AP58" i="21"/>
  <c r="AP84" i="21"/>
  <c r="AP97" i="21"/>
  <c r="AX112" i="27"/>
  <c r="CF42" i="23"/>
  <c r="CE44" i="23"/>
  <c r="AS39" i="23"/>
  <c r="AS25" i="3"/>
  <c r="BN69" i="25"/>
  <c r="BM82" i="25"/>
  <c r="BM96" i="25" s="1"/>
  <c r="AN265" i="3"/>
  <c r="AN211" i="3"/>
  <c r="AN304" i="3"/>
  <c r="BS71" i="21"/>
  <c r="BT45" i="21"/>
  <c r="AM323" i="3"/>
  <c r="AN104" i="3"/>
  <c r="AN105" i="3" s="1"/>
  <c r="AR55" i="23"/>
  <c r="AR20" i="23"/>
  <c r="AQ26" i="23"/>
  <c r="AQ45" i="3"/>
  <c r="AQ72" i="3" s="1"/>
  <c r="AQ50" i="23"/>
  <c r="AT19" i="23"/>
  <c r="AT38" i="23"/>
  <c r="AT47" i="23"/>
  <c r="AU36" i="23"/>
  <c r="AV42" i="23"/>
  <c r="AU44" i="23"/>
  <c r="AH108" i="25"/>
  <c r="AH57" i="23"/>
  <c r="AH72" i="27"/>
  <c r="AH7" i="3"/>
  <c r="AI6" i="3"/>
  <c r="AS53" i="23"/>
  <c r="AS23" i="23"/>
  <c r="AS49" i="23"/>
  <c r="BR84" i="21"/>
  <c r="BR23" i="21"/>
  <c r="BR97" i="21"/>
  <c r="BA38" i="3"/>
  <c r="BV50" i="21"/>
  <c r="BE167" i="21"/>
  <c r="BD168" i="21"/>
  <c r="BT63" i="21"/>
  <c r="BS76" i="21"/>
  <c r="AX93" i="27"/>
  <c r="AW104" i="27"/>
  <c r="AW105" i="27" s="1"/>
  <c r="BU82" i="27"/>
  <c r="BR27" i="21"/>
  <c r="BR102" i="21"/>
  <c r="BR89" i="21"/>
  <c r="AY94" i="27"/>
  <c r="AX95" i="27"/>
  <c r="AX87" i="27"/>
  <c r="AX102" i="27"/>
  <c r="AX103" i="27" s="1"/>
  <c r="BH62" i="25"/>
  <c r="BG89" i="25"/>
  <c r="BG103" i="25" s="1"/>
  <c r="AJ110" i="25"/>
  <c r="AI143" i="25"/>
  <c r="AI149" i="25" s="1"/>
  <c r="AI150" i="25" s="1"/>
  <c r="AI61" i="25" s="1"/>
  <c r="AX62" i="3"/>
  <c r="AX88" i="17"/>
  <c r="AX91" i="21"/>
  <c r="AX104" i="21"/>
  <c r="BE35" i="3"/>
  <c r="AG57" i="15"/>
  <c r="AX68" i="27"/>
  <c r="AX29" i="27"/>
  <c r="AX24" i="27"/>
  <c r="BK167" i="25"/>
  <c r="BP55" i="25"/>
  <c r="AX86" i="23"/>
  <c r="AX87" i="23" s="1"/>
  <c r="AX82" i="23"/>
  <c r="AV17" i="17"/>
  <c r="AU159" i="3"/>
  <c r="AY93" i="3"/>
  <c r="AZ32" i="3"/>
  <c r="AY52" i="3"/>
  <c r="AY84" i="23"/>
  <c r="AY81" i="23"/>
  <c r="AY88" i="23"/>
  <c r="AY89" i="23" s="1"/>
  <c r="AX27" i="3"/>
  <c r="AX21" i="27"/>
  <c r="AX51" i="27" s="1"/>
  <c r="BG74" i="23"/>
  <c r="AH28" i="3"/>
  <c r="AH21" i="25"/>
  <c r="AH65" i="25" s="1"/>
  <c r="AX79" i="3"/>
  <c r="AX93" i="17"/>
  <c r="AW35" i="27"/>
  <c r="AW47" i="3"/>
  <c r="AW74" i="3" s="1"/>
  <c r="BL166" i="21"/>
  <c r="BH60" i="25"/>
  <c r="BG87" i="25"/>
  <c r="BG101" i="25" s="1"/>
  <c r="BA73" i="23"/>
  <c r="AZ83" i="23"/>
  <c r="AG54" i="17"/>
  <c r="AG58" i="17"/>
  <c r="AG73" i="17"/>
  <c r="AG71" i="17"/>
  <c r="AG59" i="17"/>
  <c r="AG77" i="17"/>
  <c r="AG65" i="17"/>
  <c r="AG75" i="17"/>
  <c r="AG63" i="17"/>
  <c r="AG64" i="17"/>
  <c r="AG70" i="17"/>
  <c r="AG72" i="17"/>
  <c r="AG76" i="17"/>
  <c r="AG57" i="17"/>
  <c r="AG74" i="17"/>
  <c r="AG55" i="17"/>
  <c r="AG61" i="17"/>
  <c r="AG62" i="17"/>
  <c r="AG69" i="17"/>
  <c r="AG68" i="17"/>
  <c r="AG66" i="17"/>
  <c r="AG56" i="17"/>
  <c r="AG52" i="17"/>
  <c r="AG67" i="17"/>
  <c r="AG53" i="17"/>
  <c r="AG60" i="17"/>
  <c r="AZ72" i="21"/>
  <c r="AY20" i="27"/>
  <c r="AY61" i="27"/>
  <c r="AY50" i="27"/>
  <c r="AZ48" i="27"/>
  <c r="BP51" i="21"/>
  <c r="BO77" i="21"/>
  <c r="AF78" i="17"/>
  <c r="AF80" i="17" s="1"/>
  <c r="AH75" i="25"/>
  <c r="AH78" i="25" s="1"/>
  <c r="AH102" i="25"/>
  <c r="AH23" i="25"/>
  <c r="AH27" i="25"/>
  <c r="AH91" i="25"/>
  <c r="AH105" i="25" s="1"/>
  <c r="AX154" i="25"/>
  <c r="AX155" i="25" s="1"/>
  <c r="AY119" i="25"/>
  <c r="AX130" i="25"/>
  <c r="BY57" i="25"/>
  <c r="BE220" i="25"/>
  <c r="AY78" i="21"/>
  <c r="AZ52" i="21"/>
  <c r="AH95" i="15"/>
  <c r="AH29" i="17"/>
  <c r="AH212" i="25"/>
  <c r="AH37" i="17"/>
  <c r="AH157" i="25"/>
  <c r="AH5" i="23"/>
  <c r="AH5" i="25"/>
  <c r="AH5" i="27"/>
  <c r="AH3" i="25"/>
  <c r="AH313" i="3"/>
  <c r="AH164" i="3"/>
  <c r="AH145" i="3"/>
  <c r="AI3" i="3"/>
  <c r="AH54" i="15"/>
  <c r="AH56" i="15" s="1"/>
  <c r="AH6" i="17"/>
  <c r="AH3" i="15"/>
  <c r="AH4" i="15" s="1"/>
  <c r="AH22" i="17"/>
  <c r="AH17" i="25"/>
  <c r="AH3" i="21"/>
  <c r="AH17" i="27"/>
  <c r="AH164" i="21"/>
  <c r="AH17" i="23"/>
  <c r="AH300" i="3"/>
  <c r="AH208" i="3"/>
  <c r="AH85" i="3"/>
  <c r="AH68" i="3"/>
  <c r="AH69" i="15"/>
  <c r="AH218" i="25"/>
  <c r="AH158" i="21"/>
  <c r="AH3" i="17"/>
  <c r="AH4" i="17" s="1"/>
  <c r="AH3" i="27"/>
  <c r="AH108" i="21"/>
  <c r="AH253" i="3"/>
  <c r="AH200" i="3"/>
  <c r="AH41" i="3"/>
  <c r="AH21" i="3"/>
  <c r="AH21" i="15"/>
  <c r="AH83" i="17"/>
  <c r="AH49" i="17"/>
  <c r="AH206" i="25"/>
  <c r="AH6" i="15"/>
  <c r="AH5" i="21"/>
  <c r="AH19" i="21"/>
  <c r="AH329" i="3"/>
  <c r="AH182" i="3"/>
  <c r="AH153" i="3"/>
  <c r="AH9" i="3"/>
  <c r="AY98" i="21"/>
  <c r="AY85" i="21"/>
  <c r="AY24" i="21"/>
  <c r="BX83" i="25"/>
  <c r="BX97" i="25" s="1"/>
  <c r="BY56" i="25"/>
  <c r="BF78" i="23"/>
  <c r="BN90" i="21"/>
  <c r="BN103" i="21"/>
  <c r="BX90" i="25"/>
  <c r="BY63" i="25"/>
  <c r="BA136" i="21" l="1"/>
  <c r="AY30" i="3"/>
  <c r="AY88" i="3" s="1"/>
  <c r="AY51" i="3"/>
  <c r="AY50" i="3" s="1"/>
  <c r="AN79" i="27"/>
  <c r="AO74" i="27" s="1"/>
  <c r="AO108" i="27" s="1"/>
  <c r="AP193" i="25"/>
  <c r="AP194" i="25"/>
  <c r="AP161" i="25"/>
  <c r="AP195" i="25" s="1"/>
  <c r="AQ87" i="21"/>
  <c r="AQ100" i="21"/>
  <c r="AR74" i="21"/>
  <c r="AS48" i="21"/>
  <c r="AP185" i="3"/>
  <c r="AP192" i="3" s="1"/>
  <c r="AP194" i="3" s="1"/>
  <c r="AN114" i="27"/>
  <c r="AN115" i="27" s="1"/>
  <c r="AN116" i="27" s="1"/>
  <c r="AN47" i="27" s="1"/>
  <c r="AN50" i="27" s="1"/>
  <c r="AN35" i="25"/>
  <c r="AN49" i="3"/>
  <c r="AN76" i="3" s="1"/>
  <c r="BA99" i="21"/>
  <c r="BA26" i="21"/>
  <c r="BA86" i="21"/>
  <c r="BA168" i="25"/>
  <c r="AZ203" i="25"/>
  <c r="AZ204" i="25" s="1"/>
  <c r="AZ179" i="25"/>
  <c r="AZ184" i="25"/>
  <c r="BB73" i="21"/>
  <c r="BC60" i="21"/>
  <c r="AO20" i="25"/>
  <c r="AO29" i="3" s="1"/>
  <c r="AO81" i="25"/>
  <c r="BW62" i="27"/>
  <c r="BW19" i="27"/>
  <c r="BW26" i="3" s="1"/>
  <c r="BX49" i="27"/>
  <c r="BV56" i="27"/>
  <c r="BV30" i="27"/>
  <c r="BD17" i="21"/>
  <c r="BC20" i="17"/>
  <c r="BC125" i="21"/>
  <c r="BB135" i="21"/>
  <c r="BB133" i="21" s="1"/>
  <c r="BB138" i="21" s="1"/>
  <c r="BB139" i="21" s="1"/>
  <c r="AV99" i="25"/>
  <c r="AV29" i="25"/>
  <c r="CB25" i="3"/>
  <c r="CB39" i="23"/>
  <c r="AZ59" i="25"/>
  <c r="AY86" i="25"/>
  <c r="BE89" i="27"/>
  <c r="BD99" i="27"/>
  <c r="BD97" i="27" s="1"/>
  <c r="BA272" i="3"/>
  <c r="AZ9" i="17"/>
  <c r="CA20" i="23"/>
  <c r="CA55" i="23"/>
  <c r="AX58" i="25"/>
  <c r="AW85" i="25"/>
  <c r="CB53" i="23"/>
  <c r="CB49" i="23"/>
  <c r="CB23" i="23"/>
  <c r="CD36" i="23"/>
  <c r="CC38" i="23"/>
  <c r="CC19" i="23"/>
  <c r="CC47" i="23"/>
  <c r="AY335" i="3"/>
  <c r="AZ288" i="3"/>
  <c r="AX73" i="25"/>
  <c r="AX30" i="25"/>
  <c r="AX100" i="25"/>
  <c r="BZ45" i="3"/>
  <c r="BZ72" i="3" s="1"/>
  <c r="BZ26" i="23"/>
  <c r="BZ50" i="23"/>
  <c r="AZ37" i="3"/>
  <c r="AY34" i="3"/>
  <c r="AY89" i="3" s="1"/>
  <c r="AY81" i="3"/>
  <c r="BA102" i="23"/>
  <c r="BA103" i="23" s="1"/>
  <c r="BB68" i="23"/>
  <c r="BA79" i="23"/>
  <c r="BC289" i="3"/>
  <c r="BB336" i="3"/>
  <c r="AW90" i="17"/>
  <c r="AW64" i="3"/>
  <c r="Y123" i="3"/>
  <c r="W28" i="16" s="1"/>
  <c r="DQ127" i="3"/>
  <c r="Y126" i="3"/>
  <c r="Y131" i="3" s="1"/>
  <c r="Y128" i="3"/>
  <c r="AV181" i="25"/>
  <c r="AW175" i="25"/>
  <c r="AY100" i="27"/>
  <c r="AZ83" i="27"/>
  <c r="AY120" i="27"/>
  <c r="AY121" i="27" s="1"/>
  <c r="AY84" i="27"/>
  <c r="AY98" i="27"/>
  <c r="AZ65" i="3"/>
  <c r="AZ91" i="17"/>
  <c r="AZ31" i="3"/>
  <c r="BB67" i="23"/>
  <c r="BA72" i="23"/>
  <c r="AW132" i="25"/>
  <c r="AW139" i="25"/>
  <c r="AW140" i="25" s="1"/>
  <c r="AW135" i="25"/>
  <c r="AZ123" i="21"/>
  <c r="BA129" i="21"/>
  <c r="AZ140" i="21"/>
  <c r="AZ141" i="21" s="1"/>
  <c r="AQ71" i="21"/>
  <c r="AO198" i="3"/>
  <c r="AO223" i="3"/>
  <c r="AM26" i="3"/>
  <c r="AM21" i="27"/>
  <c r="AM51" i="27" s="1"/>
  <c r="AR112" i="21"/>
  <c r="AR146" i="21"/>
  <c r="AR145" i="21"/>
  <c r="AR144" i="21"/>
  <c r="AH104" i="15"/>
  <c r="AH172" i="3"/>
  <c r="AH105" i="15" s="1"/>
  <c r="AI177" i="3"/>
  <c r="BA271" i="3"/>
  <c r="AZ276" i="3"/>
  <c r="AZ319" i="3"/>
  <c r="BW79" i="21"/>
  <c r="BW92" i="21" s="1"/>
  <c r="BX53" i="21"/>
  <c r="BC160" i="21"/>
  <c r="BB162" i="21"/>
  <c r="Y239" i="3"/>
  <c r="Y147" i="3"/>
  <c r="Y149" i="3" s="1"/>
  <c r="Y150" i="3" s="1"/>
  <c r="Y151" i="3" s="1"/>
  <c r="Y75" i="15" s="1"/>
  <c r="Y100" i="15"/>
  <c r="Y245" i="3"/>
  <c r="Y61" i="15"/>
  <c r="Y62" i="15" s="1"/>
  <c r="Y66" i="15" s="1"/>
  <c r="Y206" i="3"/>
  <c r="Y143" i="3" s="1"/>
  <c r="Y281" i="3"/>
  <c r="Y284" i="3" s="1"/>
  <c r="AU16" i="16" s="1"/>
  <c r="AU15" i="16" s="1"/>
  <c r="Y204" i="3"/>
  <c r="Y205" i="3" s="1"/>
  <c r="Z202" i="3" s="1"/>
  <c r="AY112" i="27"/>
  <c r="AZ112" i="27" s="1"/>
  <c r="BR44" i="23"/>
  <c r="BS43" i="23"/>
  <c r="BS44" i="23" s="1"/>
  <c r="AU182" i="25"/>
  <c r="AU186" i="25"/>
  <c r="AU187" i="25" s="1"/>
  <c r="BB84" i="25"/>
  <c r="BA98" i="25"/>
  <c r="BA31" i="25"/>
  <c r="AX92" i="17"/>
  <c r="AX78" i="3"/>
  <c r="BB216" i="25"/>
  <c r="BC214" i="25"/>
  <c r="AX134" i="25"/>
  <c r="AY125" i="25"/>
  <c r="BF172" i="25"/>
  <c r="BE178" i="25"/>
  <c r="AW209" i="25"/>
  <c r="AV210" i="25"/>
  <c r="BB221" i="25"/>
  <c r="BA222" i="25"/>
  <c r="AZ208" i="25"/>
  <c r="AR113" i="21"/>
  <c r="AX37" i="23"/>
  <c r="AW48" i="23"/>
  <c r="AW54" i="23" s="1"/>
  <c r="Y337" i="3"/>
  <c r="Y338" i="3" s="1"/>
  <c r="AU17" i="16"/>
  <c r="Y332" i="3"/>
  <c r="Y333" i="3" s="1"/>
  <c r="Z331" i="3"/>
  <c r="Y292" i="3"/>
  <c r="BB149" i="21"/>
  <c r="BB131" i="21"/>
  <c r="BC119" i="21"/>
  <c r="BB155" i="21"/>
  <c r="BB156" i="21" s="1"/>
  <c r="BB134" i="21"/>
  <c r="AR111" i="21"/>
  <c r="BD174" i="25"/>
  <c r="BC183" i="25"/>
  <c r="AV137" i="25"/>
  <c r="AV138" i="25" s="1"/>
  <c r="AV133" i="25"/>
  <c r="BA321" i="3"/>
  <c r="BB259" i="3"/>
  <c r="AL64" i="27"/>
  <c r="AL32" i="27"/>
  <c r="AL36" i="27"/>
  <c r="AM46" i="3"/>
  <c r="AM34" i="27"/>
  <c r="AM25" i="27"/>
  <c r="BC256" i="3"/>
  <c r="AY170" i="25"/>
  <c r="AX188" i="25"/>
  <c r="AX189" i="25" s="1"/>
  <c r="W34" i="16"/>
  <c r="W37" i="16" s="1"/>
  <c r="AV44" i="23"/>
  <c r="AW42" i="23"/>
  <c r="AT39" i="23"/>
  <c r="AT25" i="3"/>
  <c r="AR50" i="23"/>
  <c r="AR26" i="23"/>
  <c r="AR45" i="3"/>
  <c r="AR72" i="3" s="1"/>
  <c r="BU45" i="21"/>
  <c r="BT71" i="21"/>
  <c r="AI57" i="23"/>
  <c r="AJ6" i="3"/>
  <c r="AI7" i="3"/>
  <c r="AI72" i="27"/>
  <c r="AI108" i="25"/>
  <c r="AV36" i="23"/>
  <c r="AU19" i="23"/>
  <c r="AU47" i="23"/>
  <c r="AU38" i="23"/>
  <c r="BS23" i="21"/>
  <c r="BS84" i="21"/>
  <c r="BS97" i="21"/>
  <c r="AO103" i="3"/>
  <c r="AN305" i="3"/>
  <c r="AN303" i="3" s="1"/>
  <c r="AN320" i="3"/>
  <c r="CG42" i="23"/>
  <c r="CF44" i="23"/>
  <c r="AT53" i="23"/>
  <c r="AT23" i="23"/>
  <c r="AT49" i="23"/>
  <c r="AN63" i="15"/>
  <c r="AN212" i="3"/>
  <c r="AN267" i="3"/>
  <c r="BO69" i="25"/>
  <c r="BN82" i="25"/>
  <c r="BN96" i="25" s="1"/>
  <c r="AS55" i="23"/>
  <c r="AS20" i="23"/>
  <c r="BB38" i="3"/>
  <c r="BF167" i="21"/>
  <c r="BE168" i="21"/>
  <c r="AY95" i="27"/>
  <c r="AY87" i="27"/>
  <c r="AZ94" i="27"/>
  <c r="AY102" i="27"/>
  <c r="AY103" i="27" s="1"/>
  <c r="BV82" i="27"/>
  <c r="AY93" i="27"/>
  <c r="AX104" i="27"/>
  <c r="AX105" i="27" s="1"/>
  <c r="BS102" i="21"/>
  <c r="BS89" i="21"/>
  <c r="BS27" i="21"/>
  <c r="BW50" i="21"/>
  <c r="BU63" i="21"/>
  <c r="BT76" i="21"/>
  <c r="AI69" i="15"/>
  <c r="AI3" i="17"/>
  <c r="AI4" i="17" s="1"/>
  <c r="AI3" i="15"/>
  <c r="AI4" i="15" s="1"/>
  <c r="AI17" i="27"/>
  <c r="AI3" i="25"/>
  <c r="AI3" i="21"/>
  <c r="AI37" i="17"/>
  <c r="AI158" i="21"/>
  <c r="AI329" i="3"/>
  <c r="AI208" i="3"/>
  <c r="AI85" i="3"/>
  <c r="AI21" i="3"/>
  <c r="AI83" i="17"/>
  <c r="AI21" i="15"/>
  <c r="AI3" i="27"/>
  <c r="AI5" i="27"/>
  <c r="AI218" i="25"/>
  <c r="AI22" i="17"/>
  <c r="AI19" i="21"/>
  <c r="AI313" i="3"/>
  <c r="AI200" i="3"/>
  <c r="AI153" i="3"/>
  <c r="AI9" i="3"/>
  <c r="AI212" i="25"/>
  <c r="AI95" i="15"/>
  <c r="AI29" i="17"/>
  <c r="AI206" i="25"/>
  <c r="AI5" i="21"/>
  <c r="AI17" i="23"/>
  <c r="AI164" i="21"/>
  <c r="AI157" i="25"/>
  <c r="AI300" i="3"/>
  <c r="AI182" i="3"/>
  <c r="AI145" i="3"/>
  <c r="AI41" i="3"/>
  <c r="AI6" i="15"/>
  <c r="AI54" i="15"/>
  <c r="AI56" i="15" s="1"/>
  <c r="AI6" i="17"/>
  <c r="AI5" i="25"/>
  <c r="AI108" i="21"/>
  <c r="AI5" i="23"/>
  <c r="AI49" i="17"/>
  <c r="AI17" i="25"/>
  <c r="AI253" i="3"/>
  <c r="AI164" i="3"/>
  <c r="AI68" i="3"/>
  <c r="AJ3" i="3"/>
  <c r="BZ57" i="25"/>
  <c r="AY130" i="25"/>
  <c r="AY154" i="25"/>
  <c r="AY155" i="25" s="1"/>
  <c r="AZ119" i="25"/>
  <c r="AH34" i="25"/>
  <c r="AH25" i="25"/>
  <c r="AH48" i="3"/>
  <c r="AY27" i="3"/>
  <c r="AY21" i="27"/>
  <c r="AY51" i="27" s="1"/>
  <c r="BB73" i="23"/>
  <c r="BA83" i="23"/>
  <c r="BH74" i="23"/>
  <c r="AZ52" i="3"/>
  <c r="BA32" i="3"/>
  <c r="AW17" i="17"/>
  <c r="AV159" i="3"/>
  <c r="BQ55" i="25"/>
  <c r="AX35" i="27"/>
  <c r="AX47" i="3"/>
  <c r="AX74" i="3" s="1"/>
  <c r="BF35" i="3"/>
  <c r="AJ112" i="25"/>
  <c r="AJ113" i="25"/>
  <c r="AJ111" i="25"/>
  <c r="BI62" i="25"/>
  <c r="BH89" i="25"/>
  <c r="BH103" i="25" s="1"/>
  <c r="AZ78" i="21"/>
  <c r="BA52" i="21"/>
  <c r="AZ20" i="27"/>
  <c r="AZ50" i="27"/>
  <c r="BA48" i="27"/>
  <c r="AZ61" i="27"/>
  <c r="AY147" i="25"/>
  <c r="AH71" i="17"/>
  <c r="AH76" i="17"/>
  <c r="AH64" i="17"/>
  <c r="AH67" i="17"/>
  <c r="AH72" i="17"/>
  <c r="AH60" i="17"/>
  <c r="AH55" i="17"/>
  <c r="AH63" i="17"/>
  <c r="AH77" i="17"/>
  <c r="AH56" i="17"/>
  <c r="AH59" i="17"/>
  <c r="AH73" i="17"/>
  <c r="AH52" i="17"/>
  <c r="AH66" i="17"/>
  <c r="AH69" i="17"/>
  <c r="AH74" i="17"/>
  <c r="AH62" i="17"/>
  <c r="AH65" i="17"/>
  <c r="AH57" i="17"/>
  <c r="AH70" i="17"/>
  <c r="AH58" i="17"/>
  <c r="AH61" i="17"/>
  <c r="AH75" i="17"/>
  <c r="AH54" i="17"/>
  <c r="AH68" i="17"/>
  <c r="AH53" i="17"/>
  <c r="AY104" i="21"/>
  <c r="AY91" i="21"/>
  <c r="BF220" i="25"/>
  <c r="BO103" i="21"/>
  <c r="BO90" i="21"/>
  <c r="AZ98" i="21"/>
  <c r="AZ24" i="21"/>
  <c r="BA98" i="21"/>
  <c r="AZ85" i="21"/>
  <c r="AZ93" i="3"/>
  <c r="BY90" i="25"/>
  <c r="BZ63" i="25"/>
  <c r="BZ56" i="25"/>
  <c r="BY83" i="25"/>
  <c r="BY97" i="25" s="1"/>
  <c r="BG78" i="23"/>
  <c r="AY62" i="3"/>
  <c r="AY88" i="17"/>
  <c r="AH57" i="15"/>
  <c r="AH76" i="15"/>
  <c r="AH78" i="15" s="1"/>
  <c r="AH61" i="3"/>
  <c r="AH87" i="17"/>
  <c r="BP77" i="21"/>
  <c r="BQ51" i="21"/>
  <c r="AY68" i="27"/>
  <c r="AY29" i="27"/>
  <c r="AY24" i="27"/>
  <c r="AG78" i="17"/>
  <c r="AG80" i="17" s="1"/>
  <c r="AZ81" i="23"/>
  <c r="AZ84" i="23"/>
  <c r="AZ88" i="23"/>
  <c r="AZ89" i="23" s="1"/>
  <c r="BI60" i="25"/>
  <c r="BH87" i="25"/>
  <c r="BH101" i="25" s="1"/>
  <c r="BM166" i="21"/>
  <c r="AY82" i="23"/>
  <c r="AY86" i="23"/>
  <c r="AY87" i="23" s="1"/>
  <c r="AY79" i="3"/>
  <c r="AY93" i="17"/>
  <c r="BL167" i="25"/>
  <c r="AI88" i="25"/>
  <c r="AI19" i="25"/>
  <c r="AI64" i="25"/>
  <c r="BB136" i="21" l="1"/>
  <c r="AN19" i="27"/>
  <c r="AN26" i="3" s="1"/>
  <c r="AO110" i="27"/>
  <c r="AP197" i="25"/>
  <c r="AP198" i="25" s="1"/>
  <c r="AP199" i="25" s="1"/>
  <c r="AP54" i="25" s="1"/>
  <c r="AP20" i="25" s="1"/>
  <c r="AP29" i="3" s="1"/>
  <c r="AY77" i="3"/>
  <c r="AZ30" i="3"/>
  <c r="AZ88" i="3" s="1"/>
  <c r="AZ51" i="3"/>
  <c r="AO76" i="27"/>
  <c r="AO75" i="27"/>
  <c r="AQ185" i="3" s="1"/>
  <c r="AQ192" i="3" s="1"/>
  <c r="AO109" i="27"/>
  <c r="AO77" i="27"/>
  <c r="AP164" i="25"/>
  <c r="AQ159" i="25" s="1"/>
  <c r="AQ160" i="25" s="1"/>
  <c r="AZ147" i="25"/>
  <c r="AR100" i="21"/>
  <c r="AR87" i="21"/>
  <c r="AS74" i="21"/>
  <c r="AT48" i="21"/>
  <c r="AQ193" i="3"/>
  <c r="AQ246" i="3" s="1"/>
  <c r="Y133" i="3"/>
  <c r="CT134" i="3" s="1"/>
  <c r="W30" i="16"/>
  <c r="W29" i="16" s="1"/>
  <c r="Y210" i="3"/>
  <c r="Y213" i="3" s="1"/>
  <c r="Y134" i="3"/>
  <c r="AU31" i="16" s="1"/>
  <c r="Y132" i="3"/>
  <c r="AU30" i="16" s="1"/>
  <c r="Y339" i="3"/>
  <c r="Y341" i="3" s="1"/>
  <c r="AO265" i="3"/>
  <c r="AP247" i="3"/>
  <c r="AP248" i="3" s="1"/>
  <c r="AO104" i="3"/>
  <c r="AO63" i="15" s="1"/>
  <c r="AN60" i="27"/>
  <c r="AN54" i="27" s="1"/>
  <c r="AN57" i="27" s="1"/>
  <c r="AO304" i="3"/>
  <c r="AM73" i="3"/>
  <c r="AO24" i="25"/>
  <c r="AO68" i="25"/>
  <c r="AO95" i="25"/>
  <c r="BC73" i="21"/>
  <c r="BD60" i="21"/>
  <c r="AP81" i="25"/>
  <c r="BB26" i="21"/>
  <c r="BB86" i="21"/>
  <c r="BB99" i="21"/>
  <c r="AQ194" i="25"/>
  <c r="AQ192" i="25"/>
  <c r="BA203" i="25"/>
  <c r="BA204" i="25" s="1"/>
  <c r="BA179" i="25"/>
  <c r="BB168" i="25"/>
  <c r="BA184" i="25"/>
  <c r="BA196" i="25"/>
  <c r="BY49" i="27"/>
  <c r="BX62" i="27"/>
  <c r="BX19" i="27"/>
  <c r="BX26" i="3" s="1"/>
  <c r="BW56" i="27"/>
  <c r="BW30" i="27"/>
  <c r="BE17" i="21"/>
  <c r="BD20" i="17"/>
  <c r="BD289" i="3"/>
  <c r="BC336" i="3"/>
  <c r="BB102" i="23"/>
  <c r="BB103" i="23" s="1"/>
  <c r="BC68" i="23"/>
  <c r="BB79" i="23"/>
  <c r="BA37" i="3"/>
  <c r="AZ81" i="3"/>
  <c r="AZ34" i="3"/>
  <c r="AZ89" i="3" s="1"/>
  <c r="CC25" i="3"/>
  <c r="CC39" i="23"/>
  <c r="CD19" i="23"/>
  <c r="CE36" i="23"/>
  <c r="CD38" i="23"/>
  <c r="CD47" i="23"/>
  <c r="CB55" i="23"/>
  <c r="CB20" i="23"/>
  <c r="AW99" i="25"/>
  <c r="AW29" i="25"/>
  <c r="AY100" i="25"/>
  <c r="AY30" i="25"/>
  <c r="AY73" i="25"/>
  <c r="AX90" i="17"/>
  <c r="AX64" i="3"/>
  <c r="AZ335" i="3"/>
  <c r="BA288" i="3"/>
  <c r="CC23" i="23"/>
  <c r="CC49" i="23"/>
  <c r="CC53" i="23"/>
  <c r="AY58" i="25"/>
  <c r="AX85" i="25"/>
  <c r="CA26" i="23"/>
  <c r="CA45" i="3"/>
  <c r="CA72" i="3" s="1"/>
  <c r="CA50" i="23"/>
  <c r="BB272" i="3"/>
  <c r="BA9" i="17"/>
  <c r="BF89" i="27"/>
  <c r="BE99" i="27"/>
  <c r="BE97" i="27" s="1"/>
  <c r="BA59" i="25"/>
  <c r="AZ86" i="25"/>
  <c r="BD125" i="21"/>
  <c r="BC135" i="21"/>
  <c r="BC133" i="21" s="1"/>
  <c r="BC138" i="21" s="1"/>
  <c r="BC139" i="21" s="1"/>
  <c r="W27" i="16"/>
  <c r="W84" i="16"/>
  <c r="AU49" i="16"/>
  <c r="AM64" i="27"/>
  <c r="AM36" i="27"/>
  <c r="AM32" i="27"/>
  <c r="BD183" i="25"/>
  <c r="BE174" i="25"/>
  <c r="BC155" i="21"/>
  <c r="BC156" i="21" s="1"/>
  <c r="BC131" i="21"/>
  <c r="BD119" i="21"/>
  <c r="BC149" i="21"/>
  <c r="AR147" i="21"/>
  <c r="AR150" i="21" s="1"/>
  <c r="AR151" i="21" s="1"/>
  <c r="BC221" i="25"/>
  <c r="BB222" i="25"/>
  <c r="AX209" i="25"/>
  <c r="AW210" i="25"/>
  <c r="BG172" i="25"/>
  <c r="BF178" i="25"/>
  <c r="AX139" i="25"/>
  <c r="AX140" i="25" s="1"/>
  <c r="AX132" i="25"/>
  <c r="AX135" i="25"/>
  <c r="Y242" i="3"/>
  <c r="Y255" i="3"/>
  <c r="BD160" i="21"/>
  <c r="BC162" i="21"/>
  <c r="AO64" i="15"/>
  <c r="AO230" i="3"/>
  <c r="AY92" i="17"/>
  <c r="AY78" i="3"/>
  <c r="AV182" i="25"/>
  <c r="AV186" i="25"/>
  <c r="AV187" i="25" s="1"/>
  <c r="W49" i="16"/>
  <c r="W52" i="16" s="1"/>
  <c r="W48" i="16"/>
  <c r="W90" i="16" s="1"/>
  <c r="W87" i="16"/>
  <c r="AZ170" i="25"/>
  <c r="AY188" i="25"/>
  <c r="AY189" i="25" s="1"/>
  <c r="BD256" i="3"/>
  <c r="AQ247" i="3"/>
  <c r="AQ248" i="3" s="1"/>
  <c r="BB321" i="3"/>
  <c r="BC259" i="3"/>
  <c r="Y35" i="17"/>
  <c r="AU18" i="16"/>
  <c r="AU19" i="16" s="1"/>
  <c r="AU82" i="16" s="1"/>
  <c r="AY37" i="23"/>
  <c r="AX48" i="23"/>
  <c r="AX54" i="23" s="1"/>
  <c r="BA208" i="25"/>
  <c r="AZ125" i="25"/>
  <c r="AY134" i="25"/>
  <c r="BD214" i="25"/>
  <c r="BC216" i="25"/>
  <c r="BA65" i="3"/>
  <c r="BA91" i="17"/>
  <c r="BB98" i="25"/>
  <c r="BC84" i="25"/>
  <c r="BB31" i="25"/>
  <c r="Y244" i="3"/>
  <c r="Y250" i="3"/>
  <c r="BX79" i="21"/>
  <c r="BX92" i="21" s="1"/>
  <c r="BY53" i="21"/>
  <c r="AN27" i="27"/>
  <c r="AP198" i="3"/>
  <c r="AP223" i="3"/>
  <c r="BB271" i="3"/>
  <c r="BA276" i="3"/>
  <c r="BA319" i="3"/>
  <c r="AI180" i="3"/>
  <c r="AI179" i="3"/>
  <c r="AI168" i="3"/>
  <c r="AI170" i="3" s="1"/>
  <c r="AH114" i="15"/>
  <c r="AH113" i="15"/>
  <c r="AR115" i="21"/>
  <c r="AS110" i="21" s="1"/>
  <c r="AQ84" i="21"/>
  <c r="AQ97" i="21"/>
  <c r="AQ58" i="21"/>
  <c r="AQ23" i="21"/>
  <c r="AR97" i="21"/>
  <c r="BB129" i="21"/>
  <c r="BA140" i="21"/>
  <c r="BA141" i="21" s="1"/>
  <c r="BA123" i="21"/>
  <c r="AW137" i="25"/>
  <c r="AW138" i="25" s="1"/>
  <c r="AW133" i="25"/>
  <c r="BC67" i="23"/>
  <c r="BB72" i="23"/>
  <c r="AZ50" i="3"/>
  <c r="AZ77" i="3" s="1"/>
  <c r="BA31" i="3"/>
  <c r="AN21" i="27"/>
  <c r="AN51" i="27" s="1"/>
  <c r="AZ100" i="27"/>
  <c r="AZ120" i="27"/>
  <c r="AZ121" i="27" s="1"/>
  <c r="AZ98" i="27"/>
  <c r="BA83" i="27"/>
  <c r="BA112" i="27" s="1"/>
  <c r="AZ84" i="27"/>
  <c r="AX175" i="25"/>
  <c r="AW181" i="25"/>
  <c r="AU25" i="3"/>
  <c r="AU39" i="23"/>
  <c r="AO267" i="3"/>
  <c r="AN309" i="3"/>
  <c r="AN322" i="3"/>
  <c r="AN323" i="3" s="1"/>
  <c r="AT55" i="23"/>
  <c r="AT20" i="23"/>
  <c r="AV19" i="23"/>
  <c r="AV47" i="23"/>
  <c r="AV38" i="23"/>
  <c r="AW36" i="23"/>
  <c r="AJ57" i="23"/>
  <c r="AJ7" i="3"/>
  <c r="AJ108" i="25"/>
  <c r="AK6" i="3"/>
  <c r="AJ72" i="27"/>
  <c r="BV45" i="21"/>
  <c r="BU71" i="21"/>
  <c r="AO211" i="3"/>
  <c r="AW44" i="23"/>
  <c r="AX42" i="23"/>
  <c r="AS50" i="23"/>
  <c r="AS26" i="23"/>
  <c r="AS45" i="3"/>
  <c r="AS72" i="3" s="1"/>
  <c r="BP69" i="25"/>
  <c r="BO82" i="25"/>
  <c r="BO96" i="25" s="1"/>
  <c r="AO212" i="3"/>
  <c r="CG44" i="23"/>
  <c r="AO305" i="3"/>
  <c r="AO303" i="3" s="1"/>
  <c r="AP103" i="3"/>
  <c r="AP265" i="3" s="1"/>
  <c r="AO320" i="3"/>
  <c r="AU53" i="23"/>
  <c r="AU49" i="23"/>
  <c r="AU23" i="23"/>
  <c r="BT23" i="21"/>
  <c r="BT84" i="21"/>
  <c r="BT97" i="21"/>
  <c r="BC38" i="3"/>
  <c r="BV63" i="21"/>
  <c r="BU76" i="21"/>
  <c r="AY104" i="27"/>
  <c r="AY105" i="27" s="1"/>
  <c r="AZ93" i="27"/>
  <c r="AZ95" i="27"/>
  <c r="BA94" i="27"/>
  <c r="AZ87" i="27"/>
  <c r="AZ102" i="27"/>
  <c r="AZ103" i="27" s="1"/>
  <c r="BG167" i="21"/>
  <c r="BF168" i="21"/>
  <c r="BW82" i="27"/>
  <c r="BT102" i="21"/>
  <c r="BT89" i="21"/>
  <c r="BT27" i="21"/>
  <c r="BX50" i="21"/>
  <c r="AI21" i="25"/>
  <c r="AI65" i="25" s="1"/>
  <c r="AI28" i="3"/>
  <c r="BN166" i="21"/>
  <c r="BQ77" i="21"/>
  <c r="BR51" i="21"/>
  <c r="BG220" i="25"/>
  <c r="BA20" i="27"/>
  <c r="BA61" i="27"/>
  <c r="BA50" i="27"/>
  <c r="BB48" i="27"/>
  <c r="BA78" i="21"/>
  <c r="BB52" i="21"/>
  <c r="AW159" i="3"/>
  <c r="AX17" i="17"/>
  <c r="CA57" i="25"/>
  <c r="AI76" i="15"/>
  <c r="AI78" i="15" s="1"/>
  <c r="AI57" i="15"/>
  <c r="AZ86" i="23"/>
  <c r="AZ87" i="23" s="1"/>
  <c r="AZ82" i="23"/>
  <c r="BP90" i="21"/>
  <c r="BP103" i="21"/>
  <c r="AZ62" i="3"/>
  <c r="AZ88" i="17"/>
  <c r="AH78" i="17"/>
  <c r="AH80" i="17" s="1"/>
  <c r="AZ104" i="21"/>
  <c r="AZ91" i="21"/>
  <c r="AJ146" i="25"/>
  <c r="BJ60" i="25"/>
  <c r="BI87" i="25"/>
  <c r="BI101" i="25" s="1"/>
  <c r="AH79" i="15"/>
  <c r="AH84" i="15" s="1"/>
  <c r="AH81" i="15"/>
  <c r="AH86" i="15" s="1"/>
  <c r="AH80" i="15"/>
  <c r="AH85" i="15" s="1"/>
  <c r="BZ83" i="25"/>
  <c r="BZ97" i="25" s="1"/>
  <c r="CA56" i="25"/>
  <c r="AZ27" i="3"/>
  <c r="AZ21" i="27"/>
  <c r="AZ51" i="27" s="1"/>
  <c r="BB32" i="3"/>
  <c r="BA52" i="3"/>
  <c r="BI74" i="23"/>
  <c r="BA84" i="23"/>
  <c r="BA81" i="23"/>
  <c r="BA88" i="23"/>
  <c r="BA89" i="23" s="1"/>
  <c r="AH75" i="3"/>
  <c r="BA119" i="25"/>
  <c r="AZ130" i="25"/>
  <c r="AZ154" i="25"/>
  <c r="AZ155" i="25" s="1"/>
  <c r="AJ37" i="17"/>
  <c r="AJ69" i="15"/>
  <c r="AJ5" i="27"/>
  <c r="AJ29" i="17"/>
  <c r="AJ108" i="21"/>
  <c r="AJ95" i="15"/>
  <c r="AJ17" i="27"/>
  <c r="AJ300" i="3"/>
  <c r="AJ208" i="3"/>
  <c r="AJ85" i="3"/>
  <c r="AJ68" i="3"/>
  <c r="AJ3" i="15"/>
  <c r="AJ4" i="15" s="1"/>
  <c r="AJ22" i="17"/>
  <c r="AJ83" i="17"/>
  <c r="AJ17" i="23"/>
  <c r="AJ6" i="17"/>
  <c r="AJ19" i="21"/>
  <c r="AJ54" i="15"/>
  <c r="AJ56" i="15" s="1"/>
  <c r="AJ3" i="27"/>
  <c r="AJ253" i="3"/>
  <c r="AJ200" i="3"/>
  <c r="AJ41" i="3"/>
  <c r="AJ21" i="3"/>
  <c r="AJ6" i="15"/>
  <c r="AJ218" i="25"/>
  <c r="AJ212" i="25"/>
  <c r="AJ5" i="23"/>
  <c r="AJ21" i="15"/>
  <c r="AJ17" i="25"/>
  <c r="AJ5" i="21"/>
  <c r="AJ329" i="3"/>
  <c r="AJ182" i="3"/>
  <c r="AJ153" i="3"/>
  <c r="AJ9" i="3"/>
  <c r="AJ3" i="17"/>
  <c r="AJ4" i="17" s="1"/>
  <c r="AJ49" i="17"/>
  <c r="AJ206" i="25"/>
  <c r="AJ3" i="25"/>
  <c r="AJ3" i="21"/>
  <c r="AJ164" i="21"/>
  <c r="AJ158" i="21"/>
  <c r="AJ5" i="25"/>
  <c r="AJ157" i="25"/>
  <c r="AJ313" i="3"/>
  <c r="AJ164" i="3"/>
  <c r="AJ145" i="3"/>
  <c r="AK3" i="3"/>
  <c r="AI102" i="25"/>
  <c r="AI75" i="25"/>
  <c r="AI78" i="25" s="1"/>
  <c r="AI23" i="25"/>
  <c r="AI91" i="25"/>
  <c r="AI105" i="25" s="1"/>
  <c r="AI27" i="25"/>
  <c r="BM167" i="25"/>
  <c r="AY35" i="27"/>
  <c r="AY47" i="3"/>
  <c r="AY74" i="3" s="1"/>
  <c r="BH78" i="23"/>
  <c r="BZ90" i="25"/>
  <c r="CA63" i="25"/>
  <c r="BA93" i="3"/>
  <c r="AZ68" i="27"/>
  <c r="AZ29" i="27"/>
  <c r="AZ24" i="27"/>
  <c r="BJ62" i="25"/>
  <c r="BI89" i="25"/>
  <c r="BI103" i="25" s="1"/>
  <c r="AJ115" i="25"/>
  <c r="BG35" i="3"/>
  <c r="BR55" i="25"/>
  <c r="AZ79" i="3"/>
  <c r="AZ93" i="17"/>
  <c r="BC73" i="23"/>
  <c r="BB83" i="23"/>
  <c r="AH32" i="25"/>
  <c r="AH36" i="25"/>
  <c r="AH92" i="25"/>
  <c r="AI56" i="17"/>
  <c r="AI69" i="17"/>
  <c r="AI62" i="17"/>
  <c r="AI77" i="17"/>
  <c r="AI65" i="17"/>
  <c r="AI75" i="17"/>
  <c r="AI63" i="17"/>
  <c r="AI73" i="17"/>
  <c r="AI61" i="17"/>
  <c r="AI59" i="17"/>
  <c r="AI76" i="17"/>
  <c r="AI57" i="17"/>
  <c r="AI74" i="17"/>
  <c r="AI55" i="17"/>
  <c r="AI72" i="17"/>
  <c r="AI53" i="17"/>
  <c r="AI54" i="17"/>
  <c r="AI68" i="17"/>
  <c r="AI70" i="17"/>
  <c r="AI66" i="17"/>
  <c r="AI64" i="17"/>
  <c r="AI71" i="17"/>
  <c r="AI52" i="17"/>
  <c r="AI60" i="17"/>
  <c r="AI67" i="17"/>
  <c r="AI58" i="17"/>
  <c r="AN63" i="27" l="1"/>
  <c r="AN70" i="27" s="1"/>
  <c r="AQ194" i="3"/>
  <c r="AQ223" i="3" s="1"/>
  <c r="AQ162" i="25"/>
  <c r="AQ193" i="25"/>
  <c r="AQ161" i="25"/>
  <c r="AO111" i="27"/>
  <c r="AO114" i="27" s="1"/>
  <c r="AO115" i="27" s="1"/>
  <c r="AO116" i="27" s="1"/>
  <c r="AO47" i="27" s="1"/>
  <c r="AO19" i="27" s="1"/>
  <c r="BB196" i="25"/>
  <c r="AU35" i="16"/>
  <c r="U123" i="15"/>
  <c r="U124" i="15" s="1"/>
  <c r="BA30" i="3"/>
  <c r="BA88" i="3" s="1"/>
  <c r="BA51" i="3"/>
  <c r="AO79" i="27"/>
  <c r="AP74" i="27" s="1"/>
  <c r="AR193" i="3"/>
  <c r="AR246" i="3" s="1"/>
  <c r="Y135" i="3"/>
  <c r="AS100" i="21"/>
  <c r="AS87" i="21"/>
  <c r="AU48" i="21"/>
  <c r="AT74" i="21"/>
  <c r="Y141" i="3"/>
  <c r="BD149" i="21"/>
  <c r="BC136" i="21"/>
  <c r="BC134" i="21"/>
  <c r="W85" i="16"/>
  <c r="AU84" i="16"/>
  <c r="AN67" i="27"/>
  <c r="AN23" i="27"/>
  <c r="AN34" i="27" s="1"/>
  <c r="AO105" i="3"/>
  <c r="AQ195" i="25"/>
  <c r="AQ197" i="25" s="1"/>
  <c r="BE60" i="21"/>
  <c r="BD73" i="21"/>
  <c r="AO35" i="25"/>
  <c r="AO49" i="3"/>
  <c r="AO76" i="3" s="1"/>
  <c r="BB203" i="25"/>
  <c r="BB204" i="25" s="1"/>
  <c r="BC168" i="25"/>
  <c r="BB179" i="25"/>
  <c r="BB184" i="25"/>
  <c r="AQ164" i="25"/>
  <c r="AR159" i="25" s="1"/>
  <c r="AP24" i="25"/>
  <c r="AP95" i="25"/>
  <c r="AP68" i="25"/>
  <c r="BC86" i="21"/>
  <c r="BC26" i="21"/>
  <c r="BC99" i="21"/>
  <c r="BY19" i="27"/>
  <c r="BY26" i="3" s="1"/>
  <c r="BZ49" i="27"/>
  <c r="BY62" i="27"/>
  <c r="BE20" i="17"/>
  <c r="BF17" i="21"/>
  <c r="BX56" i="27"/>
  <c r="BX30" i="27"/>
  <c r="BE125" i="21"/>
  <c r="BD135" i="21"/>
  <c r="BD133" i="21" s="1"/>
  <c r="BD138" i="21" s="1"/>
  <c r="BD139" i="21" s="1"/>
  <c r="BB59" i="25"/>
  <c r="BA86" i="25"/>
  <c r="BF99" i="27"/>
  <c r="BF97" i="27" s="1"/>
  <c r="BG89" i="27"/>
  <c r="BB9" i="17"/>
  <c r="BC272" i="3"/>
  <c r="AX99" i="25"/>
  <c r="AX29" i="25"/>
  <c r="AY90" i="17"/>
  <c r="AY64" i="3"/>
  <c r="CB50" i="23"/>
  <c r="CB45" i="3"/>
  <c r="CB72" i="3" s="1"/>
  <c r="CB26" i="23"/>
  <c r="CD53" i="23"/>
  <c r="CD23" i="23"/>
  <c r="CD49" i="23"/>
  <c r="CE19" i="23"/>
  <c r="CF36" i="23"/>
  <c r="CE38" i="23"/>
  <c r="CE47" i="23"/>
  <c r="BB37" i="3"/>
  <c r="BA81" i="3"/>
  <c r="BA34" i="3"/>
  <c r="BA89" i="3" s="1"/>
  <c r="BD68" i="23"/>
  <c r="BC102" i="23"/>
  <c r="BC103" i="23" s="1"/>
  <c r="BC79" i="23"/>
  <c r="AZ73" i="25"/>
  <c r="AZ30" i="25"/>
  <c r="AZ100" i="25"/>
  <c r="AY85" i="25"/>
  <c r="AZ58" i="25"/>
  <c r="CC55" i="23"/>
  <c r="CC20" i="23"/>
  <c r="BB288" i="3"/>
  <c r="BA335" i="3"/>
  <c r="CD39" i="23"/>
  <c r="CD25" i="3"/>
  <c r="BE289" i="3"/>
  <c r="BD336" i="3"/>
  <c r="W91" i="16"/>
  <c r="AW182" i="25"/>
  <c r="AW186" i="25"/>
  <c r="AW187" i="25" s="1"/>
  <c r="AZ92" i="17"/>
  <c r="AZ78" i="3"/>
  <c r="BD67" i="23"/>
  <c r="BC72" i="23"/>
  <c r="AI106" i="15"/>
  <c r="AI173" i="3"/>
  <c r="AI340" i="3" s="1"/>
  <c r="AJ167" i="3"/>
  <c r="AI171" i="3"/>
  <c r="AP64" i="15"/>
  <c r="AP230" i="3"/>
  <c r="BC31" i="25"/>
  <c r="BC65" i="3" s="1"/>
  <c r="BD84" i="25"/>
  <c r="BC98" i="25"/>
  <c r="BE214" i="25"/>
  <c r="BD216" i="25"/>
  <c r="BA125" i="25"/>
  <c r="AZ134" i="25"/>
  <c r="BB208" i="25"/>
  <c r="AY48" i="23"/>
  <c r="AY54" i="23" s="1"/>
  <c r="AZ37" i="23"/>
  <c r="BD259" i="3"/>
  <c r="BC321" i="3"/>
  <c r="BE256" i="3"/>
  <c r="AU51" i="16"/>
  <c r="AU50" i="16"/>
  <c r="Y260" i="3"/>
  <c r="Z111" i="3"/>
  <c r="Y12" i="17"/>
  <c r="Y13" i="17" s="1"/>
  <c r="Y294" i="3"/>
  <c r="Y296" i="3" s="1"/>
  <c r="AU7" i="16"/>
  <c r="BH172" i="25"/>
  <c r="BG178" i="25"/>
  <c r="AY209" i="25"/>
  <c r="AX210" i="25"/>
  <c r="BD221" i="25"/>
  <c r="BC222" i="25"/>
  <c r="BE183" i="25"/>
  <c r="BF174" i="25"/>
  <c r="AY175" i="25"/>
  <c r="AX181" i="25"/>
  <c r="BA120" i="27"/>
  <c r="BA121" i="27" s="1"/>
  <c r="BA84" i="27"/>
  <c r="BB83" i="27"/>
  <c r="BA100" i="27"/>
  <c r="BA98" i="27"/>
  <c r="BB31" i="3"/>
  <c r="BB51" i="3" s="1"/>
  <c r="BA50" i="3"/>
  <c r="BC129" i="21"/>
  <c r="BB140" i="21"/>
  <c r="BB141" i="21" s="1"/>
  <c r="BB123" i="21"/>
  <c r="AS146" i="21"/>
  <c r="AS145" i="21"/>
  <c r="AS144" i="21"/>
  <c r="AS112" i="21"/>
  <c r="BC271" i="3"/>
  <c r="BB276" i="3"/>
  <c r="BB319" i="3"/>
  <c r="BY79" i="21"/>
  <c r="BY92" i="21" s="1"/>
  <c r="BZ53" i="21"/>
  <c r="Y101" i="15"/>
  <c r="Y74" i="15"/>
  <c r="Y76" i="15" s="1"/>
  <c r="Y78" i="15" s="1"/>
  <c r="BB91" i="17"/>
  <c r="BB65" i="3"/>
  <c r="AY139" i="25"/>
  <c r="AY140" i="25" s="1"/>
  <c r="AY132" i="25"/>
  <c r="AY135" i="25"/>
  <c r="AS111" i="21"/>
  <c r="AQ198" i="3"/>
  <c r="BA170" i="25"/>
  <c r="AZ188" i="25"/>
  <c r="AZ189" i="25" s="1"/>
  <c r="BE160" i="21"/>
  <c r="BD162" i="21"/>
  <c r="Z240" i="3"/>
  <c r="Y243" i="3"/>
  <c r="AO60" i="27"/>
  <c r="AO50" i="27"/>
  <c r="AX137" i="25"/>
  <c r="AX138" i="25" s="1"/>
  <c r="AX133" i="25"/>
  <c r="AS113" i="21"/>
  <c r="BE119" i="21"/>
  <c r="BD155" i="21"/>
  <c r="BD156" i="21" s="1"/>
  <c r="BD131" i="21"/>
  <c r="BD134" i="21"/>
  <c r="AU55" i="23"/>
  <c r="AU20" i="23"/>
  <c r="AP304" i="3"/>
  <c r="AP211" i="3"/>
  <c r="AP104" i="3"/>
  <c r="BQ69" i="25"/>
  <c r="BP82" i="25"/>
  <c r="BP96" i="25" s="1"/>
  <c r="AY42" i="23"/>
  <c r="AX44" i="23"/>
  <c r="BU84" i="21"/>
  <c r="BU97" i="21"/>
  <c r="BU23" i="21"/>
  <c r="AK72" i="27"/>
  <c r="AK108" i="25"/>
  <c r="AL6" i="3"/>
  <c r="AK7" i="3"/>
  <c r="AK57" i="23"/>
  <c r="AX36" i="23"/>
  <c r="AW19" i="23"/>
  <c r="AW47" i="23"/>
  <c r="AW38" i="23"/>
  <c r="BV71" i="21"/>
  <c r="BW45" i="21"/>
  <c r="AV49" i="23"/>
  <c r="AV53" i="23"/>
  <c r="AV23" i="23"/>
  <c r="AT45" i="3"/>
  <c r="AT72" i="3" s="1"/>
  <c r="AT50" i="23"/>
  <c r="AT26" i="23"/>
  <c r="AO309" i="3"/>
  <c r="AO322" i="3"/>
  <c r="AO323" i="3" s="1"/>
  <c r="AQ103" i="3"/>
  <c r="AP305" i="3"/>
  <c r="AP303" i="3" s="1"/>
  <c r="AP320" i="3"/>
  <c r="AV25" i="3"/>
  <c r="AV39" i="23"/>
  <c r="BD38" i="3"/>
  <c r="BY50" i="21"/>
  <c r="BX82" i="27"/>
  <c r="BH167" i="21"/>
  <c r="BG168" i="21"/>
  <c r="BU27" i="21"/>
  <c r="BU102" i="21"/>
  <c r="BU89" i="21"/>
  <c r="BA93" i="27"/>
  <c r="AZ104" i="27"/>
  <c r="AZ105" i="27" s="1"/>
  <c r="BW63" i="21"/>
  <c r="BV76" i="21"/>
  <c r="BA95" i="27"/>
  <c r="BB94" i="27"/>
  <c r="BA87" i="27"/>
  <c r="BA102" i="27"/>
  <c r="BA103" i="27" s="1"/>
  <c r="AI78" i="17"/>
  <c r="AI80" i="17" s="1"/>
  <c r="BD73" i="23"/>
  <c r="BC83" i="23"/>
  <c r="BJ89" i="25"/>
  <c r="BJ103" i="25" s="1"/>
  <c r="BK62" i="25"/>
  <c r="BB93" i="3"/>
  <c r="AI34" i="25"/>
  <c r="AI48" i="3"/>
  <c r="AI25" i="25"/>
  <c r="BA130" i="25"/>
  <c r="BA154" i="25"/>
  <c r="BA155" i="25" s="1"/>
  <c r="BB119" i="25"/>
  <c r="CB56" i="25"/>
  <c r="CA83" i="25"/>
  <c r="CA97" i="25" s="1"/>
  <c r="BA147" i="25"/>
  <c r="BH220" i="25"/>
  <c r="BQ103" i="21"/>
  <c r="BQ90" i="21"/>
  <c r="BH35" i="3"/>
  <c r="AZ35" i="27"/>
  <c r="AZ47" i="3"/>
  <c r="AZ74" i="3" s="1"/>
  <c r="CA90" i="25"/>
  <c r="CB63" i="25"/>
  <c r="BN167" i="25"/>
  <c r="AJ77" i="17"/>
  <c r="AJ56" i="17"/>
  <c r="AJ59" i="17"/>
  <c r="AJ73" i="17"/>
  <c r="AJ52" i="17"/>
  <c r="AJ66" i="17"/>
  <c r="AJ57" i="17"/>
  <c r="AJ69" i="17"/>
  <c r="AJ74" i="17"/>
  <c r="AJ62" i="17"/>
  <c r="AJ65" i="17"/>
  <c r="AJ70" i="17"/>
  <c r="AJ58" i="17"/>
  <c r="AJ61" i="17"/>
  <c r="AJ75" i="17"/>
  <c r="AJ54" i="17"/>
  <c r="AJ68" i="17"/>
  <c r="AJ71" i="17"/>
  <c r="AJ55" i="17"/>
  <c r="AJ76" i="17"/>
  <c r="AJ64" i="17"/>
  <c r="AJ67" i="17"/>
  <c r="AJ72" i="17"/>
  <c r="AJ60" i="17"/>
  <c r="AJ63" i="17"/>
  <c r="AJ53" i="17"/>
  <c r="BB78" i="21"/>
  <c r="BC52" i="21"/>
  <c r="BA24" i="27"/>
  <c r="BA68" i="27"/>
  <c r="BA29" i="27"/>
  <c r="BS55" i="25"/>
  <c r="AK110" i="25"/>
  <c r="AJ143" i="25"/>
  <c r="AJ149" i="25" s="1"/>
  <c r="AJ150" i="25" s="1"/>
  <c r="AJ61" i="25" s="1"/>
  <c r="AI61" i="3"/>
  <c r="AI87" i="17"/>
  <c r="AK3" i="15"/>
  <c r="AK4" i="15" s="1"/>
  <c r="AK22" i="17"/>
  <c r="AK54" i="15"/>
  <c r="AK56" i="15" s="1"/>
  <c r="AK6" i="17"/>
  <c r="AK164" i="21"/>
  <c r="AK17" i="27"/>
  <c r="AK17" i="25"/>
  <c r="AK69" i="15"/>
  <c r="AK5" i="23"/>
  <c r="AK329" i="3"/>
  <c r="AK208" i="3"/>
  <c r="AK85" i="3"/>
  <c r="AK21" i="3"/>
  <c r="AK218" i="25"/>
  <c r="AK6" i="15"/>
  <c r="AK108" i="21"/>
  <c r="AK3" i="27"/>
  <c r="AK158" i="21"/>
  <c r="AK3" i="25"/>
  <c r="AK3" i="21"/>
  <c r="AK313" i="3"/>
  <c r="AK200" i="3"/>
  <c r="AK153" i="3"/>
  <c r="AL3" i="3"/>
  <c r="AK49" i="17"/>
  <c r="AK206" i="25"/>
  <c r="AK21" i="15"/>
  <c r="AK3" i="17"/>
  <c r="AK4" i="17" s="1"/>
  <c r="AK19" i="21"/>
  <c r="AK83" i="17"/>
  <c r="AK5" i="25"/>
  <c r="AK5" i="27"/>
  <c r="AK300" i="3"/>
  <c r="AK182" i="3"/>
  <c r="AK145" i="3"/>
  <c r="AK41" i="3"/>
  <c r="AK37" i="17"/>
  <c r="AK95" i="15"/>
  <c r="AK29" i="17"/>
  <c r="AK212" i="25"/>
  <c r="AK157" i="25"/>
  <c r="AK5" i="21"/>
  <c r="AK17" i="23"/>
  <c r="AK253" i="3"/>
  <c r="AK164" i="3"/>
  <c r="AK68" i="3"/>
  <c r="AK9" i="3"/>
  <c r="BA86" i="23"/>
  <c r="BA87" i="23" s="1"/>
  <c r="BA82" i="23"/>
  <c r="BJ74" i="23"/>
  <c r="BA79" i="3"/>
  <c r="BA93" i="17"/>
  <c r="AH87" i="15"/>
  <c r="BJ87" i="25"/>
  <c r="BJ101" i="25" s="1"/>
  <c r="BK60" i="25"/>
  <c r="AI80" i="15"/>
  <c r="AI85" i="15" s="1"/>
  <c r="AI81" i="15"/>
  <c r="AI86" i="15" s="1"/>
  <c r="AI79" i="15"/>
  <c r="AI84" i="15" s="1"/>
  <c r="CB57" i="25"/>
  <c r="BA91" i="21"/>
  <c r="BA104" i="21"/>
  <c r="BA27" i="3"/>
  <c r="BA21" i="27"/>
  <c r="BA51" i="27" s="1"/>
  <c r="BO166" i="21"/>
  <c r="BB81" i="23"/>
  <c r="BB84" i="23"/>
  <c r="BB88" i="23"/>
  <c r="BB89" i="23" s="1"/>
  <c r="BI78" i="23"/>
  <c r="AJ76" i="15"/>
  <c r="AJ78" i="15" s="1"/>
  <c r="AJ57" i="15"/>
  <c r="BB52" i="3"/>
  <c r="BC32" i="3"/>
  <c r="AY17" i="17"/>
  <c r="AX159" i="3"/>
  <c r="BC48" i="27"/>
  <c r="BB20" i="27"/>
  <c r="BB61" i="27"/>
  <c r="BB50" i="27"/>
  <c r="BR77" i="21"/>
  <c r="BS51" i="21"/>
  <c r="BD136" i="21" l="1"/>
  <c r="BA77" i="3"/>
  <c r="BB30" i="3"/>
  <c r="BB88" i="3" s="1"/>
  <c r="AQ265" i="3"/>
  <c r="AQ320" i="3" s="1"/>
  <c r="AN46" i="3"/>
  <c r="AN73" i="3" s="1"/>
  <c r="AP75" i="27"/>
  <c r="AP76" i="27"/>
  <c r="AP109" i="27"/>
  <c r="AP110" i="27"/>
  <c r="AP108" i="27"/>
  <c r="AP77" i="27"/>
  <c r="AP111" i="27" s="1"/>
  <c r="AQ198" i="25"/>
  <c r="AQ199" i="25" s="1"/>
  <c r="AQ54" i="25" s="1"/>
  <c r="AQ81" i="25" s="1"/>
  <c r="AV48" i="21"/>
  <c r="AU74" i="21"/>
  <c r="AT100" i="21"/>
  <c r="AT87" i="21"/>
  <c r="W1" i="16"/>
  <c r="AN25" i="27"/>
  <c r="AN32" i="27" s="1"/>
  <c r="BC203" i="25"/>
  <c r="BC204" i="25" s="1"/>
  <c r="BC179" i="25"/>
  <c r="BD168" i="25"/>
  <c r="BC184" i="25"/>
  <c r="BC196" i="25"/>
  <c r="BE73" i="21"/>
  <c r="BF60" i="21"/>
  <c r="AP35" i="25"/>
  <c r="AP49" i="3"/>
  <c r="AP76" i="3" s="1"/>
  <c r="AR161" i="25"/>
  <c r="AR194" i="25"/>
  <c r="AR193" i="25"/>
  <c r="AR192" i="25"/>
  <c r="AR160" i="25"/>
  <c r="BD86" i="21"/>
  <c r="BD26" i="21"/>
  <c r="BD99" i="21"/>
  <c r="AR162" i="25"/>
  <c r="BG17" i="21"/>
  <c r="BF20" i="17"/>
  <c r="CA49" i="27"/>
  <c r="BZ62" i="27"/>
  <c r="BZ19" i="27"/>
  <c r="BZ26" i="3" s="1"/>
  <c r="BY30" i="27"/>
  <c r="BY56" i="27"/>
  <c r="CC26" i="23"/>
  <c r="CC50" i="23"/>
  <c r="CC45" i="3"/>
  <c r="CC72" i="3" s="1"/>
  <c r="BA58" i="25"/>
  <c r="AZ85" i="25"/>
  <c r="BE68" i="23"/>
  <c r="BD102" i="23"/>
  <c r="BD103" i="23" s="1"/>
  <c r="BD79" i="23"/>
  <c r="CE23" i="23"/>
  <c r="CE49" i="23"/>
  <c r="CE53" i="23"/>
  <c r="CG36" i="23"/>
  <c r="CF38" i="23"/>
  <c r="CF19" i="23"/>
  <c r="CF47" i="23"/>
  <c r="CD20" i="23"/>
  <c r="CD55" i="23"/>
  <c r="BD272" i="3"/>
  <c r="BC9" i="17"/>
  <c r="BG99" i="27"/>
  <c r="BG97" i="27" s="1"/>
  <c r="BH89" i="27"/>
  <c r="BA30" i="25"/>
  <c r="BA73" i="25"/>
  <c r="BA100" i="25"/>
  <c r="BE336" i="3"/>
  <c r="BF289" i="3"/>
  <c r="BB335" i="3"/>
  <c r="BC288" i="3"/>
  <c r="AY99" i="25"/>
  <c r="AY29" i="25"/>
  <c r="AZ90" i="17"/>
  <c r="AZ64" i="3"/>
  <c r="BB81" i="3"/>
  <c r="BC37" i="3"/>
  <c r="BB34" i="3"/>
  <c r="BB89" i="3" s="1"/>
  <c r="CE39" i="23"/>
  <c r="CE25" i="3"/>
  <c r="BC59" i="25"/>
  <c r="BB86" i="25"/>
  <c r="BE135" i="21"/>
  <c r="BE133" i="21" s="1"/>
  <c r="BE138" i="21" s="1"/>
  <c r="BE139" i="21" s="1"/>
  <c r="BF125" i="21"/>
  <c r="BF119" i="21"/>
  <c r="BE155" i="21"/>
  <c r="BE156" i="21" s="1"/>
  <c r="BE131" i="21"/>
  <c r="AS147" i="21"/>
  <c r="AS150" i="21" s="1"/>
  <c r="AS151" i="21" s="1"/>
  <c r="AO26" i="3"/>
  <c r="AO21" i="27"/>
  <c r="AO51" i="27" s="1"/>
  <c r="AQ230" i="3"/>
  <c r="AQ64" i="15"/>
  <c r="AS115" i="21"/>
  <c r="AT110" i="21" s="1"/>
  <c r="AT111" i="21" s="1"/>
  <c r="AY137" i="25"/>
  <c r="AY138" i="25" s="1"/>
  <c r="AY133" i="25"/>
  <c r="Y81" i="15"/>
  <c r="Y86" i="15" s="1"/>
  <c r="Y80" i="15"/>
  <c r="Y85" i="15" s="1"/>
  <c r="Y79" i="15"/>
  <c r="Y84" i="15" s="1"/>
  <c r="BZ79" i="21"/>
  <c r="BZ92" i="21" s="1"/>
  <c r="CA53" i="21"/>
  <c r="BA78" i="3"/>
  <c r="BA92" i="17"/>
  <c r="BB120" i="27"/>
  <c r="BB121" i="27" s="1"/>
  <c r="BB100" i="27"/>
  <c r="BC83" i="27"/>
  <c r="BB84" i="27"/>
  <c r="BB98" i="27"/>
  <c r="AY181" i="25"/>
  <c r="AZ175" i="25"/>
  <c r="BG174" i="25"/>
  <c r="BF183" i="25"/>
  <c r="BB112" i="27"/>
  <c r="AU25" i="16"/>
  <c r="Y99" i="15"/>
  <c r="Y297" i="3"/>
  <c r="Z263" i="3"/>
  <c r="Z269" i="3" s="1"/>
  <c r="AV11" i="16" s="1"/>
  <c r="Z113" i="3"/>
  <c r="BF256" i="3"/>
  <c r="AZ48" i="23"/>
  <c r="AZ54" i="23" s="1"/>
  <c r="BA37" i="23"/>
  <c r="BC208" i="25"/>
  <c r="AZ139" i="25"/>
  <c r="AZ140" i="25" s="1"/>
  <c r="AZ132" i="25"/>
  <c r="AZ135" i="25"/>
  <c r="BC91" i="17"/>
  <c r="AJ177" i="3"/>
  <c r="BE67" i="23"/>
  <c r="BD72" i="23"/>
  <c r="AQ304" i="3"/>
  <c r="BE149" i="21"/>
  <c r="AO67" i="27"/>
  <c r="AO23" i="27"/>
  <c r="AO63" i="27"/>
  <c r="AO70" i="27" s="1"/>
  <c r="AO54" i="27"/>
  <c r="AO57" i="27" s="1"/>
  <c r="AO27" i="27"/>
  <c r="BF160" i="21"/>
  <c r="BE162" i="21"/>
  <c r="BB170" i="25"/>
  <c r="BA188" i="25"/>
  <c r="BA189" i="25" s="1"/>
  <c r="BD271" i="3"/>
  <c r="BC276" i="3"/>
  <c r="BC319" i="3"/>
  <c r="BC140" i="21"/>
  <c r="BC141" i="21" s="1"/>
  <c r="BC123" i="21"/>
  <c r="BD129" i="21"/>
  <c r="BC31" i="3"/>
  <c r="AX182" i="25"/>
  <c r="AX186" i="25"/>
  <c r="AX187" i="25" s="1"/>
  <c r="BE221" i="25"/>
  <c r="BD222" i="25"/>
  <c r="AZ209" i="25"/>
  <c r="AY210" i="25"/>
  <c r="BI172" i="25"/>
  <c r="BH178" i="25"/>
  <c r="Y42" i="17"/>
  <c r="Y14" i="17"/>
  <c r="AU9" i="16"/>
  <c r="AU12" i="16" s="1"/>
  <c r="AU81" i="16" s="1"/>
  <c r="AU1" i="16" s="1"/>
  <c r="Y286" i="3"/>
  <c r="Y293" i="3" s="1"/>
  <c r="Y298" i="3"/>
  <c r="BE259" i="3"/>
  <c r="BD321" i="3"/>
  <c r="BB125" i="25"/>
  <c r="BA134" i="25"/>
  <c r="BE216" i="25"/>
  <c r="BF214" i="25"/>
  <c r="BE84" i="25"/>
  <c r="BD98" i="25"/>
  <c r="BD31" i="25"/>
  <c r="AI172" i="3"/>
  <c r="AI105" i="15" s="1"/>
  <c r="AI104" i="15"/>
  <c r="AQ305" i="3"/>
  <c r="AQ303" i="3" s="1"/>
  <c r="AV20" i="23"/>
  <c r="AV55" i="23"/>
  <c r="AP212" i="3"/>
  <c r="AQ104" i="3"/>
  <c r="AQ105" i="3" s="1"/>
  <c r="BX45" i="21"/>
  <c r="BW71" i="21"/>
  <c r="AW25" i="3"/>
  <c r="AW39" i="23"/>
  <c r="AL7" i="3"/>
  <c r="AM6" i="3"/>
  <c r="AL57" i="23"/>
  <c r="AL108" i="25"/>
  <c r="AL72" i="27"/>
  <c r="AY44" i="23"/>
  <c r="AZ42" i="23"/>
  <c r="AZ44" i="23" s="1"/>
  <c r="AP63" i="15"/>
  <c r="AU50" i="23"/>
  <c r="AU26" i="23"/>
  <c r="AU45" i="3"/>
  <c r="AU72" i="3" s="1"/>
  <c r="BR69" i="25"/>
  <c r="BQ82" i="25"/>
  <c r="BQ96" i="25" s="1"/>
  <c r="AW49" i="23"/>
  <c r="AW23" i="23"/>
  <c r="AW53" i="23"/>
  <c r="AQ211" i="3"/>
  <c r="AP267" i="3"/>
  <c r="BV23" i="21"/>
  <c r="BV84" i="21"/>
  <c r="BV97" i="21"/>
  <c r="AY36" i="23"/>
  <c r="AX19" i="23"/>
  <c r="AX47" i="23"/>
  <c r="AX38" i="23"/>
  <c r="AP105" i="3"/>
  <c r="BE38" i="3"/>
  <c r="BZ50" i="21"/>
  <c r="BV27" i="21"/>
  <c r="BV102" i="21"/>
  <c r="BV89" i="21"/>
  <c r="BB93" i="27"/>
  <c r="BA104" i="27"/>
  <c r="BA105" i="27" s="1"/>
  <c r="BB95" i="27"/>
  <c r="BC94" i="27"/>
  <c r="BB87" i="27"/>
  <c r="BB102" i="27"/>
  <c r="BB103" i="27" s="1"/>
  <c r="BX63" i="21"/>
  <c r="BW76" i="21"/>
  <c r="BI167" i="21"/>
  <c r="BH168" i="21"/>
  <c r="BY82" i="27"/>
  <c r="BB147" i="25"/>
  <c r="BS77" i="21"/>
  <c r="BT51" i="21"/>
  <c r="BC20" i="27"/>
  <c r="BC61" i="27"/>
  <c r="BC50" i="27"/>
  <c r="BD48" i="27"/>
  <c r="BP166" i="21"/>
  <c r="AI87" i="15"/>
  <c r="BK87" i="25"/>
  <c r="BK101" i="25" s="1"/>
  <c r="BL60" i="25"/>
  <c r="AK76" i="15"/>
  <c r="AK78" i="15" s="1"/>
  <c r="AK57" i="15"/>
  <c r="BT55" i="25"/>
  <c r="BA35" i="27"/>
  <c r="BA47" i="3"/>
  <c r="BA74" i="3" s="1"/>
  <c r="CC63" i="25"/>
  <c r="CB90" i="25"/>
  <c r="BI220" i="25"/>
  <c r="BC81" i="23"/>
  <c r="BC84" i="23"/>
  <c r="BC88" i="23"/>
  <c r="BC89" i="23" s="1"/>
  <c r="BD32" i="3"/>
  <c r="BC52" i="3"/>
  <c r="BK74" i="23"/>
  <c r="AJ88" i="25"/>
  <c r="AJ19" i="25"/>
  <c r="AJ64" i="25"/>
  <c r="BC78" i="21"/>
  <c r="BD52" i="21"/>
  <c r="AJ78" i="17"/>
  <c r="AJ80" i="17" s="1"/>
  <c r="BB130" i="25"/>
  <c r="BB154" i="25"/>
  <c r="BB155" i="25" s="1"/>
  <c r="BC119" i="25"/>
  <c r="AI92" i="25"/>
  <c r="AI36" i="25"/>
  <c r="AI32" i="25"/>
  <c r="BK89" i="25"/>
  <c r="BK103" i="25" s="1"/>
  <c r="BL62" i="25"/>
  <c r="BE73" i="23"/>
  <c r="BD83" i="23"/>
  <c r="BB68" i="27"/>
  <c r="BB29" i="27"/>
  <c r="BB24" i="27"/>
  <c r="BB79" i="3"/>
  <c r="BB93" i="17"/>
  <c r="BB50" i="3"/>
  <c r="BB77" i="3" s="1"/>
  <c r="AJ80" i="15"/>
  <c r="AJ85" i="15" s="1"/>
  <c r="AJ81" i="15"/>
  <c r="AJ86" i="15" s="1"/>
  <c r="AJ79" i="15"/>
  <c r="AJ84" i="15" s="1"/>
  <c r="BJ78" i="23"/>
  <c r="AK62" i="17"/>
  <c r="AK60" i="17"/>
  <c r="AK74" i="17"/>
  <c r="AK55" i="17"/>
  <c r="AK65" i="17"/>
  <c r="AK69" i="17"/>
  <c r="AK54" i="17"/>
  <c r="AK67" i="17"/>
  <c r="AK57" i="17"/>
  <c r="AK66" i="17"/>
  <c r="AK52" i="17"/>
  <c r="AK73" i="17"/>
  <c r="AK61" i="17"/>
  <c r="AK71" i="17"/>
  <c r="AK59" i="17"/>
  <c r="AK56" i="17"/>
  <c r="AK58" i="17"/>
  <c r="AK77" i="17"/>
  <c r="AK72" i="17"/>
  <c r="AK53" i="17"/>
  <c r="AK70" i="17"/>
  <c r="AK76" i="17"/>
  <c r="AK75" i="17"/>
  <c r="AK63" i="17"/>
  <c r="AK68" i="17"/>
  <c r="AK64" i="17"/>
  <c r="AK112" i="25"/>
  <c r="AK113" i="25"/>
  <c r="AK111" i="25"/>
  <c r="BB91" i="21"/>
  <c r="BB104" i="21"/>
  <c r="BO167" i="25"/>
  <c r="CB83" i="25"/>
  <c r="CB97" i="25" s="1"/>
  <c r="CC56" i="25"/>
  <c r="AI75" i="3"/>
  <c r="BC93" i="3"/>
  <c r="BR90" i="21"/>
  <c r="BR103" i="21"/>
  <c r="BB27" i="3"/>
  <c r="BB21" i="27"/>
  <c r="BB51" i="27" s="1"/>
  <c r="AZ17" i="17"/>
  <c r="AY159" i="3"/>
  <c r="BB86" i="23"/>
  <c r="BB87" i="23" s="1"/>
  <c r="BB82" i="23"/>
  <c r="CC57" i="25"/>
  <c r="AL95" i="15"/>
  <c r="AL29" i="17"/>
  <c r="AL212" i="25"/>
  <c r="AL37" i="17"/>
  <c r="AL3" i="17"/>
  <c r="AL4" i="17" s="1"/>
  <c r="AL158" i="21"/>
  <c r="AL5" i="25"/>
  <c r="AL3" i="25"/>
  <c r="AL5" i="23"/>
  <c r="AL253" i="3"/>
  <c r="AL200" i="3"/>
  <c r="AL41" i="3"/>
  <c r="AL21" i="3"/>
  <c r="AL54" i="15"/>
  <c r="AL56" i="15" s="1"/>
  <c r="AL6" i="17"/>
  <c r="AL3" i="15"/>
  <c r="AL4" i="15" s="1"/>
  <c r="AL22" i="17"/>
  <c r="AL5" i="27"/>
  <c r="AL17" i="27"/>
  <c r="AL164" i="21"/>
  <c r="AL3" i="21"/>
  <c r="AL329" i="3"/>
  <c r="AL182" i="3"/>
  <c r="AL153" i="3"/>
  <c r="AL9" i="3"/>
  <c r="AL69" i="15"/>
  <c r="AL218" i="25"/>
  <c r="AL157" i="25"/>
  <c r="AL17" i="23"/>
  <c r="AL3" i="27"/>
  <c r="AL108" i="21"/>
  <c r="AL313" i="3"/>
  <c r="AL164" i="3"/>
  <c r="AL145" i="3"/>
  <c r="AM3" i="3"/>
  <c r="AL21" i="15"/>
  <c r="AL83" i="17"/>
  <c r="AL49" i="17"/>
  <c r="AL206" i="25"/>
  <c r="AL17" i="25"/>
  <c r="AL6" i="15"/>
  <c r="AL5" i="21"/>
  <c r="AL19" i="21"/>
  <c r="AL300" i="3"/>
  <c r="AL208" i="3"/>
  <c r="AL85" i="3"/>
  <c r="AL68" i="3"/>
  <c r="BI35" i="3"/>
  <c r="AR103" i="3" l="1"/>
  <c r="AQ20" i="25"/>
  <c r="AQ29" i="3" s="1"/>
  <c r="BF149" i="21"/>
  <c r="BE136" i="21"/>
  <c r="BC30" i="3"/>
  <c r="BC88" i="3" s="1"/>
  <c r="BC51" i="3"/>
  <c r="BC50" i="3" s="1"/>
  <c r="AP114" i="27"/>
  <c r="AP115" i="27" s="1"/>
  <c r="AP116" i="27" s="1"/>
  <c r="AP47" i="27" s="1"/>
  <c r="AP60" i="27" s="1"/>
  <c r="AR185" i="3"/>
  <c r="AR192" i="3" s="1"/>
  <c r="AP79" i="27"/>
  <c r="AQ74" i="27" s="1"/>
  <c r="AN64" i="27"/>
  <c r="AN36" i="27"/>
  <c r="AU87" i="21"/>
  <c r="AU100" i="21"/>
  <c r="AW48" i="21"/>
  <c r="AV74" i="21"/>
  <c r="AQ63" i="15"/>
  <c r="BD196" i="25"/>
  <c r="AR195" i="25"/>
  <c r="AR197" i="25" s="1"/>
  <c r="BE26" i="21"/>
  <c r="BE99" i="21"/>
  <c r="BE86" i="21"/>
  <c r="AR164" i="25"/>
  <c r="AS159" i="25" s="1"/>
  <c r="BF73" i="21"/>
  <c r="BG60" i="21"/>
  <c r="BE168" i="25"/>
  <c r="BD203" i="25"/>
  <c r="BD204" i="25" s="1"/>
  <c r="BD179" i="25"/>
  <c r="BD184" i="25"/>
  <c r="AQ95" i="25"/>
  <c r="AQ24" i="25"/>
  <c r="AQ68" i="25"/>
  <c r="CA19" i="27"/>
  <c r="CA26" i="3" s="1"/>
  <c r="CB49" i="27"/>
  <c r="CA62" i="27"/>
  <c r="BH17" i="21"/>
  <c r="BG20" i="17"/>
  <c r="BZ30" i="27"/>
  <c r="BZ56" i="27"/>
  <c r="BD59" i="25"/>
  <c r="BC86" i="25"/>
  <c r="BC81" i="3"/>
  <c r="BC34" i="3"/>
  <c r="BC89" i="3" s="1"/>
  <c r="BD37" i="3"/>
  <c r="BD288" i="3"/>
  <c r="BC335" i="3"/>
  <c r="BF336" i="3"/>
  <c r="BG289" i="3"/>
  <c r="BA64" i="3"/>
  <c r="BA90" i="17"/>
  <c r="BE272" i="3"/>
  <c r="BD9" i="17"/>
  <c r="CD26" i="23"/>
  <c r="CD50" i="23"/>
  <c r="CD45" i="3"/>
  <c r="CD72" i="3" s="1"/>
  <c r="CF25" i="3"/>
  <c r="CF39" i="23"/>
  <c r="CG19" i="23"/>
  <c r="CG38" i="23"/>
  <c r="CG47" i="23"/>
  <c r="CE20" i="23"/>
  <c r="CE55" i="23"/>
  <c r="BE102" i="23"/>
  <c r="BE103" i="23" s="1"/>
  <c r="BF68" i="23"/>
  <c r="BE79" i="23"/>
  <c r="BA85" i="25"/>
  <c r="BB58" i="25"/>
  <c r="BE134" i="21"/>
  <c r="BF135" i="21"/>
  <c r="BF133" i="21" s="1"/>
  <c r="BF138" i="21" s="1"/>
  <c r="BF139" i="21" s="1"/>
  <c r="BG125" i="21"/>
  <c r="BB30" i="25"/>
  <c r="BB100" i="25"/>
  <c r="BB73" i="25"/>
  <c r="BI89" i="27"/>
  <c r="BH99" i="27"/>
  <c r="BH97" i="27" s="1"/>
  <c r="CF49" i="23"/>
  <c r="CF23" i="23"/>
  <c r="CF53" i="23"/>
  <c r="AZ29" i="25"/>
  <c r="AZ99" i="25"/>
  <c r="Y87" i="15"/>
  <c r="AI113" i="15"/>
  <c r="AI114" i="15"/>
  <c r="BD65" i="3"/>
  <c r="BD91" i="17"/>
  <c r="BE98" i="25"/>
  <c r="BE31" i="25"/>
  <c r="BF84" i="25"/>
  <c r="BB134" i="25"/>
  <c r="BC125" i="25"/>
  <c r="BE321" i="3"/>
  <c r="BF259" i="3"/>
  <c r="BD31" i="3"/>
  <c r="BD51" i="3" s="1"/>
  <c r="BD140" i="21"/>
  <c r="BD141" i="21" s="1"/>
  <c r="BD123" i="21"/>
  <c r="BE129" i="21"/>
  <c r="AP67" i="27"/>
  <c r="AP23" i="27"/>
  <c r="AP63" i="27"/>
  <c r="AP70" i="27" s="1"/>
  <c r="AP27" i="27"/>
  <c r="AP54" i="27"/>
  <c r="AP57" i="27" s="1"/>
  <c r="AO25" i="27"/>
  <c r="AO46" i="3"/>
  <c r="AO73" i="3" s="1"/>
  <c r="AO34" i="27"/>
  <c r="BF67" i="23"/>
  <c r="BE72" i="23"/>
  <c r="AJ179" i="3"/>
  <c r="AJ180" i="3"/>
  <c r="AJ168" i="3"/>
  <c r="AJ170" i="3" s="1"/>
  <c r="AZ137" i="25"/>
  <c r="AZ138" i="25" s="1"/>
  <c r="AZ133" i="25"/>
  <c r="BD208" i="25"/>
  <c r="BA19" i="23"/>
  <c r="BA48" i="23"/>
  <c r="BA38" i="23"/>
  <c r="BB37" i="23"/>
  <c r="BG256" i="3"/>
  <c r="Z34" i="17"/>
  <c r="X23" i="16"/>
  <c r="Z116" i="3"/>
  <c r="Z117" i="3" s="1"/>
  <c r="Z215" i="3" s="1"/>
  <c r="Z216" i="3" s="1"/>
  <c r="X34" i="16" s="1"/>
  <c r="X37" i="16" s="1"/>
  <c r="Z114" i="3"/>
  <c r="Z118" i="3" s="1"/>
  <c r="X26" i="16" s="1"/>
  <c r="AU27" i="16"/>
  <c r="AU42" i="16"/>
  <c r="AZ181" i="25"/>
  <c r="BA175" i="25"/>
  <c r="BC100" i="27"/>
  <c r="BD83" i="27"/>
  <c r="BC98" i="27"/>
  <c r="BC120" i="27"/>
  <c r="BC121" i="27" s="1"/>
  <c r="BC84" i="27"/>
  <c r="AP19" i="27"/>
  <c r="AP50" i="27"/>
  <c r="BF216" i="25"/>
  <c r="BG214" i="25"/>
  <c r="BA132" i="25"/>
  <c r="BA139" i="25"/>
  <c r="BA140" i="25" s="1"/>
  <c r="BA135" i="25"/>
  <c r="Y43" i="17"/>
  <c r="AU41" i="16"/>
  <c r="BJ172" i="25"/>
  <c r="BI178" i="25"/>
  <c r="BA209" i="25"/>
  <c r="AZ210" i="25"/>
  <c r="BF221" i="25"/>
  <c r="BE222" i="25"/>
  <c r="BB92" i="17"/>
  <c r="BB78" i="3"/>
  <c r="BE271" i="3"/>
  <c r="BD276" i="3"/>
  <c r="BD319" i="3"/>
  <c r="BB188" i="25"/>
  <c r="BB189" i="25" s="1"/>
  <c r="BC170" i="25"/>
  <c r="BF162" i="21"/>
  <c r="BG160" i="21"/>
  <c r="BC112" i="27"/>
  <c r="BD112" i="27" s="1"/>
  <c r="BH174" i="25"/>
  <c r="BG183" i="25"/>
  <c r="AY186" i="25"/>
  <c r="AY187" i="25" s="1"/>
  <c r="AY182" i="25"/>
  <c r="CA79" i="21"/>
  <c r="CA92" i="21" s="1"/>
  <c r="CB53" i="21"/>
  <c r="AT146" i="21"/>
  <c r="AT144" i="21"/>
  <c r="AT112" i="21"/>
  <c r="AT145" i="21"/>
  <c r="AT113" i="21"/>
  <c r="BG119" i="21"/>
  <c r="BG149" i="21" s="1"/>
  <c r="BF155" i="21"/>
  <c r="BF156" i="21" s="1"/>
  <c r="BF131" i="21"/>
  <c r="AX53" i="23"/>
  <c r="AX23" i="23"/>
  <c r="AX49" i="23"/>
  <c r="BS69" i="25"/>
  <c r="BR82" i="25"/>
  <c r="BR96" i="25" s="1"/>
  <c r="BW84" i="21"/>
  <c r="BW23" i="21"/>
  <c r="BW97" i="21"/>
  <c r="AR304" i="3"/>
  <c r="AR211" i="3"/>
  <c r="AX39" i="23"/>
  <c r="AX25" i="3"/>
  <c r="BY45" i="21"/>
  <c r="BX71" i="21"/>
  <c r="AR104" i="3"/>
  <c r="AR105" i="3" s="1"/>
  <c r="AQ212" i="3"/>
  <c r="AP309" i="3"/>
  <c r="AQ267" i="3"/>
  <c r="AP322" i="3"/>
  <c r="AP323" i="3" s="1"/>
  <c r="AV50" i="23"/>
  <c r="AV45" i="3"/>
  <c r="AV72" i="3" s="1"/>
  <c r="AV26" i="23"/>
  <c r="AZ36" i="23"/>
  <c r="AY38" i="23"/>
  <c r="AY19" i="23"/>
  <c r="AY47" i="23"/>
  <c r="AW20" i="23"/>
  <c r="AW55" i="23"/>
  <c r="AN6" i="3"/>
  <c r="AM7" i="3"/>
  <c r="AM108" i="25"/>
  <c r="AM72" i="27"/>
  <c r="AM57" i="23"/>
  <c r="BF38" i="3"/>
  <c r="BC147" i="25"/>
  <c r="CA50" i="21"/>
  <c r="AK115" i="25"/>
  <c r="AL110" i="25" s="1"/>
  <c r="AL113" i="25" s="1"/>
  <c r="BJ167" i="21"/>
  <c r="BI168" i="21"/>
  <c r="BW89" i="21"/>
  <c r="BW27" i="21"/>
  <c r="BW102" i="21"/>
  <c r="BC95" i="27"/>
  <c r="BD94" i="27"/>
  <c r="BC87" i="27"/>
  <c r="BC102" i="27"/>
  <c r="BC103" i="27" s="1"/>
  <c r="BZ82" i="27"/>
  <c r="BY63" i="21"/>
  <c r="BX76" i="21"/>
  <c r="BB104" i="27"/>
  <c r="BB105" i="27" s="1"/>
  <c r="BC93" i="27"/>
  <c r="BD93" i="3"/>
  <c r="BP167" i="25"/>
  <c r="AK146" i="25"/>
  <c r="BK78" i="23"/>
  <c r="BD84" i="23"/>
  <c r="BD81" i="23"/>
  <c r="BD88" i="23"/>
  <c r="BD89" i="23" s="1"/>
  <c r="BC104" i="21"/>
  <c r="BC91" i="21"/>
  <c r="BE32" i="3"/>
  <c r="BD52" i="3"/>
  <c r="BC86" i="23"/>
  <c r="BC87" i="23" s="1"/>
  <c r="BC82" i="23"/>
  <c r="BJ220" i="25"/>
  <c r="BD61" i="27"/>
  <c r="BD20" i="27"/>
  <c r="BD50" i="27"/>
  <c r="BE48" i="27"/>
  <c r="CC83" i="25"/>
  <c r="CC97" i="25" s="1"/>
  <c r="CD56" i="25"/>
  <c r="AK78" i="17"/>
  <c r="AK80" i="17" s="1"/>
  <c r="AJ87" i="15"/>
  <c r="BF73" i="23"/>
  <c r="BE83" i="23"/>
  <c r="AJ21" i="25"/>
  <c r="AJ65" i="25" s="1"/>
  <c r="AJ28" i="3"/>
  <c r="BL74" i="23"/>
  <c r="BU55" i="25"/>
  <c r="BT77" i="21"/>
  <c r="BU51" i="21"/>
  <c r="BJ35" i="3"/>
  <c r="AM6" i="15"/>
  <c r="AM54" i="15"/>
  <c r="AM56" i="15" s="1"/>
  <c r="AM6" i="17"/>
  <c r="AM5" i="21"/>
  <c r="AM5" i="27"/>
  <c r="AM22" i="17"/>
  <c r="AM206" i="25"/>
  <c r="AM49" i="17"/>
  <c r="AM300" i="3"/>
  <c r="AM182" i="3"/>
  <c r="AM145" i="3"/>
  <c r="AN3" i="3"/>
  <c r="AM69" i="15"/>
  <c r="AM3" i="17"/>
  <c r="AM4" i="17" s="1"/>
  <c r="AM5" i="25"/>
  <c r="AM164" i="21"/>
  <c r="AM17" i="23"/>
  <c r="AM19" i="21"/>
  <c r="AM157" i="25"/>
  <c r="AM37" i="17"/>
  <c r="AM253" i="3"/>
  <c r="AM164" i="3"/>
  <c r="AM68" i="3"/>
  <c r="AM41" i="3"/>
  <c r="AM83" i="17"/>
  <c r="AM21" i="15"/>
  <c r="AM17" i="27"/>
  <c r="AM218" i="25"/>
  <c r="AM5" i="23"/>
  <c r="AM3" i="15"/>
  <c r="AM4" i="15" s="1"/>
  <c r="AM17" i="25"/>
  <c r="AM108" i="21"/>
  <c r="AM329" i="3"/>
  <c r="AM208" i="3"/>
  <c r="AM85" i="3"/>
  <c r="AM21" i="3"/>
  <c r="AM212" i="25"/>
  <c r="AM95" i="15"/>
  <c r="AM29" i="17"/>
  <c r="AM3" i="27"/>
  <c r="AM3" i="25"/>
  <c r="AM3" i="21"/>
  <c r="AM158" i="21"/>
  <c r="AM313" i="3"/>
  <c r="AM200" i="3"/>
  <c r="AM153" i="3"/>
  <c r="AM9" i="3"/>
  <c r="CD57" i="25"/>
  <c r="BB47" i="3"/>
  <c r="BB74" i="3" s="1"/>
  <c r="BB35" i="27"/>
  <c r="BL89" i="25"/>
  <c r="BL103" i="25" s="1"/>
  <c r="BM62" i="25"/>
  <c r="BC154" i="25"/>
  <c r="BC155" i="25" s="1"/>
  <c r="BD119" i="25"/>
  <c r="BC130" i="25"/>
  <c r="AJ102" i="25"/>
  <c r="AJ75" i="25"/>
  <c r="AJ78" i="25" s="1"/>
  <c r="AJ23" i="25"/>
  <c r="AJ27" i="25"/>
  <c r="AJ91" i="25"/>
  <c r="AJ105" i="25" s="1"/>
  <c r="BC24" i="27"/>
  <c r="BC68" i="27"/>
  <c r="BC29" i="27"/>
  <c r="BS103" i="21"/>
  <c r="BS90" i="21"/>
  <c r="AL67" i="17"/>
  <c r="AL72" i="17"/>
  <c r="AL60" i="17"/>
  <c r="AL63" i="17"/>
  <c r="AL77" i="17"/>
  <c r="AL56" i="17"/>
  <c r="AL59" i="17"/>
  <c r="AL73" i="17"/>
  <c r="AL52" i="17"/>
  <c r="AL66" i="17"/>
  <c r="AL69" i="17"/>
  <c r="AL57" i="17"/>
  <c r="AL74" i="17"/>
  <c r="AL62" i="17"/>
  <c r="AL65" i="17"/>
  <c r="AL70" i="17"/>
  <c r="AL58" i="17"/>
  <c r="AL61" i="17"/>
  <c r="AL55" i="17"/>
  <c r="AL75" i="17"/>
  <c r="AL54" i="17"/>
  <c r="AL68" i="17"/>
  <c r="AL71" i="17"/>
  <c r="AL76" i="17"/>
  <c r="AL64" i="17"/>
  <c r="AL53" i="17"/>
  <c r="AL76" i="15"/>
  <c r="AL78" i="15" s="1"/>
  <c r="AL57" i="15"/>
  <c r="BA17" i="17"/>
  <c r="AZ159" i="3"/>
  <c r="BD78" i="21"/>
  <c r="BE52" i="21"/>
  <c r="BC79" i="3"/>
  <c r="BC93" i="17"/>
  <c r="CD63" i="25"/>
  <c r="CC90" i="25"/>
  <c r="AK81" i="15"/>
  <c r="AK86" i="15" s="1"/>
  <c r="AK79" i="15"/>
  <c r="AK84" i="15" s="1"/>
  <c r="AK80" i="15"/>
  <c r="AK85" i="15" s="1"/>
  <c r="BL87" i="25"/>
  <c r="BL101" i="25" s="1"/>
  <c r="BM60" i="25"/>
  <c r="BQ166" i="21"/>
  <c r="BC27" i="3"/>
  <c r="BC21" i="27"/>
  <c r="BC51" i="27" s="1"/>
  <c r="BC77" i="3" l="1"/>
  <c r="BD30" i="3"/>
  <c r="BD88" i="3" s="1"/>
  <c r="AR198" i="25"/>
  <c r="AR199" i="25" s="1"/>
  <c r="AR54" i="25" s="1"/>
  <c r="AR20" i="25" s="1"/>
  <c r="AR29" i="3" s="1"/>
  <c r="BF136" i="21"/>
  <c r="BF134" i="21"/>
  <c r="AR194" i="3"/>
  <c r="AS193" i="3"/>
  <c r="AS246" i="3" s="1"/>
  <c r="AR247" i="3"/>
  <c r="AR248" i="3" s="1"/>
  <c r="AQ77" i="27"/>
  <c r="AQ110" i="27"/>
  <c r="AQ75" i="27"/>
  <c r="AQ108" i="27"/>
  <c r="AQ76" i="27"/>
  <c r="AQ111" i="27" s="1"/>
  <c r="AQ109" i="27"/>
  <c r="BE196" i="25"/>
  <c r="AV100" i="21"/>
  <c r="AV87" i="21"/>
  <c r="AW74" i="21"/>
  <c r="AX48" i="21"/>
  <c r="AK143" i="25"/>
  <c r="AK149" i="25" s="1"/>
  <c r="AK150" i="25" s="1"/>
  <c r="AK61" i="25" s="1"/>
  <c r="AL111" i="25"/>
  <c r="Z122" i="3"/>
  <c r="Z290" i="3" s="1"/>
  <c r="Z292" i="3" s="1"/>
  <c r="AQ49" i="3"/>
  <c r="AQ76" i="3" s="1"/>
  <c r="AQ35" i="25"/>
  <c r="BF26" i="21"/>
  <c r="BF86" i="21"/>
  <c r="BF99" i="21"/>
  <c r="AS193" i="25"/>
  <c r="AS161" i="25"/>
  <c r="AS194" i="25"/>
  <c r="AS192" i="25"/>
  <c r="AS162" i="25"/>
  <c r="BE203" i="25"/>
  <c r="BE204" i="25" s="1"/>
  <c r="BF168" i="25"/>
  <c r="BE179" i="25"/>
  <c r="BE184" i="25"/>
  <c r="BH60" i="21"/>
  <c r="BG73" i="21"/>
  <c r="AR81" i="25"/>
  <c r="AS160" i="25"/>
  <c r="BI17" i="21"/>
  <c r="BH20" i="17"/>
  <c r="CB62" i="27"/>
  <c r="CB19" i="27"/>
  <c r="CB26" i="3" s="1"/>
  <c r="CC49" i="27"/>
  <c r="CA56" i="27"/>
  <c r="CA30" i="27"/>
  <c r="BB90" i="17"/>
  <c r="BB64" i="3"/>
  <c r="BA99" i="25"/>
  <c r="BA29" i="25"/>
  <c r="BF102" i="23"/>
  <c r="BF103" i="23" s="1"/>
  <c r="BG68" i="23"/>
  <c r="BF79" i="23"/>
  <c r="CG49" i="23"/>
  <c r="CG23" i="23"/>
  <c r="CH53" i="23"/>
  <c r="CG53" i="23"/>
  <c r="CG39" i="23"/>
  <c r="CG25" i="3"/>
  <c r="BH289" i="3"/>
  <c r="BG336" i="3"/>
  <c r="BD81" i="3"/>
  <c r="BD34" i="3"/>
  <c r="BD89" i="3" s="1"/>
  <c r="BE37" i="3"/>
  <c r="BD86" i="25"/>
  <c r="BE59" i="25"/>
  <c r="CF55" i="23"/>
  <c r="CF20" i="23"/>
  <c r="BJ89" i="27"/>
  <c r="BI99" i="27"/>
  <c r="BI97" i="27" s="1"/>
  <c r="BH125" i="21"/>
  <c r="BG135" i="21"/>
  <c r="BG133" i="21" s="1"/>
  <c r="BG138" i="21" s="1"/>
  <c r="BG139" i="21" s="1"/>
  <c r="BC58" i="25"/>
  <c r="BB85" i="25"/>
  <c r="CE50" i="23"/>
  <c r="CE45" i="3"/>
  <c r="CE72" i="3" s="1"/>
  <c r="CE26" i="23"/>
  <c r="BF272" i="3"/>
  <c r="BE9" i="17"/>
  <c r="BD335" i="3"/>
  <c r="BE288" i="3"/>
  <c r="BC30" i="25"/>
  <c r="BC64" i="3" s="1"/>
  <c r="BC100" i="25"/>
  <c r="BC73" i="25"/>
  <c r="Z121" i="3"/>
  <c r="Z127" i="3" s="1"/>
  <c r="AT147" i="21"/>
  <c r="AT150" i="21" s="1"/>
  <c r="AT151" i="21" s="1"/>
  <c r="CC53" i="21"/>
  <c r="CB79" i="21"/>
  <c r="CB92" i="21" s="1"/>
  <c r="BG221" i="25"/>
  <c r="BF222" i="25"/>
  <c r="BB209" i="25"/>
  <c r="BA210" i="25"/>
  <c r="BK172" i="25"/>
  <c r="BJ178" i="25"/>
  <c r="BH214" i="25"/>
  <c r="BG216" i="25"/>
  <c r="AP26" i="3"/>
  <c r="AP21" i="27"/>
  <c r="AP51" i="27" s="1"/>
  <c r="AZ186" i="25"/>
  <c r="AZ187" i="25" s="1"/>
  <c r="AZ182" i="25"/>
  <c r="AU37" i="16"/>
  <c r="AU52" i="16"/>
  <c r="AU36" i="16"/>
  <c r="Z40" i="17"/>
  <c r="AV45" i="16" s="1"/>
  <c r="Z41" i="17"/>
  <c r="BH256" i="3"/>
  <c r="BA39" i="23"/>
  <c r="BA25" i="3"/>
  <c r="BE208" i="25"/>
  <c r="AP25" i="27"/>
  <c r="AP34" i="27"/>
  <c r="AP46" i="3"/>
  <c r="BE123" i="21"/>
  <c r="BF129" i="21"/>
  <c r="BE140" i="21"/>
  <c r="BE141" i="21" s="1"/>
  <c r="BC92" i="17"/>
  <c r="BC78" i="3"/>
  <c r="BF321" i="3"/>
  <c r="BG259" i="3"/>
  <c r="BC134" i="25"/>
  <c r="BD125" i="25"/>
  <c r="BF98" i="25"/>
  <c r="BG84" i="25"/>
  <c r="BF31" i="25"/>
  <c r="BH119" i="21"/>
  <c r="BG155" i="21"/>
  <c r="BG156" i="21" s="1"/>
  <c r="BG131" i="21"/>
  <c r="BG134" i="21"/>
  <c r="AT115" i="21"/>
  <c r="AU110" i="21" s="1"/>
  <c r="BH183" i="25"/>
  <c r="BI174" i="25"/>
  <c r="BG162" i="21"/>
  <c r="BH160" i="21"/>
  <c r="BD170" i="25"/>
  <c r="BC188" i="25"/>
  <c r="BC189" i="25" s="1"/>
  <c r="BF271" i="3"/>
  <c r="BE276" i="3"/>
  <c r="BE319" i="3"/>
  <c r="BA137" i="25"/>
  <c r="BA138" i="25" s="1"/>
  <c r="BA133" i="25"/>
  <c r="BD100" i="27"/>
  <c r="BE83" i="27"/>
  <c r="BD120" i="27"/>
  <c r="BD121" i="27" s="1"/>
  <c r="BD84" i="27"/>
  <c r="BD98" i="27"/>
  <c r="BB175" i="25"/>
  <c r="BA181" i="25"/>
  <c r="AV44" i="16"/>
  <c r="X25" i="16"/>
  <c r="X83" i="16" s="1"/>
  <c r="BB19" i="23"/>
  <c r="BC37" i="23"/>
  <c r="BB48" i="23"/>
  <c r="BB38" i="23"/>
  <c r="BA49" i="23"/>
  <c r="BA20" i="23" s="1"/>
  <c r="BA54" i="23"/>
  <c r="BA23" i="23"/>
  <c r="AJ173" i="3"/>
  <c r="AJ340" i="3" s="1"/>
  <c r="AK167" i="3"/>
  <c r="AJ106" i="15"/>
  <c r="AJ171" i="3"/>
  <c r="BG67" i="23"/>
  <c r="BF72" i="23"/>
  <c r="AO36" i="27"/>
  <c r="AO32" i="27"/>
  <c r="AO64" i="27"/>
  <c r="BE31" i="3"/>
  <c r="BE51" i="3" s="1"/>
  <c r="BB139" i="25"/>
  <c r="BB140" i="25" s="1"/>
  <c r="BB132" i="25"/>
  <c r="BB135" i="25"/>
  <c r="BE65" i="3"/>
  <c r="BE91" i="17"/>
  <c r="AZ19" i="23"/>
  <c r="AZ38" i="23"/>
  <c r="AZ47" i="23"/>
  <c r="AY53" i="23"/>
  <c r="AY49" i="23"/>
  <c r="AY23" i="23"/>
  <c r="AR212" i="3"/>
  <c r="AR63" i="15"/>
  <c r="AX20" i="23"/>
  <c r="AX55" i="23"/>
  <c r="AW26" i="23"/>
  <c r="AW45" i="3"/>
  <c r="AW72" i="3" s="1"/>
  <c r="AW50" i="23"/>
  <c r="BT69" i="25"/>
  <c r="BS82" i="25"/>
  <c r="BS96" i="25" s="1"/>
  <c r="Z221" i="3"/>
  <c r="Z239" i="3" s="1"/>
  <c r="AN57" i="23"/>
  <c r="AN72" i="27"/>
  <c r="AN108" i="25"/>
  <c r="AN7" i="3"/>
  <c r="AO6" i="3"/>
  <c r="AY39" i="23"/>
  <c r="AY25" i="3"/>
  <c r="BX84" i="21"/>
  <c r="BX23" i="21"/>
  <c r="BX97" i="21"/>
  <c r="AR267" i="3"/>
  <c r="AQ322" i="3"/>
  <c r="AQ323" i="3" s="1"/>
  <c r="AQ309" i="3"/>
  <c r="BY71" i="21"/>
  <c r="BZ45" i="21"/>
  <c r="BG38" i="3"/>
  <c r="BZ63" i="21"/>
  <c r="BY76" i="21"/>
  <c r="CB50" i="21"/>
  <c r="BD93" i="27"/>
  <c r="BC104" i="27"/>
  <c r="BC105" i="27" s="1"/>
  <c r="BD95" i="27"/>
  <c r="BD87" i="27"/>
  <c r="BE94" i="27"/>
  <c r="BD102" i="27"/>
  <c r="BD103" i="27" s="1"/>
  <c r="BK167" i="21"/>
  <c r="BJ168" i="21"/>
  <c r="CA82" i="27"/>
  <c r="BX27" i="21"/>
  <c r="BX102" i="21"/>
  <c r="BX89" i="21"/>
  <c r="BR166" i="21"/>
  <c r="AL78" i="17"/>
  <c r="AL80" i="17" s="1"/>
  <c r="AJ25" i="25"/>
  <c r="AJ48" i="3"/>
  <c r="AJ34" i="25"/>
  <c r="BU77" i="21"/>
  <c r="BV51" i="21"/>
  <c r="BM74" i="23"/>
  <c r="BE81" i="23"/>
  <c r="BE84" i="23"/>
  <c r="BE88" i="23"/>
  <c r="BE89" i="23" s="1"/>
  <c r="X49" i="16"/>
  <c r="X52" i="16" s="1"/>
  <c r="X48" i="16"/>
  <c r="BE20" i="27"/>
  <c r="BE61" i="27"/>
  <c r="BE50" i="27"/>
  <c r="BF48" i="27"/>
  <c r="BK220" i="25"/>
  <c r="BD82" i="23"/>
  <c r="BD86" i="23"/>
  <c r="BD87" i="23" s="1"/>
  <c r="BN60" i="25"/>
  <c r="BM87" i="25"/>
  <c r="BM101" i="25" s="1"/>
  <c r="BF52" i="21"/>
  <c r="BE78" i="21"/>
  <c r="BC35" i="27"/>
  <c r="BC47" i="3"/>
  <c r="BC74" i="3" s="1"/>
  <c r="AN6" i="15"/>
  <c r="AN218" i="25"/>
  <c r="AN212" i="25"/>
  <c r="AN17" i="23"/>
  <c r="AN157" i="25"/>
  <c r="AN108" i="21"/>
  <c r="AN5" i="25"/>
  <c r="AN17" i="25"/>
  <c r="AN329" i="3"/>
  <c r="AN182" i="3"/>
  <c r="AN153" i="3"/>
  <c r="AN9" i="3"/>
  <c r="AN3" i="17"/>
  <c r="AN4" i="17" s="1"/>
  <c r="AN49" i="17"/>
  <c r="AN206" i="25"/>
  <c r="AN21" i="15"/>
  <c r="AN5" i="23"/>
  <c r="AN29" i="17"/>
  <c r="AN19" i="21"/>
  <c r="AN17" i="27"/>
  <c r="AN158" i="21"/>
  <c r="AN313" i="3"/>
  <c r="AN164" i="3"/>
  <c r="AN145" i="3"/>
  <c r="AO3" i="3"/>
  <c r="AN37" i="17"/>
  <c r="AN69" i="15"/>
  <c r="AN3" i="25"/>
  <c r="AN3" i="21"/>
  <c r="AN6" i="17"/>
  <c r="AN54" i="15"/>
  <c r="AN56" i="15" s="1"/>
  <c r="AN3" i="27"/>
  <c r="AN300" i="3"/>
  <c r="AN208" i="3"/>
  <c r="AN85" i="3"/>
  <c r="AN68" i="3"/>
  <c r="AN3" i="15"/>
  <c r="AN4" i="15" s="1"/>
  <c r="AN22" i="17"/>
  <c r="AN83" i="17"/>
  <c r="AN5" i="27"/>
  <c r="AN95" i="15"/>
  <c r="AN164" i="21"/>
  <c r="AN5" i="21"/>
  <c r="AN253" i="3"/>
  <c r="AN200" i="3"/>
  <c r="AN41" i="3"/>
  <c r="AN21" i="3"/>
  <c r="AM56" i="17"/>
  <c r="AM60" i="17"/>
  <c r="AM58" i="17"/>
  <c r="AM64" i="17"/>
  <c r="AM54" i="17"/>
  <c r="AM52" i="17"/>
  <c r="AM67" i="17"/>
  <c r="AM77" i="17"/>
  <c r="AM65" i="17"/>
  <c r="AM55" i="17"/>
  <c r="AM69" i="17"/>
  <c r="AM75" i="17"/>
  <c r="AM71" i="17"/>
  <c r="AM59" i="17"/>
  <c r="AM76" i="17"/>
  <c r="AM57" i="17"/>
  <c r="AM73" i="17"/>
  <c r="AM61" i="17"/>
  <c r="AM66" i="17"/>
  <c r="AM70" i="17"/>
  <c r="AM68" i="17"/>
  <c r="AM74" i="17"/>
  <c r="AM72" i="17"/>
  <c r="AM53" i="17"/>
  <c r="AM63" i="17"/>
  <c r="AM62" i="17"/>
  <c r="BT103" i="21"/>
  <c r="BT90" i="21"/>
  <c r="BG73" i="23"/>
  <c r="BF83" i="23"/>
  <c r="Z206" i="3"/>
  <c r="Z143" i="3" s="1"/>
  <c r="Z204" i="3"/>
  <c r="Z205" i="3" s="1"/>
  <c r="AA202" i="3" s="1"/>
  <c r="Z281" i="3"/>
  <c r="AK87" i="15"/>
  <c r="BD104" i="21"/>
  <c r="BD91" i="21"/>
  <c r="BB17" i="17"/>
  <c r="BA159" i="3"/>
  <c r="AL80" i="15"/>
  <c r="AL85" i="15" s="1"/>
  <c r="AL81" i="15"/>
  <c r="AL86" i="15" s="1"/>
  <c r="AL79" i="15"/>
  <c r="AL84" i="15" s="1"/>
  <c r="BV55" i="25"/>
  <c r="AA139" i="3"/>
  <c r="Z61" i="15"/>
  <c r="Z62" i="15" s="1"/>
  <c r="Z66" i="15" s="1"/>
  <c r="CD83" i="25"/>
  <c r="CD97" i="25" s="1"/>
  <c r="CE56" i="25"/>
  <c r="BD27" i="3"/>
  <c r="BD21" i="27"/>
  <c r="BD51" i="27" s="1"/>
  <c r="BD79" i="3"/>
  <c r="BD93" i="17"/>
  <c r="BD50" i="3"/>
  <c r="BD77" i="3" s="1"/>
  <c r="BQ167" i="25"/>
  <c r="AL112" i="25"/>
  <c r="AL146" i="25" s="1"/>
  <c r="CD90" i="25"/>
  <c r="CE63" i="25"/>
  <c r="AJ61" i="3"/>
  <c r="AJ87" i="17"/>
  <c r="BD154" i="25"/>
  <c r="BD155" i="25" s="1"/>
  <c r="BE119" i="25"/>
  <c r="BD130" i="25"/>
  <c r="BN62" i="25"/>
  <c r="BM89" i="25"/>
  <c r="BM103" i="25" s="1"/>
  <c r="CE57" i="25"/>
  <c r="AM57" i="15"/>
  <c r="AM76" i="15"/>
  <c r="AM78" i="15" s="1"/>
  <c r="BK35" i="3"/>
  <c r="BD29" i="27"/>
  <c r="BD24" i="27"/>
  <c r="BD68" i="27"/>
  <c r="BE52" i="3"/>
  <c r="BF32" i="3"/>
  <c r="BE30" i="3"/>
  <c r="BE88" i="3" s="1"/>
  <c r="BL78" i="23"/>
  <c r="BE93" i="3"/>
  <c r="BD147" i="25"/>
  <c r="BE147" i="25" s="1"/>
  <c r="BF196" i="25" l="1"/>
  <c r="AQ114" i="27"/>
  <c r="AP73" i="3"/>
  <c r="AS185" i="3"/>
  <c r="AS192" i="3" s="1"/>
  <c r="AQ79" i="27"/>
  <c r="AR74" i="27" s="1"/>
  <c r="AQ115" i="27"/>
  <c r="AQ116" i="27" s="1"/>
  <c r="AQ47" i="27" s="1"/>
  <c r="AR223" i="3"/>
  <c r="AR198" i="3"/>
  <c r="BG136" i="21"/>
  <c r="AY48" i="21"/>
  <c r="AX74" i="21"/>
  <c r="AW100" i="21"/>
  <c r="AW87" i="21"/>
  <c r="Z337" i="3"/>
  <c r="Z338" i="3" s="1"/>
  <c r="AA331" i="3"/>
  <c r="AV17" i="16"/>
  <c r="AV18" i="16" s="1"/>
  <c r="AV19" i="16" s="1"/>
  <c r="AV82" i="16" s="1"/>
  <c r="Z332" i="3"/>
  <c r="Z333" i="3" s="1"/>
  <c r="AL115" i="25"/>
  <c r="AL143" i="25" s="1"/>
  <c r="AL149" i="25" s="1"/>
  <c r="AL150" i="25" s="1"/>
  <c r="AL61" i="25" s="1"/>
  <c r="AS195" i="25"/>
  <c r="AS197" i="25" s="1"/>
  <c r="AS198" i="25" s="1"/>
  <c r="AS199" i="25" s="1"/>
  <c r="AS54" i="25" s="1"/>
  <c r="AR24" i="25"/>
  <c r="AR95" i="25"/>
  <c r="AR68" i="25"/>
  <c r="BH73" i="21"/>
  <c r="BI60" i="21"/>
  <c r="BG99" i="21"/>
  <c r="BG26" i="21"/>
  <c r="BG86" i="21"/>
  <c r="BF203" i="25"/>
  <c r="BF204" i="25" s="1"/>
  <c r="BG168" i="25"/>
  <c r="BF179" i="25"/>
  <c r="BF184" i="25"/>
  <c r="AS164" i="25"/>
  <c r="AT159" i="25" s="1"/>
  <c r="CC62" i="27"/>
  <c r="CC19" i="27"/>
  <c r="CD49" i="27"/>
  <c r="CB56" i="27"/>
  <c r="CB30" i="27"/>
  <c r="BJ17" i="21"/>
  <c r="BI20" i="17"/>
  <c r="BC90" i="17"/>
  <c r="BG272" i="3"/>
  <c r="BF9" i="17"/>
  <c r="BB99" i="25"/>
  <c r="BB29" i="25"/>
  <c r="CF50" i="23"/>
  <c r="CF26" i="23"/>
  <c r="CF45" i="3"/>
  <c r="CF72" i="3" s="1"/>
  <c r="BF59" i="25"/>
  <c r="BE86" i="25"/>
  <c r="BF37" i="3"/>
  <c r="BE81" i="3"/>
  <c r="BE34" i="3"/>
  <c r="BE89" i="3" s="1"/>
  <c r="BH336" i="3"/>
  <c r="BI289" i="3"/>
  <c r="CG20" i="23"/>
  <c r="CG55" i="23"/>
  <c r="CH55" i="23"/>
  <c r="BG102" i="23"/>
  <c r="BG103" i="23" s="1"/>
  <c r="BH68" i="23"/>
  <c r="BG79" i="23"/>
  <c r="BF288" i="3"/>
  <c r="BE335" i="3"/>
  <c r="BC85" i="25"/>
  <c r="BD58" i="25"/>
  <c r="BI125" i="21"/>
  <c r="BH135" i="21"/>
  <c r="BH133" i="21" s="1"/>
  <c r="BH138" i="21" s="1"/>
  <c r="BH139" i="21" s="1"/>
  <c r="BK89" i="27"/>
  <c r="BJ99" i="27"/>
  <c r="BJ97" i="27" s="1"/>
  <c r="BD30" i="25"/>
  <c r="BD100" i="25"/>
  <c r="BD73" i="25"/>
  <c r="Z245" i="3"/>
  <c r="Z244" i="3" s="1"/>
  <c r="X91" i="16" s="1"/>
  <c r="BB137" i="25"/>
  <c r="BB138" i="25" s="1"/>
  <c r="BB133" i="25"/>
  <c r="BD78" i="3"/>
  <c r="BD92" i="17"/>
  <c r="BH67" i="23"/>
  <c r="BG72" i="23"/>
  <c r="BC19" i="23"/>
  <c r="BD37" i="23"/>
  <c r="BC38" i="23"/>
  <c r="BC48" i="23"/>
  <c r="BA186" i="25"/>
  <c r="BA187" i="25" s="1"/>
  <c r="BA182" i="25"/>
  <c r="BH162" i="21"/>
  <c r="BI160" i="21"/>
  <c r="BJ174" i="25"/>
  <c r="BI183" i="25"/>
  <c r="AU112" i="21"/>
  <c r="AU145" i="21"/>
  <c r="AU146" i="21"/>
  <c r="AU144" i="21"/>
  <c r="AU111" i="21"/>
  <c r="BH131" i="21"/>
  <c r="BI119" i="21"/>
  <c r="BH155" i="21"/>
  <c r="BH156" i="21" s="1"/>
  <c r="BF91" i="17"/>
  <c r="BF65" i="3"/>
  <c r="BC132" i="25"/>
  <c r="BC139" i="25"/>
  <c r="BC140" i="25" s="1"/>
  <c r="BC135" i="25"/>
  <c r="BF123" i="21"/>
  <c r="BG129" i="21"/>
  <c r="BF140" i="21"/>
  <c r="BF141" i="21" s="1"/>
  <c r="AP32" i="27"/>
  <c r="AP36" i="27"/>
  <c r="AP64" i="27"/>
  <c r="BF208" i="25"/>
  <c r="BI214" i="25"/>
  <c r="BH216" i="25"/>
  <c r="BL172" i="25"/>
  <c r="BK178" i="25"/>
  <c r="BC209" i="25"/>
  <c r="BB210" i="25"/>
  <c r="BH221" i="25"/>
  <c r="BG222" i="25"/>
  <c r="BF31" i="3"/>
  <c r="BF51" i="3" s="1"/>
  <c r="AJ172" i="3"/>
  <c r="AJ105" i="15" s="1"/>
  <c r="AJ104" i="15"/>
  <c r="AK177" i="3"/>
  <c r="BA50" i="23"/>
  <c r="BA45" i="3"/>
  <c r="BA72" i="3" s="1"/>
  <c r="BA26" i="23"/>
  <c r="BB54" i="23"/>
  <c r="BB23" i="23"/>
  <c r="BB49" i="23"/>
  <c r="BB39" i="23"/>
  <c r="BB25" i="3"/>
  <c r="BC175" i="25"/>
  <c r="BB181" i="25"/>
  <c r="BE100" i="27"/>
  <c r="BE120" i="27"/>
  <c r="BE121" i="27" s="1"/>
  <c r="BE84" i="27"/>
  <c r="BF83" i="27"/>
  <c r="BE98" i="27"/>
  <c r="BG271" i="3"/>
  <c r="BF276" i="3"/>
  <c r="BF319" i="3"/>
  <c r="BE170" i="25"/>
  <c r="BD188" i="25"/>
  <c r="BD189" i="25" s="1"/>
  <c r="BH84" i="25"/>
  <c r="BG98" i="25"/>
  <c r="BG31" i="25"/>
  <c r="BE125" i="25"/>
  <c r="BD134" i="25"/>
  <c r="BH259" i="3"/>
  <c r="BG321" i="3"/>
  <c r="BI256" i="3"/>
  <c r="BE112" i="27"/>
  <c r="CC79" i="21"/>
  <c r="CC92" i="21" s="1"/>
  <c r="CD53" i="21"/>
  <c r="AU113" i="21"/>
  <c r="BH149" i="21"/>
  <c r="BI149" i="21" s="1"/>
  <c r="BY23" i="21"/>
  <c r="BY84" i="21"/>
  <c r="BY97" i="21"/>
  <c r="AY55" i="23"/>
  <c r="AY20" i="23"/>
  <c r="Z100" i="15"/>
  <c r="AX50" i="23"/>
  <c r="AX26" i="23"/>
  <c r="AX45" i="3"/>
  <c r="AX72" i="3" s="1"/>
  <c r="AZ53" i="23"/>
  <c r="AZ23" i="23"/>
  <c r="AZ49" i="23"/>
  <c r="BA53" i="23"/>
  <c r="BU69" i="25"/>
  <c r="BT82" i="25"/>
  <c r="BT96" i="25" s="1"/>
  <c r="X87" i="16"/>
  <c r="Z147" i="3"/>
  <c r="Z149" i="3" s="1"/>
  <c r="Z150" i="3" s="1"/>
  <c r="Z151" i="3" s="1"/>
  <c r="Z75" i="15" s="1"/>
  <c r="CA45" i="21"/>
  <c r="BZ71" i="21"/>
  <c r="AR322" i="3"/>
  <c r="AR309" i="3"/>
  <c r="AO7" i="3"/>
  <c r="AO72" i="27"/>
  <c r="AP6" i="3"/>
  <c r="AO108" i="25"/>
  <c r="AO57" i="23"/>
  <c r="AZ25" i="3"/>
  <c r="AZ39" i="23"/>
  <c r="BH38" i="3"/>
  <c r="BY102" i="21"/>
  <c r="BY89" i="21"/>
  <c r="BY27" i="21"/>
  <c r="CB82" i="27"/>
  <c r="BE95" i="27"/>
  <c r="BE87" i="27"/>
  <c r="BF94" i="27"/>
  <c r="BE102" i="27"/>
  <c r="BE103" i="27" s="1"/>
  <c r="BE93" i="27"/>
  <c r="BD104" i="27"/>
  <c r="BD105" i="27" s="1"/>
  <c r="CA63" i="21"/>
  <c r="BZ76" i="21"/>
  <c r="BL167" i="21"/>
  <c r="BK168" i="21"/>
  <c r="CC50" i="21"/>
  <c r="BE93" i="17"/>
  <c r="BE79" i="3"/>
  <c r="BE50" i="3"/>
  <c r="BE77" i="3" s="1"/>
  <c r="BL35" i="3"/>
  <c r="BE130" i="25"/>
  <c r="BE154" i="25"/>
  <c r="BE155" i="25" s="1"/>
  <c r="BF119" i="25"/>
  <c r="BF147" i="25" s="1"/>
  <c r="Z128" i="3"/>
  <c r="Z126" i="3"/>
  <c r="BR167" i="25"/>
  <c r="AA103" i="15"/>
  <c r="AA138" i="3"/>
  <c r="AA137" i="3" s="1"/>
  <c r="AA234" i="3" s="1"/>
  <c r="BC17" i="17"/>
  <c r="BB159" i="3"/>
  <c r="AK88" i="25"/>
  <c r="AK19" i="25"/>
  <c r="AK64" i="25"/>
  <c r="Z284" i="3"/>
  <c r="BF84" i="23"/>
  <c r="BF81" i="23"/>
  <c r="BF88" i="23"/>
  <c r="BF89" i="23" s="1"/>
  <c r="BE104" i="21"/>
  <c r="BE91" i="21"/>
  <c r="BV77" i="21"/>
  <c r="BW51" i="21"/>
  <c r="CF57" i="25"/>
  <c r="BN89" i="25"/>
  <c r="BN103" i="25" s="1"/>
  <c r="BO62" i="25"/>
  <c r="Z123" i="3"/>
  <c r="X28" i="16" s="1"/>
  <c r="CE90" i="25"/>
  <c r="CF63" i="25"/>
  <c r="CF56" i="25"/>
  <c r="CE83" i="25"/>
  <c r="CE97" i="25" s="1"/>
  <c r="AL87" i="15"/>
  <c r="BH73" i="23"/>
  <c r="BG83" i="23"/>
  <c r="AN57" i="15"/>
  <c r="AN76" i="15"/>
  <c r="AN78" i="15" s="1"/>
  <c r="BF78" i="21"/>
  <c r="BG52" i="21"/>
  <c r="BE29" i="27"/>
  <c r="BE24" i="27"/>
  <c r="BE68" i="27"/>
  <c r="AV50" i="16"/>
  <c r="AV51" i="16"/>
  <c r="BU103" i="21"/>
  <c r="BU90" i="21"/>
  <c r="BF93" i="3"/>
  <c r="BM78" i="23"/>
  <c r="BD35" i="27"/>
  <c r="BD47" i="3"/>
  <c r="BD74" i="3" s="1"/>
  <c r="Z242" i="3"/>
  <c r="Z255" i="3"/>
  <c r="AM81" i="15"/>
  <c r="AM86" i="15" s="1"/>
  <c r="AM79" i="15"/>
  <c r="AM84" i="15" s="1"/>
  <c r="AM80" i="15"/>
  <c r="AM85" i="15" s="1"/>
  <c r="AN65" i="17"/>
  <c r="AN70" i="17"/>
  <c r="AN58" i="17"/>
  <c r="AN61" i="17"/>
  <c r="AN75" i="17"/>
  <c r="AN54" i="17"/>
  <c r="AN68" i="17"/>
  <c r="AN71" i="17"/>
  <c r="AN76" i="17"/>
  <c r="AN64" i="17"/>
  <c r="AN67" i="17"/>
  <c r="AN55" i="17"/>
  <c r="AN72" i="17"/>
  <c r="AN60" i="17"/>
  <c r="AN63" i="17"/>
  <c r="AN77" i="17"/>
  <c r="AN56" i="17"/>
  <c r="AN59" i="17"/>
  <c r="AN53" i="17"/>
  <c r="AN73" i="17"/>
  <c r="AN52" i="17"/>
  <c r="AN66" i="17"/>
  <c r="AN69" i="17"/>
  <c r="AN74" i="17"/>
  <c r="AN62" i="17"/>
  <c r="AN57" i="17"/>
  <c r="BE27" i="3"/>
  <c r="BE21" i="27"/>
  <c r="BE51" i="27" s="1"/>
  <c r="BE82" i="23"/>
  <c r="BE86" i="23"/>
  <c r="BE87" i="23" s="1"/>
  <c r="AJ75" i="3"/>
  <c r="BS166" i="21"/>
  <c r="Z35" i="17"/>
  <c r="BF52" i="3"/>
  <c r="BG32" i="3"/>
  <c r="BF30" i="3"/>
  <c r="BF88" i="3" s="1"/>
  <c r="BW55" i="25"/>
  <c r="AM78" i="17"/>
  <c r="AM80" i="17" s="1"/>
  <c r="AO49" i="17"/>
  <c r="AO206" i="25"/>
  <c r="AO21" i="15"/>
  <c r="AO3" i="17"/>
  <c r="AO4" i="17" s="1"/>
  <c r="AO108" i="21"/>
  <c r="AO157" i="25"/>
  <c r="AO3" i="25"/>
  <c r="AO3" i="21"/>
  <c r="AO313" i="3"/>
  <c r="AO200" i="3"/>
  <c r="AO153" i="3"/>
  <c r="AO41" i="3"/>
  <c r="AO37" i="17"/>
  <c r="AO95" i="15"/>
  <c r="AO29" i="17"/>
  <c r="AO19" i="21"/>
  <c r="AO17" i="25"/>
  <c r="AO5" i="27"/>
  <c r="AO5" i="25"/>
  <c r="AO300" i="3"/>
  <c r="AO182" i="3"/>
  <c r="AO145" i="3"/>
  <c r="AO9" i="3"/>
  <c r="AO3" i="15"/>
  <c r="AO4" i="15" s="1"/>
  <c r="AO22" i="17"/>
  <c r="AO54" i="15"/>
  <c r="AO56" i="15" s="1"/>
  <c r="AO6" i="17"/>
  <c r="AO83" i="17"/>
  <c r="AO5" i="21"/>
  <c r="AO158" i="21"/>
  <c r="AO17" i="23"/>
  <c r="AO17" i="27"/>
  <c r="AO253" i="3"/>
  <c r="AO164" i="3"/>
  <c r="AO68" i="3"/>
  <c r="AP3" i="3"/>
  <c r="AO218" i="25"/>
  <c r="AO6" i="15"/>
  <c r="AO164" i="21"/>
  <c r="AO212" i="25"/>
  <c r="AO69" i="15"/>
  <c r="AO5" i="23"/>
  <c r="AO3" i="27"/>
  <c r="AO329" i="3"/>
  <c r="AO208" i="3"/>
  <c r="AO85" i="3"/>
  <c r="AO21" i="3"/>
  <c r="BN87" i="25"/>
  <c r="BN101" i="25" s="1"/>
  <c r="BO60" i="25"/>
  <c r="BL220" i="25"/>
  <c r="BF50" i="27"/>
  <c r="BG48" i="27"/>
  <c r="BF20" i="27"/>
  <c r="BF61" i="27"/>
  <c r="X90" i="16"/>
  <c r="BN74" i="23"/>
  <c r="AJ92" i="25"/>
  <c r="AJ32" i="25"/>
  <c r="AJ36" i="25"/>
  <c r="AM110" i="25" l="1"/>
  <c r="AR64" i="15"/>
  <c r="AR230" i="3"/>
  <c r="AR265" i="3"/>
  <c r="AQ60" i="27"/>
  <c r="AQ19" i="27"/>
  <c r="AQ50" i="27"/>
  <c r="AR76" i="27"/>
  <c r="AR77" i="27"/>
  <c r="AR109" i="27"/>
  <c r="AR110" i="27"/>
  <c r="AR75" i="27"/>
  <c r="AR108" i="27"/>
  <c r="AT193" i="3"/>
  <c r="AT246" i="3" s="1"/>
  <c r="AS194" i="3"/>
  <c r="AS247" i="3"/>
  <c r="AS248" i="3" s="1"/>
  <c r="AU115" i="21"/>
  <c r="AV110" i="21" s="1"/>
  <c r="AX100" i="21"/>
  <c r="AX87" i="21"/>
  <c r="AY74" i="21"/>
  <c r="AZ48" i="21"/>
  <c r="BF112" i="27"/>
  <c r="Z250" i="3"/>
  <c r="Z74" i="15" s="1"/>
  <c r="Z76" i="15" s="1"/>
  <c r="Z78" i="15" s="1"/>
  <c r="BH134" i="21"/>
  <c r="AT162" i="25"/>
  <c r="AT161" i="25"/>
  <c r="AT194" i="25"/>
  <c r="AT193" i="25"/>
  <c r="AT192" i="25"/>
  <c r="BH168" i="25"/>
  <c r="BG203" i="25"/>
  <c r="BG204" i="25" s="1"/>
  <c r="BG179" i="25"/>
  <c r="BG184" i="25"/>
  <c r="AS20" i="25"/>
  <c r="AS29" i="3" s="1"/>
  <c r="AS81" i="25"/>
  <c r="BH26" i="21"/>
  <c r="BH86" i="21"/>
  <c r="BH99" i="21"/>
  <c r="AT160" i="25"/>
  <c r="BI73" i="21"/>
  <c r="BJ60" i="21"/>
  <c r="AR35" i="25"/>
  <c r="AR49" i="3"/>
  <c r="AR76" i="3" s="1"/>
  <c r="BG196" i="25"/>
  <c r="BH196" i="25" s="1"/>
  <c r="BK17" i="21"/>
  <c r="BJ20" i="17"/>
  <c r="CC26" i="3"/>
  <c r="CC21" i="27"/>
  <c r="CC51" i="27" s="1"/>
  <c r="CE49" i="27"/>
  <c r="CD62" i="27"/>
  <c r="CD19" i="27"/>
  <c r="CC56" i="27"/>
  <c r="CC30" i="27"/>
  <c r="BD85" i="25"/>
  <c r="BE58" i="25"/>
  <c r="BI336" i="3"/>
  <c r="BJ289" i="3"/>
  <c r="BG37" i="3"/>
  <c r="BF34" i="3"/>
  <c r="BF89" i="3" s="1"/>
  <c r="BF81" i="3"/>
  <c r="BG59" i="25"/>
  <c r="BF86" i="25"/>
  <c r="BH136" i="21"/>
  <c r="BD90" i="17"/>
  <c r="BD64" i="3"/>
  <c r="BK99" i="27"/>
  <c r="BK97" i="27" s="1"/>
  <c r="BL89" i="27"/>
  <c r="BI135" i="21"/>
  <c r="BI133" i="21" s="1"/>
  <c r="BI138" i="21" s="1"/>
  <c r="BI139" i="21" s="1"/>
  <c r="BJ125" i="21"/>
  <c r="BC29" i="25"/>
  <c r="BC99" i="25"/>
  <c r="BG288" i="3"/>
  <c r="BF335" i="3"/>
  <c r="BH102" i="23"/>
  <c r="BH103" i="23" s="1"/>
  <c r="BI68" i="23"/>
  <c r="BH79" i="23"/>
  <c r="CG45" i="3"/>
  <c r="CG72" i="3" s="1"/>
  <c r="CG26" i="23"/>
  <c r="CG50" i="23"/>
  <c r="BE73" i="25"/>
  <c r="BE100" i="25"/>
  <c r="BE30" i="25"/>
  <c r="BH272" i="3"/>
  <c r="BG9" i="17"/>
  <c r="AV112" i="21"/>
  <c r="AV144" i="21"/>
  <c r="AV146" i="21"/>
  <c r="AV145" i="21"/>
  <c r="CE53" i="21"/>
  <c r="CD79" i="21"/>
  <c r="CD92" i="21" s="1"/>
  <c r="BD132" i="25"/>
  <c r="BD139" i="25"/>
  <c r="BD140" i="25" s="1"/>
  <c r="BD135" i="25"/>
  <c r="BG91" i="17"/>
  <c r="BG65" i="3"/>
  <c r="BI84" i="25"/>
  <c r="BH98" i="25"/>
  <c r="BH31" i="25"/>
  <c r="BF170" i="25"/>
  <c r="BE188" i="25"/>
  <c r="BE189" i="25" s="1"/>
  <c r="BD175" i="25"/>
  <c r="BC181" i="25"/>
  <c r="AK180" i="3"/>
  <c r="AK179" i="3"/>
  <c r="AK168" i="3"/>
  <c r="AK170" i="3" s="1"/>
  <c r="BE92" i="17"/>
  <c r="BE78" i="3"/>
  <c r="BI221" i="25"/>
  <c r="BH222" i="25"/>
  <c r="BD209" i="25"/>
  <c r="BC210" i="25"/>
  <c r="BM172" i="25"/>
  <c r="BL178" i="25"/>
  <c r="BJ214" i="25"/>
  <c r="BI216" i="25"/>
  <c r="BG208" i="25"/>
  <c r="BG123" i="21"/>
  <c r="BH129" i="21"/>
  <c r="BG140" i="21"/>
  <c r="BG141" i="21" s="1"/>
  <c r="BC137" i="25"/>
  <c r="BC138" i="25" s="1"/>
  <c r="BC133" i="25"/>
  <c r="BJ183" i="25"/>
  <c r="BK174" i="25"/>
  <c r="BC39" i="23"/>
  <c r="BC25" i="3"/>
  <c r="BI67" i="23"/>
  <c r="BH72" i="23"/>
  <c r="AU147" i="21"/>
  <c r="AU150" i="21" s="1"/>
  <c r="AU151" i="21" s="1"/>
  <c r="AV113" i="21"/>
  <c r="BJ256" i="3"/>
  <c r="BI259" i="3"/>
  <c r="BH321" i="3"/>
  <c r="BF125" i="25"/>
  <c r="BE134" i="25"/>
  <c r="BH271" i="3"/>
  <c r="BG276" i="3"/>
  <c r="BG319" i="3"/>
  <c r="BF100" i="27"/>
  <c r="BG83" i="27"/>
  <c r="BF120" i="27"/>
  <c r="BF121" i="27" s="1"/>
  <c r="BF84" i="27"/>
  <c r="BF98" i="27"/>
  <c r="BB182" i="25"/>
  <c r="BB186" i="25"/>
  <c r="BB187" i="25" s="1"/>
  <c r="BB20" i="23"/>
  <c r="BB55" i="23"/>
  <c r="AJ114" i="15"/>
  <c r="AJ113" i="15"/>
  <c r="BF50" i="3"/>
  <c r="BF77" i="3" s="1"/>
  <c r="BG31" i="3"/>
  <c r="BG51" i="3" s="1"/>
  <c r="BI131" i="21"/>
  <c r="BJ119" i="21"/>
  <c r="BI155" i="21"/>
  <c r="BI156" i="21" s="1"/>
  <c r="AV111" i="21"/>
  <c r="BI162" i="21"/>
  <c r="BJ160" i="21"/>
  <c r="BC49" i="23"/>
  <c r="BC54" i="23"/>
  <c r="BC23" i="23"/>
  <c r="BD48" i="23"/>
  <c r="BE37" i="23"/>
  <c r="BD19" i="23"/>
  <c r="BD38" i="23"/>
  <c r="AQ6" i="3"/>
  <c r="AP57" i="23"/>
  <c r="AP108" i="25"/>
  <c r="AP7" i="3"/>
  <c r="AP72" i="27"/>
  <c r="AZ20" i="23"/>
  <c r="BA55" i="23"/>
  <c r="AZ55" i="23"/>
  <c r="BZ84" i="21"/>
  <c r="BZ23" i="21"/>
  <c r="BZ97" i="21"/>
  <c r="CA71" i="21"/>
  <c r="CB45" i="21"/>
  <c r="BV69" i="25"/>
  <c r="BU82" i="25"/>
  <c r="BU96" i="25" s="1"/>
  <c r="AY45" i="3"/>
  <c r="AY72" i="3" s="1"/>
  <c r="AY26" i="23"/>
  <c r="AY50" i="23"/>
  <c r="BI38" i="3"/>
  <c r="CB63" i="21"/>
  <c r="CA76" i="21"/>
  <c r="BF87" i="27"/>
  <c r="BF95" i="27"/>
  <c r="BG94" i="27"/>
  <c r="BF102" i="27"/>
  <c r="BF103" i="27" s="1"/>
  <c r="CC82" i="27"/>
  <c r="BM167" i="21"/>
  <c r="BL168" i="21"/>
  <c r="CD50" i="21"/>
  <c r="BF93" i="27"/>
  <c r="BE104" i="27"/>
  <c r="BE105" i="27" s="1"/>
  <c r="BZ102" i="21"/>
  <c r="BZ89" i="21"/>
  <c r="BZ27" i="21"/>
  <c r="BG61" i="27"/>
  <c r="BG50" i="27"/>
  <c r="BH48" i="27"/>
  <c r="BG20" i="27"/>
  <c r="AP54" i="15"/>
  <c r="AP56" i="15" s="1"/>
  <c r="AP6" i="17"/>
  <c r="AP3" i="15"/>
  <c r="AP4" i="15" s="1"/>
  <c r="AP22" i="17"/>
  <c r="AP157" i="25"/>
  <c r="AP5" i="23"/>
  <c r="AP5" i="21"/>
  <c r="AP5" i="27"/>
  <c r="AP21" i="15"/>
  <c r="AP83" i="17"/>
  <c r="AP49" i="17"/>
  <c r="AP206" i="25"/>
  <c r="AP158" i="21"/>
  <c r="AP17" i="27"/>
  <c r="AP3" i="21"/>
  <c r="AP108" i="21"/>
  <c r="AP95" i="15"/>
  <c r="AP29" i="17"/>
  <c r="AP212" i="25"/>
  <c r="AP37" i="17"/>
  <c r="AP6" i="15"/>
  <c r="AP3" i="25"/>
  <c r="AP3" i="27"/>
  <c r="AP3" i="17"/>
  <c r="AP4" i="17" s="1"/>
  <c r="AP19" i="21"/>
  <c r="AP218" i="25"/>
  <c r="AP164" i="21"/>
  <c r="AP329" i="3"/>
  <c r="AP182" i="3"/>
  <c r="AP153" i="3"/>
  <c r="AP9" i="3"/>
  <c r="AP17" i="25"/>
  <c r="AP313" i="3"/>
  <c r="AP164" i="3"/>
  <c r="AP145" i="3"/>
  <c r="AQ3" i="3"/>
  <c r="AP69" i="15"/>
  <c r="AP5" i="25"/>
  <c r="AP300" i="3"/>
  <c r="AP208" i="3"/>
  <c r="AP85" i="3"/>
  <c r="AP68" i="3"/>
  <c r="AP17" i="23"/>
  <c r="AP253" i="3"/>
  <c r="AP200" i="3"/>
  <c r="AP41" i="3"/>
  <c r="AP21" i="3"/>
  <c r="BX55" i="25"/>
  <c r="AM112" i="25"/>
  <c r="AM111" i="25"/>
  <c r="AM113" i="25"/>
  <c r="BF79" i="3"/>
  <c r="BF93" i="17"/>
  <c r="AM87" i="15"/>
  <c r="AV7" i="16"/>
  <c r="Z294" i="3"/>
  <c r="Z296" i="3" s="1"/>
  <c r="AA232" i="3"/>
  <c r="Z12" i="17"/>
  <c r="Z13" i="17" s="1"/>
  <c r="AA111" i="3"/>
  <c r="Z260" i="3"/>
  <c r="Z286" i="3" s="1"/>
  <c r="Z293" i="3" s="1"/>
  <c r="BG93" i="3"/>
  <c r="BH52" i="21"/>
  <c r="BG78" i="21"/>
  <c r="CG56" i="25"/>
  <c r="CF83" i="25"/>
  <c r="CF97" i="25" s="1"/>
  <c r="X84" i="16"/>
  <c r="X27" i="16"/>
  <c r="AV49" i="16"/>
  <c r="CG57" i="25"/>
  <c r="BW77" i="21"/>
  <c r="BX51" i="21"/>
  <c r="AV16" i="16"/>
  <c r="AV15" i="16" s="1"/>
  <c r="AK28" i="3"/>
  <c r="AK21" i="25"/>
  <c r="AK65" i="25" s="1"/>
  <c r="BF130" i="25"/>
  <c r="BF154" i="25"/>
  <c r="BF155" i="25" s="1"/>
  <c r="BG119" i="25"/>
  <c r="BG147" i="25" s="1"/>
  <c r="BM35" i="3"/>
  <c r="Z243" i="3"/>
  <c r="AA240" i="3"/>
  <c r="BE35" i="27"/>
  <c r="BE47" i="3"/>
  <c r="BE74" i="3" s="1"/>
  <c r="BF104" i="21"/>
  <c r="BF91" i="21"/>
  <c r="CF90" i="25"/>
  <c r="CG63" i="25"/>
  <c r="BO89" i="25"/>
  <c r="BO103" i="25" s="1"/>
  <c r="BP62" i="25"/>
  <c r="BV103" i="21"/>
  <c r="BV90" i="21"/>
  <c r="BF82" i="23"/>
  <c r="BF86" i="23"/>
  <c r="BF87" i="23" s="1"/>
  <c r="AK102" i="25"/>
  <c r="AK75" i="25"/>
  <c r="AK78" i="25" s="1"/>
  <c r="AK23" i="25"/>
  <c r="AK91" i="25"/>
  <c r="AK105" i="25" s="1"/>
  <c r="AK27" i="25"/>
  <c r="BO87" i="25"/>
  <c r="BO101" i="25" s="1"/>
  <c r="BP60" i="25"/>
  <c r="BF68" i="27"/>
  <c r="BF29" i="27"/>
  <c r="BF24" i="27"/>
  <c r="BM220" i="25"/>
  <c r="AO76" i="15"/>
  <c r="AO78" i="15" s="1"/>
  <c r="AO57" i="15"/>
  <c r="AN78" i="17"/>
  <c r="AN80" i="17" s="1"/>
  <c r="AN81" i="15"/>
  <c r="AN86" i="15" s="1"/>
  <c r="AN79" i="15"/>
  <c r="AN84" i="15" s="1"/>
  <c r="AN80" i="15"/>
  <c r="AN85" i="15" s="1"/>
  <c r="BG81" i="23"/>
  <c r="BG84" i="23"/>
  <c r="BG88" i="23"/>
  <c r="BG89" i="23" s="1"/>
  <c r="X30" i="16"/>
  <c r="Z339" i="3"/>
  <c r="Z341" i="3" s="1"/>
  <c r="Z134" i="3"/>
  <c r="AV31" i="16" s="1"/>
  <c r="V123" i="15" s="1"/>
  <c r="V124" i="15" s="1"/>
  <c r="Z131" i="3"/>
  <c r="Z210" i="3"/>
  <c r="Z213" i="3" s="1"/>
  <c r="Z133" i="3"/>
  <c r="Z132" i="3"/>
  <c r="AV30" i="16" s="1"/>
  <c r="BO74" i="23"/>
  <c r="BF27" i="3"/>
  <c r="BF21" i="27"/>
  <c r="BF51" i="27" s="1"/>
  <c r="AO66" i="17"/>
  <c r="AO72" i="17"/>
  <c r="AO70" i="17"/>
  <c r="AO56" i="17"/>
  <c r="AO77" i="17"/>
  <c r="AO65" i="17"/>
  <c r="AO54" i="17"/>
  <c r="AO58" i="17"/>
  <c r="AO69" i="17"/>
  <c r="AO62" i="17"/>
  <c r="AO73" i="17"/>
  <c r="AO76" i="17"/>
  <c r="AO75" i="17"/>
  <c r="AO63" i="17"/>
  <c r="AO53" i="17"/>
  <c r="AO67" i="17"/>
  <c r="AO64" i="17"/>
  <c r="AO68" i="17"/>
  <c r="AO52" i="17"/>
  <c r="AO74" i="17"/>
  <c r="AO55" i="17"/>
  <c r="AO71" i="17"/>
  <c r="AO59" i="17"/>
  <c r="AO61" i="17"/>
  <c r="AO60" i="17"/>
  <c r="AO57" i="17"/>
  <c r="AL88" i="25"/>
  <c r="AL19" i="25"/>
  <c r="AL64" i="25"/>
  <c r="BG52" i="3"/>
  <c r="BH32" i="3"/>
  <c r="BT166" i="21"/>
  <c r="BN78" i="23"/>
  <c r="BI73" i="23"/>
  <c r="BH83" i="23"/>
  <c r="BC159" i="3"/>
  <c r="BD17" i="17"/>
  <c r="BS167" i="25"/>
  <c r="BG30" i="3" l="1"/>
  <c r="BG88" i="3" s="1"/>
  <c r="AR111" i="27"/>
  <c r="AR114" i="27" s="1"/>
  <c r="AR115" i="27" s="1"/>
  <c r="AR116" i="27" s="1"/>
  <c r="AR47" i="27" s="1"/>
  <c r="AT185" i="3"/>
  <c r="AT192" i="3" s="1"/>
  <c r="AR79" i="27"/>
  <c r="AS74" i="27" s="1"/>
  <c r="AS223" i="3"/>
  <c r="AS198" i="3"/>
  <c r="AR320" i="3"/>
  <c r="AR323" i="3" s="1"/>
  <c r="AR305" i="3"/>
  <c r="AR303" i="3" s="1"/>
  <c r="AS103" i="3"/>
  <c r="AS265" i="3" s="1"/>
  <c r="AQ21" i="27"/>
  <c r="AQ51" i="27" s="1"/>
  <c r="AQ26" i="3"/>
  <c r="AQ54" i="27"/>
  <c r="AQ57" i="27" s="1"/>
  <c r="AQ23" i="27"/>
  <c r="AQ67" i="27"/>
  <c r="AQ27" i="27"/>
  <c r="AQ63" i="27"/>
  <c r="AQ70" i="27" s="1"/>
  <c r="BI136" i="21"/>
  <c r="AT164" i="25"/>
  <c r="AU159" i="25" s="1"/>
  <c r="AU193" i="25" s="1"/>
  <c r="AT195" i="25"/>
  <c r="AT197" i="25" s="1"/>
  <c r="AT198" i="25" s="1"/>
  <c r="AT199" i="25" s="1"/>
  <c r="AT54" i="25" s="1"/>
  <c r="Z101" i="15"/>
  <c r="BA48" i="21"/>
  <c r="AZ74" i="21"/>
  <c r="AY87" i="21"/>
  <c r="AY100" i="21"/>
  <c r="BI86" i="21"/>
  <c r="BI99" i="21"/>
  <c r="BI26" i="21"/>
  <c r="AS24" i="25"/>
  <c r="AS68" i="25"/>
  <c r="AS95" i="25"/>
  <c r="BK60" i="21"/>
  <c r="BJ73" i="21"/>
  <c r="BH203" i="25"/>
  <c r="BH204" i="25" s="1"/>
  <c r="BH179" i="25"/>
  <c r="BI168" i="25"/>
  <c r="BI196" i="25" s="1"/>
  <c r="BH184" i="25"/>
  <c r="CD26" i="3"/>
  <c r="CD21" i="27"/>
  <c r="CD51" i="27" s="1"/>
  <c r="CF49" i="27"/>
  <c r="CE62" i="27"/>
  <c r="CE19" i="27"/>
  <c r="CD56" i="27"/>
  <c r="CD30" i="27"/>
  <c r="BK20" i="17"/>
  <c r="BL17" i="21"/>
  <c r="BE90" i="17"/>
  <c r="BE64" i="3"/>
  <c r="BH288" i="3"/>
  <c r="BG335" i="3"/>
  <c r="BG86" i="25"/>
  <c r="BH59" i="25"/>
  <c r="BJ336" i="3"/>
  <c r="BK289" i="3"/>
  <c r="BE85" i="25"/>
  <c r="BF58" i="25"/>
  <c r="AV115" i="21"/>
  <c r="AW110" i="21" s="1"/>
  <c r="AW112" i="21" s="1"/>
  <c r="BI134" i="21"/>
  <c r="BH9" i="17"/>
  <c r="BI272" i="3"/>
  <c r="BJ68" i="23"/>
  <c r="BI102" i="23"/>
  <c r="BI103" i="23" s="1"/>
  <c r="BI79" i="23"/>
  <c r="BJ135" i="21"/>
  <c r="BJ133" i="21" s="1"/>
  <c r="BJ138" i="21" s="1"/>
  <c r="BJ139" i="21" s="1"/>
  <c r="BK125" i="21"/>
  <c r="BM89" i="27"/>
  <c r="BL99" i="27"/>
  <c r="BL97" i="27" s="1"/>
  <c r="BF100" i="25"/>
  <c r="BF73" i="25"/>
  <c r="BF30" i="25"/>
  <c r="BG81" i="3"/>
  <c r="BH37" i="3"/>
  <c r="BG34" i="3"/>
  <c r="BG89" i="3" s="1"/>
  <c r="BD29" i="25"/>
  <c r="BD99" i="25"/>
  <c r="AW111" i="21"/>
  <c r="BF37" i="23"/>
  <c r="BE38" i="23"/>
  <c r="BE19" i="23"/>
  <c r="BE48" i="23"/>
  <c r="BC55" i="23"/>
  <c r="BC20" i="23"/>
  <c r="BJ149" i="21"/>
  <c r="BJ131" i="21"/>
  <c r="BK119" i="21"/>
  <c r="BJ155" i="21"/>
  <c r="BJ156" i="21" s="1"/>
  <c r="BF78" i="3"/>
  <c r="BF92" i="17"/>
  <c r="BB26" i="23"/>
  <c r="BB45" i="3"/>
  <c r="BB72" i="3" s="1"/>
  <c r="BB50" i="23"/>
  <c r="BG100" i="27"/>
  <c r="BG120" i="27"/>
  <c r="BG121" i="27" s="1"/>
  <c r="BG84" i="27"/>
  <c r="BG98" i="27"/>
  <c r="BH83" i="27"/>
  <c r="BI271" i="3"/>
  <c r="BH276" i="3"/>
  <c r="BH319" i="3"/>
  <c r="BF134" i="25"/>
  <c r="BG125" i="25"/>
  <c r="BJ259" i="3"/>
  <c r="BI321" i="3"/>
  <c r="BJ67" i="23"/>
  <c r="BI72" i="23"/>
  <c r="BI129" i="21"/>
  <c r="BH140" i="21"/>
  <c r="BH141" i="21" s="1"/>
  <c r="BH123" i="21"/>
  <c r="BH208" i="25"/>
  <c r="BC182" i="25"/>
  <c r="BC186" i="25"/>
  <c r="BC187" i="25" s="1"/>
  <c r="BH91" i="17"/>
  <c r="BH65" i="3"/>
  <c r="BJ84" i="25"/>
  <c r="BI31" i="25"/>
  <c r="BI98" i="25"/>
  <c r="BD39" i="23"/>
  <c r="BD25" i="3"/>
  <c r="BD54" i="23"/>
  <c r="BD49" i="23"/>
  <c r="BD23" i="23"/>
  <c r="BK160" i="21"/>
  <c r="BJ162" i="21"/>
  <c r="BH31" i="3"/>
  <c r="BE132" i="25"/>
  <c r="BE139" i="25"/>
  <c r="BE140" i="25" s="1"/>
  <c r="BE135" i="25"/>
  <c r="BK256" i="3"/>
  <c r="AV147" i="21"/>
  <c r="AV150" i="21" s="1"/>
  <c r="AV151" i="21" s="1"/>
  <c r="AW113" i="21"/>
  <c r="BK183" i="25"/>
  <c r="BL174" i="25"/>
  <c r="BK214" i="25"/>
  <c r="BJ216" i="25"/>
  <c r="BN172" i="25"/>
  <c r="BM178" i="25"/>
  <c r="BE209" i="25"/>
  <c r="BD210" i="25"/>
  <c r="BJ221" i="25"/>
  <c r="BI222" i="25"/>
  <c r="AK173" i="3"/>
  <c r="AK340" i="3" s="1"/>
  <c r="AL167" i="3"/>
  <c r="AK106" i="15"/>
  <c r="AK171" i="3"/>
  <c r="BD181" i="25"/>
  <c r="BE175" i="25"/>
  <c r="BF188" i="25"/>
  <c r="BF189" i="25" s="1"/>
  <c r="BG170" i="25"/>
  <c r="BD137" i="25"/>
  <c r="BD138" i="25" s="1"/>
  <c r="BD133" i="25"/>
  <c r="BG112" i="27"/>
  <c r="CE79" i="21"/>
  <c r="CE92" i="21" s="1"/>
  <c r="CF53" i="21"/>
  <c r="BW69" i="25"/>
  <c r="BV82" i="25"/>
  <c r="BV96" i="25" s="1"/>
  <c r="CC45" i="21"/>
  <c r="CB71" i="21"/>
  <c r="AZ45" i="3"/>
  <c r="AZ72" i="3" s="1"/>
  <c r="AZ50" i="23"/>
  <c r="AZ26" i="23"/>
  <c r="CA97" i="21"/>
  <c r="CA23" i="21"/>
  <c r="CA84" i="21"/>
  <c r="AR6" i="3"/>
  <c r="AQ57" i="23"/>
  <c r="AQ72" i="27"/>
  <c r="AQ108" i="25"/>
  <c r="AQ7" i="3"/>
  <c r="BJ38" i="3"/>
  <c r="CE50" i="21"/>
  <c r="CA89" i="21"/>
  <c r="CA27" i="21"/>
  <c r="CA102" i="21"/>
  <c r="BG93" i="27"/>
  <c r="BF104" i="27"/>
  <c r="BF105" i="27" s="1"/>
  <c r="BG87" i="27"/>
  <c r="BH94" i="27"/>
  <c r="BG95" i="27"/>
  <c r="BG102" i="27"/>
  <c r="BG103" i="27" s="1"/>
  <c r="CC63" i="21"/>
  <c r="CB76" i="21"/>
  <c r="BN167" i="21"/>
  <c r="BM168" i="21"/>
  <c r="CD82" i="27"/>
  <c r="BO78" i="23"/>
  <c r="BU166" i="21"/>
  <c r="Z80" i="15"/>
  <c r="Z85" i="15" s="1"/>
  <c r="Z81" i="15"/>
  <c r="Z86" i="15" s="1"/>
  <c r="Z79" i="15"/>
  <c r="Z84" i="15" s="1"/>
  <c r="AL28" i="3"/>
  <c r="AL21" i="25"/>
  <c r="AL65" i="25" s="1"/>
  <c r="BP74" i="23"/>
  <c r="AV84" i="16"/>
  <c r="AV35" i="16"/>
  <c r="AO80" i="15"/>
  <c r="AO85" i="15" s="1"/>
  <c r="AO81" i="15"/>
  <c r="AO86" i="15" s="1"/>
  <c r="AO79" i="15"/>
  <c r="AO84" i="15" s="1"/>
  <c r="AK25" i="25"/>
  <c r="AK34" i="25"/>
  <c r="AK48" i="3"/>
  <c r="BQ62" i="25"/>
  <c r="BP89" i="25"/>
  <c r="BP103" i="25" s="1"/>
  <c r="BH119" i="25"/>
  <c r="BH147" i="25" s="1"/>
  <c r="BG130" i="25"/>
  <c r="BG154" i="25"/>
  <c r="BG155" i="25" s="1"/>
  <c r="CH56" i="25"/>
  <c r="CG83" i="25"/>
  <c r="CG97" i="25" s="1"/>
  <c r="BH93" i="3"/>
  <c r="AV9" i="16"/>
  <c r="AV12" i="16" s="1"/>
  <c r="AV81" i="16" s="1"/>
  <c r="Z298" i="3"/>
  <c r="AV25" i="16"/>
  <c r="Z297" i="3"/>
  <c r="Z99" i="15"/>
  <c r="AP76" i="15"/>
  <c r="AP78" i="15" s="1"/>
  <c r="AP57" i="15"/>
  <c r="BH20" i="27"/>
  <c r="BH50" i="27"/>
  <c r="BI48" i="27"/>
  <c r="BH61" i="27"/>
  <c r="BH81" i="23"/>
  <c r="BH84" i="23"/>
  <c r="BH88" i="23"/>
  <c r="BH89" i="23" s="1"/>
  <c r="AL102" i="25"/>
  <c r="AL75" i="25"/>
  <c r="AL78" i="25" s="1"/>
  <c r="AL23" i="25"/>
  <c r="AL27" i="25"/>
  <c r="AL91" i="25"/>
  <c r="AL105" i="25" s="1"/>
  <c r="Z141" i="3"/>
  <c r="Z135" i="3"/>
  <c r="AN87" i="15"/>
  <c r="BN220" i="25"/>
  <c r="BX77" i="21"/>
  <c r="BY51" i="21"/>
  <c r="AA263" i="3"/>
  <c r="AQ212" i="25"/>
  <c r="AQ95" i="15"/>
  <c r="AQ29" i="17"/>
  <c r="AQ17" i="27"/>
  <c r="AQ108" i="21"/>
  <c r="AQ22" i="17"/>
  <c r="AQ5" i="23"/>
  <c r="AQ157" i="25"/>
  <c r="AQ253" i="3"/>
  <c r="AQ164" i="3"/>
  <c r="AQ68" i="3"/>
  <c r="AQ41" i="3"/>
  <c r="AQ6" i="15"/>
  <c r="AQ54" i="15"/>
  <c r="AQ56" i="15" s="1"/>
  <c r="AQ6" i="17"/>
  <c r="AQ3" i="27"/>
  <c r="AQ19" i="21"/>
  <c r="AQ3" i="25"/>
  <c r="AQ3" i="21"/>
  <c r="AQ17" i="25"/>
  <c r="AQ329" i="3"/>
  <c r="AQ208" i="3"/>
  <c r="AQ85" i="3"/>
  <c r="AQ21" i="3"/>
  <c r="AQ69" i="15"/>
  <c r="AQ3" i="17"/>
  <c r="AQ4" i="17" s="1"/>
  <c r="AQ218" i="25"/>
  <c r="AQ5" i="21"/>
  <c r="AQ49" i="17"/>
  <c r="AQ5" i="27"/>
  <c r="AQ3" i="15"/>
  <c r="AQ4" i="15" s="1"/>
  <c r="AQ158" i="21"/>
  <c r="AQ313" i="3"/>
  <c r="AQ200" i="3"/>
  <c r="AQ153" i="3"/>
  <c r="AQ9" i="3"/>
  <c r="AQ83" i="17"/>
  <c r="AQ21" i="15"/>
  <c r="AQ5" i="25"/>
  <c r="AQ206" i="25"/>
  <c r="AQ37" i="17"/>
  <c r="AQ17" i="23"/>
  <c r="AQ164" i="21"/>
  <c r="AQ300" i="3"/>
  <c r="AQ182" i="3"/>
  <c r="AQ145" i="3"/>
  <c r="AR3" i="3"/>
  <c r="BE17" i="17"/>
  <c r="BD159" i="3"/>
  <c r="BJ73" i="23"/>
  <c r="BI83" i="23"/>
  <c r="BH52" i="3"/>
  <c r="BI32" i="3"/>
  <c r="X85" i="16"/>
  <c r="X1" i="16" s="1"/>
  <c r="X29" i="16"/>
  <c r="BF35" i="27"/>
  <c r="BF47" i="3"/>
  <c r="BF74" i="3" s="1"/>
  <c r="BQ60" i="25"/>
  <c r="BP87" i="25"/>
  <c r="BP101" i="25" s="1"/>
  <c r="AK61" i="3"/>
  <c r="AK87" i="17"/>
  <c r="BN35" i="3"/>
  <c r="BW103" i="21"/>
  <c r="BW90" i="21"/>
  <c r="BG104" i="21"/>
  <c r="BG91" i="21"/>
  <c r="Z14" i="17"/>
  <c r="Z42" i="17"/>
  <c r="AM115" i="25"/>
  <c r="AP63" i="17"/>
  <c r="AP77" i="17"/>
  <c r="AP56" i="17"/>
  <c r="AP59" i="17"/>
  <c r="AP73" i="17"/>
  <c r="AP52" i="17"/>
  <c r="AP66" i="17"/>
  <c r="AP69" i="17"/>
  <c r="AP74" i="17"/>
  <c r="AP62" i="17"/>
  <c r="AP65" i="17"/>
  <c r="AP57" i="17"/>
  <c r="AP70" i="17"/>
  <c r="AP58" i="17"/>
  <c r="AP61" i="17"/>
  <c r="AP75" i="17"/>
  <c r="AP54" i="17"/>
  <c r="AP68" i="17"/>
  <c r="AP55" i="17"/>
  <c r="AP71" i="17"/>
  <c r="AP76" i="17"/>
  <c r="AP64" i="17"/>
  <c r="AP67" i="17"/>
  <c r="AP72" i="17"/>
  <c r="AP60" i="17"/>
  <c r="AP53" i="17"/>
  <c r="BG68" i="27"/>
  <c r="BG29" i="27"/>
  <c r="BG24" i="27"/>
  <c r="BT167" i="25"/>
  <c r="BG79" i="3"/>
  <c r="BG93" i="17"/>
  <c r="BG50" i="3"/>
  <c r="BG77" i="3" s="1"/>
  <c r="AO78" i="17"/>
  <c r="AO80" i="17" s="1"/>
  <c r="BG86" i="23"/>
  <c r="BG87" i="23" s="1"/>
  <c r="BG82" i="23"/>
  <c r="CG90" i="25"/>
  <c r="CH63" i="25"/>
  <c r="CH57" i="25"/>
  <c r="BH78" i="21"/>
  <c r="BI52" i="21"/>
  <c r="AA237" i="3"/>
  <c r="AA279" i="3"/>
  <c r="AM146" i="25"/>
  <c r="BY55" i="25"/>
  <c r="BG27" i="3"/>
  <c r="BG21" i="27"/>
  <c r="BG51" i="27" s="1"/>
  <c r="AR19" i="27" l="1"/>
  <c r="AR60" i="27"/>
  <c r="AR50" i="27"/>
  <c r="AU161" i="25"/>
  <c r="AU160" i="25"/>
  <c r="AU194" i="25"/>
  <c r="AU192" i="25"/>
  <c r="AS305" i="3"/>
  <c r="AS303" i="3" s="1"/>
  <c r="AS320" i="3"/>
  <c r="AT103" i="3"/>
  <c r="AU162" i="25"/>
  <c r="AU195" i="25" s="1"/>
  <c r="AU197" i="25" s="1"/>
  <c r="AS304" i="3"/>
  <c r="AT304" i="3" s="1"/>
  <c r="AS211" i="3"/>
  <c r="AS104" i="3"/>
  <c r="AS105" i="3" s="1"/>
  <c r="AS64" i="15"/>
  <c r="AS230" i="3"/>
  <c r="BH30" i="3"/>
  <c r="BH88" i="3" s="1"/>
  <c r="BH51" i="3"/>
  <c r="AS75" i="27"/>
  <c r="AS108" i="27"/>
  <c r="AS77" i="27"/>
  <c r="AS76" i="27"/>
  <c r="AS109" i="27"/>
  <c r="AS110" i="27"/>
  <c r="AQ25" i="27"/>
  <c r="AQ46" i="3"/>
  <c r="AQ73" i="3" s="1"/>
  <c r="AQ34" i="27"/>
  <c r="AT194" i="3"/>
  <c r="AT247" i="3"/>
  <c r="AT248" i="3" s="1"/>
  <c r="AU193" i="3"/>
  <c r="AW145" i="21"/>
  <c r="AZ100" i="21"/>
  <c r="AZ87" i="21"/>
  <c r="BA74" i="21"/>
  <c r="BB48" i="21"/>
  <c r="BJ134" i="21"/>
  <c r="AW144" i="21"/>
  <c r="AW115" i="21"/>
  <c r="AX110" i="21" s="1"/>
  <c r="AX146" i="21" s="1"/>
  <c r="BJ136" i="21"/>
  <c r="AW146" i="21"/>
  <c r="BJ26" i="21"/>
  <c r="BJ99" i="21"/>
  <c r="BJ86" i="21"/>
  <c r="AS49" i="3"/>
  <c r="AS76" i="3" s="1"/>
  <c r="AS35" i="25"/>
  <c r="AU164" i="25"/>
  <c r="AV159" i="25" s="1"/>
  <c r="AV160" i="25" s="1"/>
  <c r="AT81" i="25"/>
  <c r="AT20" i="25"/>
  <c r="AT29" i="3" s="1"/>
  <c r="BI179" i="25"/>
  <c r="BJ168" i="25"/>
  <c r="BI203" i="25"/>
  <c r="BI204" i="25" s="1"/>
  <c r="BI184" i="25"/>
  <c r="BL60" i="21"/>
  <c r="BK73" i="21"/>
  <c r="BM17" i="21"/>
  <c r="BL20" i="17"/>
  <c r="CE30" i="27"/>
  <c r="CE56" i="27"/>
  <c r="CE21" i="27"/>
  <c r="CE51" i="27" s="1"/>
  <c r="CE26" i="3"/>
  <c r="CG49" i="27"/>
  <c r="CF62" i="27"/>
  <c r="CF19" i="27"/>
  <c r="BL125" i="21"/>
  <c r="BK135" i="21"/>
  <c r="BK133" i="21" s="1"/>
  <c r="BK138" i="21" s="1"/>
  <c r="BK139" i="21" s="1"/>
  <c r="BJ102" i="23"/>
  <c r="BJ103" i="23" s="1"/>
  <c r="BK68" i="23"/>
  <c r="BJ79" i="23"/>
  <c r="BG58" i="25"/>
  <c r="BF85" i="25"/>
  <c r="BL289" i="3"/>
  <c r="BK336" i="3"/>
  <c r="BH86" i="25"/>
  <c r="BI59" i="25"/>
  <c r="BH112" i="27"/>
  <c r="BI37" i="3"/>
  <c r="BH81" i="3"/>
  <c r="BH34" i="3"/>
  <c r="BH89" i="3" s="1"/>
  <c r="BF64" i="3"/>
  <c r="BF90" i="17"/>
  <c r="BM99" i="27"/>
  <c r="BM97" i="27" s="1"/>
  <c r="BN89" i="27"/>
  <c r="BI9" i="17"/>
  <c r="BJ272" i="3"/>
  <c r="BE29" i="25"/>
  <c r="BE99" i="25"/>
  <c r="BG73" i="25"/>
  <c r="BG100" i="25"/>
  <c r="BG30" i="25"/>
  <c r="BH335" i="3"/>
  <c r="BI288" i="3"/>
  <c r="AX145" i="21"/>
  <c r="AX144" i="21"/>
  <c r="CF79" i="21"/>
  <c r="CF92" i="21" s="1"/>
  <c r="CG53" i="21"/>
  <c r="BD182" i="25"/>
  <c r="BD186" i="25"/>
  <c r="BD187" i="25" s="1"/>
  <c r="BK221" i="25"/>
  <c r="BJ222" i="25"/>
  <c r="BF209" i="25"/>
  <c r="BE210" i="25"/>
  <c r="BO172" i="25"/>
  <c r="BN178" i="25"/>
  <c r="BL214" i="25"/>
  <c r="BK216" i="25"/>
  <c r="BL256" i="3"/>
  <c r="BE137" i="25"/>
  <c r="BE138" i="25" s="1"/>
  <c r="BE133" i="25"/>
  <c r="BI31" i="3"/>
  <c r="BI51" i="3" s="1"/>
  <c r="BH50" i="3"/>
  <c r="BK162" i="21"/>
  <c r="BL160" i="21"/>
  <c r="BD20" i="23"/>
  <c r="BD55" i="23"/>
  <c r="BI65" i="3"/>
  <c r="BI91" i="17"/>
  <c r="AR27" i="27"/>
  <c r="AR23" i="27"/>
  <c r="AR63" i="27"/>
  <c r="AR70" i="27" s="1"/>
  <c r="AR54" i="27"/>
  <c r="AR57" i="27" s="1"/>
  <c r="AR67" i="27"/>
  <c r="AS60" i="27"/>
  <c r="BI208" i="25"/>
  <c r="BK259" i="3"/>
  <c r="BJ321" i="3"/>
  <c r="BF132" i="25"/>
  <c r="BF139" i="25"/>
  <c r="BF140" i="25" s="1"/>
  <c r="BF135" i="25"/>
  <c r="BH100" i="27"/>
  <c r="BH120" i="27"/>
  <c r="BH121" i="27" s="1"/>
  <c r="BH84" i="27"/>
  <c r="BI83" i="27"/>
  <c r="BH98" i="27"/>
  <c r="BK131" i="21"/>
  <c r="BL119" i="21"/>
  <c r="BK155" i="21"/>
  <c r="BK156" i="21" s="1"/>
  <c r="BK149" i="21"/>
  <c r="BE39" i="23"/>
  <c r="BE25" i="3"/>
  <c r="BF48" i="23"/>
  <c r="BF38" i="23"/>
  <c r="BF19" i="23"/>
  <c r="BG37" i="23"/>
  <c r="AW147" i="21"/>
  <c r="BH170" i="25"/>
  <c r="BG188" i="25"/>
  <c r="BG189" i="25" s="1"/>
  <c r="BE181" i="25"/>
  <c r="BF175" i="25"/>
  <c r="AK104" i="15"/>
  <c r="AK172" i="3"/>
  <c r="AK105" i="15" s="1"/>
  <c r="AL177" i="3"/>
  <c r="BL183" i="25"/>
  <c r="BM174" i="25"/>
  <c r="AX113" i="21"/>
  <c r="BG78" i="3"/>
  <c r="BG92" i="17"/>
  <c r="BJ98" i="25"/>
  <c r="BJ31" i="25"/>
  <c r="BK84" i="25"/>
  <c r="AR21" i="27"/>
  <c r="AR51" i="27" s="1"/>
  <c r="AR26" i="3"/>
  <c r="BI140" i="21"/>
  <c r="BI141" i="21" s="1"/>
  <c r="BI123" i="21"/>
  <c r="BJ129" i="21"/>
  <c r="BK67" i="23"/>
  <c r="BJ72" i="23"/>
  <c r="BG134" i="25"/>
  <c r="BH125" i="25"/>
  <c r="BJ271" i="3"/>
  <c r="BI276" i="3"/>
  <c r="BI319" i="3"/>
  <c r="BC50" i="23"/>
  <c r="BC45" i="3"/>
  <c r="BC72" i="3" s="1"/>
  <c r="BC26" i="23"/>
  <c r="BE49" i="23"/>
  <c r="BE54" i="23"/>
  <c r="BE23" i="23"/>
  <c r="AX111" i="21"/>
  <c r="CB84" i="21"/>
  <c r="CB23" i="21"/>
  <c r="CB97" i="21"/>
  <c r="CC71" i="21"/>
  <c r="CD45" i="21"/>
  <c r="BX69" i="25"/>
  <c r="BW82" i="25"/>
  <c r="BW96" i="25" s="1"/>
  <c r="AS6" i="3"/>
  <c r="AR7" i="3"/>
  <c r="AR72" i="27"/>
  <c r="AR108" i="25"/>
  <c r="AR57" i="23"/>
  <c r="BK38" i="3"/>
  <c r="AV1" i="16"/>
  <c r="CD63" i="21"/>
  <c r="CC76" i="21"/>
  <c r="BO167" i="21"/>
  <c r="BN168" i="21"/>
  <c r="BH93" i="27"/>
  <c r="BG104" i="27"/>
  <c r="BG105" i="27" s="1"/>
  <c r="CF50" i="21"/>
  <c r="CE82" i="27"/>
  <c r="CB89" i="21"/>
  <c r="CB27" i="21"/>
  <c r="CB102" i="21"/>
  <c r="BI94" i="27"/>
  <c r="BH95" i="27"/>
  <c r="BH87" i="27"/>
  <c r="BH102" i="27"/>
  <c r="BH103" i="27" s="1"/>
  <c r="BH104" i="21"/>
  <c r="BH91" i="21"/>
  <c r="AN110" i="25"/>
  <c r="AM143" i="25"/>
  <c r="AM149" i="25" s="1"/>
  <c r="AM150" i="25" s="1"/>
  <c r="AM61" i="25" s="1"/>
  <c r="BK73" i="23"/>
  <c r="BJ83" i="23"/>
  <c r="AQ76" i="15"/>
  <c r="AQ78" i="15" s="1"/>
  <c r="AQ57" i="15"/>
  <c r="AL61" i="3"/>
  <c r="AL87" i="17"/>
  <c r="Z43" i="17"/>
  <c r="AV41" i="16"/>
  <c r="BZ55" i="25"/>
  <c r="AA295" i="3"/>
  <c r="AA10" i="17"/>
  <c r="AA11" i="17" s="1"/>
  <c r="BJ32" i="3"/>
  <c r="BI52" i="3"/>
  <c r="BI30" i="3"/>
  <c r="BI88" i="3" s="1"/>
  <c r="AQ52" i="17"/>
  <c r="AQ69" i="17"/>
  <c r="AQ67" i="17"/>
  <c r="AQ60" i="17"/>
  <c r="AQ62" i="17"/>
  <c r="AQ66" i="17"/>
  <c r="AQ54" i="17"/>
  <c r="AQ73" i="17"/>
  <c r="AQ61" i="17"/>
  <c r="AQ77" i="17"/>
  <c r="AQ65" i="17"/>
  <c r="AQ59" i="17"/>
  <c r="AQ58" i="17"/>
  <c r="AQ72" i="17"/>
  <c r="AQ53" i="17"/>
  <c r="AQ76" i="17"/>
  <c r="AQ57" i="17"/>
  <c r="AQ75" i="17"/>
  <c r="AQ63" i="17"/>
  <c r="AQ56" i="17"/>
  <c r="AQ64" i="17"/>
  <c r="AQ70" i="17"/>
  <c r="AQ68" i="17"/>
  <c r="AQ71" i="17"/>
  <c r="AQ74" i="17"/>
  <c r="AQ55" i="17"/>
  <c r="BO220" i="25"/>
  <c r="AL25" i="25"/>
  <c r="AL34" i="25"/>
  <c r="AL48" i="3"/>
  <c r="BH27" i="3"/>
  <c r="BH21" i="27"/>
  <c r="BH51" i="27" s="1"/>
  <c r="CH83" i="25"/>
  <c r="CH97" i="25" s="1"/>
  <c r="CI56" i="25"/>
  <c r="AK36" i="25"/>
  <c r="AK32" i="25"/>
  <c r="AK92" i="25"/>
  <c r="AO87" i="15"/>
  <c r="Z87" i="15"/>
  <c r="BV166" i="21"/>
  <c r="BP78" i="23"/>
  <c r="CI63" i="25"/>
  <c r="CH90" i="25"/>
  <c r="BU167" i="25"/>
  <c r="AP78" i="17"/>
  <c r="AP80" i="17" s="1"/>
  <c r="BQ87" i="25"/>
  <c r="BQ101" i="25" s="1"/>
  <c r="BR60" i="25"/>
  <c r="BR87" i="25" s="1"/>
  <c r="BH79" i="3"/>
  <c r="BH93" i="17"/>
  <c r="BY77" i="21"/>
  <c r="BZ51" i="21"/>
  <c r="BH24" i="27"/>
  <c r="BH68" i="27"/>
  <c r="BH29" i="27"/>
  <c r="BI78" i="21"/>
  <c r="BJ52" i="21"/>
  <c r="CI57" i="25"/>
  <c r="BG47" i="3"/>
  <c r="BG74" i="3" s="1"/>
  <c r="BG35" i="27"/>
  <c r="BO35" i="3"/>
  <c r="BI84" i="23"/>
  <c r="BI81" i="23"/>
  <c r="BI88" i="23"/>
  <c r="BI89" i="23" s="1"/>
  <c r="BF17" i="17"/>
  <c r="BE159" i="3"/>
  <c r="AR3" i="17"/>
  <c r="AR4" i="17" s="1"/>
  <c r="AR49" i="17"/>
  <c r="AR206" i="25"/>
  <c r="AR29" i="17"/>
  <c r="AR17" i="23"/>
  <c r="AR158" i="21"/>
  <c r="AR164" i="21"/>
  <c r="AR5" i="25"/>
  <c r="AR157" i="25"/>
  <c r="AR300" i="3"/>
  <c r="AR208" i="3"/>
  <c r="AR85" i="3"/>
  <c r="AR68" i="3"/>
  <c r="AR37" i="17"/>
  <c r="AR69" i="15"/>
  <c r="AR6" i="17"/>
  <c r="AR5" i="23"/>
  <c r="AR95" i="15"/>
  <c r="AR108" i="21"/>
  <c r="AR17" i="27"/>
  <c r="AR253" i="3"/>
  <c r="AR200" i="3"/>
  <c r="AR41" i="3"/>
  <c r="AR21" i="3"/>
  <c r="AR3" i="15"/>
  <c r="AR4" i="15" s="1"/>
  <c r="AR22" i="17"/>
  <c r="AR83" i="17"/>
  <c r="AR3" i="25"/>
  <c r="AR3" i="21"/>
  <c r="AR54" i="15"/>
  <c r="AR56" i="15" s="1"/>
  <c r="AR19" i="21"/>
  <c r="AR3" i="27"/>
  <c r="AR329" i="3"/>
  <c r="AR182" i="3"/>
  <c r="AR153" i="3"/>
  <c r="AR9" i="3"/>
  <c r="AR6" i="15"/>
  <c r="AR218" i="25"/>
  <c r="AR212" i="25"/>
  <c r="AR5" i="27"/>
  <c r="AR17" i="25"/>
  <c r="AR21" i="15"/>
  <c r="AR5" i="21"/>
  <c r="AR313" i="3"/>
  <c r="AR164" i="3"/>
  <c r="AR145" i="3"/>
  <c r="AS3" i="3"/>
  <c r="AA269" i="3"/>
  <c r="BX103" i="21"/>
  <c r="BX90" i="21"/>
  <c r="BH82" i="23"/>
  <c r="BH86" i="23"/>
  <c r="BH87" i="23" s="1"/>
  <c r="BJ48" i="27"/>
  <c r="BI20" i="27"/>
  <c r="BI61" i="27"/>
  <c r="BI50" i="27"/>
  <c r="AP80" i="15"/>
  <c r="AP85" i="15" s="1"/>
  <c r="AP81" i="15"/>
  <c r="AP86" i="15" s="1"/>
  <c r="AP79" i="15"/>
  <c r="AP84" i="15" s="1"/>
  <c r="AV42" i="16"/>
  <c r="AV27" i="16"/>
  <c r="BI93" i="3"/>
  <c r="BI119" i="25"/>
  <c r="BH154" i="25"/>
  <c r="BH155" i="25" s="1"/>
  <c r="BH130" i="25"/>
  <c r="BQ89" i="25"/>
  <c r="BQ103" i="25" s="1"/>
  <c r="BR62" i="25"/>
  <c r="AK75" i="3"/>
  <c r="BQ74" i="23"/>
  <c r="AU198" i="25" l="1"/>
  <c r="AU199" i="25" s="1"/>
  <c r="AU54" i="25" s="1"/>
  <c r="BH77" i="3"/>
  <c r="AS111" i="27"/>
  <c r="AS114" i="27" s="1"/>
  <c r="AS115" i="27" s="1"/>
  <c r="AS116" i="27" s="1"/>
  <c r="AS79" i="27"/>
  <c r="AT74" i="27" s="1"/>
  <c r="AT108" i="27" s="1"/>
  <c r="AX112" i="21"/>
  <c r="AX147" i="21" s="1"/>
  <c r="AX150" i="21" s="1"/>
  <c r="AX151" i="21" s="1"/>
  <c r="AQ32" i="27"/>
  <c r="AQ64" i="27"/>
  <c r="AQ36" i="27"/>
  <c r="AX115" i="21"/>
  <c r="AY110" i="21" s="1"/>
  <c r="AY112" i="21" s="1"/>
  <c r="AW150" i="21"/>
  <c r="AW151" i="21" s="1"/>
  <c r="AT223" i="3"/>
  <c r="AT198" i="3"/>
  <c r="AT77" i="27"/>
  <c r="AS63" i="15"/>
  <c r="AS267" i="3"/>
  <c r="AS212" i="3"/>
  <c r="AT104" i="3"/>
  <c r="AT63" i="15" s="1"/>
  <c r="AT211" i="3"/>
  <c r="AU246" i="3"/>
  <c r="AU185" i="3"/>
  <c r="AU192" i="3" s="1"/>
  <c r="AV193" i="3" s="1"/>
  <c r="AT75" i="27"/>
  <c r="BK134" i="21"/>
  <c r="BC48" i="21"/>
  <c r="BB74" i="21"/>
  <c r="BA87" i="21"/>
  <c r="BA100" i="21"/>
  <c r="BL149" i="21"/>
  <c r="BK99" i="21"/>
  <c r="BK26" i="21"/>
  <c r="BK86" i="21"/>
  <c r="BJ203" i="25"/>
  <c r="BJ204" i="25" s="1"/>
  <c r="BJ179" i="25"/>
  <c r="BK168" i="25"/>
  <c r="BJ184" i="25"/>
  <c r="AU81" i="25"/>
  <c r="AU20" i="25"/>
  <c r="AU29" i="3" s="1"/>
  <c r="BM60" i="21"/>
  <c r="BL73" i="21"/>
  <c r="AT24" i="25"/>
  <c r="AT95" i="25"/>
  <c r="AT68" i="25"/>
  <c r="AV193" i="25"/>
  <c r="AV161" i="25"/>
  <c r="AV194" i="25"/>
  <c r="AV192" i="25"/>
  <c r="AV164" i="25"/>
  <c r="AW159" i="25" s="1"/>
  <c r="AV162" i="25"/>
  <c r="BJ196" i="25"/>
  <c r="BK196" i="25" s="1"/>
  <c r="CF30" i="27"/>
  <c r="CF56" i="27"/>
  <c r="CF26" i="3"/>
  <c r="CF21" i="27"/>
  <c r="CF51" i="27" s="1"/>
  <c r="CG62" i="27"/>
  <c r="CG19" i="27"/>
  <c r="CH49" i="27"/>
  <c r="BM20" i="17"/>
  <c r="BN17" i="21"/>
  <c r="BJ288" i="3"/>
  <c r="BI335" i="3"/>
  <c r="BG64" i="3"/>
  <c r="BG90" i="17"/>
  <c r="BH30" i="25"/>
  <c r="BH100" i="25"/>
  <c r="BH73" i="25"/>
  <c r="BL336" i="3"/>
  <c r="BM289" i="3"/>
  <c r="BH58" i="25"/>
  <c r="BG85" i="25"/>
  <c r="BL68" i="23"/>
  <c r="BK102" i="23"/>
  <c r="BK103" i="23" s="1"/>
  <c r="BK79" i="23"/>
  <c r="BK136" i="21"/>
  <c r="BJ9" i="17"/>
  <c r="BK272" i="3"/>
  <c r="BO89" i="27"/>
  <c r="BN99" i="27"/>
  <c r="BN97" i="27" s="1"/>
  <c r="BJ37" i="3"/>
  <c r="BI81" i="3"/>
  <c r="BI34" i="3"/>
  <c r="BI89" i="3" s="1"/>
  <c r="BI86" i="25"/>
  <c r="BJ59" i="25"/>
  <c r="BF29" i="25"/>
  <c r="BF99" i="25"/>
  <c r="BM125" i="21"/>
  <c r="BL135" i="21"/>
  <c r="BL133" i="21" s="1"/>
  <c r="BL138" i="21" s="1"/>
  <c r="BL139" i="21" s="1"/>
  <c r="AY111" i="21"/>
  <c r="AY145" i="21"/>
  <c r="AY144" i="21"/>
  <c r="BE20" i="23"/>
  <c r="BE55" i="23"/>
  <c r="BH134" i="25"/>
  <c r="BI125" i="25"/>
  <c r="BJ140" i="21"/>
  <c r="BJ141" i="21" s="1"/>
  <c r="BJ123" i="21"/>
  <c r="BK129" i="21"/>
  <c r="BJ65" i="3"/>
  <c r="BJ91" i="17"/>
  <c r="BN174" i="25"/>
  <c r="BM183" i="25"/>
  <c r="BG175" i="25"/>
  <c r="BF181" i="25"/>
  <c r="BF39" i="23"/>
  <c r="BF25" i="3"/>
  <c r="BF23" i="23"/>
  <c r="BF49" i="23"/>
  <c r="BF54" i="23"/>
  <c r="BM119" i="21"/>
  <c r="BM149" i="21" s="1"/>
  <c r="BL155" i="21"/>
  <c r="BL156" i="21" s="1"/>
  <c r="BL131" i="21"/>
  <c r="BL136" i="21"/>
  <c r="BJ208" i="25"/>
  <c r="AS23" i="27"/>
  <c r="AS27" i="27"/>
  <c r="AS54" i="27"/>
  <c r="AS57" i="27" s="1"/>
  <c r="AT60" i="27"/>
  <c r="AS67" i="27"/>
  <c r="AS63" i="27"/>
  <c r="AS70" i="27" s="1"/>
  <c r="AR46" i="3"/>
  <c r="AR73" i="3" s="1"/>
  <c r="AR25" i="27"/>
  <c r="AR34" i="27"/>
  <c r="BL162" i="21"/>
  <c r="BM160" i="21"/>
  <c r="BH92" i="17"/>
  <c r="BH78" i="3"/>
  <c r="BM256" i="3"/>
  <c r="BL216" i="25"/>
  <c r="BM214" i="25"/>
  <c r="BP172" i="25"/>
  <c r="BO178" i="25"/>
  <c r="BG209" i="25"/>
  <c r="BF210" i="25"/>
  <c r="BL221" i="25"/>
  <c r="BK222" i="25"/>
  <c r="CG79" i="21"/>
  <c r="CG92" i="21" s="1"/>
  <c r="CH53" i="21"/>
  <c r="BK271" i="3"/>
  <c r="BJ276" i="3"/>
  <c r="BJ319" i="3"/>
  <c r="BG132" i="25"/>
  <c r="BG139" i="25"/>
  <c r="BG140" i="25" s="1"/>
  <c r="BG135" i="25"/>
  <c r="BL67" i="23"/>
  <c r="BK72" i="23"/>
  <c r="BK98" i="25"/>
  <c r="BL84" i="25"/>
  <c r="BK31" i="25"/>
  <c r="AY113" i="21"/>
  <c r="AL180" i="3"/>
  <c r="AL168" i="3"/>
  <c r="AL170" i="3" s="1"/>
  <c r="AL179" i="3"/>
  <c r="AK113" i="15"/>
  <c r="AK114" i="15"/>
  <c r="BE182" i="25"/>
  <c r="BE186" i="25"/>
  <c r="BE187" i="25" s="1"/>
  <c r="BH188" i="25"/>
  <c r="BH189" i="25" s="1"/>
  <c r="BI170" i="25"/>
  <c r="BG38" i="23"/>
  <c r="BH37" i="23"/>
  <c r="BG48" i="23"/>
  <c r="BG19" i="23"/>
  <c r="BI100" i="27"/>
  <c r="BJ83" i="27"/>
  <c r="BI120" i="27"/>
  <c r="BI121" i="27" s="1"/>
  <c r="BI84" i="27"/>
  <c r="BI98" i="27"/>
  <c r="BF137" i="25"/>
  <c r="BF138" i="25" s="1"/>
  <c r="BF133" i="25"/>
  <c r="BK321" i="3"/>
  <c r="BL259" i="3"/>
  <c r="BD26" i="23"/>
  <c r="BD50" i="23"/>
  <c r="BD45" i="3"/>
  <c r="BD72" i="3" s="1"/>
  <c r="BJ31" i="3"/>
  <c r="BJ51" i="3" s="1"/>
  <c r="BI112" i="27"/>
  <c r="CC23" i="21"/>
  <c r="CC84" i="21"/>
  <c r="CC97" i="21"/>
  <c r="AS7" i="3"/>
  <c r="AT6" i="3"/>
  <c r="AS57" i="23"/>
  <c r="AS72" i="27"/>
  <c r="AS108" i="25"/>
  <c r="CE45" i="21"/>
  <c r="CD71" i="21"/>
  <c r="BY69" i="25"/>
  <c r="BX82" i="25"/>
  <c r="BX96" i="25" s="1"/>
  <c r="BL38" i="3"/>
  <c r="BJ94" i="27"/>
  <c r="BI95" i="27"/>
  <c r="BI87" i="27"/>
  <c r="BI102" i="27"/>
  <c r="BI103" i="27" s="1"/>
  <c r="CG50" i="21"/>
  <c r="BP167" i="21"/>
  <c r="BO168" i="21"/>
  <c r="CE63" i="21"/>
  <c r="CD76" i="21"/>
  <c r="CF82" i="27"/>
  <c r="BI93" i="27"/>
  <c r="BH104" i="27"/>
  <c r="BH105" i="27" s="1"/>
  <c r="CC102" i="21"/>
  <c r="CC89" i="21"/>
  <c r="CC27" i="21"/>
  <c r="AS218" i="25"/>
  <c r="AS6" i="15"/>
  <c r="AS164" i="21"/>
  <c r="AS69" i="15"/>
  <c r="AS17" i="27"/>
  <c r="AS5" i="27"/>
  <c r="AS5" i="21"/>
  <c r="AS313" i="3"/>
  <c r="AS200" i="3"/>
  <c r="AS153" i="3"/>
  <c r="AT3" i="3"/>
  <c r="AS49" i="17"/>
  <c r="AS206" i="25"/>
  <c r="AS21" i="15"/>
  <c r="AS3" i="17"/>
  <c r="AS4" i="17" s="1"/>
  <c r="AS108" i="21"/>
  <c r="AS157" i="25"/>
  <c r="AS3" i="27"/>
  <c r="AS17" i="23"/>
  <c r="AS300" i="3"/>
  <c r="AS182" i="3"/>
  <c r="AS145" i="3"/>
  <c r="AS41" i="3"/>
  <c r="AS37" i="17"/>
  <c r="AS95" i="15"/>
  <c r="AS29" i="17"/>
  <c r="AS19" i="21"/>
  <c r="AS17" i="25"/>
  <c r="AS83" i="17"/>
  <c r="AS5" i="23"/>
  <c r="AS253" i="3"/>
  <c r="AS164" i="3"/>
  <c r="AS68" i="3"/>
  <c r="AS9" i="3"/>
  <c r="AS3" i="15"/>
  <c r="AS4" i="15" s="1"/>
  <c r="AS22" i="17"/>
  <c r="AS54" i="15"/>
  <c r="AS56" i="15" s="1"/>
  <c r="AS6" i="17"/>
  <c r="AS212" i="25"/>
  <c r="AS5" i="25"/>
  <c r="AS158" i="21"/>
  <c r="AS3" i="25"/>
  <c r="AS3" i="21"/>
  <c r="AS329" i="3"/>
  <c r="AS208" i="3"/>
  <c r="AS85" i="3"/>
  <c r="AS21" i="3"/>
  <c r="BI86" i="23"/>
  <c r="BI87" i="23" s="1"/>
  <c r="BI82" i="23"/>
  <c r="BJ78" i="21"/>
  <c r="BK52" i="21"/>
  <c r="BH35" i="27"/>
  <c r="BH47" i="3"/>
  <c r="BH74" i="3" s="1"/>
  <c r="AL75" i="3"/>
  <c r="AQ78" i="17"/>
  <c r="AQ80" i="17" s="1"/>
  <c r="BJ52" i="3"/>
  <c r="BK32" i="3"/>
  <c r="AA16" i="17"/>
  <c r="AA160" i="3" s="1"/>
  <c r="AA161" i="3" s="1"/>
  <c r="AA112" i="3" s="1"/>
  <c r="AA19" i="17"/>
  <c r="AA158" i="3" s="1"/>
  <c r="AA162" i="3" s="1"/>
  <c r="AN112" i="25"/>
  <c r="AN113" i="25"/>
  <c r="AN111" i="25"/>
  <c r="BJ93" i="3"/>
  <c r="AP87" i="15"/>
  <c r="BI68" i="27"/>
  <c r="BI29" i="27"/>
  <c r="BI24" i="27"/>
  <c r="AR57" i="15"/>
  <c r="AR76" i="15"/>
  <c r="AR78" i="15" s="1"/>
  <c r="AR76" i="17"/>
  <c r="AR64" i="17"/>
  <c r="AR67" i="17"/>
  <c r="AR72" i="17"/>
  <c r="AR60" i="17"/>
  <c r="AR63" i="17"/>
  <c r="AR57" i="17"/>
  <c r="AR77" i="17"/>
  <c r="AR56" i="17"/>
  <c r="AR59" i="17"/>
  <c r="AR73" i="17"/>
  <c r="AR52" i="17"/>
  <c r="AR66" i="17"/>
  <c r="AR55" i="17"/>
  <c r="AR69" i="17"/>
  <c r="AR74" i="17"/>
  <c r="AR62" i="17"/>
  <c r="AR65" i="17"/>
  <c r="AR70" i="17"/>
  <c r="AR58" i="17"/>
  <c r="AR61" i="17"/>
  <c r="AR75" i="17"/>
  <c r="AR54" i="17"/>
  <c r="AR68" i="17"/>
  <c r="AR71" i="17"/>
  <c r="AR53" i="17"/>
  <c r="BI104" i="21"/>
  <c r="BI91" i="21"/>
  <c r="BR101" i="25"/>
  <c r="BS101" i="25"/>
  <c r="BV167" i="25"/>
  <c r="CJ56" i="25"/>
  <c r="CI83" i="25"/>
  <c r="CI97" i="25" s="1"/>
  <c r="BJ119" i="25"/>
  <c r="BI130" i="25"/>
  <c r="BI154" i="25"/>
  <c r="BI155" i="25" s="1"/>
  <c r="AV37" i="16"/>
  <c r="AV36" i="16"/>
  <c r="AV52" i="16"/>
  <c r="BI27" i="3"/>
  <c r="BI21" i="27"/>
  <c r="BI51" i="27" s="1"/>
  <c r="BZ77" i="21"/>
  <c r="CA51" i="21"/>
  <c r="BQ78" i="23"/>
  <c r="AL36" i="25"/>
  <c r="AL92" i="25"/>
  <c r="AL32" i="25"/>
  <c r="BP220" i="25"/>
  <c r="AQ80" i="15"/>
  <c r="AQ85" i="15" s="1"/>
  <c r="AQ79" i="15"/>
  <c r="AQ84" i="15" s="1"/>
  <c r="AQ81" i="15"/>
  <c r="AQ86" i="15" s="1"/>
  <c r="BJ84" i="23"/>
  <c r="BJ81" i="23"/>
  <c r="BJ88" i="23"/>
  <c r="BJ89" i="23" s="1"/>
  <c r="BR74" i="23"/>
  <c r="BR89" i="25"/>
  <c r="BR103" i="25" s="1"/>
  <c r="BS62" i="25"/>
  <c r="BJ61" i="27"/>
  <c r="BJ50" i="27"/>
  <c r="BK48" i="27"/>
  <c r="BJ20" i="27"/>
  <c r="BG17" i="17"/>
  <c r="BF159" i="3"/>
  <c r="BP35" i="3"/>
  <c r="CJ57" i="25"/>
  <c r="BY103" i="21"/>
  <c r="BY90" i="21"/>
  <c r="CI90" i="25"/>
  <c r="CJ63" i="25"/>
  <c r="BW166" i="21"/>
  <c r="BI147" i="25"/>
  <c r="BI79" i="3"/>
  <c r="BI93" i="17"/>
  <c r="BI50" i="3"/>
  <c r="BI77" i="3" s="1"/>
  <c r="CA55" i="25"/>
  <c r="BL73" i="23"/>
  <c r="BK83" i="23"/>
  <c r="AM88" i="25"/>
  <c r="AM19" i="25"/>
  <c r="AM64" i="25"/>
  <c r="AT76" i="27" l="1"/>
  <c r="AT111" i="27" s="1"/>
  <c r="AT110" i="27"/>
  <c r="BJ30" i="3"/>
  <c r="BJ88" i="3" s="1"/>
  <c r="AY146" i="21"/>
  <c r="AT79" i="27"/>
  <c r="AU74" i="27" s="1"/>
  <c r="AU75" i="27" s="1"/>
  <c r="AT109" i="27"/>
  <c r="AV246" i="3"/>
  <c r="AS309" i="3"/>
  <c r="AS322" i="3"/>
  <c r="AS323" i="3" s="1"/>
  <c r="AT267" i="3"/>
  <c r="AT230" i="3"/>
  <c r="AT64" i="15"/>
  <c r="AT265" i="3"/>
  <c r="AV185" i="3"/>
  <c r="AV192" i="3" s="1"/>
  <c r="AT105" i="3"/>
  <c r="AT212" i="3"/>
  <c r="AU194" i="3"/>
  <c r="AU247" i="3"/>
  <c r="AU248" i="3" s="1"/>
  <c r="BJ147" i="25"/>
  <c r="BB87" i="21"/>
  <c r="BB100" i="21"/>
  <c r="BC74" i="21"/>
  <c r="BD48" i="21"/>
  <c r="AV195" i="25"/>
  <c r="AV197" i="25" s="1"/>
  <c r="AW162" i="25"/>
  <c r="AT35" i="25"/>
  <c r="AT49" i="3"/>
  <c r="AT76" i="3" s="1"/>
  <c r="BN60" i="21"/>
  <c r="BM73" i="21"/>
  <c r="AU24" i="25"/>
  <c r="AU68" i="25"/>
  <c r="AU95" i="25"/>
  <c r="AW160" i="25"/>
  <c r="AW193" i="25"/>
  <c r="AW192" i="25"/>
  <c r="AW161" i="25"/>
  <c r="AW194" i="25"/>
  <c r="BL86" i="21"/>
  <c r="BL26" i="21"/>
  <c r="BL99" i="21"/>
  <c r="BK179" i="25"/>
  <c r="BK203" i="25"/>
  <c r="BK204" i="25" s="1"/>
  <c r="BL168" i="25"/>
  <c r="BL196" i="25" s="1"/>
  <c r="BK184" i="25"/>
  <c r="CH62" i="27"/>
  <c r="CH19" i="27"/>
  <c r="CI49" i="27"/>
  <c r="CG30" i="27"/>
  <c r="CG56" i="27"/>
  <c r="BO17" i="21"/>
  <c r="BN20" i="17"/>
  <c r="CG21" i="27"/>
  <c r="CG51" i="27" s="1"/>
  <c r="CG26" i="3"/>
  <c r="BJ86" i="25"/>
  <c r="BK59" i="25"/>
  <c r="BK37" i="3"/>
  <c r="BJ81" i="3"/>
  <c r="BJ34" i="3"/>
  <c r="BJ89" i="3" s="1"/>
  <c r="BO99" i="27"/>
  <c r="BO97" i="27" s="1"/>
  <c r="BP89" i="27"/>
  <c r="BL102" i="23"/>
  <c r="BL103" i="23" s="1"/>
  <c r="BM68" i="23"/>
  <c r="BL79" i="23"/>
  <c r="BH85" i="25"/>
  <c r="BI58" i="25"/>
  <c r="BL134" i="21"/>
  <c r="BM135" i="21"/>
  <c r="BM133" i="21" s="1"/>
  <c r="BM138" i="21" s="1"/>
  <c r="BM139" i="21" s="1"/>
  <c r="BN125" i="21"/>
  <c r="BI100" i="25"/>
  <c r="BI30" i="25"/>
  <c r="BI73" i="25"/>
  <c r="BL272" i="3"/>
  <c r="BK9" i="17"/>
  <c r="BG99" i="25"/>
  <c r="BG29" i="25"/>
  <c r="BN289" i="3"/>
  <c r="BM336" i="3"/>
  <c r="BH90" i="17"/>
  <c r="BH64" i="3"/>
  <c r="BK288" i="3"/>
  <c r="BJ335" i="3"/>
  <c r="BK31" i="3"/>
  <c r="BJ112" i="27"/>
  <c r="BJ100" i="27"/>
  <c r="BK83" i="27"/>
  <c r="BJ98" i="27"/>
  <c r="BJ120" i="27"/>
  <c r="BJ121" i="27" s="1"/>
  <c r="BJ84" i="27"/>
  <c r="BG54" i="23"/>
  <c r="BG23" i="23"/>
  <c r="BG49" i="23"/>
  <c r="BJ170" i="25"/>
  <c r="BI188" i="25"/>
  <c r="BI189" i="25" s="1"/>
  <c r="BM84" i="25"/>
  <c r="BL98" i="25"/>
  <c r="BL31" i="25"/>
  <c r="BG137" i="25"/>
  <c r="BG138" i="25" s="1"/>
  <c r="BG133" i="25"/>
  <c r="CI53" i="21"/>
  <c r="CH79" i="21"/>
  <c r="CH92" i="21" s="1"/>
  <c r="BN214" i="25"/>
  <c r="BM216" i="25"/>
  <c r="BN256" i="3"/>
  <c r="AR36" i="27"/>
  <c r="AR64" i="27"/>
  <c r="AR32" i="27"/>
  <c r="AT27" i="27"/>
  <c r="AT23" i="27"/>
  <c r="AT54" i="27"/>
  <c r="AT57" i="27" s="1"/>
  <c r="AT63" i="27"/>
  <c r="AT70" i="27" s="1"/>
  <c r="AT67" i="27"/>
  <c r="AU60" i="27"/>
  <c r="BK208" i="25"/>
  <c r="BH175" i="25"/>
  <c r="BG181" i="25"/>
  <c r="BN183" i="25"/>
  <c r="BO174" i="25"/>
  <c r="BI134" i="25"/>
  <c r="BJ125" i="25"/>
  <c r="BE50" i="23"/>
  <c r="BE45" i="3"/>
  <c r="BE72" i="3" s="1"/>
  <c r="BE26" i="23"/>
  <c r="AN115" i="25"/>
  <c r="AN143" i="25" s="1"/>
  <c r="BI78" i="3"/>
  <c r="BI92" i="17"/>
  <c r="BL321" i="3"/>
  <c r="BM259" i="3"/>
  <c r="BG25" i="3"/>
  <c r="BG39" i="23"/>
  <c r="BH38" i="23"/>
  <c r="BH19" i="23"/>
  <c r="BH48" i="23"/>
  <c r="BI37" i="23"/>
  <c r="AL173" i="3"/>
  <c r="AL340" i="3" s="1"/>
  <c r="AM167" i="3"/>
  <c r="AL106" i="15"/>
  <c r="AL171" i="3"/>
  <c r="AY115" i="21"/>
  <c r="AZ110" i="21" s="1"/>
  <c r="AZ111" i="21" s="1"/>
  <c r="AY147" i="21"/>
  <c r="AY150" i="21" s="1"/>
  <c r="AY151" i="21" s="1"/>
  <c r="BK65" i="3"/>
  <c r="BK91" i="17"/>
  <c r="BM67" i="23"/>
  <c r="BL72" i="23"/>
  <c r="BL271" i="3"/>
  <c r="BK276" i="3"/>
  <c r="BK319" i="3"/>
  <c r="BM221" i="25"/>
  <c r="BL222" i="25"/>
  <c r="BH209" i="25"/>
  <c r="BG210" i="25"/>
  <c r="BQ172" i="25"/>
  <c r="BP178" i="25"/>
  <c r="BN160" i="21"/>
  <c r="BM162" i="21"/>
  <c r="AS46" i="3"/>
  <c r="AS73" i="3" s="1"/>
  <c r="AS34" i="27"/>
  <c r="AS25" i="27"/>
  <c r="BM155" i="21"/>
  <c r="BM156" i="21" s="1"/>
  <c r="BM131" i="21"/>
  <c r="BN119" i="21"/>
  <c r="BM134" i="21"/>
  <c r="BF55" i="23"/>
  <c r="BF20" i="23"/>
  <c r="BF186" i="25"/>
  <c r="BF187" i="25" s="1"/>
  <c r="BF182" i="25"/>
  <c r="BK140" i="21"/>
  <c r="BK141" i="21" s="1"/>
  <c r="BK123" i="21"/>
  <c r="BL129" i="21"/>
  <c r="BH139" i="25"/>
  <c r="BH140" i="25" s="1"/>
  <c r="BH132" i="25"/>
  <c r="BH135" i="25"/>
  <c r="BZ69" i="25"/>
  <c r="BY82" i="25"/>
  <c r="BY96" i="25" s="1"/>
  <c r="AT108" i="25"/>
  <c r="AT7" i="3"/>
  <c r="AT57" i="23"/>
  <c r="AT72" i="27"/>
  <c r="AU6" i="3"/>
  <c r="CF45" i="21"/>
  <c r="CE71" i="21"/>
  <c r="CD84" i="21"/>
  <c r="CD97" i="21"/>
  <c r="CD23" i="21"/>
  <c r="BM38" i="3"/>
  <c r="CD102" i="21"/>
  <c r="CD89" i="21"/>
  <c r="CD27" i="21"/>
  <c r="CG82" i="27"/>
  <c r="CF63" i="21"/>
  <c r="CE76" i="21"/>
  <c r="CH50" i="21"/>
  <c r="BJ87" i="27"/>
  <c r="BK94" i="27"/>
  <c r="BJ95" i="27"/>
  <c r="BJ102" i="27"/>
  <c r="BJ103" i="27" s="1"/>
  <c r="BJ93" i="27"/>
  <c r="BI104" i="27"/>
  <c r="BI105" i="27" s="1"/>
  <c r="BQ167" i="21"/>
  <c r="BP168" i="21"/>
  <c r="CB55" i="25"/>
  <c r="CJ90" i="25"/>
  <c r="CK63" i="25"/>
  <c r="BQ35" i="3"/>
  <c r="BJ29" i="27"/>
  <c r="BJ24" i="27"/>
  <c r="BJ68" i="27"/>
  <c r="BZ103" i="21"/>
  <c r="BZ90" i="21"/>
  <c r="CJ83" i="25"/>
  <c r="CJ97" i="25" s="1"/>
  <c r="CK56" i="25"/>
  <c r="BJ93" i="17"/>
  <c r="BJ79" i="3"/>
  <c r="BJ50" i="3"/>
  <c r="BJ77" i="3" s="1"/>
  <c r="BJ91" i="21"/>
  <c r="BJ104" i="21"/>
  <c r="BK81" i="23"/>
  <c r="BK84" i="23"/>
  <c r="BK88" i="23"/>
  <c r="BK89" i="23" s="1"/>
  <c r="CK57" i="25"/>
  <c r="BJ27" i="3"/>
  <c r="BJ21" i="27"/>
  <c r="BJ51" i="27" s="1"/>
  <c r="BS74" i="23"/>
  <c r="BQ220" i="25"/>
  <c r="AR78" i="17"/>
  <c r="AR80" i="17" s="1"/>
  <c r="AR80" i="15"/>
  <c r="AR85" i="15" s="1"/>
  <c r="AR81" i="15"/>
  <c r="AR86" i="15" s="1"/>
  <c r="AR79" i="15"/>
  <c r="AR84" i="15" s="1"/>
  <c r="BI35" i="27"/>
  <c r="BI47" i="3"/>
  <c r="BI74" i="3" s="1"/>
  <c r="AN146" i="25"/>
  <c r="AS57" i="15"/>
  <c r="AS76" i="15"/>
  <c r="AS78" i="15" s="1"/>
  <c r="AM28" i="3"/>
  <c r="AM21" i="25"/>
  <c r="AM65" i="25" s="1"/>
  <c r="BM73" i="23"/>
  <c r="BL83" i="23"/>
  <c r="BX166" i="21"/>
  <c r="BH17" i="17"/>
  <c r="BG159" i="3"/>
  <c r="BK50" i="27"/>
  <c r="BL48" i="27"/>
  <c r="BK20" i="27"/>
  <c r="BK61" i="27"/>
  <c r="AQ87" i="15"/>
  <c r="BW167" i="25"/>
  <c r="BK93" i="3"/>
  <c r="AA26" i="17"/>
  <c r="AA27" i="17" s="1"/>
  <c r="AA218" i="3"/>
  <c r="AA155" i="3"/>
  <c r="AA113" i="3"/>
  <c r="AS54" i="17"/>
  <c r="AS67" i="17"/>
  <c r="AS68" i="17"/>
  <c r="AS66" i="17"/>
  <c r="AS76" i="17"/>
  <c r="AS72" i="17"/>
  <c r="AS53" i="17"/>
  <c r="AS71" i="17"/>
  <c r="AS59" i="17"/>
  <c r="AS65" i="17"/>
  <c r="AS58" i="17"/>
  <c r="AS60" i="17"/>
  <c r="AS64" i="17"/>
  <c r="AS56" i="17"/>
  <c r="AS70" i="17"/>
  <c r="AS52" i="17"/>
  <c r="AS75" i="17"/>
  <c r="AS63" i="17"/>
  <c r="AS57" i="17"/>
  <c r="AS69" i="17"/>
  <c r="AS62" i="17"/>
  <c r="AS77" i="17"/>
  <c r="AS74" i="17"/>
  <c r="AS55" i="17"/>
  <c r="AS73" i="17"/>
  <c r="AS61" i="17"/>
  <c r="AM102" i="25"/>
  <c r="AM75" i="25"/>
  <c r="AM78" i="25" s="1"/>
  <c r="AM23" i="25"/>
  <c r="AM27" i="25"/>
  <c r="AM91" i="25"/>
  <c r="AM105" i="25" s="1"/>
  <c r="BS89" i="25"/>
  <c r="BS103" i="25" s="1"/>
  <c r="BT62" i="25"/>
  <c r="BJ82" i="23"/>
  <c r="BJ86" i="23"/>
  <c r="BJ87" i="23" s="1"/>
  <c r="BR78" i="23"/>
  <c r="CA77" i="21"/>
  <c r="CB51" i="21"/>
  <c r="BJ130" i="25"/>
  <c r="BJ154" i="25"/>
  <c r="BJ155" i="25" s="1"/>
  <c r="BK119" i="25"/>
  <c r="BK147" i="25" s="1"/>
  <c r="BK52" i="3"/>
  <c r="BL32" i="3"/>
  <c r="BK78" i="21"/>
  <c r="BL52" i="21"/>
  <c r="AT54" i="15"/>
  <c r="AT56" i="15" s="1"/>
  <c r="AT6" i="17"/>
  <c r="AT3" i="15"/>
  <c r="AT4" i="15" s="1"/>
  <c r="AT22" i="17"/>
  <c r="AT17" i="25"/>
  <c r="AT5" i="25"/>
  <c r="AT3" i="25"/>
  <c r="AT108" i="21"/>
  <c r="AT5" i="23"/>
  <c r="AT313" i="3"/>
  <c r="AT164" i="3"/>
  <c r="AT145" i="3"/>
  <c r="AU3" i="3"/>
  <c r="AT69" i="15"/>
  <c r="AT218" i="25"/>
  <c r="AT158" i="21"/>
  <c r="AT17" i="27"/>
  <c r="AT5" i="27"/>
  <c r="AT19" i="21"/>
  <c r="AT300" i="3"/>
  <c r="AT208" i="3"/>
  <c r="AT85" i="3"/>
  <c r="AT68" i="3"/>
  <c r="AT21" i="15"/>
  <c r="AT83" i="17"/>
  <c r="AT49" i="17"/>
  <c r="AT206" i="25"/>
  <c r="AT17" i="23"/>
  <c r="AT3" i="27"/>
  <c r="AT6" i="15"/>
  <c r="AT3" i="17"/>
  <c r="AT4" i="17" s="1"/>
  <c r="AT253" i="3"/>
  <c r="AT200" i="3"/>
  <c r="AT41" i="3"/>
  <c r="AT21" i="3"/>
  <c r="AT95" i="15"/>
  <c r="AT29" i="17"/>
  <c r="AT212" i="25"/>
  <c r="AT37" i="17"/>
  <c r="AT157" i="25"/>
  <c r="AT3" i="21"/>
  <c r="AT5" i="21"/>
  <c r="AT164" i="21"/>
  <c r="AT329" i="3"/>
  <c r="AT182" i="3"/>
  <c r="AT153" i="3"/>
  <c r="AT9" i="3"/>
  <c r="AT114" i="27" l="1"/>
  <c r="AT115" i="27" s="1"/>
  <c r="AT116" i="27" s="1"/>
  <c r="AO110" i="25"/>
  <c r="AO113" i="25" s="1"/>
  <c r="AW185" i="3"/>
  <c r="AW192" i="3" s="1"/>
  <c r="AW247" i="3" s="1"/>
  <c r="AW248" i="3" s="1"/>
  <c r="AU77" i="27"/>
  <c r="AU110" i="27"/>
  <c r="AU109" i="27"/>
  <c r="AU108" i="27"/>
  <c r="AU76" i="27"/>
  <c r="AU79" i="27" s="1"/>
  <c r="AV74" i="27" s="1"/>
  <c r="AU103" i="3"/>
  <c r="AT320" i="3"/>
  <c r="AT305" i="3"/>
  <c r="AT303" i="3" s="1"/>
  <c r="AU198" i="3"/>
  <c r="AU223" i="3"/>
  <c r="AV247" i="3"/>
  <c r="AV248" i="3" s="1"/>
  <c r="AV194" i="3"/>
  <c r="AW193" i="3"/>
  <c r="BK30" i="3"/>
  <c r="BK88" i="3" s="1"/>
  <c r="BK51" i="3"/>
  <c r="AT309" i="3"/>
  <c r="AT322" i="3"/>
  <c r="BD74" i="21"/>
  <c r="BE48" i="21"/>
  <c r="BC87" i="21"/>
  <c r="BC100" i="21"/>
  <c r="AW164" i="25"/>
  <c r="AX159" i="25" s="1"/>
  <c r="AX192" i="25" s="1"/>
  <c r="AN149" i="25"/>
  <c r="AN150" i="25" s="1"/>
  <c r="AN61" i="25" s="1"/>
  <c r="AN88" i="25" s="1"/>
  <c r="BM136" i="21"/>
  <c r="AV198" i="25"/>
  <c r="AV199" i="25" s="1"/>
  <c r="AV54" i="25" s="1"/>
  <c r="AX193" i="25"/>
  <c r="AU35" i="25"/>
  <c r="AU49" i="3"/>
  <c r="AU76" i="3" s="1"/>
  <c r="BN73" i="21"/>
  <c r="BO60" i="21"/>
  <c r="BM168" i="25"/>
  <c r="BL179" i="25"/>
  <c r="BL203" i="25"/>
  <c r="BL204" i="25" s="1"/>
  <c r="BL184" i="25"/>
  <c r="BM26" i="21"/>
  <c r="BM99" i="21"/>
  <c r="BM86" i="21"/>
  <c r="AW195" i="25"/>
  <c r="AW197" i="25" s="1"/>
  <c r="BO20" i="17"/>
  <c r="BP17" i="21"/>
  <c r="CH21" i="27"/>
  <c r="CH51" i="27" s="1"/>
  <c r="CH26" i="3"/>
  <c r="CI19" i="27"/>
  <c r="CJ49" i="27"/>
  <c r="CI62" i="27"/>
  <c r="CH56" i="27"/>
  <c r="CH30" i="27"/>
  <c r="BK335" i="3"/>
  <c r="BL288" i="3"/>
  <c r="BN336" i="3"/>
  <c r="BO289" i="3"/>
  <c r="BM272" i="3"/>
  <c r="BL9" i="17"/>
  <c r="BI90" i="17"/>
  <c r="BI64" i="3"/>
  <c r="BN135" i="21"/>
  <c r="BN133" i="21" s="1"/>
  <c r="BN138" i="21" s="1"/>
  <c r="BN139" i="21" s="1"/>
  <c r="BO125" i="21"/>
  <c r="BJ58" i="25"/>
  <c r="BI85" i="25"/>
  <c r="BK86" i="25"/>
  <c r="BL59" i="25"/>
  <c r="BH29" i="25"/>
  <c r="BH99" i="25"/>
  <c r="BN68" i="23"/>
  <c r="BM102" i="23"/>
  <c r="BM103" i="23" s="1"/>
  <c r="BM79" i="23"/>
  <c r="BP99" i="27"/>
  <c r="BP97" i="27" s="1"/>
  <c r="BQ89" i="27"/>
  <c r="BK81" i="3"/>
  <c r="BL37" i="3"/>
  <c r="BK34" i="3"/>
  <c r="BK89" i="3" s="1"/>
  <c r="BJ100" i="25"/>
  <c r="BJ73" i="25"/>
  <c r="BJ30" i="25"/>
  <c r="BO119" i="21"/>
  <c r="BN155" i="21"/>
  <c r="BN156" i="21" s="1"/>
  <c r="BN131" i="21"/>
  <c r="BM271" i="3"/>
  <c r="BL276" i="3"/>
  <c r="BL319" i="3"/>
  <c r="BN67" i="23"/>
  <c r="BM72" i="23"/>
  <c r="AZ146" i="21"/>
  <c r="AZ144" i="21"/>
  <c r="AZ112" i="21"/>
  <c r="AZ145" i="21"/>
  <c r="BH49" i="23"/>
  <c r="BH54" i="23"/>
  <c r="BH23" i="23"/>
  <c r="BI139" i="25"/>
  <c r="BI140" i="25" s="1"/>
  <c r="BI132" i="25"/>
  <c r="BI135" i="25"/>
  <c r="BI175" i="25"/>
  <c r="BH181" i="25"/>
  <c r="BO256" i="3"/>
  <c r="BN216" i="25"/>
  <c r="BO214" i="25"/>
  <c r="CI79" i="21"/>
  <c r="CI92" i="21" s="1"/>
  <c r="CJ53" i="21"/>
  <c r="BG55" i="23"/>
  <c r="BG20" i="23"/>
  <c r="BJ92" i="17"/>
  <c r="BJ78" i="3"/>
  <c r="BH137" i="25"/>
  <c r="BH138" i="25" s="1"/>
  <c r="BH133" i="25"/>
  <c r="BL140" i="21"/>
  <c r="BL141" i="21" s="1"/>
  <c r="BL123" i="21"/>
  <c r="BM129" i="21"/>
  <c r="BF50" i="23"/>
  <c r="BF26" i="23"/>
  <c r="BF45" i="3"/>
  <c r="BF72" i="3" s="1"/>
  <c r="AS36" i="27"/>
  <c r="AS32" i="27"/>
  <c r="AS64" i="27"/>
  <c r="BO160" i="21"/>
  <c r="BN162" i="21"/>
  <c r="BR172" i="25"/>
  <c r="BQ178" i="25"/>
  <c r="BI209" i="25"/>
  <c r="BH210" i="25"/>
  <c r="BN221" i="25"/>
  <c r="BM222" i="25"/>
  <c r="AZ113" i="21"/>
  <c r="AZ115" i="21" s="1"/>
  <c r="BA110" i="21" s="1"/>
  <c r="AL104" i="15"/>
  <c r="AL172" i="3"/>
  <c r="AL105" i="15" s="1"/>
  <c r="AM177" i="3"/>
  <c r="BI38" i="23"/>
  <c r="BI19" i="23"/>
  <c r="BI48" i="23"/>
  <c r="BJ37" i="23"/>
  <c r="BH39" i="23"/>
  <c r="BH25" i="3"/>
  <c r="BN259" i="3"/>
  <c r="BM321" i="3"/>
  <c r="BJ134" i="25"/>
  <c r="BK125" i="25"/>
  <c r="BO183" i="25"/>
  <c r="BP174" i="25"/>
  <c r="BG186" i="25"/>
  <c r="BG187" i="25" s="1"/>
  <c r="BG182" i="25"/>
  <c r="BL208" i="25"/>
  <c r="AU27" i="27"/>
  <c r="AU54" i="27"/>
  <c r="AU57" i="27" s="1"/>
  <c r="AU23" i="27"/>
  <c r="AV60" i="27"/>
  <c r="AU67" i="27"/>
  <c r="AU63" i="27"/>
  <c r="AU70" i="27" s="1"/>
  <c r="AT34" i="27"/>
  <c r="AT46" i="3"/>
  <c r="AT73" i="3" s="1"/>
  <c r="AT25" i="27"/>
  <c r="BL91" i="17"/>
  <c r="BL65" i="3"/>
  <c r="BN84" i="25"/>
  <c r="BM98" i="25"/>
  <c r="BM31" i="25"/>
  <c r="BK170" i="25"/>
  <c r="BJ188" i="25"/>
  <c r="BJ189" i="25" s="1"/>
  <c r="BN149" i="21"/>
  <c r="BK100" i="27"/>
  <c r="BL83" i="27"/>
  <c r="BK98" i="27"/>
  <c r="BK120" i="27"/>
  <c r="BK121" i="27" s="1"/>
  <c r="BK84" i="27"/>
  <c r="BK112" i="27"/>
  <c r="BL112" i="27" s="1"/>
  <c r="BL31" i="3"/>
  <c r="BL51" i="3" s="1"/>
  <c r="AU72" i="27"/>
  <c r="AU108" i="25"/>
  <c r="AU57" i="23"/>
  <c r="AU7" i="3"/>
  <c r="AV6" i="3"/>
  <c r="CE23" i="21"/>
  <c r="CE84" i="21"/>
  <c r="CE97" i="21"/>
  <c r="CF71" i="21"/>
  <c r="CG45" i="21"/>
  <c r="CA69" i="25"/>
  <c r="BZ82" i="25"/>
  <c r="BZ96" i="25" s="1"/>
  <c r="BN38" i="3"/>
  <c r="BK87" i="27"/>
  <c r="BL94" i="27"/>
  <c r="BK95" i="27"/>
  <c r="BK102" i="27"/>
  <c r="BK103" i="27" s="1"/>
  <c r="BR167" i="21"/>
  <c r="BQ168" i="21"/>
  <c r="BK93" i="27"/>
  <c r="BJ104" i="27"/>
  <c r="BJ105" i="27" s="1"/>
  <c r="CI50" i="21"/>
  <c r="CH82" i="27"/>
  <c r="CE89" i="21"/>
  <c r="CE27" i="21"/>
  <c r="CE102" i="21"/>
  <c r="CG63" i="21"/>
  <c r="CF76" i="21"/>
  <c r="CB77" i="21"/>
  <c r="CC51" i="21"/>
  <c r="AM34" i="25"/>
  <c r="AM48" i="3"/>
  <c r="AM25" i="25"/>
  <c r="AA39" i="17"/>
  <c r="AS79" i="15"/>
  <c r="AS84" i="15" s="1"/>
  <c r="AS81" i="15"/>
  <c r="AS86" i="15" s="1"/>
  <c r="AS80" i="15"/>
  <c r="AS85" i="15" s="1"/>
  <c r="CL57" i="25"/>
  <c r="BK86" i="23"/>
  <c r="BK87" i="23" s="1"/>
  <c r="BK82" i="23"/>
  <c r="AT74" i="17"/>
  <c r="AT62" i="17"/>
  <c r="AT65" i="17"/>
  <c r="AT70" i="17"/>
  <c r="AT58" i="17"/>
  <c r="AT61" i="17"/>
  <c r="AT53" i="17"/>
  <c r="AT75" i="17"/>
  <c r="AT54" i="17"/>
  <c r="AT68" i="17"/>
  <c r="AT71" i="17"/>
  <c r="AT76" i="17"/>
  <c r="AT64" i="17"/>
  <c r="AT57" i="17"/>
  <c r="AT67" i="17"/>
  <c r="AT72" i="17"/>
  <c r="AT60" i="17"/>
  <c r="AT63" i="17"/>
  <c r="AT77" i="17"/>
  <c r="AT56" i="17"/>
  <c r="AT59" i="17"/>
  <c r="AT73" i="17"/>
  <c r="AT52" i="17"/>
  <c r="AT66" i="17"/>
  <c r="AT69" i="17"/>
  <c r="AT55" i="17"/>
  <c r="BK154" i="25"/>
  <c r="BK155" i="25" s="1"/>
  <c r="BL119" i="25"/>
  <c r="BL147" i="25" s="1"/>
  <c r="BK130" i="25"/>
  <c r="CA103" i="21"/>
  <c r="CA90" i="21"/>
  <c r="BS78" i="23"/>
  <c r="BU62" i="25"/>
  <c r="BT89" i="25"/>
  <c r="BT103" i="25" s="1"/>
  <c r="AS78" i="17"/>
  <c r="AS80" i="17" s="1"/>
  <c r="AA34" i="17"/>
  <c r="AA41" i="17" s="1"/>
  <c r="AA116" i="3"/>
  <c r="AA114" i="3"/>
  <c r="BL93" i="3"/>
  <c r="BK68" i="27"/>
  <c r="BK29" i="27"/>
  <c r="BK24" i="27"/>
  <c r="BL84" i="23"/>
  <c r="BL81" i="23"/>
  <c r="BL88" i="23"/>
  <c r="BL89" i="23" s="1"/>
  <c r="BT74" i="23"/>
  <c r="CL56" i="25"/>
  <c r="CK83" i="25"/>
  <c r="CK97" i="25" s="1"/>
  <c r="BR35" i="3"/>
  <c r="CK90" i="25"/>
  <c r="CL63" i="25"/>
  <c r="AU69" i="15"/>
  <c r="AU3" i="17"/>
  <c r="AU4" i="17" s="1"/>
  <c r="AU49" i="17"/>
  <c r="AU17" i="27"/>
  <c r="AU17" i="23"/>
  <c r="AU218" i="25"/>
  <c r="AU108" i="21"/>
  <c r="AU253" i="3"/>
  <c r="AU164" i="3"/>
  <c r="AU68" i="3"/>
  <c r="AV3" i="3"/>
  <c r="AU83" i="17"/>
  <c r="AU21" i="15"/>
  <c r="AU37" i="17"/>
  <c r="AU3" i="27"/>
  <c r="AU206" i="25"/>
  <c r="AU5" i="23"/>
  <c r="AU157" i="25"/>
  <c r="AU19" i="21"/>
  <c r="AU329" i="3"/>
  <c r="AU208" i="3"/>
  <c r="AU85" i="3"/>
  <c r="AU21" i="3"/>
  <c r="AU212" i="25"/>
  <c r="AU95" i="15"/>
  <c r="AU29" i="17"/>
  <c r="AU22" i="17"/>
  <c r="AU5" i="21"/>
  <c r="AU3" i="25"/>
  <c r="AU3" i="21"/>
  <c r="AU17" i="25"/>
  <c r="AU313" i="3"/>
  <c r="AU200" i="3"/>
  <c r="AU153" i="3"/>
  <c r="AU9" i="3"/>
  <c r="AU6" i="15"/>
  <c r="AU54" i="15"/>
  <c r="AU56" i="15" s="1"/>
  <c r="AU6" i="17"/>
  <c r="AU5" i="25"/>
  <c r="AU3" i="15"/>
  <c r="AU4" i="15" s="1"/>
  <c r="AU5" i="27"/>
  <c r="AU164" i="21"/>
  <c r="AU158" i="21"/>
  <c r="AU300" i="3"/>
  <c r="AU182" i="3"/>
  <c r="AU145" i="3"/>
  <c r="AU41" i="3"/>
  <c r="AT57" i="15"/>
  <c r="AT76" i="15"/>
  <c r="AT78" i="15" s="1"/>
  <c r="BL78" i="21"/>
  <c r="BM52" i="21"/>
  <c r="BL52" i="3"/>
  <c r="BM32" i="3"/>
  <c r="AN19" i="25"/>
  <c r="AN64" i="25"/>
  <c r="BK27" i="3"/>
  <c r="BK21" i="27"/>
  <c r="BK51" i="27" s="1"/>
  <c r="BY166" i="21"/>
  <c r="BN73" i="23"/>
  <c r="BM83" i="23"/>
  <c r="BJ35" i="27"/>
  <c r="BJ47" i="3"/>
  <c r="BJ74" i="3" s="1"/>
  <c r="BK104" i="21"/>
  <c r="BK91" i="21"/>
  <c r="BK79" i="3"/>
  <c r="BK93" i="17"/>
  <c r="BK50" i="3"/>
  <c r="AO112" i="25"/>
  <c r="AO146" i="25" s="1"/>
  <c r="AM61" i="3"/>
  <c r="AM87" i="17"/>
  <c r="BX167" i="25"/>
  <c r="BL50" i="27"/>
  <c r="BM48" i="27"/>
  <c r="BL61" i="27"/>
  <c r="BL20" i="27"/>
  <c r="BH159" i="3"/>
  <c r="BI17" i="17"/>
  <c r="AR87" i="15"/>
  <c r="BR220" i="25"/>
  <c r="AO111" i="25"/>
  <c r="CC55" i="25"/>
  <c r="BN136" i="21" l="1"/>
  <c r="BK77" i="3"/>
  <c r="BL30" i="3"/>
  <c r="BL88" i="3" s="1"/>
  <c r="AV77" i="27"/>
  <c r="AV110" i="27"/>
  <c r="AV76" i="27"/>
  <c r="AV111" i="27" s="1"/>
  <c r="AV108" i="27"/>
  <c r="AV109" i="27"/>
  <c r="AV75" i="27"/>
  <c r="AX185" i="3" s="1"/>
  <c r="AX192" i="3" s="1"/>
  <c r="AX247" i="3" s="1"/>
  <c r="AX248" i="3" s="1"/>
  <c r="AU111" i="27"/>
  <c r="AU114" i="27" s="1"/>
  <c r="AX162" i="25"/>
  <c r="AX160" i="25"/>
  <c r="AX194" i="25"/>
  <c r="AX161" i="25"/>
  <c r="AW246" i="3"/>
  <c r="AW194" i="3"/>
  <c r="AX193" i="3"/>
  <c r="AX246" i="3" s="1"/>
  <c r="AV223" i="3"/>
  <c r="AV198" i="3"/>
  <c r="AT323" i="3"/>
  <c r="AU230" i="3"/>
  <c r="AU64" i="15"/>
  <c r="AU211" i="3"/>
  <c r="AU304" i="3"/>
  <c r="AU104" i="3"/>
  <c r="AU265" i="3"/>
  <c r="BN134" i="21"/>
  <c r="BD100" i="21"/>
  <c r="BD87" i="21"/>
  <c r="BE74" i="21"/>
  <c r="BF48" i="21"/>
  <c r="BP60" i="21"/>
  <c r="BO73" i="21"/>
  <c r="AW198" i="25"/>
  <c r="AW199" i="25" s="1"/>
  <c r="AW54" i="25" s="1"/>
  <c r="BM203" i="25"/>
  <c r="BM204" i="25" s="1"/>
  <c r="BM179" i="25"/>
  <c r="BN168" i="25"/>
  <c r="BM184" i="25"/>
  <c r="BN86" i="21"/>
  <c r="BN99" i="21"/>
  <c r="BN26" i="21"/>
  <c r="AV81" i="25"/>
  <c r="AV20" i="25"/>
  <c r="AV29" i="3" s="1"/>
  <c r="BM196" i="25"/>
  <c r="CI30" i="27"/>
  <c r="CI56" i="27"/>
  <c r="CI21" i="27"/>
  <c r="CI51" i="27" s="1"/>
  <c r="CI26" i="3"/>
  <c r="BQ17" i="21"/>
  <c r="BP20" i="17"/>
  <c r="CK49" i="27"/>
  <c r="CJ62" i="27"/>
  <c r="CJ19" i="27"/>
  <c r="BJ90" i="17"/>
  <c r="BJ64" i="3"/>
  <c r="BM37" i="3"/>
  <c r="BL34" i="3"/>
  <c r="BL89" i="3" s="1"/>
  <c r="BL81" i="3"/>
  <c r="BQ99" i="27"/>
  <c r="BQ97" i="27" s="1"/>
  <c r="BR89" i="27"/>
  <c r="BO68" i="23"/>
  <c r="BN102" i="23"/>
  <c r="BN103" i="23" s="1"/>
  <c r="BN79" i="23"/>
  <c r="BL86" i="25"/>
  <c r="BM59" i="25"/>
  <c r="BI99" i="25"/>
  <c r="BI29" i="25"/>
  <c r="BP125" i="21"/>
  <c r="BO135" i="21"/>
  <c r="BO133" i="21" s="1"/>
  <c r="BO138" i="21" s="1"/>
  <c r="BO139" i="21" s="1"/>
  <c r="BP289" i="3"/>
  <c r="BO336" i="3"/>
  <c r="BL335" i="3"/>
  <c r="BM288" i="3"/>
  <c r="AO115" i="25"/>
  <c r="AP110" i="25" s="1"/>
  <c r="AP111" i="25" s="1"/>
  <c r="BK73" i="25"/>
  <c r="BK100" i="25"/>
  <c r="BK30" i="25"/>
  <c r="BJ85" i="25"/>
  <c r="BK58" i="25"/>
  <c r="BN272" i="3"/>
  <c r="BM9" i="17"/>
  <c r="BA146" i="21"/>
  <c r="BA145" i="21"/>
  <c r="BA112" i="21"/>
  <c r="BA144" i="21"/>
  <c r="BA111" i="21"/>
  <c r="BM31" i="3"/>
  <c r="BM65" i="3"/>
  <c r="BM91" i="17"/>
  <c r="BO84" i="25"/>
  <c r="BN98" i="25"/>
  <c r="BN31" i="25"/>
  <c r="AV63" i="27"/>
  <c r="AV70" i="27" s="1"/>
  <c r="AV27" i="27"/>
  <c r="AV23" i="27"/>
  <c r="AW60" i="27"/>
  <c r="AV54" i="27"/>
  <c r="AV57" i="27" s="1"/>
  <c r="AV67" i="27"/>
  <c r="BM208" i="25"/>
  <c r="BP183" i="25"/>
  <c r="BQ174" i="25"/>
  <c r="BL125" i="25"/>
  <c r="BK134" i="25"/>
  <c r="BN321" i="3"/>
  <c r="BO259" i="3"/>
  <c r="BI54" i="23"/>
  <c r="BI23" i="23"/>
  <c r="BI49" i="23"/>
  <c r="AM180" i="3"/>
  <c r="AM179" i="3"/>
  <c r="AM168" i="3"/>
  <c r="AM170" i="3" s="1"/>
  <c r="AL114" i="15"/>
  <c r="AL113" i="15"/>
  <c r="BM140" i="21"/>
  <c r="BM141" i="21" s="1"/>
  <c r="BM123" i="21"/>
  <c r="BN129" i="21"/>
  <c r="BI181" i="25"/>
  <c r="BJ175" i="25"/>
  <c r="BI137" i="25"/>
  <c r="BI138" i="25" s="1"/>
  <c r="BI133" i="25"/>
  <c r="BO67" i="23"/>
  <c r="BN72" i="23"/>
  <c r="AX194" i="3"/>
  <c r="BK92" i="17"/>
  <c r="BK78" i="3"/>
  <c r="BL100" i="27"/>
  <c r="BL120" i="27"/>
  <c r="BL121" i="27" s="1"/>
  <c r="BL84" i="27"/>
  <c r="BM83" i="27"/>
  <c r="BL98" i="27"/>
  <c r="BL170" i="25"/>
  <c r="BK188" i="25"/>
  <c r="BK189" i="25" s="1"/>
  <c r="AT32" i="27"/>
  <c r="AT36" i="27"/>
  <c r="AT64" i="27"/>
  <c r="AU25" i="27"/>
  <c r="AU46" i="3"/>
  <c r="AU73" i="3" s="1"/>
  <c r="AU34" i="27"/>
  <c r="BJ139" i="25"/>
  <c r="BJ140" i="25" s="1"/>
  <c r="BJ132" i="25"/>
  <c r="BJ135" i="25"/>
  <c r="BK37" i="23"/>
  <c r="BJ48" i="23"/>
  <c r="BJ19" i="23"/>
  <c r="BJ38" i="23"/>
  <c r="BI25" i="3"/>
  <c r="BI39" i="23"/>
  <c r="AZ147" i="21"/>
  <c r="BA113" i="21"/>
  <c r="BO221" i="25"/>
  <c r="BN222" i="25"/>
  <c r="BJ209" i="25"/>
  <c r="BI210" i="25"/>
  <c r="BS172" i="25"/>
  <c r="BR178" i="25"/>
  <c r="BP160" i="21"/>
  <c r="BO162" i="21"/>
  <c r="BG50" i="23"/>
  <c r="BG26" i="23"/>
  <c r="BG45" i="3"/>
  <c r="BG72" i="3" s="1"/>
  <c r="CK53" i="21"/>
  <c r="CJ79" i="21"/>
  <c r="CJ92" i="21" s="1"/>
  <c r="BP214" i="25"/>
  <c r="BO216" i="25"/>
  <c r="BP256" i="3"/>
  <c r="BH182" i="25"/>
  <c r="BH186" i="25"/>
  <c r="BH187" i="25" s="1"/>
  <c r="BH55" i="23"/>
  <c r="BH20" i="23"/>
  <c r="AZ150" i="21"/>
  <c r="AZ151" i="21" s="1"/>
  <c r="BN271" i="3"/>
  <c r="BM276" i="3"/>
  <c r="BM319" i="3"/>
  <c r="BO149" i="21"/>
  <c r="BP119" i="21"/>
  <c r="BO155" i="21"/>
  <c r="BO156" i="21" s="1"/>
  <c r="BO131" i="21"/>
  <c r="BO134" i="21"/>
  <c r="CB69" i="25"/>
  <c r="CA82" i="25"/>
  <c r="CA96" i="25" s="1"/>
  <c r="CH45" i="21"/>
  <c r="CG71" i="21"/>
  <c r="CF97" i="21"/>
  <c r="CF23" i="21"/>
  <c r="CF84" i="21"/>
  <c r="AV108" i="25"/>
  <c r="AV57" i="23"/>
  <c r="AV7" i="3"/>
  <c r="AV72" i="27"/>
  <c r="AW6" i="3"/>
  <c r="BO38" i="3"/>
  <c r="CI82" i="27"/>
  <c r="CJ50" i="21"/>
  <c r="CH63" i="21"/>
  <c r="CG76" i="21"/>
  <c r="BS167" i="21"/>
  <c r="BR168" i="21"/>
  <c r="BL93" i="27"/>
  <c r="BK104" i="27"/>
  <c r="BK105" i="27" s="1"/>
  <c r="CF102" i="21"/>
  <c r="CF89" i="21"/>
  <c r="CF27" i="21"/>
  <c r="BL95" i="27"/>
  <c r="BL87" i="27"/>
  <c r="BM94" i="27"/>
  <c r="BL102" i="27"/>
  <c r="BL103" i="27" s="1"/>
  <c r="BL27" i="3"/>
  <c r="BL21" i="27"/>
  <c r="BL51" i="27" s="1"/>
  <c r="AO143" i="25"/>
  <c r="AO149" i="25" s="1"/>
  <c r="AO150" i="25" s="1"/>
  <c r="AO61" i="25" s="1"/>
  <c r="AN102" i="25"/>
  <c r="AN75" i="25"/>
  <c r="AN78" i="25" s="1"/>
  <c r="AN23" i="25"/>
  <c r="AN27" i="25"/>
  <c r="AN91" i="25"/>
  <c r="AN105" i="25" s="1"/>
  <c r="BN32" i="3"/>
  <c r="BM52" i="3"/>
  <c r="BL104" i="21"/>
  <c r="BL91" i="21"/>
  <c r="CL90" i="25"/>
  <c r="CM63" i="25"/>
  <c r="CM56" i="25"/>
  <c r="CL83" i="25"/>
  <c r="CL97" i="25" s="1"/>
  <c r="BL82" i="23"/>
  <c r="BL86" i="23"/>
  <c r="BL87" i="23" s="1"/>
  <c r="AT78" i="17"/>
  <c r="AT80" i="17" s="1"/>
  <c r="CM57" i="25"/>
  <c r="AA40" i="17"/>
  <c r="AM92" i="25"/>
  <c r="AM36" i="25"/>
  <c r="AM32" i="25"/>
  <c r="BL68" i="27"/>
  <c r="BL29" i="27"/>
  <c r="BL24" i="27"/>
  <c r="BM84" i="23"/>
  <c r="BM81" i="23"/>
  <c r="BM88" i="23"/>
  <c r="BM89" i="23" s="1"/>
  <c r="BL79" i="3"/>
  <c r="BL93" i="17"/>
  <c r="BL50" i="3"/>
  <c r="BL77" i="3" s="1"/>
  <c r="AT81" i="15"/>
  <c r="AT86" i="15" s="1"/>
  <c r="AT80" i="15"/>
  <c r="AT85" i="15" s="1"/>
  <c r="AT79" i="15"/>
  <c r="AT84" i="15" s="1"/>
  <c r="AU57" i="15"/>
  <c r="AU76" i="15"/>
  <c r="AU78" i="15" s="1"/>
  <c r="BU74" i="23"/>
  <c r="BM93" i="3"/>
  <c r="BT78" i="23"/>
  <c r="AM75" i="3"/>
  <c r="CC77" i="21"/>
  <c r="CD51" i="21"/>
  <c r="BS220" i="25"/>
  <c r="BJ17" i="17"/>
  <c r="BI159" i="3"/>
  <c r="BM20" i="27"/>
  <c r="BM61" i="27"/>
  <c r="BM50" i="27"/>
  <c r="BN48" i="27"/>
  <c r="BY167" i="25"/>
  <c r="BO73" i="23"/>
  <c r="BN83" i="23"/>
  <c r="AA118" i="3"/>
  <c r="AA121" i="3" s="1"/>
  <c r="BV62" i="25"/>
  <c r="BU89" i="25"/>
  <c r="BU103" i="25" s="1"/>
  <c r="CB103" i="21"/>
  <c r="CB90" i="21"/>
  <c r="CD55" i="25"/>
  <c r="BZ166" i="21"/>
  <c r="AN28" i="3"/>
  <c r="AN21" i="25"/>
  <c r="AN65" i="25" s="1"/>
  <c r="BN52" i="21"/>
  <c r="BM78" i="21"/>
  <c r="AV3" i="17"/>
  <c r="AV4" i="17" s="1"/>
  <c r="AV49" i="17"/>
  <c r="AV206" i="25"/>
  <c r="AV95" i="15"/>
  <c r="AV5" i="27"/>
  <c r="AV157" i="25"/>
  <c r="AV17" i="25"/>
  <c r="AV5" i="25"/>
  <c r="AV21" i="15"/>
  <c r="AV300" i="3"/>
  <c r="AV208" i="3"/>
  <c r="AV85" i="3"/>
  <c r="AV68" i="3"/>
  <c r="AV37" i="17"/>
  <c r="AV69" i="15"/>
  <c r="AV54" i="15"/>
  <c r="AV56" i="15" s="1"/>
  <c r="AV17" i="23"/>
  <c r="AV164" i="21"/>
  <c r="AV158" i="21"/>
  <c r="AV17" i="27"/>
  <c r="AV253" i="3"/>
  <c r="AV200" i="3"/>
  <c r="AV41" i="3"/>
  <c r="AV21" i="3"/>
  <c r="AV3" i="15"/>
  <c r="AV4" i="15" s="1"/>
  <c r="AV22" i="17"/>
  <c r="AV83" i="17"/>
  <c r="AV5" i="23"/>
  <c r="AV108" i="21"/>
  <c r="AV29" i="17"/>
  <c r="AV3" i="27"/>
  <c r="AV329" i="3"/>
  <c r="AV182" i="3"/>
  <c r="AV153" i="3"/>
  <c r="AV9" i="3"/>
  <c r="AV6" i="15"/>
  <c r="AV218" i="25"/>
  <c r="AV212" i="25"/>
  <c r="AV3" i="25"/>
  <c r="AV3" i="21"/>
  <c r="AV19" i="21"/>
  <c r="AV6" i="17"/>
  <c r="AV5" i="21"/>
  <c r="AV313" i="3"/>
  <c r="AV164" i="3"/>
  <c r="AV145" i="3"/>
  <c r="AW3" i="3"/>
  <c r="AU56" i="17"/>
  <c r="AU60" i="17"/>
  <c r="AU52" i="17"/>
  <c r="AU73" i="17"/>
  <c r="AU61" i="17"/>
  <c r="AU55" i="17"/>
  <c r="AU67" i="17"/>
  <c r="AU77" i="17"/>
  <c r="AU65" i="17"/>
  <c r="AU75" i="17"/>
  <c r="AU72" i="17"/>
  <c r="AU53" i="17"/>
  <c r="AU71" i="17"/>
  <c r="AU59" i="17"/>
  <c r="AU76" i="17"/>
  <c r="AU57" i="17"/>
  <c r="AU66" i="17"/>
  <c r="AU64" i="17"/>
  <c r="AU74" i="17"/>
  <c r="AU70" i="17"/>
  <c r="AU68" i="17"/>
  <c r="AU54" i="17"/>
  <c r="AU63" i="17"/>
  <c r="AU69" i="17"/>
  <c r="AU58" i="17"/>
  <c r="AU62" i="17"/>
  <c r="BS35" i="3"/>
  <c r="BK35" i="27"/>
  <c r="BK47" i="3"/>
  <c r="BK74" i="3" s="1"/>
  <c r="AA117" i="3"/>
  <c r="AA215" i="3" s="1"/>
  <c r="BM119" i="25"/>
  <c r="BL130" i="25"/>
  <c r="BL154" i="25"/>
  <c r="BL155" i="25" s="1"/>
  <c r="AS87" i="15"/>
  <c r="AX164" i="25" l="1"/>
  <c r="AY159" i="25" s="1"/>
  <c r="AY160" i="25" s="1"/>
  <c r="AV79" i="27"/>
  <c r="AW74" i="27" s="1"/>
  <c r="AU115" i="27"/>
  <c r="AU116" i="27" s="1"/>
  <c r="AV114" i="27"/>
  <c r="AV115" i="27" s="1"/>
  <c r="AV116" i="27" s="1"/>
  <c r="AY162" i="25"/>
  <c r="AX195" i="25"/>
  <c r="AX197" i="25" s="1"/>
  <c r="AU212" i="3"/>
  <c r="AU105" i="3"/>
  <c r="AU63" i="15"/>
  <c r="AU267" i="3"/>
  <c r="AW223" i="3"/>
  <c r="AW198" i="3"/>
  <c r="BN196" i="25"/>
  <c r="BM30" i="3"/>
  <c r="BM88" i="3" s="1"/>
  <c r="BM51" i="3"/>
  <c r="AV103" i="3"/>
  <c r="AU320" i="3"/>
  <c r="AU305" i="3"/>
  <c r="AU303" i="3" s="1"/>
  <c r="AV64" i="15"/>
  <c r="AV230" i="3"/>
  <c r="AY193" i="3"/>
  <c r="AY246" i="3" s="1"/>
  <c r="AY194" i="25"/>
  <c r="BE100" i="21"/>
  <c r="BE87" i="21"/>
  <c r="BF74" i="21"/>
  <c r="BG48" i="21"/>
  <c r="AY161" i="25"/>
  <c r="AY164" i="25" s="1"/>
  <c r="AZ159" i="25" s="1"/>
  <c r="AA122" i="3"/>
  <c r="AA290" i="3" s="1"/>
  <c r="AX198" i="25"/>
  <c r="AX199" i="25" s="1"/>
  <c r="AX54" i="25" s="1"/>
  <c r="BO99" i="21"/>
  <c r="BO26" i="21"/>
  <c r="BO86" i="21"/>
  <c r="AV95" i="25"/>
  <c r="AV68" i="25"/>
  <c r="AV24" i="25"/>
  <c r="BN179" i="25"/>
  <c r="BO168" i="25"/>
  <c r="BN203" i="25"/>
  <c r="BN204" i="25" s="1"/>
  <c r="BN184" i="25"/>
  <c r="AW81" i="25"/>
  <c r="AW20" i="25"/>
  <c r="AW29" i="3" s="1"/>
  <c r="BQ60" i="21"/>
  <c r="BP73" i="21"/>
  <c r="CJ56" i="27"/>
  <c r="CJ30" i="27"/>
  <c r="CJ26" i="3"/>
  <c r="CJ21" i="27"/>
  <c r="CJ51" i="27" s="1"/>
  <c r="CK19" i="27"/>
  <c r="CL49" i="27"/>
  <c r="CK62" i="27"/>
  <c r="BQ20" i="17"/>
  <c r="BR17" i="21"/>
  <c r="BL58" i="25"/>
  <c r="BK85" i="25"/>
  <c r="BK64" i="3"/>
  <c r="BK90" i="17"/>
  <c r="BM335" i="3"/>
  <c r="BN288" i="3"/>
  <c r="BN59" i="25"/>
  <c r="BM86" i="25"/>
  <c r="BP68" i="23"/>
  <c r="BO102" i="23"/>
  <c r="BO103" i="23" s="1"/>
  <c r="BO79" i="23"/>
  <c r="BO136" i="21"/>
  <c r="BP149" i="21"/>
  <c r="BN9" i="17"/>
  <c r="BO272" i="3"/>
  <c r="BJ99" i="25"/>
  <c r="BJ29" i="25"/>
  <c r="BQ289" i="3"/>
  <c r="BP336" i="3"/>
  <c r="BQ125" i="21"/>
  <c r="BP135" i="21"/>
  <c r="BP133" i="21" s="1"/>
  <c r="BP138" i="21" s="1"/>
  <c r="BP139" i="21" s="1"/>
  <c r="BL100" i="25"/>
  <c r="BL73" i="25"/>
  <c r="BL30" i="25"/>
  <c r="BR99" i="27"/>
  <c r="BR97" i="27" s="1"/>
  <c r="BS89" i="27"/>
  <c r="BN37" i="3"/>
  <c r="BM34" i="3"/>
  <c r="BM89" i="3" s="1"/>
  <c r="BM81" i="3"/>
  <c r="BP131" i="21"/>
  <c r="BQ119" i="21"/>
  <c r="BQ149" i="21" s="1"/>
  <c r="BP155" i="21"/>
  <c r="BP156" i="21" s="1"/>
  <c r="BO271" i="3"/>
  <c r="BN276" i="3"/>
  <c r="BN319" i="3"/>
  <c r="BH26" i="23"/>
  <c r="BH50" i="23"/>
  <c r="BH45" i="3"/>
  <c r="BH72" i="3" s="1"/>
  <c r="BQ256" i="3"/>
  <c r="BQ214" i="25"/>
  <c r="BP216" i="25"/>
  <c r="CK79" i="21"/>
  <c r="CK92" i="21" s="1"/>
  <c r="CL53" i="21"/>
  <c r="BJ49" i="23"/>
  <c r="BJ23" i="23"/>
  <c r="BJ54" i="23"/>
  <c r="BM170" i="25"/>
  <c r="BL188" i="25"/>
  <c r="BL189" i="25" s="1"/>
  <c r="BM112" i="27"/>
  <c r="BN83" i="27"/>
  <c r="BM100" i="27"/>
  <c r="BM120" i="27"/>
  <c r="BM121" i="27" s="1"/>
  <c r="BM84" i="27"/>
  <c r="BM98" i="27"/>
  <c r="BP67" i="23"/>
  <c r="BO72" i="23"/>
  <c r="BK175" i="25"/>
  <c r="BJ181" i="25"/>
  <c r="BN140" i="21"/>
  <c r="BN141" i="21" s="1"/>
  <c r="BN123" i="21"/>
  <c r="BO129" i="21"/>
  <c r="BI20" i="23"/>
  <c r="BI55" i="23"/>
  <c r="BM125" i="25"/>
  <c r="BL134" i="25"/>
  <c r="BN208" i="25"/>
  <c r="AV46" i="3"/>
  <c r="AV73" i="3" s="1"/>
  <c r="AV25" i="27"/>
  <c r="AV34" i="27"/>
  <c r="BL78" i="3"/>
  <c r="BL92" i="17"/>
  <c r="BP162" i="21"/>
  <c r="BQ160" i="21"/>
  <c r="BT172" i="25"/>
  <c r="BS178" i="25"/>
  <c r="BK209" i="25"/>
  <c r="BJ210" i="25"/>
  <c r="BP221" i="25"/>
  <c r="BO222" i="25"/>
  <c r="BJ39" i="23"/>
  <c r="BJ25" i="3"/>
  <c r="BL37" i="23"/>
  <c r="BK19" i="23"/>
  <c r="BK38" i="23"/>
  <c r="BK48" i="23"/>
  <c r="BJ137" i="25"/>
  <c r="BJ138" i="25" s="1"/>
  <c r="BJ133" i="25"/>
  <c r="AU36" i="27"/>
  <c r="AU32" i="27"/>
  <c r="AU64" i="27"/>
  <c r="AX198" i="3"/>
  <c r="AX223" i="3"/>
  <c r="BI186" i="25"/>
  <c r="BI187" i="25" s="1"/>
  <c r="BI182" i="25"/>
  <c r="AN167" i="3"/>
  <c r="AM106" i="15"/>
  <c r="AM173" i="3"/>
  <c r="AM340" i="3" s="1"/>
  <c r="AM171" i="3"/>
  <c r="BO321" i="3"/>
  <c r="BP259" i="3"/>
  <c r="BK132" i="25"/>
  <c r="BK139" i="25"/>
  <c r="BK140" i="25" s="1"/>
  <c r="BK135" i="25"/>
  <c r="BR174" i="25"/>
  <c r="BQ183" i="25"/>
  <c r="AW23" i="27"/>
  <c r="AW27" i="27"/>
  <c r="AW54" i="27"/>
  <c r="AW57" i="27" s="1"/>
  <c r="AX60" i="27"/>
  <c r="AW67" i="27"/>
  <c r="AW63" i="27"/>
  <c r="AW70" i="27" s="1"/>
  <c r="BN65" i="3"/>
  <c r="BN91" i="17"/>
  <c r="BP84" i="25"/>
  <c r="BO98" i="25"/>
  <c r="BO31" i="25"/>
  <c r="BN31" i="3"/>
  <c r="BN51" i="3" s="1"/>
  <c r="BA115" i="21"/>
  <c r="BB110" i="21" s="1"/>
  <c r="BB113" i="21" s="1"/>
  <c r="BA147" i="21"/>
  <c r="BA150" i="21" s="1"/>
  <c r="BA151" i="21" s="1"/>
  <c r="CH71" i="21"/>
  <c r="CI45" i="21"/>
  <c r="AW57" i="23"/>
  <c r="AW72" i="27"/>
  <c r="AX6" i="3"/>
  <c r="AW7" i="3"/>
  <c r="AW108" i="25"/>
  <c r="CG97" i="21"/>
  <c r="CG84" i="21"/>
  <c r="CG23" i="21"/>
  <c r="CC69" i="25"/>
  <c r="CB82" i="25"/>
  <c r="CB96" i="25" s="1"/>
  <c r="BP38" i="3"/>
  <c r="BT167" i="21"/>
  <c r="BS168" i="21"/>
  <c r="BN94" i="27"/>
  <c r="BM95" i="27"/>
  <c r="BM87" i="27"/>
  <c r="BM102" i="27"/>
  <c r="BM103" i="27" s="1"/>
  <c r="CG89" i="21"/>
  <c r="CG27" i="21"/>
  <c r="CG102" i="21"/>
  <c r="CK50" i="21"/>
  <c r="CI63" i="21"/>
  <c r="CH76" i="21"/>
  <c r="CJ82" i="27"/>
  <c r="BL104" i="27"/>
  <c r="BL105" i="27" s="1"/>
  <c r="BM93" i="27"/>
  <c r="AA127" i="3"/>
  <c r="CA166" i="21"/>
  <c r="CE55" i="25"/>
  <c r="BP73" i="23"/>
  <c r="BO83" i="23"/>
  <c r="BZ167" i="25"/>
  <c r="BM68" i="27"/>
  <c r="BM29" i="27"/>
  <c r="BM24" i="27"/>
  <c r="BK17" i="17"/>
  <c r="BJ159" i="3"/>
  <c r="CD77" i="21"/>
  <c r="CE51" i="21"/>
  <c r="BL35" i="27"/>
  <c r="BL47" i="3"/>
  <c r="BL74" i="3" s="1"/>
  <c r="CM90" i="25"/>
  <c r="CN63" i="25"/>
  <c r="AO88" i="25"/>
  <c r="AO19" i="25"/>
  <c r="AO64" i="25"/>
  <c r="BN119" i="25"/>
  <c r="BM130" i="25"/>
  <c r="BM154" i="25"/>
  <c r="BM155" i="25" s="1"/>
  <c r="AV57" i="15"/>
  <c r="AV76" i="15"/>
  <c r="AV78" i="15" s="1"/>
  <c r="BM104" i="21"/>
  <c r="BM91" i="21"/>
  <c r="BM27" i="3"/>
  <c r="BM21" i="27"/>
  <c r="BM51" i="27" s="1"/>
  <c r="CC103" i="21"/>
  <c r="CC90" i="21"/>
  <c r="BU78" i="23"/>
  <c r="BN93" i="3"/>
  <c r="AT87" i="15"/>
  <c r="BM82" i="23"/>
  <c r="BM86" i="23"/>
  <c r="BM87" i="23" s="1"/>
  <c r="BM79" i="3"/>
  <c r="BM93" i="17"/>
  <c r="BM50" i="3"/>
  <c r="BM77" i="3" s="1"/>
  <c r="AN61" i="3"/>
  <c r="AN87" i="17"/>
  <c r="AP112" i="25"/>
  <c r="AP113" i="25"/>
  <c r="BM147" i="25"/>
  <c r="AA216" i="3"/>
  <c r="AA221" i="3" s="1"/>
  <c r="AW37" i="17"/>
  <c r="AW95" i="15"/>
  <c r="AW29" i="17"/>
  <c r="AW19" i="21"/>
  <c r="AW17" i="25"/>
  <c r="AW5" i="21"/>
  <c r="AW17" i="23"/>
  <c r="AW329" i="3"/>
  <c r="AW208" i="3"/>
  <c r="AW85" i="3"/>
  <c r="AW21" i="3"/>
  <c r="AW3" i="15"/>
  <c r="AW4" i="15" s="1"/>
  <c r="AW22" i="17"/>
  <c r="AW54" i="15"/>
  <c r="AW56" i="15" s="1"/>
  <c r="AW6" i="17"/>
  <c r="AW69" i="15"/>
  <c r="AW83" i="17"/>
  <c r="AW158" i="21"/>
  <c r="AW212" i="25"/>
  <c r="AW5" i="23"/>
  <c r="AW313" i="3"/>
  <c r="AW200" i="3"/>
  <c r="AW153" i="3"/>
  <c r="AX3" i="3"/>
  <c r="AW218" i="25"/>
  <c r="AW6" i="15"/>
  <c r="AW164" i="21"/>
  <c r="AW3" i="27"/>
  <c r="AW5" i="25"/>
  <c r="AW3" i="25"/>
  <c r="AW3" i="21"/>
  <c r="AW300" i="3"/>
  <c r="AW182" i="3"/>
  <c r="AW145" i="3"/>
  <c r="AW41" i="3"/>
  <c r="AW49" i="17"/>
  <c r="AW206" i="25"/>
  <c r="AW21" i="15"/>
  <c r="AW3" i="17"/>
  <c r="AW4" i="17" s="1"/>
  <c r="AW108" i="21"/>
  <c r="AW157" i="25"/>
  <c r="AW17" i="27"/>
  <c r="AW5" i="27"/>
  <c r="AW253" i="3"/>
  <c r="AW164" i="3"/>
  <c r="AW68" i="3"/>
  <c r="AW9" i="3"/>
  <c r="BO52" i="21"/>
  <c r="BN78" i="21"/>
  <c r="BN20" i="27"/>
  <c r="BN61" i="27"/>
  <c r="BN50" i="27"/>
  <c r="BO48" i="27"/>
  <c r="BT220" i="25"/>
  <c r="BO32" i="3"/>
  <c r="BN52" i="3"/>
  <c r="BN30" i="3"/>
  <c r="BN88" i="3" s="1"/>
  <c r="AN48" i="3"/>
  <c r="AN34" i="25"/>
  <c r="AN25" i="25"/>
  <c r="BT35" i="3"/>
  <c r="AU78" i="17"/>
  <c r="AU80" i="17" s="1"/>
  <c r="AV65" i="17"/>
  <c r="AV70" i="17"/>
  <c r="AV77" i="17"/>
  <c r="AV56" i="17"/>
  <c r="AV59" i="17"/>
  <c r="AV57" i="17"/>
  <c r="AV68" i="17"/>
  <c r="AV71" i="17"/>
  <c r="AV69" i="17"/>
  <c r="AV74" i="17"/>
  <c r="AV62" i="17"/>
  <c r="AV66" i="17"/>
  <c r="AV72" i="17"/>
  <c r="AV60" i="17"/>
  <c r="AV63" i="17"/>
  <c r="AV61" i="17"/>
  <c r="AV75" i="17"/>
  <c r="AV54" i="17"/>
  <c r="AV53" i="17"/>
  <c r="AV73" i="17"/>
  <c r="AV52" i="17"/>
  <c r="AV76" i="17"/>
  <c r="AV64" i="17"/>
  <c r="AV67" i="17"/>
  <c r="AV55" i="17"/>
  <c r="AV58" i="17"/>
  <c r="BV89" i="25"/>
  <c r="BV103" i="25" s="1"/>
  <c r="BW62" i="25"/>
  <c r="BN81" i="23"/>
  <c r="BN84" i="23"/>
  <c r="BN88" i="23"/>
  <c r="BN89" i="23" s="1"/>
  <c r="BV74" i="23"/>
  <c r="AU81" i="15"/>
  <c r="AU86" i="15" s="1"/>
  <c r="AU80" i="15"/>
  <c r="AU85" i="15" s="1"/>
  <c r="AU79" i="15"/>
  <c r="AU84" i="15" s="1"/>
  <c r="CN57" i="25"/>
  <c r="CM83" i="25"/>
  <c r="CM97" i="25" s="1"/>
  <c r="CN56" i="25"/>
  <c r="AY192" i="25" l="1"/>
  <c r="AY193" i="25"/>
  <c r="AW76" i="27"/>
  <c r="AW110" i="27"/>
  <c r="AW77" i="27"/>
  <c r="AW108" i="27"/>
  <c r="AW109" i="27"/>
  <c r="AW75" i="27"/>
  <c r="BN147" i="25"/>
  <c r="AU309" i="3"/>
  <c r="AU322" i="3"/>
  <c r="AU323" i="3" s="1"/>
  <c r="AV211" i="3"/>
  <c r="AV104" i="3"/>
  <c r="AV304" i="3"/>
  <c r="AV265" i="3"/>
  <c r="AY195" i="25"/>
  <c r="AW64" i="15"/>
  <c r="AW230" i="3"/>
  <c r="BG74" i="21"/>
  <c r="BH48" i="21"/>
  <c r="BF87" i="21"/>
  <c r="BF100" i="21"/>
  <c r="AA128" i="3"/>
  <c r="BP26" i="21"/>
  <c r="BP86" i="21"/>
  <c r="BP99" i="21"/>
  <c r="BO203" i="25"/>
  <c r="BO204" i="25" s="1"/>
  <c r="BO179" i="25"/>
  <c r="BP168" i="25"/>
  <c r="BO184" i="25"/>
  <c r="AV49" i="3"/>
  <c r="AV76" i="3" s="1"/>
  <c r="AV35" i="25"/>
  <c r="AZ161" i="25"/>
  <c r="AZ194" i="25"/>
  <c r="AZ193" i="25"/>
  <c r="AZ192" i="25"/>
  <c r="AZ162" i="25"/>
  <c r="AX20" i="25"/>
  <c r="AX29" i="3" s="1"/>
  <c r="AX81" i="25"/>
  <c r="AZ160" i="25"/>
  <c r="BQ73" i="21"/>
  <c r="BR60" i="21"/>
  <c r="AW68" i="25"/>
  <c r="AW95" i="25"/>
  <c r="AW24" i="25"/>
  <c r="BO196" i="25"/>
  <c r="BP134" i="21"/>
  <c r="CM49" i="27"/>
  <c r="CL62" i="27"/>
  <c r="CL19" i="27"/>
  <c r="BN112" i="27"/>
  <c r="BP136" i="21"/>
  <c r="BS17" i="21"/>
  <c r="BR20" i="17"/>
  <c r="CK30" i="27"/>
  <c r="CK56" i="27"/>
  <c r="CK21" i="27"/>
  <c r="CK51" i="27" s="1"/>
  <c r="CK26" i="3"/>
  <c r="BT89" i="27"/>
  <c r="BS99" i="27"/>
  <c r="BS97" i="27" s="1"/>
  <c r="BL64" i="3"/>
  <c r="BL90" i="17"/>
  <c r="BR125" i="21"/>
  <c r="BQ135" i="21"/>
  <c r="BQ133" i="21" s="1"/>
  <c r="BQ138" i="21" s="1"/>
  <c r="BQ139" i="21" s="1"/>
  <c r="BQ336" i="3"/>
  <c r="BR289" i="3"/>
  <c r="BM100" i="25"/>
  <c r="BM30" i="25"/>
  <c r="BM73" i="25"/>
  <c r="BN335" i="3"/>
  <c r="BO288" i="3"/>
  <c r="BK29" i="25"/>
  <c r="BK99" i="25"/>
  <c r="AP115" i="25"/>
  <c r="AP143" i="25" s="1"/>
  <c r="BN81" i="3"/>
  <c r="BN34" i="3"/>
  <c r="BN89" i="3" s="1"/>
  <c r="BO37" i="3"/>
  <c r="BO9" i="17"/>
  <c r="BP272" i="3"/>
  <c r="BP102" i="23"/>
  <c r="BP103" i="23" s="1"/>
  <c r="BQ68" i="23"/>
  <c r="BP79" i="23"/>
  <c r="BO59" i="25"/>
  <c r="BN86" i="25"/>
  <c r="BL85" i="25"/>
  <c r="BM58" i="25"/>
  <c r="AA126" i="3"/>
  <c r="AA131" i="3" s="1"/>
  <c r="BO31" i="3"/>
  <c r="BO51" i="3" s="1"/>
  <c r="BO91" i="17"/>
  <c r="BO65" i="3"/>
  <c r="BQ84" i="25"/>
  <c r="BP98" i="25"/>
  <c r="BP31" i="25"/>
  <c r="AW34" i="27"/>
  <c r="AW25" i="27"/>
  <c r="AW46" i="3"/>
  <c r="AW73" i="3" s="1"/>
  <c r="BS174" i="25"/>
  <c r="BR183" i="25"/>
  <c r="BQ259" i="3"/>
  <c r="BP321" i="3"/>
  <c r="AM104" i="15"/>
  <c r="AM172" i="3"/>
  <c r="AM105" i="15" s="1"/>
  <c r="AX230" i="3"/>
  <c r="AX64" i="15"/>
  <c r="BK23" i="23"/>
  <c r="BK54" i="23"/>
  <c r="BK49" i="23"/>
  <c r="BK39" i="23"/>
  <c r="BK25" i="3"/>
  <c r="BQ162" i="21"/>
  <c r="BR160" i="21"/>
  <c r="BO208" i="25"/>
  <c r="BN125" i="25"/>
  <c r="BM134" i="25"/>
  <c r="BI50" i="23"/>
  <c r="BI45" i="3"/>
  <c r="BI72" i="3" s="1"/>
  <c r="BI26" i="23"/>
  <c r="BJ182" i="25"/>
  <c r="BJ186" i="25"/>
  <c r="BJ187" i="25" s="1"/>
  <c r="BQ67" i="23"/>
  <c r="BP72" i="23"/>
  <c r="BN100" i="27"/>
  <c r="BO83" i="27"/>
  <c r="BN120" i="27"/>
  <c r="BN121" i="27" s="1"/>
  <c r="BN84" i="27"/>
  <c r="BN98" i="27"/>
  <c r="BJ55" i="23"/>
  <c r="BJ20" i="23"/>
  <c r="BR214" i="25"/>
  <c r="BQ216" i="25"/>
  <c r="BR256" i="3"/>
  <c r="BP271" i="3"/>
  <c r="BO276" i="3"/>
  <c r="BO319" i="3"/>
  <c r="BB146" i="21"/>
  <c r="BB144" i="21"/>
  <c r="BB112" i="21"/>
  <c r="BB147" i="21" s="1"/>
  <c r="BB145" i="21"/>
  <c r="BM92" i="17"/>
  <c r="BM78" i="3"/>
  <c r="AX54" i="27"/>
  <c r="AX57" i="27" s="1"/>
  <c r="AX27" i="27"/>
  <c r="AX23" i="27"/>
  <c r="AX63" i="27"/>
  <c r="AX70" i="27" s="1"/>
  <c r="AX67" i="27"/>
  <c r="AY60" i="27"/>
  <c r="BK137" i="25"/>
  <c r="BK138" i="25" s="1"/>
  <c r="BK133" i="25"/>
  <c r="AN177" i="3"/>
  <c r="BL38" i="23"/>
  <c r="BM37" i="23"/>
  <c r="BL19" i="23"/>
  <c r="BL48" i="23"/>
  <c r="BQ221" i="25"/>
  <c r="BP222" i="25"/>
  <c r="BL209" i="25"/>
  <c r="BK210" i="25"/>
  <c r="BU172" i="25"/>
  <c r="BT178" i="25"/>
  <c r="BB111" i="21"/>
  <c r="AV36" i="27"/>
  <c r="AV64" i="27"/>
  <c r="AV32" i="27"/>
  <c r="BL139" i="25"/>
  <c r="BL140" i="25" s="1"/>
  <c r="BL132" i="25"/>
  <c r="BL135" i="25"/>
  <c r="BO123" i="21"/>
  <c r="BP129" i="21"/>
  <c r="BO140" i="21"/>
  <c r="BO141" i="21" s="1"/>
  <c r="BL175" i="25"/>
  <c r="BK181" i="25"/>
  <c r="BO112" i="27"/>
  <c r="BN170" i="25"/>
  <c r="BM188" i="25"/>
  <c r="BM189" i="25" s="1"/>
  <c r="CM53" i="21"/>
  <c r="CL79" i="21"/>
  <c r="CL92" i="21" s="1"/>
  <c r="BR119" i="21"/>
  <c r="BR149" i="21" s="1"/>
  <c r="BQ155" i="21"/>
  <c r="BQ156" i="21" s="1"/>
  <c r="BQ131" i="21"/>
  <c r="CH84" i="21"/>
  <c r="CH23" i="21"/>
  <c r="CH97" i="21"/>
  <c r="CI71" i="21"/>
  <c r="CJ45" i="21"/>
  <c r="CD69" i="25"/>
  <c r="CC82" i="25"/>
  <c r="CC96" i="25" s="1"/>
  <c r="AY6" i="3"/>
  <c r="AX57" i="23"/>
  <c r="AX72" i="27"/>
  <c r="AX108" i="25"/>
  <c r="AX7" i="3"/>
  <c r="BQ38" i="3"/>
  <c r="BN93" i="27"/>
  <c r="BM104" i="27"/>
  <c r="BM105" i="27" s="1"/>
  <c r="CH102" i="21"/>
  <c r="CH27" i="21"/>
  <c r="CH89" i="21"/>
  <c r="CJ63" i="21"/>
  <c r="CI76" i="21"/>
  <c r="CL50" i="21"/>
  <c r="BO94" i="27"/>
  <c r="BN95" i="27"/>
  <c r="BN87" i="27"/>
  <c r="BN102" i="27"/>
  <c r="BN103" i="27" s="1"/>
  <c r="BU167" i="21"/>
  <c r="BT168" i="21"/>
  <c r="CK82" i="27"/>
  <c r="AA100" i="15"/>
  <c r="AA245" i="3"/>
  <c r="AA239" i="3"/>
  <c r="AA147" i="3"/>
  <c r="AA149" i="3" s="1"/>
  <c r="AA150" i="3" s="1"/>
  <c r="AA151" i="3" s="1"/>
  <c r="AA75" i="15" s="1"/>
  <c r="AQ110" i="25"/>
  <c r="AQ113" i="25" s="1"/>
  <c r="BW74" i="23"/>
  <c r="AV78" i="17"/>
  <c r="AV80" i="17" s="1"/>
  <c r="BN27" i="3"/>
  <c r="BN21" i="27"/>
  <c r="BN51" i="27" s="1"/>
  <c r="AW57" i="15"/>
  <c r="AW76" i="15"/>
  <c r="AW78" i="15" s="1"/>
  <c r="BV78" i="23"/>
  <c r="AV79" i="15"/>
  <c r="AV84" i="15" s="1"/>
  <c r="AV80" i="15"/>
  <c r="AV85" i="15" s="1"/>
  <c r="AV81" i="15"/>
  <c r="AV86" i="15" s="1"/>
  <c r="BM35" i="27"/>
  <c r="BM47" i="3"/>
  <c r="BM74" i="3" s="1"/>
  <c r="CA167" i="25"/>
  <c r="AU87" i="15"/>
  <c r="AN36" i="25"/>
  <c r="AN92" i="25"/>
  <c r="AN32" i="25"/>
  <c r="BN79" i="3"/>
  <c r="BN93" i="17"/>
  <c r="BN50" i="3"/>
  <c r="BN77" i="3" s="1"/>
  <c r="BO61" i="27"/>
  <c r="BO50" i="27"/>
  <c r="BP48" i="27"/>
  <c r="BO20" i="27"/>
  <c r="BN104" i="21"/>
  <c r="BN91" i="21"/>
  <c r="AA204" i="3"/>
  <c r="AA205" i="3" s="1"/>
  <c r="AB202" i="3" s="1"/>
  <c r="AA206" i="3"/>
  <c r="AA143" i="3" s="1"/>
  <c r="AA281" i="3"/>
  <c r="CE77" i="21"/>
  <c r="CF51" i="21"/>
  <c r="BO84" i="23"/>
  <c r="BO81" i="23"/>
  <c r="BO88" i="23"/>
  <c r="BO89" i="23" s="1"/>
  <c r="CO56" i="25"/>
  <c r="CN83" i="25"/>
  <c r="CN97" i="25" s="1"/>
  <c r="CO57" i="25"/>
  <c r="BN86" i="23"/>
  <c r="BN87" i="23" s="1"/>
  <c r="BN82" i="23"/>
  <c r="BX62" i="25"/>
  <c r="BW89" i="25"/>
  <c r="BW103" i="25" s="1"/>
  <c r="BP32" i="3"/>
  <c r="BO52" i="3"/>
  <c r="BO30" i="3"/>
  <c r="BO88" i="3" s="1"/>
  <c r="BO78" i="21"/>
  <c r="BP52" i="21"/>
  <c r="AW54" i="17"/>
  <c r="AW58" i="17"/>
  <c r="AW73" i="17"/>
  <c r="AW70" i="17"/>
  <c r="AW72" i="17"/>
  <c r="AW77" i="17"/>
  <c r="AW65" i="17"/>
  <c r="AW75" i="17"/>
  <c r="AW63" i="17"/>
  <c r="AW69" i="17"/>
  <c r="AW62" i="17"/>
  <c r="AW64" i="17"/>
  <c r="AW76" i="17"/>
  <c r="AW57" i="17"/>
  <c r="AW74" i="17"/>
  <c r="AW55" i="17"/>
  <c r="AW61" i="17"/>
  <c r="AW67" i="17"/>
  <c r="AW53" i="17"/>
  <c r="AW68" i="17"/>
  <c r="AW66" i="17"/>
  <c r="AW56" i="17"/>
  <c r="AW71" i="17"/>
  <c r="AW59" i="17"/>
  <c r="AW52" i="17"/>
  <c r="AW60" i="17"/>
  <c r="AX95" i="15"/>
  <c r="AX29" i="17"/>
  <c r="AX212" i="25"/>
  <c r="AX37" i="17"/>
  <c r="AX157" i="25"/>
  <c r="AX3" i="17"/>
  <c r="AX4" i="17" s="1"/>
  <c r="AX3" i="27"/>
  <c r="AX164" i="21"/>
  <c r="AX5" i="27"/>
  <c r="AX300" i="3"/>
  <c r="AX208" i="3"/>
  <c r="AX85" i="3"/>
  <c r="AX68" i="3"/>
  <c r="AX54" i="15"/>
  <c r="AX56" i="15" s="1"/>
  <c r="AX6" i="17"/>
  <c r="AX3" i="15"/>
  <c r="AX4" i="15" s="1"/>
  <c r="AX22" i="17"/>
  <c r="AX17" i="25"/>
  <c r="AX5" i="21"/>
  <c r="AX108" i="21"/>
  <c r="AX3" i="21"/>
  <c r="AX253" i="3"/>
  <c r="AX200" i="3"/>
  <c r="AX41" i="3"/>
  <c r="AX21" i="3"/>
  <c r="AX69" i="15"/>
  <c r="AX218" i="25"/>
  <c r="AX158" i="21"/>
  <c r="AX5" i="25"/>
  <c r="AX6" i="15"/>
  <c r="AX19" i="21"/>
  <c r="AX329" i="3"/>
  <c r="AX182" i="3"/>
  <c r="AX153" i="3"/>
  <c r="AX9" i="3"/>
  <c r="AX21" i="15"/>
  <c r="AX83" i="17"/>
  <c r="AX49" i="17"/>
  <c r="AX206" i="25"/>
  <c r="AX5" i="23"/>
  <c r="AX17" i="27"/>
  <c r="AX17" i="23"/>
  <c r="AX3" i="25"/>
  <c r="AX313" i="3"/>
  <c r="AX164" i="3"/>
  <c r="AX145" i="3"/>
  <c r="AY3" i="3"/>
  <c r="AA61" i="15"/>
  <c r="AA62" i="15" s="1"/>
  <c r="AA66" i="15" s="1"/>
  <c r="BO93" i="3"/>
  <c r="AA292" i="3"/>
  <c r="AA332" i="3"/>
  <c r="AA333" i="3" s="1"/>
  <c r="AA337" i="3"/>
  <c r="AA338" i="3" s="1"/>
  <c r="AB331" i="3"/>
  <c r="AO28" i="3"/>
  <c r="AO21" i="25"/>
  <c r="AO65" i="25" s="1"/>
  <c r="CN90" i="25"/>
  <c r="CO63" i="25"/>
  <c r="CO90" i="25" s="1"/>
  <c r="CD103" i="21"/>
  <c r="CD90" i="21"/>
  <c r="BQ73" i="23"/>
  <c r="BP83" i="23"/>
  <c r="CB166" i="21"/>
  <c r="BU35" i="3"/>
  <c r="AN75" i="3"/>
  <c r="BU220" i="25"/>
  <c r="BN68" i="27"/>
  <c r="BN29" i="27"/>
  <c r="BN24" i="27"/>
  <c r="AP146" i="25"/>
  <c r="BN154" i="25"/>
  <c r="BN155" i="25" s="1"/>
  <c r="BO119" i="25"/>
  <c r="BO147" i="25" s="1"/>
  <c r="BN130" i="25"/>
  <c r="AO75" i="25"/>
  <c r="AO78" i="25" s="1"/>
  <c r="AO102" i="25"/>
  <c r="AO23" i="25"/>
  <c r="AO91" i="25"/>
  <c r="AO105" i="25" s="1"/>
  <c r="AO27" i="25"/>
  <c r="BL17" i="17"/>
  <c r="BK159" i="3"/>
  <c r="CF55" i="25"/>
  <c r="AA123" i="3"/>
  <c r="AW111" i="27" l="1"/>
  <c r="AW114" i="27"/>
  <c r="AW115" i="27" s="1"/>
  <c r="AW116" i="27" s="1"/>
  <c r="AY197" i="25"/>
  <c r="AY198" i="25" s="1"/>
  <c r="AY199" i="25" s="1"/>
  <c r="AY54" i="25" s="1"/>
  <c r="AY185" i="3"/>
  <c r="AY192" i="3" s="1"/>
  <c r="AW79" i="27"/>
  <c r="AX74" i="27" s="1"/>
  <c r="BP196" i="25"/>
  <c r="AV105" i="3"/>
  <c r="AV212" i="3"/>
  <c r="AV63" i="15"/>
  <c r="AV267" i="3"/>
  <c r="AV305" i="3"/>
  <c r="AV303" i="3" s="1"/>
  <c r="AV320" i="3"/>
  <c r="AW103" i="3"/>
  <c r="AW304" i="3" s="1"/>
  <c r="AZ164" i="25"/>
  <c r="BA159" i="25" s="1"/>
  <c r="BA161" i="25" s="1"/>
  <c r="BQ136" i="21"/>
  <c r="AA339" i="3"/>
  <c r="AA341" i="3" s="1"/>
  <c r="BH74" i="21"/>
  <c r="BI48" i="21"/>
  <c r="BG100" i="21"/>
  <c r="BG87" i="21"/>
  <c r="AA132" i="3"/>
  <c r="AA133" i="3"/>
  <c r="AA135" i="3" s="1"/>
  <c r="AY20" i="25"/>
  <c r="AY29" i="3" s="1"/>
  <c r="AY81" i="25"/>
  <c r="AW35" i="25"/>
  <c r="AW49" i="3"/>
  <c r="AW76" i="3" s="1"/>
  <c r="BQ26" i="21"/>
  <c r="BQ86" i="21"/>
  <c r="BQ99" i="21"/>
  <c r="BP203" i="25"/>
  <c r="BP204" i="25" s="1"/>
  <c r="BP179" i="25"/>
  <c r="BQ168" i="25"/>
  <c r="BP184" i="25"/>
  <c r="BR73" i="21"/>
  <c r="BS60" i="21"/>
  <c r="AX68" i="25"/>
  <c r="AX95" i="25"/>
  <c r="AX24" i="25"/>
  <c r="AZ195" i="25"/>
  <c r="AZ197" i="25" s="1"/>
  <c r="BT17" i="21"/>
  <c r="BS20" i="17"/>
  <c r="CL56" i="27"/>
  <c r="CL30" i="27"/>
  <c r="CL26" i="3"/>
  <c r="CL21" i="27"/>
  <c r="CL51" i="27" s="1"/>
  <c r="CN49" i="27"/>
  <c r="CM62" i="27"/>
  <c r="CM19" i="27"/>
  <c r="BL99" i="25"/>
  <c r="BL29" i="25"/>
  <c r="BP59" i="25"/>
  <c r="BO86" i="25"/>
  <c r="BR68" i="23"/>
  <c r="BQ102" i="23"/>
  <c r="BQ103" i="23" s="1"/>
  <c r="BQ79" i="23"/>
  <c r="BQ272" i="3"/>
  <c r="BP9" i="17"/>
  <c r="BO81" i="3"/>
  <c r="BO34" i="3"/>
  <c r="BO89" i="3" s="1"/>
  <c r="BP37" i="3"/>
  <c r="BM64" i="3"/>
  <c r="BM90" i="17"/>
  <c r="BR336" i="3"/>
  <c r="BS289" i="3"/>
  <c r="AA210" i="3"/>
  <c r="AA213" i="3" s="1"/>
  <c r="AA134" i="3"/>
  <c r="BQ134" i="21"/>
  <c r="BM85" i="25"/>
  <c r="BN58" i="25"/>
  <c r="BN73" i="25"/>
  <c r="BN100" i="25"/>
  <c r="BN30" i="25"/>
  <c r="BO335" i="3"/>
  <c r="BP288" i="3"/>
  <c r="BR135" i="21"/>
  <c r="BR133" i="21" s="1"/>
  <c r="BR138" i="21" s="1"/>
  <c r="BR139" i="21" s="1"/>
  <c r="BS125" i="21"/>
  <c r="BT99" i="27"/>
  <c r="BT97" i="27" s="1"/>
  <c r="BU89" i="27"/>
  <c r="BK186" i="25"/>
  <c r="BK187" i="25" s="1"/>
  <c r="BK182" i="25"/>
  <c r="BL137" i="25"/>
  <c r="BL138" i="25" s="1"/>
  <c r="BL133" i="25"/>
  <c r="BV172" i="25"/>
  <c r="BU178" i="25"/>
  <c r="BM209" i="25"/>
  <c r="BL210" i="25"/>
  <c r="BR221" i="25"/>
  <c r="BQ222" i="25"/>
  <c r="BL25" i="3"/>
  <c r="BL39" i="23"/>
  <c r="AN179" i="3"/>
  <c r="AN168" i="3"/>
  <c r="AN170" i="3" s="1"/>
  <c r="AN180" i="3"/>
  <c r="AX46" i="3"/>
  <c r="AX73" i="3" s="1"/>
  <c r="AX25" i="27"/>
  <c r="AX34" i="27"/>
  <c r="BS256" i="3"/>
  <c r="BJ45" i="3"/>
  <c r="BJ72" i="3" s="1"/>
  <c r="BJ26" i="23"/>
  <c r="BJ50" i="23"/>
  <c r="BR67" i="23"/>
  <c r="BQ72" i="23"/>
  <c r="BN134" i="25"/>
  <c r="BO125" i="25"/>
  <c r="BS160" i="21"/>
  <c r="BR162" i="21"/>
  <c r="BK55" i="23"/>
  <c r="BK20" i="23"/>
  <c r="BN92" i="17"/>
  <c r="BN78" i="3"/>
  <c r="BR155" i="21"/>
  <c r="BR156" i="21" s="1"/>
  <c r="BR131" i="21"/>
  <c r="BS119" i="21"/>
  <c r="BS149" i="21" s="1"/>
  <c r="BR136" i="21"/>
  <c r="CM79" i="21"/>
  <c r="CM92" i="21" s="1"/>
  <c r="CN53" i="21"/>
  <c r="BN188" i="25"/>
  <c r="BN189" i="25" s="1"/>
  <c r="BO170" i="25"/>
  <c r="BL181" i="25"/>
  <c r="BM175" i="25"/>
  <c r="BP140" i="21"/>
  <c r="BP141" i="21" s="1"/>
  <c r="BP123" i="21"/>
  <c r="BQ129" i="21"/>
  <c r="BB115" i="21"/>
  <c r="BC110" i="21" s="1"/>
  <c r="BC111" i="21" s="1"/>
  <c r="BL54" i="23"/>
  <c r="BL23" i="23"/>
  <c r="BL49" i="23"/>
  <c r="BN37" i="23"/>
  <c r="BM19" i="23"/>
  <c r="BM38" i="23"/>
  <c r="BM48" i="23"/>
  <c r="AY54" i="27"/>
  <c r="AY57" i="27" s="1"/>
  <c r="AY23" i="27"/>
  <c r="AY27" i="27"/>
  <c r="AY67" i="27"/>
  <c r="AY63" i="27"/>
  <c r="AY70" i="27" s="1"/>
  <c r="AZ60" i="27"/>
  <c r="BB150" i="21"/>
  <c r="BB151" i="21" s="1"/>
  <c r="BQ271" i="3"/>
  <c r="BP276" i="3"/>
  <c r="BP319" i="3"/>
  <c r="BR216" i="25"/>
  <c r="BS214" i="25"/>
  <c r="BO100" i="27"/>
  <c r="BO120" i="27"/>
  <c r="BO121" i="27" s="1"/>
  <c r="BO84" i="27"/>
  <c r="BP83" i="27"/>
  <c r="BO98" i="27"/>
  <c r="BM139" i="25"/>
  <c r="BM140" i="25" s="1"/>
  <c r="BM132" i="25"/>
  <c r="BM135" i="25"/>
  <c r="BP208" i="25"/>
  <c r="AM113" i="15"/>
  <c r="AM114" i="15"/>
  <c r="BR259" i="3"/>
  <c r="BQ321" i="3"/>
  <c r="BS183" i="25"/>
  <c r="BT174" i="25"/>
  <c r="AW64" i="27"/>
  <c r="AW36" i="27"/>
  <c r="AW32" i="27"/>
  <c r="BP91" i="17"/>
  <c r="BP65" i="3"/>
  <c r="BR84" i="25"/>
  <c r="BQ98" i="25"/>
  <c r="BQ31" i="25"/>
  <c r="BP31" i="3"/>
  <c r="BP51" i="3" s="1"/>
  <c r="AY108" i="25"/>
  <c r="AY72" i="27"/>
  <c r="AZ6" i="3"/>
  <c r="AY57" i="23"/>
  <c r="AY7" i="3"/>
  <c r="CE69" i="25"/>
  <c r="CD82" i="25"/>
  <c r="CD96" i="25" s="1"/>
  <c r="CK45" i="21"/>
  <c r="CJ71" i="21"/>
  <c r="CI23" i="21"/>
  <c r="CI84" i="21"/>
  <c r="CI97" i="21"/>
  <c r="BR38" i="3"/>
  <c r="CL82" i="27"/>
  <c r="CI102" i="21"/>
  <c r="CI89" i="21"/>
  <c r="CI27" i="21"/>
  <c r="BO93" i="27"/>
  <c r="BN104" i="27"/>
  <c r="BN105" i="27" s="1"/>
  <c r="CM50" i="21"/>
  <c r="CK63" i="21"/>
  <c r="CJ76" i="21"/>
  <c r="BV167" i="21"/>
  <c r="BU168" i="21"/>
  <c r="BO95" i="27"/>
  <c r="BO87" i="27"/>
  <c r="BP94" i="27"/>
  <c r="BO102" i="27"/>
  <c r="BO103" i="27" s="1"/>
  <c r="AO48" i="3"/>
  <c r="AO25" i="25"/>
  <c r="AO34" i="25"/>
  <c r="BP81" i="23"/>
  <c r="BP84" i="23"/>
  <c r="BP88" i="23"/>
  <c r="BP89" i="23" s="1"/>
  <c r="AY83" i="17"/>
  <c r="AY21" i="15"/>
  <c r="AY3" i="27"/>
  <c r="AY3" i="25"/>
  <c r="AY3" i="21"/>
  <c r="AY37" i="17"/>
  <c r="AY158" i="21"/>
  <c r="AY300" i="3"/>
  <c r="AY182" i="3"/>
  <c r="AY145" i="3"/>
  <c r="AY41" i="3"/>
  <c r="AY212" i="25"/>
  <c r="AY95" i="15"/>
  <c r="AY29" i="17"/>
  <c r="AY206" i="25"/>
  <c r="AY5" i="21"/>
  <c r="AY5" i="27"/>
  <c r="AY218" i="25"/>
  <c r="AY22" i="17"/>
  <c r="AY253" i="3"/>
  <c r="AY164" i="3"/>
  <c r="AY68" i="3"/>
  <c r="AZ3" i="3"/>
  <c r="AY6" i="15"/>
  <c r="AY54" i="15"/>
  <c r="AY56" i="15" s="1"/>
  <c r="AY6" i="17"/>
  <c r="AY5" i="25"/>
  <c r="AY164" i="21"/>
  <c r="AY17" i="23"/>
  <c r="AY19" i="21"/>
  <c r="AY157" i="25"/>
  <c r="AY329" i="3"/>
  <c r="AY208" i="3"/>
  <c r="AY85" i="3"/>
  <c r="AY21" i="3"/>
  <c r="AY69" i="15"/>
  <c r="AY3" i="17"/>
  <c r="AY4" i="17" s="1"/>
  <c r="AY3" i="15"/>
  <c r="AY4" i="15" s="1"/>
  <c r="AY17" i="27"/>
  <c r="AY108" i="21"/>
  <c r="AY5" i="23"/>
  <c r="AY49" i="17"/>
  <c r="AY17" i="25"/>
  <c r="AY313" i="3"/>
  <c r="AY200" i="3"/>
  <c r="AY153" i="3"/>
  <c r="AY9" i="3"/>
  <c r="AW78" i="17"/>
  <c r="AW80" i="17" s="1"/>
  <c r="BP52" i="3"/>
  <c r="BQ32" i="3"/>
  <c r="BP30" i="3"/>
  <c r="BP88" i="3" s="1"/>
  <c r="BY62" i="25"/>
  <c r="BX89" i="25"/>
  <c r="BX103" i="25" s="1"/>
  <c r="CP56" i="25"/>
  <c r="CP83" i="25" s="1"/>
  <c r="CO83" i="25"/>
  <c r="CO97" i="25" s="1"/>
  <c r="BO27" i="3"/>
  <c r="BO21" i="27"/>
  <c r="BO51" i="27" s="1"/>
  <c r="AQ112" i="25"/>
  <c r="AQ146" i="25" s="1"/>
  <c r="AQ111" i="25"/>
  <c r="BP119" i="25"/>
  <c r="BO130" i="25"/>
  <c r="BO154" i="25"/>
  <c r="BO155" i="25" s="1"/>
  <c r="BV220" i="25"/>
  <c r="CC166" i="21"/>
  <c r="BR73" i="23"/>
  <c r="BQ83" i="23"/>
  <c r="BP93" i="3"/>
  <c r="AX71" i="17"/>
  <c r="AX74" i="17"/>
  <c r="AX62" i="17"/>
  <c r="AX65" i="17"/>
  <c r="AX76" i="17"/>
  <c r="AX55" i="17"/>
  <c r="AX77" i="17"/>
  <c r="AX63" i="17"/>
  <c r="AX75" i="17"/>
  <c r="AX54" i="17"/>
  <c r="AX68" i="17"/>
  <c r="AX64" i="17"/>
  <c r="AX69" i="17"/>
  <c r="AX66" i="17"/>
  <c r="AX67" i="17"/>
  <c r="AX72" i="17"/>
  <c r="AX60" i="17"/>
  <c r="AX57" i="17"/>
  <c r="AX53" i="17"/>
  <c r="AX70" i="17"/>
  <c r="AX58" i="17"/>
  <c r="AX59" i="17"/>
  <c r="AX73" i="17"/>
  <c r="AX52" i="17"/>
  <c r="AX56" i="17"/>
  <c r="AX61" i="17"/>
  <c r="AX57" i="15"/>
  <c r="AX76" i="15"/>
  <c r="AX78" i="15" s="1"/>
  <c r="BP78" i="21"/>
  <c r="BQ52" i="21"/>
  <c r="BP20" i="27"/>
  <c r="BP50" i="27"/>
  <c r="BQ48" i="27"/>
  <c r="BP61" i="27"/>
  <c r="AW81" i="15"/>
  <c r="AW86" i="15" s="1"/>
  <c r="AW80" i="15"/>
  <c r="AW85" i="15" s="1"/>
  <c r="AW79" i="15"/>
  <c r="AW84" i="15" s="1"/>
  <c r="BM17" i="17"/>
  <c r="BL159" i="3"/>
  <c r="AO87" i="17"/>
  <c r="AO61" i="3"/>
  <c r="BN35" i="27"/>
  <c r="BN47" i="3"/>
  <c r="BN74" i="3" s="1"/>
  <c r="BV35" i="3"/>
  <c r="AA35" i="17"/>
  <c r="BO104" i="21"/>
  <c r="BO91" i="21"/>
  <c r="CP57" i="25"/>
  <c r="CF77" i="21"/>
  <c r="CG51" i="21"/>
  <c r="AA284" i="3"/>
  <c r="CB167" i="25"/>
  <c r="AV87" i="15"/>
  <c r="BW78" i="23"/>
  <c r="BX74" i="23"/>
  <c r="AA242" i="3"/>
  <c r="AA255" i="3"/>
  <c r="CG55" i="25"/>
  <c r="BO79" i="3"/>
  <c r="BO93" i="17"/>
  <c r="BO50" i="3"/>
  <c r="BO77" i="3" s="1"/>
  <c r="BO86" i="23"/>
  <c r="BO87" i="23" s="1"/>
  <c r="BO82" i="23"/>
  <c r="CE103" i="21"/>
  <c r="CE90" i="21"/>
  <c r="BO68" i="27"/>
  <c r="BO29" i="27"/>
  <c r="BO24" i="27"/>
  <c r="AP149" i="25"/>
  <c r="AP150" i="25" s="1"/>
  <c r="AP61" i="25" s="1"/>
  <c r="AA250" i="3"/>
  <c r="AA244" i="3"/>
  <c r="AY194" i="3" l="1"/>
  <c r="AY247" i="3"/>
  <c r="AY248" i="3" s="1"/>
  <c r="AZ193" i="3"/>
  <c r="AZ246" i="3" s="1"/>
  <c r="AX77" i="27"/>
  <c r="AX75" i="27"/>
  <c r="AX108" i="27"/>
  <c r="AX109" i="27"/>
  <c r="AX110" i="27"/>
  <c r="AX76" i="27"/>
  <c r="BA192" i="25"/>
  <c r="BA194" i="25"/>
  <c r="BA162" i="25"/>
  <c r="BA195" i="25" s="1"/>
  <c r="BA160" i="25"/>
  <c r="BQ196" i="25"/>
  <c r="BA193" i="25"/>
  <c r="AV322" i="3"/>
  <c r="AV323" i="3" s="1"/>
  <c r="AV309" i="3"/>
  <c r="AW104" i="3"/>
  <c r="AW212" i="3" s="1"/>
  <c r="AW265" i="3"/>
  <c r="AW211" i="3"/>
  <c r="BJ48" i="21"/>
  <c r="BI74" i="21"/>
  <c r="BH87" i="21"/>
  <c r="BH100" i="21"/>
  <c r="BR134" i="21"/>
  <c r="AA141" i="3"/>
  <c r="BR99" i="21"/>
  <c r="BR26" i="21"/>
  <c r="BR86" i="21"/>
  <c r="AZ198" i="25"/>
  <c r="AZ199" i="25" s="1"/>
  <c r="AZ54" i="25" s="1"/>
  <c r="AY95" i="25"/>
  <c r="AY24" i="25"/>
  <c r="AY68" i="25"/>
  <c r="AX49" i="3"/>
  <c r="AX76" i="3" s="1"/>
  <c r="AX35" i="25"/>
  <c r="BT60" i="21"/>
  <c r="BS73" i="21"/>
  <c r="BQ203" i="25"/>
  <c r="BQ204" i="25" s="1"/>
  <c r="BR168" i="25"/>
  <c r="BQ179" i="25"/>
  <c r="BQ184" i="25"/>
  <c r="CM21" i="27"/>
  <c r="CM51" i="27" s="1"/>
  <c r="CM26" i="3"/>
  <c r="CN62" i="27"/>
  <c r="CN19" i="27"/>
  <c r="CO49" i="27"/>
  <c r="CM56" i="27"/>
  <c r="CM30" i="27"/>
  <c r="BT20" i="17"/>
  <c r="BU17" i="21"/>
  <c r="BV89" i="27"/>
  <c r="BU99" i="27"/>
  <c r="BU97" i="27" s="1"/>
  <c r="BS135" i="21"/>
  <c r="BS133" i="21" s="1"/>
  <c r="BS138" i="21" s="1"/>
  <c r="BS139" i="21" s="1"/>
  <c r="BT125" i="21"/>
  <c r="BQ288" i="3"/>
  <c r="BP335" i="3"/>
  <c r="BO58" i="25"/>
  <c r="BN85" i="25"/>
  <c r="BS336" i="3"/>
  <c r="BT289" i="3"/>
  <c r="BQ37" i="3"/>
  <c r="BP34" i="3"/>
  <c r="BP89" i="3" s="1"/>
  <c r="BP81" i="3"/>
  <c r="BQ9" i="17"/>
  <c r="BR272" i="3"/>
  <c r="BO100" i="25"/>
  <c r="BO30" i="25"/>
  <c r="BO73" i="25"/>
  <c r="BN90" i="17"/>
  <c r="BN64" i="3"/>
  <c r="BM29" i="25"/>
  <c r="BM99" i="25"/>
  <c r="BR102" i="23"/>
  <c r="BR103" i="23" s="1"/>
  <c r="BS68" i="23"/>
  <c r="BR79" i="23"/>
  <c r="BQ59" i="25"/>
  <c r="BP86" i="25"/>
  <c r="BO92" i="17"/>
  <c r="BO78" i="3"/>
  <c r="BQ91" i="17"/>
  <c r="BQ65" i="3"/>
  <c r="BS84" i="25"/>
  <c r="BR31" i="25"/>
  <c r="BR98" i="25"/>
  <c r="BU174" i="25"/>
  <c r="BT183" i="25"/>
  <c r="BP100" i="27"/>
  <c r="BP120" i="27"/>
  <c r="BP121" i="27" s="1"/>
  <c r="BP84" i="27"/>
  <c r="BQ83" i="27"/>
  <c r="BP98" i="27"/>
  <c r="BS216" i="25"/>
  <c r="BT214" i="25"/>
  <c r="BR271" i="3"/>
  <c r="BQ276" i="3"/>
  <c r="BQ319" i="3"/>
  <c r="AZ23" i="27"/>
  <c r="AZ63" i="27"/>
  <c r="AZ70" i="27" s="1"/>
  <c r="AZ27" i="27"/>
  <c r="AZ54" i="27"/>
  <c r="AZ57" i="27" s="1"/>
  <c r="AZ67" i="27"/>
  <c r="BA60" i="27"/>
  <c r="AY25" i="27"/>
  <c r="AY46" i="3"/>
  <c r="AY73" i="3" s="1"/>
  <c r="AY34" i="27"/>
  <c r="BO37" i="23"/>
  <c r="BN19" i="23"/>
  <c r="BN38" i="23"/>
  <c r="BN48" i="23"/>
  <c r="BQ140" i="21"/>
  <c r="BQ141" i="21" s="1"/>
  <c r="BQ123" i="21"/>
  <c r="BR129" i="21"/>
  <c r="BL182" i="25"/>
  <c r="BL186" i="25"/>
  <c r="BL187" i="25" s="1"/>
  <c r="BO188" i="25"/>
  <c r="BO189" i="25" s="1"/>
  <c r="BP170" i="25"/>
  <c r="CO53" i="21"/>
  <c r="CN79" i="21"/>
  <c r="CN92" i="21" s="1"/>
  <c r="BK26" i="23"/>
  <c r="BK50" i="23"/>
  <c r="BK45" i="3"/>
  <c r="BK72" i="3" s="1"/>
  <c r="BP125" i="25"/>
  <c r="BO134" i="25"/>
  <c r="BT256" i="3"/>
  <c r="AX36" i="27"/>
  <c r="AX64" i="27"/>
  <c r="AX32" i="27"/>
  <c r="BQ31" i="3"/>
  <c r="BQ51" i="3" s="1"/>
  <c r="BR321" i="3"/>
  <c r="BS259" i="3"/>
  <c r="BQ208" i="25"/>
  <c r="BM137" i="25"/>
  <c r="BM138" i="25" s="1"/>
  <c r="BM133" i="25"/>
  <c r="BM54" i="23"/>
  <c r="BM49" i="23"/>
  <c r="BM23" i="23"/>
  <c r="BM25" i="3"/>
  <c r="BM39" i="23"/>
  <c r="BL55" i="23"/>
  <c r="BL20" i="23"/>
  <c r="BC112" i="21"/>
  <c r="BC145" i="21"/>
  <c r="BC146" i="21"/>
  <c r="BC144" i="21"/>
  <c r="BC113" i="21"/>
  <c r="BM181" i="25"/>
  <c r="BN175" i="25"/>
  <c r="BT119" i="21"/>
  <c r="BS155" i="21"/>
  <c r="BS156" i="21" s="1"/>
  <c r="BS131" i="21"/>
  <c r="BS134" i="21"/>
  <c r="BT160" i="21"/>
  <c r="BS162" i="21"/>
  <c r="BN139" i="25"/>
  <c r="BN140" i="25" s="1"/>
  <c r="BN132" i="25"/>
  <c r="BN135" i="25"/>
  <c r="BS67" i="23"/>
  <c r="BR72" i="23"/>
  <c r="AN106" i="15"/>
  <c r="AN173" i="3"/>
  <c r="AN340" i="3" s="1"/>
  <c r="AO167" i="3"/>
  <c r="AN171" i="3"/>
  <c r="BS221" i="25"/>
  <c r="BR222" i="25"/>
  <c r="BN209" i="25"/>
  <c r="BM210" i="25"/>
  <c r="BW172" i="25"/>
  <c r="BV178" i="25"/>
  <c r="BP112" i="27"/>
  <c r="BQ112" i="27" s="1"/>
  <c r="CK71" i="21"/>
  <c r="CL45" i="21"/>
  <c r="CF69" i="25"/>
  <c r="CE82" i="25"/>
  <c r="CE96" i="25" s="1"/>
  <c r="AZ57" i="23"/>
  <c r="AZ72" i="27"/>
  <c r="AZ108" i="25"/>
  <c r="AZ7" i="3"/>
  <c r="BA6" i="3"/>
  <c r="CJ97" i="21"/>
  <c r="CJ84" i="21"/>
  <c r="CJ23" i="21"/>
  <c r="BS38" i="3"/>
  <c r="AQ115" i="25"/>
  <c r="AR110" i="25" s="1"/>
  <c r="AR111" i="25" s="1"/>
  <c r="CP97" i="25"/>
  <c r="BP87" i="27"/>
  <c r="BP95" i="27"/>
  <c r="BQ94" i="27"/>
  <c r="BP102" i="27"/>
  <c r="BP103" i="27" s="1"/>
  <c r="BW167" i="21"/>
  <c r="BV168" i="21"/>
  <c r="CN50" i="21"/>
  <c r="CJ102" i="21"/>
  <c r="CJ27" i="21"/>
  <c r="CJ89" i="21"/>
  <c r="CM82" i="27"/>
  <c r="CL63" i="21"/>
  <c r="CK76" i="21"/>
  <c r="BP93" i="27"/>
  <c r="BO104" i="27"/>
  <c r="BO105" i="27" s="1"/>
  <c r="BO35" i="27"/>
  <c r="BO47" i="3"/>
  <c r="BO74" i="3" s="1"/>
  <c r="CH55" i="25"/>
  <c r="BY74" i="23"/>
  <c r="BQ61" i="27"/>
  <c r="BQ50" i="27"/>
  <c r="BR48" i="27"/>
  <c r="BQ20" i="27"/>
  <c r="BQ78" i="21"/>
  <c r="BR52" i="21"/>
  <c r="BR32" i="3"/>
  <c r="BQ52" i="3"/>
  <c r="BP86" i="23"/>
  <c r="BP87" i="23" s="1"/>
  <c r="BP82" i="23"/>
  <c r="AA101" i="15"/>
  <c r="AA74" i="15"/>
  <c r="AA76" i="15" s="1"/>
  <c r="AA78" i="15" s="1"/>
  <c r="AP88" i="25"/>
  <c r="AP19" i="25"/>
  <c r="AP64" i="25"/>
  <c r="BW35" i="3"/>
  <c r="BN17" i="17"/>
  <c r="BM159" i="3"/>
  <c r="AW87" i="15"/>
  <c r="BP104" i="21"/>
  <c r="BP91" i="21"/>
  <c r="BQ93" i="3"/>
  <c r="BQ81" i="23"/>
  <c r="BQ84" i="23"/>
  <c r="BQ88" i="23"/>
  <c r="BQ89" i="23" s="1"/>
  <c r="CD166" i="21"/>
  <c r="BP93" i="17"/>
  <c r="BP79" i="3"/>
  <c r="BP50" i="3"/>
  <c r="BP77" i="3" s="1"/>
  <c r="AZ3" i="15"/>
  <c r="AZ4" i="15" s="1"/>
  <c r="AZ22" i="17"/>
  <c r="AZ83" i="17"/>
  <c r="AZ17" i="23"/>
  <c r="AZ6" i="17"/>
  <c r="AZ108" i="21"/>
  <c r="AZ5" i="21"/>
  <c r="AZ329" i="3"/>
  <c r="AZ182" i="3"/>
  <c r="AZ153" i="3"/>
  <c r="AZ9" i="3"/>
  <c r="AZ6" i="15"/>
  <c r="AZ218" i="25"/>
  <c r="AZ212" i="25"/>
  <c r="AZ5" i="23"/>
  <c r="AZ157" i="25"/>
  <c r="AZ19" i="21"/>
  <c r="AZ5" i="25"/>
  <c r="AZ17" i="25"/>
  <c r="AZ313" i="3"/>
  <c r="AZ164" i="3"/>
  <c r="AZ145" i="3"/>
  <c r="BA3" i="3"/>
  <c r="AZ3" i="17"/>
  <c r="AZ4" i="17" s="1"/>
  <c r="AZ49" i="17"/>
  <c r="AZ206" i="25"/>
  <c r="AZ3" i="25"/>
  <c r="AZ3" i="21"/>
  <c r="AZ21" i="15"/>
  <c r="AZ95" i="15"/>
  <c r="AZ17" i="27"/>
  <c r="AZ158" i="21"/>
  <c r="AZ300" i="3"/>
  <c r="AZ208" i="3"/>
  <c r="AZ85" i="3"/>
  <c r="AZ68" i="3"/>
  <c r="AZ37" i="17"/>
  <c r="AZ69" i="15"/>
  <c r="AZ5" i="27"/>
  <c r="AZ29" i="17"/>
  <c r="AZ164" i="21"/>
  <c r="AZ54" i="15"/>
  <c r="AZ56" i="15" s="1"/>
  <c r="AZ3" i="27"/>
  <c r="AZ253" i="3"/>
  <c r="AZ200" i="3"/>
  <c r="AZ41" i="3"/>
  <c r="AZ21" i="3"/>
  <c r="AO32" i="25"/>
  <c r="AO92" i="25"/>
  <c r="AO36" i="25"/>
  <c r="AA12" i="17"/>
  <c r="AA13" i="17" s="1"/>
  <c r="AA260" i="3"/>
  <c r="AA298" i="3" s="1"/>
  <c r="AA43" i="17" s="1"/>
  <c r="AA294" i="3"/>
  <c r="AA296" i="3" s="1"/>
  <c r="AB111" i="3"/>
  <c r="BX78" i="23"/>
  <c r="CC167" i="25"/>
  <c r="CG77" i="21"/>
  <c r="CH51" i="21"/>
  <c r="BP27" i="3"/>
  <c r="BP21" i="27"/>
  <c r="BP51" i="27" s="1"/>
  <c r="AX79" i="15"/>
  <c r="AX84" i="15" s="1"/>
  <c r="AX80" i="15"/>
  <c r="AX85" i="15" s="1"/>
  <c r="AX81" i="15"/>
  <c r="AX86" i="15" s="1"/>
  <c r="AX78" i="17"/>
  <c r="AX80" i="17" s="1"/>
  <c r="BS73" i="23"/>
  <c r="BR83" i="23"/>
  <c r="BW220" i="25"/>
  <c r="BZ62" i="25"/>
  <c r="BY89" i="25"/>
  <c r="BY103" i="25" s="1"/>
  <c r="AY72" i="17"/>
  <c r="AY53" i="17"/>
  <c r="AY52" i="17"/>
  <c r="AY60" i="17"/>
  <c r="AY67" i="17"/>
  <c r="AY66" i="17"/>
  <c r="AY64" i="17"/>
  <c r="AY71" i="17"/>
  <c r="AY77" i="17"/>
  <c r="AY65" i="17"/>
  <c r="AY54" i="17"/>
  <c r="AY58" i="17"/>
  <c r="AY56" i="17"/>
  <c r="AY69" i="17"/>
  <c r="AY62" i="17"/>
  <c r="AY76" i="17"/>
  <c r="AY57" i="17"/>
  <c r="AY75" i="17"/>
  <c r="AY63" i="17"/>
  <c r="AY73" i="17"/>
  <c r="AY61" i="17"/>
  <c r="AY59" i="17"/>
  <c r="AY68" i="17"/>
  <c r="AY70" i="17"/>
  <c r="AY74" i="17"/>
  <c r="AY55" i="17"/>
  <c r="AO75" i="3"/>
  <c r="AA243" i="3"/>
  <c r="AB240" i="3"/>
  <c r="CF103" i="21"/>
  <c r="CF90" i="21"/>
  <c r="BP68" i="27"/>
  <c r="BP29" i="27"/>
  <c r="BP24" i="27"/>
  <c r="BQ119" i="25"/>
  <c r="BP130" i="25"/>
  <c r="BP154" i="25"/>
  <c r="BP155" i="25" s="1"/>
  <c r="AY57" i="15"/>
  <c r="AY76" i="15"/>
  <c r="AY78" i="15" s="1"/>
  <c r="BP147" i="25"/>
  <c r="BA197" i="25" l="1"/>
  <c r="AX111" i="27"/>
  <c r="AX114" i="27"/>
  <c r="AX115" i="27" s="1"/>
  <c r="AX116" i="27" s="1"/>
  <c r="AX79" i="27"/>
  <c r="AY74" i="27" s="1"/>
  <c r="AY77" i="27" s="1"/>
  <c r="AZ185" i="3"/>
  <c r="AZ192" i="3" s="1"/>
  <c r="AY198" i="3"/>
  <c r="AY223" i="3"/>
  <c r="BA164" i="25"/>
  <c r="BB159" i="25" s="1"/>
  <c r="BB192" i="25" s="1"/>
  <c r="BQ30" i="3"/>
  <c r="BQ88" i="3" s="1"/>
  <c r="AW105" i="3"/>
  <c r="AW63" i="15"/>
  <c r="AW320" i="3"/>
  <c r="AX103" i="3"/>
  <c r="AW305" i="3"/>
  <c r="AW303" i="3" s="1"/>
  <c r="AW267" i="3"/>
  <c r="AQ143" i="25"/>
  <c r="AQ149" i="25" s="1"/>
  <c r="AQ150" i="25" s="1"/>
  <c r="AQ61" i="25" s="1"/>
  <c r="BI100" i="21"/>
  <c r="BI87" i="21"/>
  <c r="BJ74" i="21"/>
  <c r="BK48" i="21"/>
  <c r="BB162" i="25"/>
  <c r="BA198" i="25"/>
  <c r="BA199" i="25" s="1"/>
  <c r="BA54" i="25" s="1"/>
  <c r="BS136" i="21"/>
  <c r="BR179" i="25"/>
  <c r="BR203" i="25"/>
  <c r="BR204" i="25" s="1"/>
  <c r="BS168" i="25"/>
  <c r="BR184" i="25"/>
  <c r="BR196" i="25"/>
  <c r="BT73" i="21"/>
  <c r="BU60" i="21"/>
  <c r="BS26" i="21"/>
  <c r="BS86" i="21"/>
  <c r="BS99" i="21"/>
  <c r="BA20" i="25"/>
  <c r="BA29" i="3" s="1"/>
  <c r="AY35" i="25"/>
  <c r="AY49" i="3"/>
  <c r="AY76" i="3" s="1"/>
  <c r="AZ81" i="25"/>
  <c r="AZ20" i="25"/>
  <c r="AZ29" i="3" s="1"/>
  <c r="BU20" i="17"/>
  <c r="BV17" i="21"/>
  <c r="CN26" i="3"/>
  <c r="CN21" i="27"/>
  <c r="CN51" i="27" s="1"/>
  <c r="CP49" i="27"/>
  <c r="CO62" i="27"/>
  <c r="CO19" i="27"/>
  <c r="CN56" i="27"/>
  <c r="CN30" i="27"/>
  <c r="BC115" i="21"/>
  <c r="BD110" i="21" s="1"/>
  <c r="BD145" i="21" s="1"/>
  <c r="BP73" i="25"/>
  <c r="BP30" i="25"/>
  <c r="BP100" i="25"/>
  <c r="BT336" i="3"/>
  <c r="BU289" i="3"/>
  <c r="BN99" i="25"/>
  <c r="BN29" i="25"/>
  <c r="BU125" i="21"/>
  <c r="BT135" i="21"/>
  <c r="BT133" i="21" s="1"/>
  <c r="BT138" i="21" s="1"/>
  <c r="BT139" i="21" s="1"/>
  <c r="BR59" i="25"/>
  <c r="BQ86" i="25"/>
  <c r="BT68" i="23"/>
  <c r="BS102" i="23"/>
  <c r="BS103" i="23" s="1"/>
  <c r="BS79" i="23"/>
  <c r="BO64" i="3"/>
  <c r="BO90" i="17"/>
  <c r="BS272" i="3"/>
  <c r="BR9" i="17"/>
  <c r="BR37" i="3"/>
  <c r="BQ34" i="3"/>
  <c r="BQ89" i="3" s="1"/>
  <c r="BQ81" i="3"/>
  <c r="BP58" i="25"/>
  <c r="BO85" i="25"/>
  <c r="BQ335" i="3"/>
  <c r="BR288" i="3"/>
  <c r="BW89" i="27"/>
  <c r="BV99" i="27"/>
  <c r="BV97" i="27" s="1"/>
  <c r="BD146" i="21"/>
  <c r="AN172" i="3"/>
  <c r="AN105" i="15" s="1"/>
  <c r="AN104" i="15"/>
  <c r="BT162" i="21"/>
  <c r="BU160" i="21"/>
  <c r="BT149" i="21"/>
  <c r="BT131" i="21"/>
  <c r="BU119" i="21"/>
  <c r="BT155" i="21"/>
  <c r="BT156" i="21" s="1"/>
  <c r="BO175" i="25"/>
  <c r="BN181" i="25"/>
  <c r="BC147" i="21"/>
  <c r="BC150" i="21" s="1"/>
  <c r="BC151" i="21" s="1"/>
  <c r="BM20" i="23"/>
  <c r="BM55" i="23"/>
  <c r="BS321" i="3"/>
  <c r="BT259" i="3"/>
  <c r="BR31" i="3"/>
  <c r="BQ50" i="3"/>
  <c r="BQ77" i="3" s="1"/>
  <c r="BU256" i="3"/>
  <c r="BO139" i="25"/>
  <c r="BO140" i="25" s="1"/>
  <c r="BO132" i="25"/>
  <c r="BO135" i="25"/>
  <c r="CO79" i="21"/>
  <c r="CO92" i="21" s="1"/>
  <c r="CP53" i="21"/>
  <c r="CP79" i="21" s="1"/>
  <c r="CP92" i="21" s="1"/>
  <c r="BR123" i="21"/>
  <c r="BS129" i="21"/>
  <c r="BR140" i="21"/>
  <c r="BR141" i="21" s="1"/>
  <c r="BO48" i="23"/>
  <c r="BO19" i="23"/>
  <c r="BO38" i="23"/>
  <c r="BP37" i="23"/>
  <c r="BA63" i="27"/>
  <c r="BA70" i="27" s="1"/>
  <c r="BB60" i="27"/>
  <c r="BA67" i="27"/>
  <c r="BA23" i="27"/>
  <c r="BA27" i="27"/>
  <c r="BA54" i="27"/>
  <c r="BA57" i="27" s="1"/>
  <c r="BS271" i="3"/>
  <c r="BR276" i="3"/>
  <c r="BR319" i="3"/>
  <c r="BQ100" i="27"/>
  <c r="BR83" i="27"/>
  <c r="BR112" i="27" s="1"/>
  <c r="BQ120" i="27"/>
  <c r="BQ121" i="27" s="1"/>
  <c r="BQ84" i="27"/>
  <c r="BQ98" i="27"/>
  <c r="BS31" i="25"/>
  <c r="BT84" i="25"/>
  <c r="BS98" i="25"/>
  <c r="BX172" i="25"/>
  <c r="BW178" i="25"/>
  <c r="BO209" i="25"/>
  <c r="BN210" i="25"/>
  <c r="BT221" i="25"/>
  <c r="BS222" i="25"/>
  <c r="AO177" i="3"/>
  <c r="BT67" i="23"/>
  <c r="BS72" i="23"/>
  <c r="BN137" i="25"/>
  <c r="BN138" i="25" s="1"/>
  <c r="BN133" i="25"/>
  <c r="BM182" i="25"/>
  <c r="BM186" i="25"/>
  <c r="BM187" i="25" s="1"/>
  <c r="BL26" i="23"/>
  <c r="BL45" i="3"/>
  <c r="BL72" i="3" s="1"/>
  <c r="BL50" i="23"/>
  <c r="BR208" i="25"/>
  <c r="BP92" i="17"/>
  <c r="BP78" i="3"/>
  <c r="BQ125" i="25"/>
  <c r="BP134" i="25"/>
  <c r="BQ170" i="25"/>
  <c r="BP188" i="25"/>
  <c r="BP189" i="25" s="1"/>
  <c r="BN23" i="23"/>
  <c r="BN49" i="23"/>
  <c r="BN54" i="23"/>
  <c r="BN39" i="23"/>
  <c r="BN25" i="3"/>
  <c r="AY64" i="27"/>
  <c r="AY36" i="27"/>
  <c r="AY32" i="27"/>
  <c r="AZ25" i="27"/>
  <c r="AZ34" i="27"/>
  <c r="AZ46" i="3"/>
  <c r="AZ73" i="3" s="1"/>
  <c r="BT216" i="25"/>
  <c r="BU214" i="25"/>
  <c r="BU183" i="25"/>
  <c r="BV174" i="25"/>
  <c r="BR65" i="3"/>
  <c r="BR91" i="17"/>
  <c r="BA72" i="27"/>
  <c r="BA7" i="3"/>
  <c r="BA57" i="23"/>
  <c r="BA108" i="25"/>
  <c r="BB6" i="3"/>
  <c r="CM45" i="21"/>
  <c r="CL71" i="21"/>
  <c r="CG69" i="25"/>
  <c r="CF82" i="25"/>
  <c r="CF96" i="25" s="1"/>
  <c r="CK97" i="21"/>
  <c r="CK23" i="21"/>
  <c r="CK84" i="21"/>
  <c r="BT38" i="3"/>
  <c r="BX167" i="21"/>
  <c r="BW168" i="21"/>
  <c r="AA286" i="3"/>
  <c r="AA293" i="3" s="1"/>
  <c r="CK89" i="21"/>
  <c r="CK27" i="21"/>
  <c r="CK102" i="21"/>
  <c r="CO50" i="21"/>
  <c r="CN82" i="27"/>
  <c r="BQ93" i="27"/>
  <c r="BP104" i="27"/>
  <c r="BP105" i="27" s="1"/>
  <c r="CM63" i="21"/>
  <c r="CL76" i="21"/>
  <c r="BQ87" i="27"/>
  <c r="BR94" i="27"/>
  <c r="BQ95" i="27"/>
  <c r="BQ102" i="27"/>
  <c r="BQ103" i="27" s="1"/>
  <c r="CI51" i="21"/>
  <c r="CH77" i="21"/>
  <c r="AB263" i="3"/>
  <c r="AA42" i="17"/>
  <c r="AA14" i="17"/>
  <c r="BR93" i="3"/>
  <c r="AP28" i="3"/>
  <c r="AP21" i="25"/>
  <c r="AP65" i="25" s="1"/>
  <c r="BQ79" i="3"/>
  <c r="BQ93" i="17"/>
  <c r="BQ91" i="21"/>
  <c r="BQ104" i="21"/>
  <c r="BQ68" i="27"/>
  <c r="BQ29" i="27"/>
  <c r="BQ24" i="27"/>
  <c r="AY78" i="17"/>
  <c r="AY80" i="17" s="1"/>
  <c r="CG103" i="21"/>
  <c r="CG90" i="21"/>
  <c r="AA297" i="3"/>
  <c r="AA99" i="15"/>
  <c r="BA218" i="25"/>
  <c r="BA6" i="15"/>
  <c r="BA108" i="21"/>
  <c r="BA83" i="17"/>
  <c r="BA212" i="25"/>
  <c r="BA17" i="23"/>
  <c r="BA3" i="27"/>
  <c r="BA300" i="3"/>
  <c r="BA182" i="3"/>
  <c r="BA145" i="3"/>
  <c r="BA41" i="3"/>
  <c r="BA49" i="17"/>
  <c r="BA206" i="25"/>
  <c r="BA21" i="15"/>
  <c r="BA3" i="17"/>
  <c r="BA4" i="17" s="1"/>
  <c r="BA19" i="21"/>
  <c r="BA157" i="25"/>
  <c r="BA69" i="15"/>
  <c r="BA5" i="23"/>
  <c r="BA253" i="3"/>
  <c r="BA164" i="3"/>
  <c r="BA68" i="3"/>
  <c r="BA9" i="3"/>
  <c r="BA37" i="17"/>
  <c r="BA95" i="15"/>
  <c r="BA29" i="17"/>
  <c r="BA17" i="27"/>
  <c r="BA17" i="25"/>
  <c r="BA3" i="25"/>
  <c r="BA3" i="21"/>
  <c r="BA329" i="3"/>
  <c r="BA208" i="3"/>
  <c r="BA85" i="3"/>
  <c r="BA21" i="3"/>
  <c r="BA3" i="15"/>
  <c r="BA4" i="15" s="1"/>
  <c r="BA22" i="17"/>
  <c r="BA54" i="15"/>
  <c r="BA56" i="15" s="1"/>
  <c r="BA6" i="17"/>
  <c r="BA164" i="21"/>
  <c r="BA5" i="21"/>
  <c r="BA158" i="21"/>
  <c r="BA5" i="27"/>
  <c r="BA5" i="25"/>
  <c r="BA313" i="3"/>
  <c r="BA200" i="3"/>
  <c r="BA153" i="3"/>
  <c r="BB3" i="3"/>
  <c r="BO17" i="17"/>
  <c r="BN159" i="3"/>
  <c r="BX35" i="3"/>
  <c r="AP102" i="25"/>
  <c r="AP75" i="25"/>
  <c r="AP78" i="25" s="1"/>
  <c r="AP23" i="25"/>
  <c r="AP27" i="25"/>
  <c r="AP91" i="25"/>
  <c r="AP105" i="25" s="1"/>
  <c r="BR52" i="3"/>
  <c r="BS32" i="3"/>
  <c r="BQ27" i="3"/>
  <c r="BQ21" i="27"/>
  <c r="BQ51" i="27" s="1"/>
  <c r="BQ130" i="25"/>
  <c r="BQ154" i="25"/>
  <c r="BQ155" i="25" s="1"/>
  <c r="BR119" i="25"/>
  <c r="BX220" i="25"/>
  <c r="BR81" i="23"/>
  <c r="BR84" i="23"/>
  <c r="BR88" i="23"/>
  <c r="BR89" i="23" s="1"/>
  <c r="AX87" i="15"/>
  <c r="AZ76" i="15"/>
  <c r="AZ78" i="15" s="1"/>
  <c r="AZ57" i="15"/>
  <c r="BQ82" i="23"/>
  <c r="BQ86" i="23"/>
  <c r="BQ87" i="23" s="1"/>
  <c r="AA81" i="15"/>
  <c r="AA86" i="15" s="1"/>
  <c r="AA79" i="15"/>
  <c r="AA84" i="15" s="1"/>
  <c r="AA80" i="15"/>
  <c r="AA85" i="15" s="1"/>
  <c r="BR20" i="27"/>
  <c r="BR61" i="27"/>
  <c r="BR50" i="27"/>
  <c r="BS48" i="27"/>
  <c r="BZ74" i="23"/>
  <c r="CI55" i="25"/>
  <c r="AQ88" i="25"/>
  <c r="AQ19" i="25"/>
  <c r="AQ64" i="25"/>
  <c r="AY80" i="15"/>
  <c r="AY85" i="15" s="1"/>
  <c r="AY81" i="15"/>
  <c r="AY86" i="15" s="1"/>
  <c r="AY79" i="15"/>
  <c r="AY84" i="15" s="1"/>
  <c r="BQ147" i="25"/>
  <c r="BP47" i="3"/>
  <c r="BP74" i="3" s="1"/>
  <c r="BP35" i="27"/>
  <c r="BZ89" i="25"/>
  <c r="BZ103" i="25" s="1"/>
  <c r="CA62" i="25"/>
  <c r="BT73" i="23"/>
  <c r="BS83" i="23"/>
  <c r="CD167" i="25"/>
  <c r="BY78" i="23"/>
  <c r="AZ61" i="17"/>
  <c r="AZ73" i="17"/>
  <c r="AZ52" i="17"/>
  <c r="AZ74" i="17"/>
  <c r="AZ57" i="17"/>
  <c r="AZ59" i="17"/>
  <c r="AZ76" i="17"/>
  <c r="AZ64" i="17"/>
  <c r="AZ65" i="17"/>
  <c r="AZ70" i="17"/>
  <c r="AZ63" i="17"/>
  <c r="AZ62" i="17"/>
  <c r="AZ54" i="17"/>
  <c r="AZ77" i="17"/>
  <c r="AZ56" i="17"/>
  <c r="AZ68" i="17"/>
  <c r="AZ71" i="17"/>
  <c r="AZ58" i="17"/>
  <c r="AZ55" i="17"/>
  <c r="AZ67" i="17"/>
  <c r="AZ69" i="17"/>
  <c r="AZ72" i="17"/>
  <c r="AZ60" i="17"/>
  <c r="AZ66" i="17"/>
  <c r="AZ53" i="17"/>
  <c r="AZ75" i="17"/>
  <c r="CE166" i="21"/>
  <c r="BR78" i="21"/>
  <c r="BS52" i="21"/>
  <c r="AR112" i="25"/>
  <c r="AR113" i="25"/>
  <c r="BB160" i="25" l="1"/>
  <c r="BB161" i="25"/>
  <c r="BB193" i="25"/>
  <c r="AY64" i="15"/>
  <c r="AY230" i="3"/>
  <c r="AZ247" i="3"/>
  <c r="AZ248" i="3" s="1"/>
  <c r="BA193" i="3"/>
  <c r="AZ194" i="3"/>
  <c r="AY76" i="27"/>
  <c r="AY111" i="27" s="1"/>
  <c r="AY109" i="27"/>
  <c r="AY108" i="27"/>
  <c r="AY75" i="27"/>
  <c r="AY110" i="27"/>
  <c r="BB194" i="25"/>
  <c r="BB164" i="25"/>
  <c r="BC159" i="25" s="1"/>
  <c r="BC193" i="25" s="1"/>
  <c r="BR30" i="3"/>
  <c r="BR88" i="3" s="1"/>
  <c r="BR51" i="3"/>
  <c r="AX265" i="3"/>
  <c r="AX304" i="3"/>
  <c r="AX104" i="3"/>
  <c r="AX211" i="3"/>
  <c r="AW322" i="3"/>
  <c r="AW323" i="3" s="1"/>
  <c r="AW309" i="3"/>
  <c r="BC194" i="25"/>
  <c r="BB195" i="25"/>
  <c r="BK74" i="21"/>
  <c r="BL48" i="21"/>
  <c r="BJ87" i="21"/>
  <c r="BJ100" i="21"/>
  <c r="BS196" i="25"/>
  <c r="BD113" i="21"/>
  <c r="BD111" i="21"/>
  <c r="BD112" i="21"/>
  <c r="BR147" i="25"/>
  <c r="BT86" i="21"/>
  <c r="BT26" i="21"/>
  <c r="BT99" i="21"/>
  <c r="BT136" i="21"/>
  <c r="BD144" i="21"/>
  <c r="AZ24" i="25"/>
  <c r="AZ68" i="25"/>
  <c r="AZ95" i="25"/>
  <c r="BA81" i="25"/>
  <c r="BV60" i="21"/>
  <c r="BU73" i="21"/>
  <c r="BS203" i="25"/>
  <c r="BS204" i="25" s="1"/>
  <c r="BT168" i="25"/>
  <c r="BS179" i="25"/>
  <c r="BS184" i="25"/>
  <c r="CO30" i="27"/>
  <c r="CO56" i="27"/>
  <c r="CO21" i="27"/>
  <c r="CO51" i="27" s="1"/>
  <c r="CO26" i="3"/>
  <c r="CP62" i="27"/>
  <c r="CP19" i="27"/>
  <c r="BV20" i="17"/>
  <c r="BW17" i="21"/>
  <c r="BW99" i="27"/>
  <c r="BW97" i="27" s="1"/>
  <c r="BX89" i="27"/>
  <c r="BP85" i="25"/>
  <c r="BQ58" i="25"/>
  <c r="BQ30" i="25"/>
  <c r="BQ73" i="25"/>
  <c r="BQ100" i="25"/>
  <c r="BU336" i="3"/>
  <c r="BV289" i="3"/>
  <c r="BT134" i="21"/>
  <c r="BS288" i="3"/>
  <c r="BR335" i="3"/>
  <c r="BO29" i="25"/>
  <c r="BO99" i="25"/>
  <c r="BS37" i="3"/>
  <c r="BR34" i="3"/>
  <c r="BR89" i="3" s="1"/>
  <c r="BR81" i="3"/>
  <c r="BT272" i="3"/>
  <c r="BS9" i="17"/>
  <c r="BU68" i="23"/>
  <c r="BT102" i="23"/>
  <c r="BT103" i="23" s="1"/>
  <c r="BT79" i="23"/>
  <c r="BR86" i="25"/>
  <c r="BS59" i="25"/>
  <c r="BU135" i="21"/>
  <c r="BU133" i="21" s="1"/>
  <c r="BU138" i="21" s="1"/>
  <c r="BU139" i="21" s="1"/>
  <c r="BV125" i="21"/>
  <c r="BP64" i="3"/>
  <c r="BP90" i="17"/>
  <c r="BW174" i="25"/>
  <c r="BV183" i="25"/>
  <c r="BV214" i="25"/>
  <c r="BU216" i="25"/>
  <c r="AZ64" i="27"/>
  <c r="AZ32" i="27"/>
  <c r="AZ36" i="27"/>
  <c r="BR170" i="25"/>
  <c r="BQ188" i="25"/>
  <c r="BQ189" i="25" s="1"/>
  <c r="BR125" i="25"/>
  <c r="BQ134" i="25"/>
  <c r="BS208" i="25"/>
  <c r="BT98" i="25"/>
  <c r="BU84" i="25"/>
  <c r="BT31" i="25"/>
  <c r="BA25" i="27"/>
  <c r="BA46" i="3"/>
  <c r="BA73" i="3" s="1"/>
  <c r="BA34" i="27"/>
  <c r="BB54" i="27"/>
  <c r="BB57" i="27" s="1"/>
  <c r="BB27" i="27"/>
  <c r="BB23" i="27"/>
  <c r="BB67" i="27"/>
  <c r="BB63" i="27"/>
  <c r="BB70" i="27" s="1"/>
  <c r="BC60" i="27"/>
  <c r="BQ37" i="23"/>
  <c r="BP19" i="23"/>
  <c r="BP48" i="23"/>
  <c r="BP38" i="23"/>
  <c r="BO39" i="23"/>
  <c r="BO25" i="3"/>
  <c r="BO137" i="25"/>
  <c r="BO138" i="25" s="1"/>
  <c r="BO133" i="25"/>
  <c r="BR50" i="3"/>
  <c r="BR77" i="3" s="1"/>
  <c r="BS31" i="3"/>
  <c r="BS51" i="3" s="1"/>
  <c r="BM26" i="23"/>
  <c r="BM45" i="3"/>
  <c r="BM72" i="3" s="1"/>
  <c r="BM50" i="23"/>
  <c r="BP175" i="25"/>
  <c r="BO181" i="25"/>
  <c r="BV160" i="21"/>
  <c r="BU162" i="21"/>
  <c r="AN114" i="15"/>
  <c r="AN113" i="15"/>
  <c r="BN55" i="23"/>
  <c r="BN20" i="23"/>
  <c r="BP132" i="25"/>
  <c r="BP139" i="25"/>
  <c r="BP140" i="25" s="1"/>
  <c r="BP135" i="25"/>
  <c r="BU67" i="23"/>
  <c r="BT72" i="23"/>
  <c r="AO179" i="3"/>
  <c r="AO168" i="3"/>
  <c r="AO170" i="3" s="1"/>
  <c r="AO180" i="3"/>
  <c r="BU221" i="25"/>
  <c r="BT222" i="25"/>
  <c r="BP209" i="25"/>
  <c r="BO210" i="25"/>
  <c r="BY172" i="25"/>
  <c r="BX178" i="25"/>
  <c r="BS65" i="3"/>
  <c r="BS91" i="17"/>
  <c r="BR120" i="27"/>
  <c r="BR121" i="27" s="1"/>
  <c r="BR84" i="27"/>
  <c r="BR100" i="27"/>
  <c r="BS83" i="27"/>
  <c r="BR98" i="27"/>
  <c r="BT271" i="3"/>
  <c r="BS276" i="3"/>
  <c r="BS319" i="3"/>
  <c r="BO54" i="23"/>
  <c r="BO23" i="23"/>
  <c r="BO49" i="23"/>
  <c r="BS123" i="21"/>
  <c r="BT129" i="21"/>
  <c r="BS140" i="21"/>
  <c r="BS141" i="21" s="1"/>
  <c r="BV256" i="3"/>
  <c r="BQ92" i="17"/>
  <c r="BQ78" i="3"/>
  <c r="BU259" i="3"/>
  <c r="BT321" i="3"/>
  <c r="BN186" i="25"/>
  <c r="BN187" i="25" s="1"/>
  <c r="BN182" i="25"/>
  <c r="BU131" i="21"/>
  <c r="BV119" i="21"/>
  <c r="BU155" i="21"/>
  <c r="BU156" i="21" s="1"/>
  <c r="BU149" i="21"/>
  <c r="CL97" i="21"/>
  <c r="CL84" i="21"/>
  <c r="CL23" i="21"/>
  <c r="BB108" i="25"/>
  <c r="BB57" i="23"/>
  <c r="BB72" i="27"/>
  <c r="BC6" i="3"/>
  <c r="BB7" i="3"/>
  <c r="CM71" i="21"/>
  <c r="CN45" i="21"/>
  <c r="CH69" i="25"/>
  <c r="CG82" i="25"/>
  <c r="CG96" i="25" s="1"/>
  <c r="BU38" i="3"/>
  <c r="CN63" i="21"/>
  <c r="CM76" i="21"/>
  <c r="BY167" i="21"/>
  <c r="BX168" i="21"/>
  <c r="CP50" i="21"/>
  <c r="AR115" i="25"/>
  <c r="AS110" i="25" s="1"/>
  <c r="AS113" i="25" s="1"/>
  <c r="BR95" i="27"/>
  <c r="BS94" i="27"/>
  <c r="BR87" i="27"/>
  <c r="BR102" i="27"/>
  <c r="BR103" i="27" s="1"/>
  <c r="BR93" i="27"/>
  <c r="BQ104" i="27"/>
  <c r="BQ105" i="27" s="1"/>
  <c r="CO82" i="27"/>
  <c r="CL89" i="21"/>
  <c r="CL102" i="21"/>
  <c r="CL27" i="21"/>
  <c r="BT52" i="21"/>
  <c r="BS78" i="21"/>
  <c r="AZ78" i="17"/>
  <c r="AZ80" i="17" s="1"/>
  <c r="BU73" i="23"/>
  <c r="BT83" i="23"/>
  <c r="CJ55" i="25"/>
  <c r="BR68" i="27"/>
  <c r="BR29" i="27"/>
  <c r="BR24" i="27"/>
  <c r="BS52" i="3"/>
  <c r="BT32" i="3"/>
  <c r="BS30" i="3"/>
  <c r="BS88" i="3" s="1"/>
  <c r="BA57" i="15"/>
  <c r="BA76" i="15"/>
  <c r="BA78" i="15" s="1"/>
  <c r="BQ35" i="27"/>
  <c r="BQ47" i="3"/>
  <c r="BQ74" i="3" s="1"/>
  <c r="CI77" i="21"/>
  <c r="CJ51" i="21"/>
  <c r="AR146" i="25"/>
  <c r="BR91" i="21"/>
  <c r="BR104" i="21"/>
  <c r="CE167" i="25"/>
  <c r="CA89" i="25"/>
  <c r="CA103" i="25" s="1"/>
  <c r="CB62" i="25"/>
  <c r="AY87" i="15"/>
  <c r="AQ21" i="25"/>
  <c r="AQ65" i="25" s="1"/>
  <c r="AQ28" i="3"/>
  <c r="CA74" i="23"/>
  <c r="BR27" i="3"/>
  <c r="BR21" i="27"/>
  <c r="BR51" i="27" s="1"/>
  <c r="AA87" i="15"/>
  <c r="BR154" i="25"/>
  <c r="BR155" i="25" s="1"/>
  <c r="BR130" i="25"/>
  <c r="BS119" i="25"/>
  <c r="BR79" i="3"/>
  <c r="BR93" i="17"/>
  <c r="BP17" i="17"/>
  <c r="BO159" i="3"/>
  <c r="BA62" i="17"/>
  <c r="BA60" i="17"/>
  <c r="BA66" i="17"/>
  <c r="BA52" i="17"/>
  <c r="BA56" i="17"/>
  <c r="BA69" i="17"/>
  <c r="BA54" i="17"/>
  <c r="BA67" i="17"/>
  <c r="BA57" i="17"/>
  <c r="BA58" i="17"/>
  <c r="BA77" i="17"/>
  <c r="BA73" i="17"/>
  <c r="BA61" i="17"/>
  <c r="BA71" i="17"/>
  <c r="BA59" i="17"/>
  <c r="BA75" i="17"/>
  <c r="BA63" i="17"/>
  <c r="BA68" i="17"/>
  <c r="BA72" i="17"/>
  <c r="BA53" i="17"/>
  <c r="BA70" i="17"/>
  <c r="BA76" i="17"/>
  <c r="BA74" i="17"/>
  <c r="BA55" i="17"/>
  <c r="BA65" i="17"/>
  <c r="BA64" i="17"/>
  <c r="BS93" i="3"/>
  <c r="AB269" i="3"/>
  <c r="CF166" i="21"/>
  <c r="BZ78" i="23"/>
  <c r="AQ102" i="25"/>
  <c r="AQ75" i="25"/>
  <c r="AQ78" i="25" s="1"/>
  <c r="AQ23" i="25"/>
  <c r="AQ91" i="25"/>
  <c r="AQ105" i="25" s="1"/>
  <c r="AQ27" i="25"/>
  <c r="BS61" i="27"/>
  <c r="BS50" i="27"/>
  <c r="BT48" i="27"/>
  <c r="BS20" i="27"/>
  <c r="AZ81" i="15"/>
  <c r="AZ86" i="15" s="1"/>
  <c r="AZ79" i="15"/>
  <c r="AZ84" i="15" s="1"/>
  <c r="AZ80" i="15"/>
  <c r="AZ85" i="15" s="1"/>
  <c r="BR86" i="23"/>
  <c r="BR87" i="23" s="1"/>
  <c r="BR82" i="23"/>
  <c r="AP61" i="3"/>
  <c r="AP87" i="17"/>
  <c r="BY35" i="3"/>
  <c r="BB54" i="15"/>
  <c r="BB56" i="15" s="1"/>
  <c r="BB6" i="17"/>
  <c r="BB3" i="15"/>
  <c r="BB4" i="15" s="1"/>
  <c r="BB22" i="17"/>
  <c r="BB3" i="25"/>
  <c r="BB5" i="25"/>
  <c r="BB3" i="21"/>
  <c r="BB5" i="23"/>
  <c r="BB313" i="3"/>
  <c r="BB164" i="3"/>
  <c r="BB145" i="3"/>
  <c r="BC3" i="3"/>
  <c r="BB69" i="15"/>
  <c r="BB218" i="25"/>
  <c r="BB157" i="25"/>
  <c r="BB5" i="27"/>
  <c r="BB17" i="27"/>
  <c r="BB164" i="21"/>
  <c r="BB21" i="15"/>
  <c r="BB83" i="17"/>
  <c r="BB49" i="17"/>
  <c r="BB206" i="25"/>
  <c r="BB17" i="25"/>
  <c r="BB17" i="23"/>
  <c r="BB3" i="27"/>
  <c r="BB108" i="21"/>
  <c r="BB253" i="3"/>
  <c r="BB200" i="3"/>
  <c r="BB41" i="3"/>
  <c r="BB21" i="3"/>
  <c r="BB95" i="15"/>
  <c r="BB29" i="17"/>
  <c r="BB212" i="25"/>
  <c r="BB37" i="17"/>
  <c r="BB3" i="17"/>
  <c r="BB4" i="17" s="1"/>
  <c r="BB158" i="21"/>
  <c r="BB6" i="15"/>
  <c r="BB5" i="21"/>
  <c r="BB19" i="21"/>
  <c r="BB329" i="3"/>
  <c r="BB182" i="3"/>
  <c r="BB153" i="3"/>
  <c r="BB9" i="3"/>
  <c r="BB68" i="3"/>
  <c r="BB300" i="3"/>
  <c r="BB208" i="3"/>
  <c r="BB85" i="3"/>
  <c r="BS84" i="23"/>
  <c r="BS81" i="23"/>
  <c r="BS88" i="23"/>
  <c r="BS89" i="23" s="1"/>
  <c r="BY220" i="25"/>
  <c r="AP34" i="25"/>
  <c r="AP48" i="3"/>
  <c r="AP25" i="25"/>
  <c r="CH90" i="21"/>
  <c r="CH103" i="21"/>
  <c r="BC160" i="25" l="1"/>
  <c r="BC192" i="25"/>
  <c r="BC162" i="25"/>
  <c r="BC195" i="25" s="1"/>
  <c r="BC197" i="25" s="1"/>
  <c r="BC198" i="25" s="1"/>
  <c r="BC199" i="25" s="1"/>
  <c r="BC54" i="25" s="1"/>
  <c r="BC161" i="25"/>
  <c r="BC164" i="25" s="1"/>
  <c r="BD159" i="25" s="1"/>
  <c r="BS147" i="25"/>
  <c r="BA185" i="3"/>
  <c r="BA192" i="3" s="1"/>
  <c r="AY79" i="27"/>
  <c r="AZ74" i="27" s="1"/>
  <c r="BB193" i="3"/>
  <c r="BB246" i="3" s="1"/>
  <c r="BA246" i="3"/>
  <c r="BB197" i="25"/>
  <c r="BB198" i="25" s="1"/>
  <c r="BB199" i="25" s="1"/>
  <c r="BB54" i="25" s="1"/>
  <c r="BB20" i="25" s="1"/>
  <c r="BB29" i="3" s="1"/>
  <c r="AY114" i="27"/>
  <c r="AY115" i="27" s="1"/>
  <c r="AY116" i="27" s="1"/>
  <c r="AZ198" i="3"/>
  <c r="AZ223" i="3"/>
  <c r="AX305" i="3"/>
  <c r="AX303" i="3" s="1"/>
  <c r="AY103" i="3"/>
  <c r="AX320" i="3"/>
  <c r="BD147" i="21"/>
  <c r="BD150" i="21" s="1"/>
  <c r="BD151" i="21" s="1"/>
  <c r="AX105" i="3"/>
  <c r="AX63" i="15"/>
  <c r="AX267" i="3"/>
  <c r="AX212" i="3"/>
  <c r="AY104" i="3"/>
  <c r="BU134" i="21"/>
  <c r="BD115" i="21"/>
  <c r="BE110" i="21" s="1"/>
  <c r="BE111" i="21" s="1"/>
  <c r="AR143" i="25"/>
  <c r="BL74" i="21"/>
  <c r="BM48" i="21"/>
  <c r="BK87" i="21"/>
  <c r="BK100" i="21"/>
  <c r="BT203" i="25"/>
  <c r="BT204" i="25" s="1"/>
  <c r="BU168" i="25"/>
  <c r="BT179" i="25"/>
  <c r="BT184" i="25"/>
  <c r="BT196" i="25"/>
  <c r="BV73" i="21"/>
  <c r="BW60" i="21"/>
  <c r="AZ35" i="25"/>
  <c r="AZ49" i="3"/>
  <c r="AZ76" i="3" s="1"/>
  <c r="BU26" i="21"/>
  <c r="BU86" i="21"/>
  <c r="BU99" i="21"/>
  <c r="BA68" i="25"/>
  <c r="BA24" i="25"/>
  <c r="BA95" i="25"/>
  <c r="BV149" i="21"/>
  <c r="CP26" i="3"/>
  <c r="CP21" i="27"/>
  <c r="CP51" i="27" s="1"/>
  <c r="BW20" i="17"/>
  <c r="BX17" i="21"/>
  <c r="CP56" i="27"/>
  <c r="CP30" i="27"/>
  <c r="BR100" i="25"/>
  <c r="BR73" i="25"/>
  <c r="BR30" i="25"/>
  <c r="BT37" i="3"/>
  <c r="BS34" i="3"/>
  <c r="BS89" i="3" s="1"/>
  <c r="BS81" i="3"/>
  <c r="BT288" i="3"/>
  <c r="BS335" i="3"/>
  <c r="BR58" i="25"/>
  <c r="BQ85" i="25"/>
  <c r="BX99" i="27"/>
  <c r="BX97" i="27" s="1"/>
  <c r="BY89" i="27"/>
  <c r="BU136" i="21"/>
  <c r="BV135" i="21"/>
  <c r="BV133" i="21" s="1"/>
  <c r="BV138" i="21" s="1"/>
  <c r="BV139" i="21" s="1"/>
  <c r="BW125" i="21"/>
  <c r="BT59" i="25"/>
  <c r="BS86" i="25"/>
  <c r="BU102" i="23"/>
  <c r="BU103" i="23" s="1"/>
  <c r="BV68" i="23"/>
  <c r="BU79" i="23"/>
  <c r="BU272" i="3"/>
  <c r="BT9" i="17"/>
  <c r="BW289" i="3"/>
  <c r="BV336" i="3"/>
  <c r="BQ90" i="17"/>
  <c r="BQ64" i="3"/>
  <c r="BP99" i="25"/>
  <c r="BP29" i="25"/>
  <c r="BW256" i="3"/>
  <c r="BU271" i="3"/>
  <c r="BT276" i="3"/>
  <c r="BT319" i="3"/>
  <c r="BS100" i="27"/>
  <c r="BT83" i="27"/>
  <c r="BS84" i="27"/>
  <c r="BS98" i="27"/>
  <c r="BS120" i="27"/>
  <c r="BS121" i="27" s="1"/>
  <c r="BV67" i="23"/>
  <c r="BU72" i="23"/>
  <c r="BN50" i="23"/>
  <c r="BN45" i="3"/>
  <c r="BN72" i="3" s="1"/>
  <c r="BN26" i="23"/>
  <c r="BO186" i="25"/>
  <c r="BO187" i="25" s="1"/>
  <c r="BO182" i="25"/>
  <c r="BR92" i="17"/>
  <c r="BR78" i="3"/>
  <c r="BP23" i="23"/>
  <c r="BP54" i="23"/>
  <c r="BP49" i="23"/>
  <c r="BQ48" i="23"/>
  <c r="BQ19" i="23"/>
  <c r="BQ38" i="23"/>
  <c r="BR37" i="23"/>
  <c r="BB25" i="27"/>
  <c r="BB34" i="27"/>
  <c r="BB46" i="3"/>
  <c r="BB73" i="3" s="1"/>
  <c r="BT65" i="3"/>
  <c r="BT91" i="17"/>
  <c r="BT208" i="25"/>
  <c r="BR134" i="25"/>
  <c r="BS125" i="25"/>
  <c r="BR188" i="25"/>
  <c r="BR189" i="25" s="1"/>
  <c r="BS170" i="25"/>
  <c r="BE113" i="21"/>
  <c r="BE146" i="21"/>
  <c r="BE145" i="21"/>
  <c r="BW119" i="21"/>
  <c r="BV131" i="21"/>
  <c r="BV155" i="21"/>
  <c r="BV156" i="21" s="1"/>
  <c r="BV136" i="21"/>
  <c r="BV259" i="3"/>
  <c r="BU321" i="3"/>
  <c r="BT140" i="21"/>
  <c r="BT141" i="21" s="1"/>
  <c r="BT123" i="21"/>
  <c r="BU129" i="21"/>
  <c r="BO20" i="23"/>
  <c r="BO55" i="23"/>
  <c r="BZ172" i="25"/>
  <c r="BY178" i="25"/>
  <c r="BQ209" i="25"/>
  <c r="BP210" i="25"/>
  <c r="BV221" i="25"/>
  <c r="BU222" i="25"/>
  <c r="AO106" i="15"/>
  <c r="AO173" i="3"/>
  <c r="AO340" i="3" s="1"/>
  <c r="AP167" i="3"/>
  <c r="AO171" i="3"/>
  <c r="BP137" i="25"/>
  <c r="BP138" i="25" s="1"/>
  <c r="BP133" i="25"/>
  <c r="BW160" i="21"/>
  <c r="BV162" i="21"/>
  <c r="BQ175" i="25"/>
  <c r="BP181" i="25"/>
  <c r="BT31" i="3"/>
  <c r="BP39" i="23"/>
  <c r="BP25" i="3"/>
  <c r="BC27" i="27"/>
  <c r="BC54" i="27"/>
  <c r="BC57" i="27" s="1"/>
  <c r="BC23" i="27"/>
  <c r="BD60" i="27"/>
  <c r="BC67" i="27"/>
  <c r="BC63" i="27"/>
  <c r="BC70" i="27" s="1"/>
  <c r="BA64" i="27"/>
  <c r="BA36" i="27"/>
  <c r="BA32" i="27"/>
  <c r="BV84" i="25"/>
  <c r="BU98" i="25"/>
  <c r="BU31" i="25"/>
  <c r="BQ139" i="25"/>
  <c r="BQ140" i="25" s="1"/>
  <c r="BQ132" i="25"/>
  <c r="BQ135" i="25"/>
  <c r="BV216" i="25"/>
  <c r="BW214" i="25"/>
  <c r="BW183" i="25"/>
  <c r="BX174" i="25"/>
  <c r="BS112" i="27"/>
  <c r="CI69" i="25"/>
  <c r="CH82" i="25"/>
  <c r="CH96" i="25" s="1"/>
  <c r="CN71" i="21"/>
  <c r="CO45" i="21"/>
  <c r="CM97" i="21"/>
  <c r="CM23" i="21"/>
  <c r="CM84" i="21"/>
  <c r="BC57" i="23"/>
  <c r="BD6" i="3"/>
  <c r="BC108" i="25"/>
  <c r="BC72" i="27"/>
  <c r="BC7" i="3"/>
  <c r="BV38" i="3"/>
  <c r="BZ167" i="21"/>
  <c r="BY168" i="21"/>
  <c r="CO63" i="21"/>
  <c r="CN76" i="21"/>
  <c r="CP82" i="27"/>
  <c r="BS87" i="27"/>
  <c r="BT94" i="27"/>
  <c r="BS95" i="27"/>
  <c r="BS102" i="27"/>
  <c r="BS103" i="27" s="1"/>
  <c r="BR104" i="27"/>
  <c r="BR105" i="27" s="1"/>
  <c r="BS93" i="27"/>
  <c r="CM89" i="21"/>
  <c r="CM27" i="21"/>
  <c r="CM102" i="21"/>
  <c r="AP75" i="3"/>
  <c r="BB59" i="17"/>
  <c r="BB62" i="17"/>
  <c r="BB63" i="17"/>
  <c r="BB69" i="17"/>
  <c r="BB77" i="17"/>
  <c r="BB53" i="17"/>
  <c r="BB52" i="17"/>
  <c r="BB74" i="17"/>
  <c r="BB54" i="17"/>
  <c r="BB66" i="17"/>
  <c r="BB64" i="17"/>
  <c r="BB61" i="17"/>
  <c r="BB57" i="17"/>
  <c r="BB65" i="17"/>
  <c r="BB75" i="17"/>
  <c r="BB70" i="17"/>
  <c r="BB58" i="17"/>
  <c r="BB72" i="17"/>
  <c r="BB56" i="17"/>
  <c r="BB73" i="17"/>
  <c r="BB67" i="17"/>
  <c r="BB71" i="17"/>
  <c r="BB76" i="17"/>
  <c r="BB60" i="17"/>
  <c r="BB55" i="17"/>
  <c r="BB68" i="17"/>
  <c r="BB57" i="15"/>
  <c r="BB76" i="15"/>
  <c r="BB78" i="15" s="1"/>
  <c r="BT50" i="27"/>
  <c r="BU48" i="27"/>
  <c r="BT61" i="27"/>
  <c r="BT20" i="27"/>
  <c r="CA78" i="23"/>
  <c r="CG166" i="21"/>
  <c r="BA78" i="17"/>
  <c r="BA80" i="17" s="1"/>
  <c r="CB74" i="23"/>
  <c r="CF167" i="25"/>
  <c r="CI103" i="21"/>
  <c r="CI90" i="21"/>
  <c r="BT52" i="3"/>
  <c r="BU32" i="3"/>
  <c r="BR35" i="27"/>
  <c r="BR47" i="3"/>
  <c r="BR74" i="3" s="1"/>
  <c r="CK55" i="25"/>
  <c r="BV73" i="23"/>
  <c r="BU83" i="23"/>
  <c r="AS112" i="25"/>
  <c r="AS111" i="25"/>
  <c r="BZ220" i="25"/>
  <c r="BC83" i="17"/>
  <c r="BC21" i="15"/>
  <c r="BC17" i="27"/>
  <c r="BC37" i="17"/>
  <c r="BC3" i="25"/>
  <c r="BC3" i="21"/>
  <c r="BC206" i="25"/>
  <c r="BC22" i="17"/>
  <c r="BC69" i="15"/>
  <c r="BC3" i="17"/>
  <c r="BC4" i="17" s="1"/>
  <c r="BC29" i="17"/>
  <c r="BC5" i="21"/>
  <c r="BC218" i="25"/>
  <c r="BC164" i="21"/>
  <c r="BC17" i="25"/>
  <c r="BC329" i="3"/>
  <c r="BC208" i="3"/>
  <c r="BC85" i="3"/>
  <c r="BC21" i="3"/>
  <c r="BC95" i="15"/>
  <c r="BC6" i="17"/>
  <c r="BC49" i="17"/>
  <c r="BC5" i="27"/>
  <c r="BC3" i="15"/>
  <c r="BC4" i="15" s="1"/>
  <c r="BC158" i="21"/>
  <c r="BC313" i="3"/>
  <c r="BC200" i="3"/>
  <c r="BC153" i="3"/>
  <c r="BC41" i="3"/>
  <c r="BC212" i="25"/>
  <c r="BC54" i="15"/>
  <c r="BC56" i="15" s="1"/>
  <c r="BC5" i="25"/>
  <c r="BC108" i="21"/>
  <c r="BC17" i="23"/>
  <c r="BC300" i="3"/>
  <c r="BC182" i="3"/>
  <c r="BC145" i="3"/>
  <c r="BC9" i="3"/>
  <c r="BC6" i="15"/>
  <c r="BC3" i="27"/>
  <c r="BC19" i="21"/>
  <c r="BC5" i="23"/>
  <c r="BC157" i="25"/>
  <c r="BC253" i="3"/>
  <c r="BC164" i="3"/>
  <c r="BC68" i="3"/>
  <c r="BD3" i="3"/>
  <c r="AQ48" i="3"/>
  <c r="AQ25" i="25"/>
  <c r="AQ34" i="25"/>
  <c r="BS79" i="3"/>
  <c r="BS93" i="17"/>
  <c r="BS50" i="3"/>
  <c r="BS77" i="3" s="1"/>
  <c r="BS104" i="21"/>
  <c r="BS91" i="21"/>
  <c r="BS86" i="23"/>
  <c r="BS87" i="23" s="1"/>
  <c r="BS82" i="23"/>
  <c r="BZ35" i="3"/>
  <c r="AZ87" i="15"/>
  <c r="BS68" i="27"/>
  <c r="BS29" i="27"/>
  <c r="BS24" i="27"/>
  <c r="BT119" i="25"/>
  <c r="BT147" i="25" s="1"/>
  <c r="BS154" i="25"/>
  <c r="BS155" i="25" s="1"/>
  <c r="BS130" i="25"/>
  <c r="CC62" i="25"/>
  <c r="CC89" i="25" s="1"/>
  <c r="CB89" i="25"/>
  <c r="CB103" i="25" s="1"/>
  <c r="BU52" i="21"/>
  <c r="BT78" i="21"/>
  <c r="AP32" i="25"/>
  <c r="AP36" i="25"/>
  <c r="AP92" i="25"/>
  <c r="BS27" i="3"/>
  <c r="BS21" i="27"/>
  <c r="BS51" i="27" s="1"/>
  <c r="AQ61" i="3"/>
  <c r="AQ87" i="17"/>
  <c r="BT93" i="3"/>
  <c r="BQ17" i="17"/>
  <c r="BP159" i="3"/>
  <c r="CK51" i="21"/>
  <c r="CJ77" i="21"/>
  <c r="BA80" i="15"/>
  <c r="BA85" i="15" s="1"/>
  <c r="BA79" i="15"/>
  <c r="BA84" i="15" s="1"/>
  <c r="BA81" i="15"/>
  <c r="BA86" i="15" s="1"/>
  <c r="BT81" i="23"/>
  <c r="BT84" i="23"/>
  <c r="BT88" i="23"/>
  <c r="BT89" i="23" s="1"/>
  <c r="AR149" i="25"/>
  <c r="AR150" i="25" s="1"/>
  <c r="AR61" i="25" s="1"/>
  <c r="BD192" i="25" l="1"/>
  <c r="BD193" i="25"/>
  <c r="BD161" i="25"/>
  <c r="BD162" i="25"/>
  <c r="BD164" i="25" s="1"/>
  <c r="BE159" i="25" s="1"/>
  <c r="AZ110" i="27"/>
  <c r="AZ108" i="27"/>
  <c r="AZ77" i="27"/>
  <c r="AZ76" i="27"/>
  <c r="AZ109" i="27"/>
  <c r="AZ75" i="27"/>
  <c r="BV134" i="21"/>
  <c r="BE144" i="21"/>
  <c r="BE112" i="21"/>
  <c r="BD160" i="25"/>
  <c r="BD194" i="25"/>
  <c r="AZ64" i="15"/>
  <c r="AZ230" i="3"/>
  <c r="BB81" i="25"/>
  <c r="BA247" i="3"/>
  <c r="BA248" i="3" s="1"/>
  <c r="BA194" i="3"/>
  <c r="AY105" i="3"/>
  <c r="AY212" i="3"/>
  <c r="AY265" i="3"/>
  <c r="AY211" i="3"/>
  <c r="AY63" i="15"/>
  <c r="BT30" i="3"/>
  <c r="BT88" i="3" s="1"/>
  <c r="BT51" i="3"/>
  <c r="BT50" i="3" s="1"/>
  <c r="AX322" i="3"/>
  <c r="AX323" i="3" s="1"/>
  <c r="AX309" i="3"/>
  <c r="AY267" i="3"/>
  <c r="AY304" i="3"/>
  <c r="BC81" i="25"/>
  <c r="BC24" i="25" s="1"/>
  <c r="BC20" i="25"/>
  <c r="BC29" i="3" s="1"/>
  <c r="BN48" i="21"/>
  <c r="BM74" i="21"/>
  <c r="BL100" i="21"/>
  <c r="BL87" i="21"/>
  <c r="BA49" i="3"/>
  <c r="BA76" i="3" s="1"/>
  <c r="BA35" i="25"/>
  <c r="BD195" i="25"/>
  <c r="BD197" i="25" s="1"/>
  <c r="BV86" i="21"/>
  <c r="BV99" i="21"/>
  <c r="BV26" i="21"/>
  <c r="BU203" i="25"/>
  <c r="BU204" i="25" s="1"/>
  <c r="BV168" i="25"/>
  <c r="BU179" i="25"/>
  <c r="BU184" i="25"/>
  <c r="BC68" i="25"/>
  <c r="BW73" i="21"/>
  <c r="BX60" i="21"/>
  <c r="BU196" i="25"/>
  <c r="BX20" i="17"/>
  <c r="BY17" i="21"/>
  <c r="BW336" i="3"/>
  <c r="BX289" i="3"/>
  <c r="BU9" i="17"/>
  <c r="BV272" i="3"/>
  <c r="BV102" i="23"/>
  <c r="BV103" i="23" s="1"/>
  <c r="BW68" i="23"/>
  <c r="BV79" i="23"/>
  <c r="BS100" i="25"/>
  <c r="BS30" i="25"/>
  <c r="BS73" i="25"/>
  <c r="BX125" i="21"/>
  <c r="BW135" i="21"/>
  <c r="BW133" i="21" s="1"/>
  <c r="BW138" i="21" s="1"/>
  <c r="BW139" i="21" s="1"/>
  <c r="BS58" i="25"/>
  <c r="BR85" i="25"/>
  <c r="BT81" i="3"/>
  <c r="BU37" i="3"/>
  <c r="BT34" i="3"/>
  <c r="BT89" i="3" s="1"/>
  <c r="BT112" i="27"/>
  <c r="BE147" i="21"/>
  <c r="BE150" i="21" s="1"/>
  <c r="BE151" i="21" s="1"/>
  <c r="BT86" i="25"/>
  <c r="BU59" i="25"/>
  <c r="BZ89" i="27"/>
  <c r="BY99" i="27"/>
  <c r="BY97" i="27" s="1"/>
  <c r="BQ99" i="25"/>
  <c r="BQ29" i="25"/>
  <c r="BT335" i="3"/>
  <c r="BU288" i="3"/>
  <c r="BR64" i="3"/>
  <c r="BR90" i="17"/>
  <c r="BX183" i="25"/>
  <c r="BY174" i="25"/>
  <c r="BX214" i="25"/>
  <c r="BW216" i="25"/>
  <c r="BU65" i="3"/>
  <c r="BU91" i="17"/>
  <c r="BW84" i="25"/>
  <c r="BV98" i="25"/>
  <c r="BV31" i="25"/>
  <c r="BD67" i="27"/>
  <c r="BE60" i="27"/>
  <c r="BD54" i="27"/>
  <c r="BD57" i="27" s="1"/>
  <c r="BD63" i="27"/>
  <c r="BD70" i="27" s="1"/>
  <c r="BD27" i="27"/>
  <c r="BD23" i="27"/>
  <c r="BU31" i="3"/>
  <c r="BP182" i="25"/>
  <c r="BP186" i="25"/>
  <c r="BP187" i="25" s="1"/>
  <c r="AO104" i="15"/>
  <c r="AO172" i="3"/>
  <c r="AO105" i="15" s="1"/>
  <c r="BU123" i="21"/>
  <c r="BV129" i="21"/>
  <c r="BU140" i="21"/>
  <c r="BU141" i="21" s="1"/>
  <c r="BW259" i="3"/>
  <c r="BV321" i="3"/>
  <c r="BS188" i="25"/>
  <c r="BS189" i="25" s="1"/>
  <c r="BT170" i="25"/>
  <c r="BT125" i="25"/>
  <c r="BS134" i="25"/>
  <c r="BS37" i="23"/>
  <c r="BR19" i="23"/>
  <c r="BR48" i="23"/>
  <c r="BR38" i="23"/>
  <c r="BQ25" i="3"/>
  <c r="BQ39" i="23"/>
  <c r="BP20" i="23"/>
  <c r="BP55" i="23"/>
  <c r="BW67" i="23"/>
  <c r="BV72" i="23"/>
  <c r="AS115" i="25"/>
  <c r="AT110" i="25" s="1"/>
  <c r="AT111" i="25" s="1"/>
  <c r="BQ137" i="25"/>
  <c r="BQ138" i="25" s="1"/>
  <c r="BQ133" i="25"/>
  <c r="BC46" i="3"/>
  <c r="BC73" i="3" s="1"/>
  <c r="BC34" i="27"/>
  <c r="BC25" i="27"/>
  <c r="BS78" i="3"/>
  <c r="BS92" i="17"/>
  <c r="BR175" i="25"/>
  <c r="BQ181" i="25"/>
  <c r="BX160" i="21"/>
  <c r="BW162" i="21"/>
  <c r="AP177" i="3"/>
  <c r="BW221" i="25"/>
  <c r="BV222" i="25"/>
  <c r="BR209" i="25"/>
  <c r="BQ210" i="25"/>
  <c r="CA172" i="25"/>
  <c r="BZ178" i="25"/>
  <c r="BO50" i="23"/>
  <c r="BO45" i="3"/>
  <c r="BO72" i="3" s="1"/>
  <c r="BO26" i="23"/>
  <c r="BW149" i="21"/>
  <c r="BW131" i="21"/>
  <c r="BX119" i="21"/>
  <c r="BW155" i="21"/>
  <c r="BW156" i="21" s="1"/>
  <c r="BE115" i="21"/>
  <c r="BF110" i="21" s="1"/>
  <c r="BR139" i="25"/>
  <c r="BR140" i="25" s="1"/>
  <c r="BR132" i="25"/>
  <c r="BR135" i="25"/>
  <c r="BU208" i="25"/>
  <c r="BB64" i="27"/>
  <c r="BB32" i="27"/>
  <c r="BB36" i="27"/>
  <c r="BQ49" i="23"/>
  <c r="BQ54" i="23"/>
  <c r="BQ23" i="23"/>
  <c r="BT100" i="27"/>
  <c r="BT120" i="27"/>
  <c r="BT121" i="27" s="1"/>
  <c r="BT84" i="27"/>
  <c r="BU83" i="27"/>
  <c r="BT98" i="27"/>
  <c r="BV271" i="3"/>
  <c r="BU276" i="3"/>
  <c r="BU319" i="3"/>
  <c r="BX256" i="3"/>
  <c r="BD7" i="3"/>
  <c r="BD108" i="25"/>
  <c r="BD57" i="23"/>
  <c r="BD72" i="27"/>
  <c r="BE6" i="3"/>
  <c r="CO71" i="21"/>
  <c r="CP45" i="21"/>
  <c r="CP71" i="21" s="1"/>
  <c r="CP23" i="21" s="1"/>
  <c r="CN84" i="21"/>
  <c r="CN23" i="21"/>
  <c r="CN97" i="21"/>
  <c r="CJ69" i="25"/>
  <c r="CI82" i="25"/>
  <c r="CI96" i="25" s="1"/>
  <c r="BW38" i="3"/>
  <c r="CA167" i="21"/>
  <c r="BZ168" i="21"/>
  <c r="BU94" i="27"/>
  <c r="BT95" i="27"/>
  <c r="BT87" i="27"/>
  <c r="BT102" i="27"/>
  <c r="BT103" i="27" s="1"/>
  <c r="CN102" i="21"/>
  <c r="CN89" i="21"/>
  <c r="CN27" i="21"/>
  <c r="BT93" i="27"/>
  <c r="BS104" i="27"/>
  <c r="BS105" i="27" s="1"/>
  <c r="CP63" i="21"/>
  <c r="CP76" i="21" s="1"/>
  <c r="CO76" i="21"/>
  <c r="CJ90" i="21"/>
  <c r="CJ103" i="21"/>
  <c r="AQ75" i="3"/>
  <c r="BD3" i="15"/>
  <c r="BD4" i="15" s="1"/>
  <c r="BD22" i="17"/>
  <c r="BD83" i="17"/>
  <c r="BD5" i="27"/>
  <c r="BD158" i="21"/>
  <c r="BD108" i="21"/>
  <c r="BD5" i="25"/>
  <c r="BD54" i="15"/>
  <c r="BD56" i="15" s="1"/>
  <c r="BD300" i="3"/>
  <c r="BD208" i="3"/>
  <c r="BD85" i="3"/>
  <c r="BD68" i="3"/>
  <c r="BD6" i="15"/>
  <c r="BD218" i="25"/>
  <c r="BD212" i="25"/>
  <c r="BD17" i="23"/>
  <c r="BD29" i="17"/>
  <c r="BD19" i="21"/>
  <c r="BD17" i="27"/>
  <c r="BD253" i="3"/>
  <c r="BD200" i="3"/>
  <c r="BD41" i="3"/>
  <c r="BD21" i="3"/>
  <c r="BD3" i="17"/>
  <c r="BD4" i="17" s="1"/>
  <c r="BD49" i="17"/>
  <c r="BD206" i="25"/>
  <c r="BD21" i="15"/>
  <c r="BD5" i="23"/>
  <c r="BD6" i="17"/>
  <c r="BD95" i="15"/>
  <c r="BD3" i="27"/>
  <c r="BD157" i="25"/>
  <c r="BD329" i="3"/>
  <c r="BD182" i="3"/>
  <c r="BD153" i="3"/>
  <c r="BD9" i="3"/>
  <c r="BD37" i="17"/>
  <c r="BD69" i="15"/>
  <c r="BD3" i="25"/>
  <c r="BD3" i="21"/>
  <c r="BD164" i="21"/>
  <c r="BD17" i="25"/>
  <c r="BD5" i="21"/>
  <c r="BD313" i="3"/>
  <c r="BD164" i="3"/>
  <c r="BD145" i="3"/>
  <c r="BE3" i="3"/>
  <c r="BC57" i="15"/>
  <c r="BC76" i="15"/>
  <c r="BC78" i="15" s="1"/>
  <c r="CA220" i="25"/>
  <c r="CL55" i="25"/>
  <c r="BT93" i="17"/>
  <c r="BT79" i="3"/>
  <c r="CC74" i="23"/>
  <c r="BT86" i="23"/>
  <c r="BT87" i="23" s="1"/>
  <c r="BT82" i="23"/>
  <c r="CK77" i="21"/>
  <c r="CL51" i="21"/>
  <c r="BT104" i="21"/>
  <c r="BT91" i="21"/>
  <c r="BC68" i="17"/>
  <c r="BC74" i="17"/>
  <c r="BC72" i="17"/>
  <c r="BC53" i="17"/>
  <c r="BC63" i="17"/>
  <c r="BC62" i="17"/>
  <c r="BC56" i="17"/>
  <c r="BC60" i="17"/>
  <c r="BC58" i="17"/>
  <c r="BC64" i="17"/>
  <c r="BC54" i="17"/>
  <c r="BC52" i="17"/>
  <c r="BC67" i="17"/>
  <c r="BC77" i="17"/>
  <c r="BC65" i="17"/>
  <c r="BC55" i="17"/>
  <c r="BC69" i="17"/>
  <c r="BC75" i="17"/>
  <c r="BC71" i="17"/>
  <c r="BC59" i="17"/>
  <c r="BC76" i="17"/>
  <c r="BC57" i="17"/>
  <c r="BC73" i="17"/>
  <c r="BC61" i="17"/>
  <c r="BC66" i="17"/>
  <c r="BC70" i="17"/>
  <c r="CH166" i="21"/>
  <c r="BT27" i="3"/>
  <c r="BT21" i="27"/>
  <c r="BT51" i="27" s="1"/>
  <c r="BB81" i="15"/>
  <c r="BB86" i="15" s="1"/>
  <c r="BB80" i="15"/>
  <c r="BB85" i="15" s="1"/>
  <c r="BB79" i="15"/>
  <c r="BB84" i="15" s="1"/>
  <c r="BA87" i="15"/>
  <c r="BR17" i="17"/>
  <c r="BQ159" i="3"/>
  <c r="BU93" i="3"/>
  <c r="BV52" i="21"/>
  <c r="BU78" i="21"/>
  <c r="CD103" i="25"/>
  <c r="CC103" i="25"/>
  <c r="BU119" i="25"/>
  <c r="BT154" i="25"/>
  <c r="BT155" i="25" s="1"/>
  <c r="BT130" i="25"/>
  <c r="BU84" i="23"/>
  <c r="BU81" i="23"/>
  <c r="BU88" i="23"/>
  <c r="BU89" i="23" s="1"/>
  <c r="AS146" i="25"/>
  <c r="CG167" i="25"/>
  <c r="CB78" i="23"/>
  <c r="BT24" i="27"/>
  <c r="BT68" i="27"/>
  <c r="BT29" i="27"/>
  <c r="BB78" i="17"/>
  <c r="BB80" i="17" s="1"/>
  <c r="AR88" i="25"/>
  <c r="AR19" i="25"/>
  <c r="AR64" i="25"/>
  <c r="BS47" i="3"/>
  <c r="BS74" i="3" s="1"/>
  <c r="BS35" i="27"/>
  <c r="CA35" i="3"/>
  <c r="AQ92" i="25"/>
  <c r="AQ36" i="25"/>
  <c r="AQ32" i="25"/>
  <c r="BW73" i="23"/>
  <c r="BV83" i="23"/>
  <c r="BV32" i="3"/>
  <c r="BU52" i="3"/>
  <c r="BV48" i="27"/>
  <c r="BU20" i="27"/>
  <c r="BU61" i="27"/>
  <c r="BU50" i="27"/>
  <c r="BA198" i="3" l="1"/>
  <c r="BA223" i="3"/>
  <c r="BB95" i="25"/>
  <c r="BB68" i="25"/>
  <c r="BB24" i="25"/>
  <c r="BB185" i="3"/>
  <c r="BB192" i="3" s="1"/>
  <c r="AZ79" i="27"/>
  <c r="BA74" i="27" s="1"/>
  <c r="BC95" i="25"/>
  <c r="BT77" i="3"/>
  <c r="AZ111" i="27"/>
  <c r="AZ103" i="3"/>
  <c r="AZ265" i="3" s="1"/>
  <c r="AY320" i="3"/>
  <c r="AY305" i="3"/>
  <c r="AY303" i="3" s="1"/>
  <c r="AY322" i="3"/>
  <c r="AY323" i="3" s="1"/>
  <c r="AY309" i="3"/>
  <c r="BU30" i="3"/>
  <c r="BU88" i="3" s="1"/>
  <c r="BU51" i="3"/>
  <c r="BV196" i="25"/>
  <c r="BN74" i="21"/>
  <c r="BO48" i="21"/>
  <c r="BM87" i="21"/>
  <c r="BM100" i="21"/>
  <c r="AS143" i="25"/>
  <c r="AS149" i="25" s="1"/>
  <c r="AS150" i="25" s="1"/>
  <c r="AS61" i="25" s="1"/>
  <c r="BD198" i="25"/>
  <c r="BD199" i="25" s="1"/>
  <c r="BD54" i="25" s="1"/>
  <c r="BD81" i="25" s="1"/>
  <c r="CP97" i="21"/>
  <c r="BW136" i="21"/>
  <c r="BY60" i="21"/>
  <c r="BX73" i="21"/>
  <c r="BE194" i="25"/>
  <c r="BE192" i="25"/>
  <c r="BE161" i="25"/>
  <c r="BE193" i="25"/>
  <c r="BE162" i="25"/>
  <c r="BW99" i="21"/>
  <c r="BW26" i="21"/>
  <c r="BW86" i="21"/>
  <c r="BC35" i="25"/>
  <c r="BC49" i="3"/>
  <c r="BC76" i="3" s="1"/>
  <c r="BV179" i="25"/>
  <c r="BW168" i="25"/>
  <c r="BW196" i="25" s="1"/>
  <c r="BV203" i="25"/>
  <c r="BV204" i="25" s="1"/>
  <c r="BV184" i="25"/>
  <c r="BE160" i="25"/>
  <c r="BY20" i="17"/>
  <c r="BZ17" i="21"/>
  <c r="CA89" i="27"/>
  <c r="BZ99" i="27"/>
  <c r="BZ97" i="27" s="1"/>
  <c r="BT73" i="25"/>
  <c r="BT30" i="25"/>
  <c r="BT100" i="25"/>
  <c r="BU81" i="3"/>
  <c r="BV37" i="3"/>
  <c r="BU34" i="3"/>
  <c r="BU89" i="3" s="1"/>
  <c r="BR29" i="25"/>
  <c r="BR99" i="25"/>
  <c r="BW102" i="23"/>
  <c r="BW103" i="23" s="1"/>
  <c r="BX68" i="23"/>
  <c r="BW79" i="23"/>
  <c r="BV9" i="17"/>
  <c r="BW272" i="3"/>
  <c r="BY289" i="3"/>
  <c r="BX336" i="3"/>
  <c r="BW134" i="21"/>
  <c r="BV288" i="3"/>
  <c r="BU335" i="3"/>
  <c r="BU86" i="25"/>
  <c r="BV59" i="25"/>
  <c r="BT58" i="25"/>
  <c r="BS85" i="25"/>
  <c r="BY125" i="21"/>
  <c r="BX135" i="21"/>
  <c r="BX133" i="21" s="1"/>
  <c r="BX138" i="21" s="1"/>
  <c r="BX139" i="21" s="1"/>
  <c r="BS90" i="17"/>
  <c r="BS64" i="3"/>
  <c r="BY256" i="3"/>
  <c r="BW271" i="3"/>
  <c r="BV276" i="3"/>
  <c r="BV319" i="3"/>
  <c r="BU100" i="27"/>
  <c r="BU120" i="27"/>
  <c r="BU121" i="27" s="1"/>
  <c r="BU84" i="27"/>
  <c r="BV83" i="27"/>
  <c r="BU98" i="27"/>
  <c r="BQ20" i="23"/>
  <c r="BQ55" i="23"/>
  <c r="BV208" i="25"/>
  <c r="BY119" i="21"/>
  <c r="BX155" i="21"/>
  <c r="BX156" i="21" s="1"/>
  <c r="BX131" i="21"/>
  <c r="BX149" i="21"/>
  <c r="CB172" i="25"/>
  <c r="CA178" i="25"/>
  <c r="BS209" i="25"/>
  <c r="BR210" i="25"/>
  <c r="BX221" i="25"/>
  <c r="BW222" i="25"/>
  <c r="AP180" i="3"/>
  <c r="AP168" i="3"/>
  <c r="AP170" i="3" s="1"/>
  <c r="AP179" i="3"/>
  <c r="BX162" i="21"/>
  <c r="BY160" i="21"/>
  <c r="BR181" i="25"/>
  <c r="BS175" i="25"/>
  <c r="BU112" i="27"/>
  <c r="BX67" i="23"/>
  <c r="BW72" i="23"/>
  <c r="BP26" i="23"/>
  <c r="BP50" i="23"/>
  <c r="BP45" i="3"/>
  <c r="BP72" i="3" s="1"/>
  <c r="BR49" i="23"/>
  <c r="BR23" i="23"/>
  <c r="BR54" i="23"/>
  <c r="BS48" i="23"/>
  <c r="BS19" i="23"/>
  <c r="BS38" i="23"/>
  <c r="BS132" i="25"/>
  <c r="BS139" i="25"/>
  <c r="BS140" i="25" s="1"/>
  <c r="BS135" i="25"/>
  <c r="BU170" i="25"/>
  <c r="BT188" i="25"/>
  <c r="BT189" i="25" s="1"/>
  <c r="AO114" i="15"/>
  <c r="AO113" i="15"/>
  <c r="BV31" i="3"/>
  <c r="BD46" i="3"/>
  <c r="BD73" i="3" s="1"/>
  <c r="BD25" i="27"/>
  <c r="BD34" i="27"/>
  <c r="BE63" i="27"/>
  <c r="BE70" i="27" s="1"/>
  <c r="BF60" i="27"/>
  <c r="BE67" i="27"/>
  <c r="BE23" i="27"/>
  <c r="BE27" i="27"/>
  <c r="BE54" i="27"/>
  <c r="BE57" i="27" s="1"/>
  <c r="BV65" i="3"/>
  <c r="BV91" i="17"/>
  <c r="BW31" i="25"/>
  <c r="BX84" i="25"/>
  <c r="BW98" i="25"/>
  <c r="BY214" i="25"/>
  <c r="BX216" i="25"/>
  <c r="BR137" i="25"/>
  <c r="BR138" i="25" s="1"/>
  <c r="BR133" i="25"/>
  <c r="BF113" i="21"/>
  <c r="BF146" i="21"/>
  <c r="BF145" i="21"/>
  <c r="BF112" i="21"/>
  <c r="BF144" i="21"/>
  <c r="BF111" i="21"/>
  <c r="BQ186" i="25"/>
  <c r="BQ187" i="25" s="1"/>
  <c r="BQ182" i="25"/>
  <c r="BC64" i="27"/>
  <c r="BC36" i="27"/>
  <c r="BC32" i="27"/>
  <c r="BR25" i="3"/>
  <c r="BR39" i="23"/>
  <c r="BT134" i="25"/>
  <c r="BU125" i="25"/>
  <c r="BX259" i="3"/>
  <c r="BW321" i="3"/>
  <c r="BW129" i="21"/>
  <c r="BV140" i="21"/>
  <c r="BV141" i="21" s="1"/>
  <c r="BV123" i="21"/>
  <c r="BT92" i="17"/>
  <c r="BT78" i="3"/>
  <c r="BY183" i="25"/>
  <c r="BZ174" i="25"/>
  <c r="CK69" i="25"/>
  <c r="CJ82" i="25"/>
  <c r="CJ96" i="25" s="1"/>
  <c r="CP84" i="21"/>
  <c r="CO97" i="21"/>
  <c r="CO84" i="21"/>
  <c r="CO23" i="21"/>
  <c r="BE72" i="27"/>
  <c r="BF6" i="3"/>
  <c r="BE7" i="3"/>
  <c r="BE108" i="25"/>
  <c r="BE57" i="23"/>
  <c r="BX38" i="3"/>
  <c r="CP27" i="21"/>
  <c r="CP102" i="21"/>
  <c r="CP89" i="21"/>
  <c r="BU95" i="27"/>
  <c r="BU87" i="27"/>
  <c r="BV94" i="27"/>
  <c r="BU102" i="27"/>
  <c r="BU103" i="27" s="1"/>
  <c r="CO89" i="21"/>
  <c r="CO102" i="21"/>
  <c r="CO27" i="21"/>
  <c r="BT104" i="27"/>
  <c r="BT105" i="27" s="1"/>
  <c r="BU93" i="27"/>
  <c r="CB167" i="21"/>
  <c r="CA168" i="21"/>
  <c r="BW48" i="27"/>
  <c r="BV20" i="27"/>
  <c r="BV61" i="27"/>
  <c r="BV50" i="27"/>
  <c r="BU79" i="3"/>
  <c r="BU93" i="17"/>
  <c r="BU50" i="3"/>
  <c r="CB35" i="3"/>
  <c r="AR75" i="25"/>
  <c r="AR78" i="25" s="1"/>
  <c r="AR102" i="25"/>
  <c r="AR23" i="25"/>
  <c r="AR91" i="25"/>
  <c r="AR105" i="25" s="1"/>
  <c r="AR27" i="25"/>
  <c r="BT47" i="3"/>
  <c r="BT74" i="3" s="1"/>
  <c r="BT35" i="27"/>
  <c r="BU154" i="25"/>
  <c r="BU155" i="25" s="1"/>
  <c r="BU130" i="25"/>
  <c r="BV119" i="25"/>
  <c r="BS17" i="17"/>
  <c r="BR159" i="3"/>
  <c r="CD74" i="23"/>
  <c r="CB220" i="25"/>
  <c r="BD57" i="15"/>
  <c r="BD76" i="15"/>
  <c r="BD78" i="15" s="1"/>
  <c r="BV52" i="3"/>
  <c r="BW32" i="3"/>
  <c r="CH167" i="25"/>
  <c r="BV93" i="3"/>
  <c r="BC78" i="17"/>
  <c r="BC80" i="17" s="1"/>
  <c r="CL77" i="21"/>
  <c r="CM51" i="21"/>
  <c r="BE218" i="25"/>
  <c r="BE6" i="15"/>
  <c r="BE164" i="21"/>
  <c r="BE212" i="25"/>
  <c r="BE3" i="27"/>
  <c r="BE5" i="23"/>
  <c r="BE5" i="21"/>
  <c r="BE253" i="3"/>
  <c r="BE164" i="3"/>
  <c r="BE68" i="3"/>
  <c r="BE9" i="3"/>
  <c r="BE49" i="17"/>
  <c r="BE206" i="25"/>
  <c r="BE21" i="15"/>
  <c r="BE3" i="17"/>
  <c r="BE4" i="17" s="1"/>
  <c r="BE108" i="21"/>
  <c r="BE157" i="25"/>
  <c r="BE3" i="25"/>
  <c r="BE3" i="21"/>
  <c r="BE329" i="3"/>
  <c r="BE208" i="3"/>
  <c r="BE85" i="3"/>
  <c r="BE21" i="3"/>
  <c r="BE37" i="17"/>
  <c r="BE95" i="15"/>
  <c r="BE29" i="17"/>
  <c r="BE19" i="21"/>
  <c r="BE17" i="25"/>
  <c r="BE5" i="27"/>
  <c r="BE69" i="15"/>
  <c r="BE313" i="3"/>
  <c r="BE200" i="3"/>
  <c r="BE153" i="3"/>
  <c r="BF3" i="3"/>
  <c r="BE3" i="15"/>
  <c r="BE4" i="15" s="1"/>
  <c r="BE22" i="17"/>
  <c r="BE54" i="15"/>
  <c r="BE56" i="15" s="1"/>
  <c r="BE6" i="17"/>
  <c r="BE83" i="17"/>
  <c r="BE5" i="25"/>
  <c r="BE158" i="21"/>
  <c r="BE17" i="23"/>
  <c r="BE17" i="27"/>
  <c r="BE300" i="3"/>
  <c r="BE182" i="3"/>
  <c r="BE145" i="3"/>
  <c r="BE41" i="3"/>
  <c r="BU147" i="25"/>
  <c r="BU24" i="27"/>
  <c r="BU68" i="27"/>
  <c r="BU29" i="27"/>
  <c r="BV81" i="23"/>
  <c r="BV84" i="23"/>
  <c r="BV88" i="23"/>
  <c r="BV89" i="23" s="1"/>
  <c r="BU86" i="23"/>
  <c r="BU87" i="23" s="1"/>
  <c r="BU82" i="23"/>
  <c r="BU104" i="21"/>
  <c r="BU91" i="21"/>
  <c r="CI166" i="21"/>
  <c r="CK103" i="21"/>
  <c r="CK90" i="21"/>
  <c r="CM55" i="25"/>
  <c r="BU27" i="3"/>
  <c r="BU21" i="27"/>
  <c r="BU51" i="27" s="1"/>
  <c r="BX73" i="23"/>
  <c r="BW83" i="23"/>
  <c r="AR28" i="3"/>
  <c r="AR21" i="25"/>
  <c r="AR65" i="25" s="1"/>
  <c r="CC78" i="23"/>
  <c r="BV78" i="21"/>
  <c r="BW52" i="21"/>
  <c r="BB87" i="15"/>
  <c r="BC81" i="15"/>
  <c r="BC86" i="15" s="1"/>
  <c r="BC80" i="15"/>
  <c r="BC85" i="15" s="1"/>
  <c r="BC79" i="15"/>
  <c r="BC84" i="15" s="1"/>
  <c r="BD73" i="17"/>
  <c r="R73" i="17" s="1"/>
  <c r="BD68" i="17"/>
  <c r="R68" i="17" s="1"/>
  <c r="BD52" i="17"/>
  <c r="BD76" i="17"/>
  <c r="R76" i="17" s="1"/>
  <c r="BD69" i="17"/>
  <c r="R69" i="17" s="1"/>
  <c r="BD64" i="17"/>
  <c r="R64" i="17" s="1"/>
  <c r="BD74" i="17"/>
  <c r="R74" i="17" s="1"/>
  <c r="BD62" i="17"/>
  <c r="R62" i="17" s="1"/>
  <c r="BD75" i="17"/>
  <c r="R75" i="17" s="1"/>
  <c r="BD54" i="17"/>
  <c r="R54" i="17" s="1"/>
  <c r="BD71" i="17"/>
  <c r="R71" i="17" s="1"/>
  <c r="BD53" i="17"/>
  <c r="R53" i="17" s="1"/>
  <c r="BD70" i="17"/>
  <c r="R70" i="17" s="1"/>
  <c r="BD72" i="17"/>
  <c r="R72" i="17" s="1"/>
  <c r="BD65" i="17"/>
  <c r="R65" i="17" s="1"/>
  <c r="BD60" i="17"/>
  <c r="R60" i="17" s="1"/>
  <c r="BD77" i="17"/>
  <c r="R77" i="17" s="1"/>
  <c r="BD61" i="17"/>
  <c r="R61" i="17" s="1"/>
  <c r="BD56" i="17"/>
  <c r="R56" i="17" s="1"/>
  <c r="BD67" i="17"/>
  <c r="R67" i="17" s="1"/>
  <c r="BD63" i="17"/>
  <c r="R63" i="17" s="1"/>
  <c r="BD59" i="17"/>
  <c r="R59" i="17" s="1"/>
  <c r="BD55" i="17"/>
  <c r="R55" i="17" s="1"/>
  <c r="BD66" i="17"/>
  <c r="R66" i="17" s="1"/>
  <c r="BD57" i="17"/>
  <c r="R57" i="17" s="1"/>
  <c r="BD58" i="17"/>
  <c r="R58" i="17" s="1"/>
  <c r="AT112" i="25"/>
  <c r="AT113" i="25"/>
  <c r="BX136" i="21" l="1"/>
  <c r="AZ304" i="3"/>
  <c r="AZ114" i="27"/>
  <c r="AZ115" i="27" s="1"/>
  <c r="AZ116" i="27" s="1"/>
  <c r="BB247" i="3"/>
  <c r="BB248" i="3" s="1"/>
  <c r="BB194" i="3"/>
  <c r="BC193" i="3"/>
  <c r="BC246" i="3" s="1"/>
  <c r="BA230" i="3"/>
  <c r="BA64" i="15"/>
  <c r="BV147" i="25"/>
  <c r="BA76" i="27"/>
  <c r="BA108" i="27"/>
  <c r="BA77" i="27"/>
  <c r="BA110" i="27"/>
  <c r="BA75" i="27"/>
  <c r="BA109" i="27"/>
  <c r="BB49" i="3"/>
  <c r="BB76" i="3" s="1"/>
  <c r="BB35" i="25"/>
  <c r="BD20" i="25"/>
  <c r="BD29" i="3" s="1"/>
  <c r="BU77" i="3"/>
  <c r="BV30" i="3"/>
  <c r="BV88" i="3" s="1"/>
  <c r="BV51" i="3"/>
  <c r="BV50" i="3" s="1"/>
  <c r="BV77" i="3" s="1"/>
  <c r="BA103" i="3"/>
  <c r="BA304" i="3" s="1"/>
  <c r="AZ320" i="3"/>
  <c r="AZ305" i="3"/>
  <c r="AZ303" i="3" s="1"/>
  <c r="AZ211" i="3"/>
  <c r="AZ104" i="3"/>
  <c r="BO74" i="21"/>
  <c r="BP48" i="21"/>
  <c r="BN87" i="21"/>
  <c r="BN100" i="21"/>
  <c r="BY149" i="21"/>
  <c r="BF115" i="21"/>
  <c r="BG110" i="21" s="1"/>
  <c r="BF147" i="21"/>
  <c r="BF150" i="21" s="1"/>
  <c r="BF151" i="21" s="1"/>
  <c r="BE195" i="25"/>
  <c r="BE197" i="25" s="1"/>
  <c r="BX86" i="21"/>
  <c r="BX99" i="21"/>
  <c r="BX26" i="21"/>
  <c r="BX168" i="25"/>
  <c r="BW203" i="25"/>
  <c r="BW204" i="25" s="1"/>
  <c r="BW179" i="25"/>
  <c r="BW184" i="25"/>
  <c r="BD95" i="25"/>
  <c r="BD24" i="25"/>
  <c r="BD68" i="25"/>
  <c r="BE164" i="25"/>
  <c r="BF159" i="25" s="1"/>
  <c r="BY73" i="21"/>
  <c r="BZ60" i="21"/>
  <c r="AT115" i="25"/>
  <c r="BX134" i="21"/>
  <c r="BZ20" i="17"/>
  <c r="CA17" i="21"/>
  <c r="BZ125" i="21"/>
  <c r="BY135" i="21"/>
  <c r="BY133" i="21" s="1"/>
  <c r="BY138" i="21" s="1"/>
  <c r="BY139" i="21" s="1"/>
  <c r="BU58" i="25"/>
  <c r="BT85" i="25"/>
  <c r="BU100" i="25"/>
  <c r="BU30" i="25"/>
  <c r="BU73" i="25"/>
  <c r="BZ289" i="3"/>
  <c r="BY336" i="3"/>
  <c r="BY68" i="23"/>
  <c r="BX102" i="23"/>
  <c r="BX103" i="23" s="1"/>
  <c r="BX79" i="23"/>
  <c r="CA99" i="27"/>
  <c r="CA97" i="27" s="1"/>
  <c r="CB89" i="27"/>
  <c r="BV112" i="27"/>
  <c r="BS99" i="25"/>
  <c r="BS29" i="25"/>
  <c r="BV86" i="25"/>
  <c r="BW59" i="25"/>
  <c r="BV335" i="3"/>
  <c r="BW288" i="3"/>
  <c r="BW9" i="17"/>
  <c r="BX272" i="3"/>
  <c r="BV81" i="3"/>
  <c r="BV34" i="3"/>
  <c r="BV89" i="3" s="1"/>
  <c r="BW37" i="3"/>
  <c r="BT64" i="3"/>
  <c r="BT90" i="17"/>
  <c r="BG111" i="21"/>
  <c r="BG112" i="21"/>
  <c r="BG145" i="21"/>
  <c r="BG146" i="21"/>
  <c r="BG144" i="21"/>
  <c r="BW123" i="21"/>
  <c r="BX129" i="21"/>
  <c r="BW140" i="21"/>
  <c r="BW141" i="21" s="1"/>
  <c r="BX321" i="3"/>
  <c r="BY259" i="3"/>
  <c r="BT132" i="25"/>
  <c r="BT139" i="25"/>
  <c r="BT140" i="25" s="1"/>
  <c r="BT135" i="25"/>
  <c r="BG113" i="21"/>
  <c r="BW91" i="17"/>
  <c r="BW65" i="3"/>
  <c r="BD36" i="27"/>
  <c r="BD64" i="27"/>
  <c r="BD32" i="27"/>
  <c r="BU78" i="3"/>
  <c r="BU92" i="17"/>
  <c r="BS137" i="25"/>
  <c r="BS138" i="25" s="1"/>
  <c r="BS133" i="25"/>
  <c r="BS39" i="23"/>
  <c r="BS25" i="3"/>
  <c r="BR55" i="23"/>
  <c r="BR20" i="23"/>
  <c r="BS181" i="25"/>
  <c r="BT175" i="25"/>
  <c r="BY162" i="21"/>
  <c r="BZ160" i="21"/>
  <c r="BY221" i="25"/>
  <c r="BX222" i="25"/>
  <c r="BT209" i="25"/>
  <c r="BS210" i="25"/>
  <c r="CC172" i="25"/>
  <c r="CB178" i="25"/>
  <c r="BZ183" i="25"/>
  <c r="CA174" i="25"/>
  <c r="BV125" i="25"/>
  <c r="BU134" i="25"/>
  <c r="BZ214" i="25"/>
  <c r="BY216" i="25"/>
  <c r="BY84" i="25"/>
  <c r="BX98" i="25"/>
  <c r="BX31" i="25"/>
  <c r="BE34" i="27"/>
  <c r="BE25" i="27"/>
  <c r="BE46" i="3"/>
  <c r="BE73" i="3" s="1"/>
  <c r="BF54" i="27"/>
  <c r="BF57" i="27" s="1"/>
  <c r="BF27" i="27"/>
  <c r="BF23" i="27"/>
  <c r="BF67" i="27"/>
  <c r="BF63" i="27"/>
  <c r="BF70" i="27" s="1"/>
  <c r="BG60" i="27"/>
  <c r="BW31" i="3"/>
  <c r="BU188" i="25"/>
  <c r="BU189" i="25" s="1"/>
  <c r="BV170" i="25"/>
  <c r="BS49" i="23"/>
  <c r="BT54" i="23"/>
  <c r="BS23" i="23"/>
  <c r="BS54" i="23"/>
  <c r="BY67" i="23"/>
  <c r="BX72" i="23"/>
  <c r="BR182" i="25"/>
  <c r="BR186" i="25"/>
  <c r="BR187" i="25" s="1"/>
  <c r="AP173" i="3"/>
  <c r="AP340" i="3" s="1"/>
  <c r="AQ167" i="3"/>
  <c r="AP106" i="15"/>
  <c r="AP171" i="3"/>
  <c r="BY155" i="21"/>
  <c r="BY156" i="21" s="1"/>
  <c r="BY131" i="21"/>
  <c r="BZ119" i="21"/>
  <c r="BY136" i="21"/>
  <c r="BW208" i="25"/>
  <c r="BQ50" i="23"/>
  <c r="BQ45" i="3"/>
  <c r="BQ72" i="3" s="1"/>
  <c r="BQ26" i="23"/>
  <c r="BV100" i="27"/>
  <c r="BW83" i="27"/>
  <c r="BV120" i="27"/>
  <c r="BV121" i="27" s="1"/>
  <c r="BV84" i="27"/>
  <c r="BV98" i="27"/>
  <c r="BX271" i="3"/>
  <c r="BW276" i="3"/>
  <c r="BW319" i="3"/>
  <c r="BZ256" i="3"/>
  <c r="BG6" i="3"/>
  <c r="BF108" i="25"/>
  <c r="BF72" i="27"/>
  <c r="BF57" i="23"/>
  <c r="BF7" i="3"/>
  <c r="CL69" i="25"/>
  <c r="CK82" i="25"/>
  <c r="CK96" i="25" s="1"/>
  <c r="BY38" i="3"/>
  <c r="CC167" i="21"/>
  <c r="CB168" i="21"/>
  <c r="BV93" i="27"/>
  <c r="BU104" i="27"/>
  <c r="BU105" i="27" s="1"/>
  <c r="BV87" i="27"/>
  <c r="BW94" i="27"/>
  <c r="BV95" i="27"/>
  <c r="BV102" i="27"/>
  <c r="BV103" i="27" s="1"/>
  <c r="AT146" i="25"/>
  <c r="BY73" i="23"/>
  <c r="BX83" i="23"/>
  <c r="AS88" i="25"/>
  <c r="AS19" i="25"/>
  <c r="AS64" i="25"/>
  <c r="CJ166" i="21"/>
  <c r="BV82" i="23"/>
  <c r="BV86" i="23"/>
  <c r="BV87" i="23" s="1"/>
  <c r="BF21" i="15"/>
  <c r="BF83" i="17"/>
  <c r="BF49" i="17"/>
  <c r="BF206" i="25"/>
  <c r="BF158" i="21"/>
  <c r="BF17" i="27"/>
  <c r="BF17" i="23"/>
  <c r="BF108" i="21"/>
  <c r="BF313" i="3"/>
  <c r="BF164" i="3"/>
  <c r="BF145" i="3"/>
  <c r="BG3" i="3"/>
  <c r="BF95" i="15"/>
  <c r="BF29" i="17"/>
  <c r="BF212" i="25"/>
  <c r="BF37" i="17"/>
  <c r="BF6" i="15"/>
  <c r="BF5" i="23"/>
  <c r="BF3" i="27"/>
  <c r="BF3" i="17"/>
  <c r="BF4" i="17" s="1"/>
  <c r="BF19" i="21"/>
  <c r="BF300" i="3"/>
  <c r="BF208" i="3"/>
  <c r="BF85" i="3"/>
  <c r="BF68" i="3"/>
  <c r="BF54" i="15"/>
  <c r="BF56" i="15" s="1"/>
  <c r="BF6" i="17"/>
  <c r="BF3" i="15"/>
  <c r="BF4" i="15" s="1"/>
  <c r="BF22" i="17"/>
  <c r="BF157" i="25"/>
  <c r="BF3" i="21"/>
  <c r="BF5" i="21"/>
  <c r="BF5" i="27"/>
  <c r="BF253" i="3"/>
  <c r="BF200" i="3"/>
  <c r="BF41" i="3"/>
  <c r="BF21" i="3"/>
  <c r="BF69" i="15"/>
  <c r="BF218" i="25"/>
  <c r="BF17" i="25"/>
  <c r="BF5" i="25"/>
  <c r="BF3" i="25"/>
  <c r="BF164" i="21"/>
  <c r="BF329" i="3"/>
  <c r="BF182" i="3"/>
  <c r="BF153" i="3"/>
  <c r="BF9" i="3"/>
  <c r="CL103" i="21"/>
  <c r="CL90" i="21"/>
  <c r="BX32" i="3"/>
  <c r="BW52" i="3"/>
  <c r="BV27" i="3"/>
  <c r="BV21" i="27"/>
  <c r="BV51" i="27" s="1"/>
  <c r="CN55" i="25"/>
  <c r="BE76" i="15"/>
  <c r="BE78" i="15" s="1"/>
  <c r="BE57" i="15"/>
  <c r="CI167" i="25"/>
  <c r="BV79" i="3"/>
  <c r="BV93" i="17"/>
  <c r="BD80" i="15"/>
  <c r="BD85" i="15" s="1"/>
  <c r="BD79" i="15"/>
  <c r="BD84" i="15" s="1"/>
  <c r="BD81" i="15"/>
  <c r="BD86" i="15" s="1"/>
  <c r="CE74" i="23"/>
  <c r="AR25" i="25"/>
  <c r="AR48" i="3"/>
  <c r="AR34" i="25"/>
  <c r="CC35" i="3"/>
  <c r="BW50" i="27"/>
  <c r="BX48" i="27"/>
  <c r="BW20" i="27"/>
  <c r="BW61" i="27"/>
  <c r="AU110" i="25"/>
  <c r="AT143" i="25"/>
  <c r="BC87" i="15"/>
  <c r="BX52" i="21"/>
  <c r="BW78" i="21"/>
  <c r="BE75" i="17"/>
  <c r="BE63" i="17"/>
  <c r="BE53" i="17"/>
  <c r="BE67" i="17"/>
  <c r="BE64" i="17"/>
  <c r="BE68" i="17"/>
  <c r="BE52" i="17"/>
  <c r="BE74" i="17"/>
  <c r="BE55" i="17"/>
  <c r="BE71" i="17"/>
  <c r="BE59" i="17"/>
  <c r="BE61" i="17"/>
  <c r="BE60" i="17"/>
  <c r="BE66" i="17"/>
  <c r="BE72" i="17"/>
  <c r="BE70" i="17"/>
  <c r="BE56" i="17"/>
  <c r="BE77" i="17"/>
  <c r="BE65" i="17"/>
  <c r="BE54" i="17"/>
  <c r="BE58" i="17"/>
  <c r="BE69" i="17"/>
  <c r="BE62" i="17"/>
  <c r="BE73" i="17"/>
  <c r="BE76" i="17"/>
  <c r="BE57" i="17"/>
  <c r="BW93" i="3"/>
  <c r="CC220" i="25"/>
  <c r="BD78" i="17"/>
  <c r="BD80" i="17" s="1"/>
  <c r="R52" i="17"/>
  <c r="R78" i="17" s="1"/>
  <c r="BV104" i="21"/>
  <c r="BV91" i="21"/>
  <c r="CD78" i="23"/>
  <c r="BW81" i="23"/>
  <c r="BW84" i="23"/>
  <c r="BW88" i="23"/>
  <c r="BW89" i="23" s="1"/>
  <c r="BU35" i="27"/>
  <c r="BU47" i="3"/>
  <c r="BU74" i="3" s="1"/>
  <c r="CM77" i="21"/>
  <c r="CN51" i="21"/>
  <c r="BT17" i="17"/>
  <c r="BS159" i="3"/>
  <c r="BW119" i="25"/>
  <c r="BV130" i="25"/>
  <c r="BV154" i="25"/>
  <c r="BV155" i="25" s="1"/>
  <c r="AR61" i="3"/>
  <c r="AR87" i="17"/>
  <c r="BV29" i="27"/>
  <c r="BV24" i="27"/>
  <c r="BV68" i="27"/>
  <c r="BA111" i="27" l="1"/>
  <c r="BB223" i="3"/>
  <c r="BB198" i="3"/>
  <c r="BZ149" i="21"/>
  <c r="BC185" i="3"/>
  <c r="BC192" i="3" s="1"/>
  <c r="BA79" i="27"/>
  <c r="BB74" i="27" s="1"/>
  <c r="BA114" i="27"/>
  <c r="BA115" i="27" s="1"/>
  <c r="BA116" i="27" s="1"/>
  <c r="AZ212" i="3"/>
  <c r="BA104" i="3"/>
  <c r="BA63" i="15" s="1"/>
  <c r="AZ267" i="3"/>
  <c r="BW30" i="3"/>
  <c r="BW88" i="3" s="1"/>
  <c r="BW51" i="3"/>
  <c r="AZ105" i="3"/>
  <c r="AZ63" i="15"/>
  <c r="BA265" i="3"/>
  <c r="BA211" i="3"/>
  <c r="BA105" i="3"/>
  <c r="BO87" i="21"/>
  <c r="BO100" i="21"/>
  <c r="BP74" i="21"/>
  <c r="BQ48" i="21"/>
  <c r="BZ73" i="21"/>
  <c r="CA60" i="21"/>
  <c r="BF161" i="25"/>
  <c r="BF193" i="25"/>
  <c r="BF194" i="25"/>
  <c r="BF192" i="25"/>
  <c r="BD49" i="3"/>
  <c r="BD76" i="3" s="1"/>
  <c r="BD35" i="25"/>
  <c r="BF160" i="25"/>
  <c r="BF162" i="25"/>
  <c r="BY99" i="21"/>
  <c r="BY26" i="21"/>
  <c r="BY86" i="21"/>
  <c r="BX179" i="25"/>
  <c r="BY168" i="25"/>
  <c r="BX203" i="25"/>
  <c r="BX204" i="25" s="1"/>
  <c r="BX184" i="25"/>
  <c r="BE198" i="25"/>
  <c r="BE199" i="25" s="1"/>
  <c r="BE54" i="25" s="1"/>
  <c r="BX196" i="25"/>
  <c r="BY196" i="25" s="1"/>
  <c r="CB17" i="21"/>
  <c r="CA20" i="17"/>
  <c r="BX9" i="17"/>
  <c r="BY272" i="3"/>
  <c r="BX288" i="3"/>
  <c r="BW335" i="3"/>
  <c r="BX59" i="25"/>
  <c r="BW86" i="25"/>
  <c r="BY102" i="23"/>
  <c r="BY103" i="23" s="1"/>
  <c r="BZ68" i="23"/>
  <c r="BY79" i="23"/>
  <c r="CA289" i="3"/>
  <c r="BZ336" i="3"/>
  <c r="BU90" i="17"/>
  <c r="BU64" i="3"/>
  <c r="BT29" i="25"/>
  <c r="BT99" i="25"/>
  <c r="AT149" i="25"/>
  <c r="AT150" i="25" s="1"/>
  <c r="AT61" i="25" s="1"/>
  <c r="AT19" i="25" s="1"/>
  <c r="BY134" i="21"/>
  <c r="BW81" i="3"/>
  <c r="BW34" i="3"/>
  <c r="BW89" i="3" s="1"/>
  <c r="BX37" i="3"/>
  <c r="BV30" i="25"/>
  <c r="BV100" i="25"/>
  <c r="BV73" i="25"/>
  <c r="CC89" i="27"/>
  <c r="CB99" i="27"/>
  <c r="CB97" i="27" s="1"/>
  <c r="BU85" i="25"/>
  <c r="BV58" i="25"/>
  <c r="BZ135" i="21"/>
  <c r="BZ133" i="21" s="1"/>
  <c r="BZ138" i="21" s="1"/>
  <c r="BZ139" i="21" s="1"/>
  <c r="CA125" i="21"/>
  <c r="CA256" i="3"/>
  <c r="BX208" i="25"/>
  <c r="BW170" i="25"/>
  <c r="BV188" i="25"/>
  <c r="BV189" i="25" s="1"/>
  <c r="BW50" i="3"/>
  <c r="BX31" i="3"/>
  <c r="BX51" i="3" s="1"/>
  <c r="BG63" i="27"/>
  <c r="BG70" i="27" s="1"/>
  <c r="BH60" i="27"/>
  <c r="BG67" i="27"/>
  <c r="BG23" i="27"/>
  <c r="BG27" i="27"/>
  <c r="BG54" i="27"/>
  <c r="BG57" i="27" s="1"/>
  <c r="BU139" i="25"/>
  <c r="BU140" i="25" s="1"/>
  <c r="BU132" i="25"/>
  <c r="BU135" i="25"/>
  <c r="CB174" i="25"/>
  <c r="CA183" i="25"/>
  <c r="CA160" i="21"/>
  <c r="BZ162" i="21"/>
  <c r="BU175" i="25"/>
  <c r="BT181" i="25"/>
  <c r="BR50" i="23"/>
  <c r="BR45" i="3"/>
  <c r="BR72" i="3" s="1"/>
  <c r="BR26" i="23"/>
  <c r="BG115" i="21"/>
  <c r="BH110" i="21" s="1"/>
  <c r="BH113" i="21" s="1"/>
  <c r="BG147" i="21"/>
  <c r="BG150" i="21" s="1"/>
  <c r="BG151" i="21" s="1"/>
  <c r="BY321" i="3"/>
  <c r="BZ259" i="3"/>
  <c r="BY271" i="3"/>
  <c r="BX276" i="3"/>
  <c r="BX319" i="3"/>
  <c r="BW100" i="27"/>
  <c r="BW120" i="27"/>
  <c r="BW121" i="27" s="1"/>
  <c r="BW84" i="27"/>
  <c r="BX83" i="27"/>
  <c r="BW98" i="27"/>
  <c r="BZ155" i="21"/>
  <c r="BZ156" i="21" s="1"/>
  <c r="BZ131" i="21"/>
  <c r="CA119" i="21"/>
  <c r="AP172" i="3"/>
  <c r="AP105" i="15" s="1"/>
  <c r="AP104" i="15"/>
  <c r="AQ177" i="3"/>
  <c r="BW112" i="27"/>
  <c r="BZ67" i="23"/>
  <c r="BY72" i="23"/>
  <c r="BS55" i="23"/>
  <c r="BT55" i="23"/>
  <c r="BS20" i="23"/>
  <c r="BV92" i="17"/>
  <c r="BV78" i="3"/>
  <c r="BF46" i="3"/>
  <c r="BF73" i="3" s="1"/>
  <c r="BF25" i="27"/>
  <c r="BF34" i="27"/>
  <c r="BE36" i="27"/>
  <c r="BE32" i="27"/>
  <c r="BE64" i="27"/>
  <c r="BX91" i="17"/>
  <c r="BX65" i="3"/>
  <c r="BZ84" i="25"/>
  <c r="BY31" i="25"/>
  <c r="BY98" i="25"/>
  <c r="CA214" i="25"/>
  <c r="BZ216" i="25"/>
  <c r="BV134" i="25"/>
  <c r="BW125" i="25"/>
  <c r="CD172" i="25"/>
  <c r="CC178" i="25"/>
  <c r="BU209" i="25"/>
  <c r="BT210" i="25"/>
  <c r="BZ221" i="25"/>
  <c r="BY222" i="25"/>
  <c r="BS186" i="25"/>
  <c r="BS187" i="25" s="1"/>
  <c r="BS182" i="25"/>
  <c r="BT137" i="25"/>
  <c r="BT138" i="25" s="1"/>
  <c r="BT133" i="25"/>
  <c r="BX140" i="21"/>
  <c r="BX141" i="21" s="1"/>
  <c r="BX123" i="21"/>
  <c r="BY129" i="21"/>
  <c r="CM69" i="25"/>
  <c r="CL82" i="25"/>
  <c r="CL96" i="25" s="1"/>
  <c r="BG57" i="23"/>
  <c r="BH6" i="3"/>
  <c r="BG108" i="25"/>
  <c r="BG7" i="3"/>
  <c r="BG72" i="27"/>
  <c r="BZ38" i="3"/>
  <c r="CD167" i="21"/>
  <c r="CC168" i="21"/>
  <c r="BW95" i="27"/>
  <c r="BX94" i="27"/>
  <c r="BW87" i="27"/>
  <c r="BW102" i="27"/>
  <c r="BW103" i="27" s="1"/>
  <c r="BW93" i="27"/>
  <c r="BV104" i="27"/>
  <c r="BV105" i="27" s="1"/>
  <c r="AU112" i="25"/>
  <c r="AU111" i="25"/>
  <c r="BW68" i="27"/>
  <c r="BW29" i="27"/>
  <c r="BW24" i="27"/>
  <c r="AR75" i="3"/>
  <c r="BE79" i="15"/>
  <c r="BE84" i="15" s="1"/>
  <c r="BE80" i="15"/>
  <c r="BE85" i="15" s="1"/>
  <c r="BE81" i="15"/>
  <c r="BE86" i="15" s="1"/>
  <c r="BG83" i="17"/>
  <c r="BG21" i="15"/>
  <c r="BG5" i="25"/>
  <c r="BG164" i="21"/>
  <c r="BG22" i="17"/>
  <c r="BG5" i="23"/>
  <c r="BG17" i="25"/>
  <c r="BG19" i="21"/>
  <c r="BG253" i="3"/>
  <c r="BG164" i="3"/>
  <c r="BG68" i="3"/>
  <c r="BH3" i="3"/>
  <c r="BG212" i="25"/>
  <c r="BG95" i="15"/>
  <c r="BG29" i="17"/>
  <c r="BG17" i="27"/>
  <c r="BG108" i="21"/>
  <c r="BG3" i="25"/>
  <c r="BG3" i="21"/>
  <c r="BG158" i="21"/>
  <c r="BG329" i="3"/>
  <c r="BG208" i="3"/>
  <c r="BG85" i="3"/>
  <c r="BG21" i="3"/>
  <c r="BG6" i="15"/>
  <c r="BG54" i="15"/>
  <c r="BG56" i="15" s="1"/>
  <c r="BG6" i="17"/>
  <c r="BG3" i="27"/>
  <c r="BG49" i="17"/>
  <c r="BG5" i="27"/>
  <c r="BG206" i="25"/>
  <c r="BG3" i="15"/>
  <c r="BG4" i="15" s="1"/>
  <c r="BG313" i="3"/>
  <c r="BG200" i="3"/>
  <c r="BG153" i="3"/>
  <c r="BG41" i="3"/>
  <c r="BG69" i="15"/>
  <c r="BG3" i="17"/>
  <c r="BG4" i="17" s="1"/>
  <c r="BG218" i="25"/>
  <c r="BG5" i="21"/>
  <c r="BG37" i="17"/>
  <c r="BG17" i="23"/>
  <c r="BG157" i="25"/>
  <c r="BG300" i="3"/>
  <c r="BG182" i="3"/>
  <c r="BG145" i="3"/>
  <c r="BG9" i="3"/>
  <c r="AS28" i="3"/>
  <c r="AS21" i="25"/>
  <c r="AS65" i="25" s="1"/>
  <c r="BV35" i="27"/>
  <c r="BV47" i="3"/>
  <c r="BV74" i="3" s="1"/>
  <c r="CN77" i="21"/>
  <c r="CO51" i="21"/>
  <c r="CE78" i="23"/>
  <c r="BE78" i="17"/>
  <c r="BE80" i="17" s="1"/>
  <c r="BW27" i="3"/>
  <c r="BW21" i="27"/>
  <c r="BW51" i="27" s="1"/>
  <c r="CD35" i="3"/>
  <c r="AR32" i="25"/>
  <c r="AR36" i="25"/>
  <c r="AR92" i="25"/>
  <c r="BF66" i="17"/>
  <c r="BF67" i="17"/>
  <c r="BF72" i="17"/>
  <c r="BF73" i="17"/>
  <c r="BF77" i="17"/>
  <c r="BF55" i="17"/>
  <c r="BF70" i="17"/>
  <c r="BF58" i="17"/>
  <c r="BF59" i="17"/>
  <c r="BF65" i="17"/>
  <c r="BF68" i="17"/>
  <c r="BF76" i="17"/>
  <c r="BF53" i="17"/>
  <c r="BF71" i="17"/>
  <c r="BF74" i="17"/>
  <c r="BF62" i="17"/>
  <c r="BF60" i="17"/>
  <c r="BF52" i="17"/>
  <c r="BF69" i="17"/>
  <c r="BF56" i="17"/>
  <c r="BF63" i="17"/>
  <c r="BF75" i="17"/>
  <c r="BF54" i="17"/>
  <c r="BF61" i="17"/>
  <c r="BF57" i="17"/>
  <c r="BF64" i="17"/>
  <c r="AS75" i="25"/>
  <c r="AS78" i="25" s="1"/>
  <c r="AS102" i="25"/>
  <c r="AS23" i="25"/>
  <c r="AS91" i="25"/>
  <c r="AS105" i="25" s="1"/>
  <c r="AS27" i="25"/>
  <c r="BX84" i="23"/>
  <c r="BX81" i="23"/>
  <c r="BX88" i="23"/>
  <c r="BX89" i="23" s="1"/>
  <c r="BU17" i="17"/>
  <c r="BT159" i="3"/>
  <c r="CM103" i="21"/>
  <c r="CM90" i="21"/>
  <c r="CD220" i="25"/>
  <c r="BX93" i="3"/>
  <c r="BW104" i="21"/>
  <c r="BW91" i="21"/>
  <c r="BX20" i="27"/>
  <c r="BX50" i="27"/>
  <c r="BY48" i="27"/>
  <c r="BX61" i="27"/>
  <c r="CF74" i="23"/>
  <c r="CJ167" i="25"/>
  <c r="CO55" i="25"/>
  <c r="BW79" i="3"/>
  <c r="BW93" i="17"/>
  <c r="BF76" i="15"/>
  <c r="BF78" i="15" s="1"/>
  <c r="BF57" i="15"/>
  <c r="CK166" i="21"/>
  <c r="BZ73" i="23"/>
  <c r="BY83" i="23"/>
  <c r="AU113" i="25"/>
  <c r="BX119" i="25"/>
  <c r="BW130" i="25"/>
  <c r="BW154" i="25"/>
  <c r="BW155" i="25" s="1"/>
  <c r="BW82" i="23"/>
  <c r="BW86" i="23"/>
  <c r="BW87" i="23" s="1"/>
  <c r="BY52" i="21"/>
  <c r="BX78" i="21"/>
  <c r="BD87" i="15"/>
  <c r="BX52" i="3"/>
  <c r="BY32" i="3"/>
  <c r="BX30" i="3"/>
  <c r="BX88" i="3" s="1"/>
  <c r="BW147" i="25"/>
  <c r="BD193" i="3" l="1"/>
  <c r="BC194" i="3"/>
  <c r="BC247" i="3"/>
  <c r="BC248" i="3" s="1"/>
  <c r="BW77" i="3"/>
  <c r="BB75" i="27"/>
  <c r="BB76" i="27"/>
  <c r="BB109" i="27"/>
  <c r="BB110" i="27"/>
  <c r="BB108" i="27"/>
  <c r="BB77" i="27"/>
  <c r="BB111" i="27" s="1"/>
  <c r="BB64" i="15"/>
  <c r="BB230" i="3"/>
  <c r="BA212" i="3"/>
  <c r="AZ309" i="3"/>
  <c r="BA267" i="3"/>
  <c r="AZ322" i="3"/>
  <c r="AZ323" i="3" s="1"/>
  <c r="BA320" i="3"/>
  <c r="BA305" i="3"/>
  <c r="BA303" i="3" s="1"/>
  <c r="BB103" i="3"/>
  <c r="BB104" i="3" s="1"/>
  <c r="BH111" i="21"/>
  <c r="AT64" i="25"/>
  <c r="AT88" i="25"/>
  <c r="AT102" i="25" s="1"/>
  <c r="BR48" i="21"/>
  <c r="BQ74" i="21"/>
  <c r="BP100" i="21"/>
  <c r="BP87" i="21"/>
  <c r="BX112" i="27"/>
  <c r="BF164" i="25"/>
  <c r="BG159" i="25" s="1"/>
  <c r="BG161" i="25" s="1"/>
  <c r="BZ136" i="21"/>
  <c r="BE20" i="25"/>
  <c r="BE29" i="3" s="1"/>
  <c r="BE81" i="25"/>
  <c r="BF195" i="25"/>
  <c r="BF197" i="25" s="1"/>
  <c r="BZ86" i="21"/>
  <c r="BZ99" i="21"/>
  <c r="BZ26" i="21"/>
  <c r="BY179" i="25"/>
  <c r="BY203" i="25"/>
  <c r="BY204" i="25" s="1"/>
  <c r="BZ168" i="25"/>
  <c r="BY184" i="25"/>
  <c r="CB60" i="21"/>
  <c r="CA73" i="21"/>
  <c r="CB20" i="17"/>
  <c r="CC17" i="21"/>
  <c r="BU29" i="25"/>
  <c r="BU99" i="25"/>
  <c r="CD89" i="27"/>
  <c r="CC99" i="27"/>
  <c r="CC97" i="27" s="1"/>
  <c r="BV90" i="17"/>
  <c r="BV64" i="3"/>
  <c r="BX86" i="25"/>
  <c r="BY59" i="25"/>
  <c r="BX335" i="3"/>
  <c r="BY288" i="3"/>
  <c r="BZ134" i="21"/>
  <c r="CA135" i="21"/>
  <c r="CA133" i="21" s="1"/>
  <c r="CA138" i="21" s="1"/>
  <c r="CA139" i="21" s="1"/>
  <c r="CB125" i="21"/>
  <c r="BV85" i="25"/>
  <c r="BW58" i="25"/>
  <c r="BX81" i="3"/>
  <c r="BX34" i="3"/>
  <c r="BX89" i="3" s="1"/>
  <c r="BY37" i="3"/>
  <c r="CA336" i="3"/>
  <c r="CB289" i="3"/>
  <c r="CA68" i="23"/>
  <c r="BZ102" i="23"/>
  <c r="BZ103" i="23" s="1"/>
  <c r="BZ79" i="23"/>
  <c r="BW30" i="25"/>
  <c r="BW73" i="25"/>
  <c r="BW100" i="25"/>
  <c r="BZ272" i="3"/>
  <c r="BY9" i="17"/>
  <c r="BY140" i="21"/>
  <c r="BY141" i="21" s="1"/>
  <c r="BY123" i="21"/>
  <c r="BZ129" i="21"/>
  <c r="BX125" i="25"/>
  <c r="BW134" i="25"/>
  <c r="CA84" i="25"/>
  <c r="BZ98" i="25"/>
  <c r="BZ31" i="25"/>
  <c r="AQ179" i="3"/>
  <c r="AQ168" i="3"/>
  <c r="AQ170" i="3" s="1"/>
  <c r="AQ180" i="3"/>
  <c r="CB119" i="21"/>
  <c r="CA155" i="21"/>
  <c r="CA156" i="21" s="1"/>
  <c r="CA131" i="21"/>
  <c r="BX100" i="27"/>
  <c r="BY83" i="27"/>
  <c r="BX120" i="27"/>
  <c r="BX121" i="27" s="1"/>
  <c r="BX84" i="27"/>
  <c r="BX98" i="27"/>
  <c r="BZ271" i="3"/>
  <c r="BY276" i="3"/>
  <c r="BY319" i="3"/>
  <c r="CA259" i="3"/>
  <c r="BZ321" i="3"/>
  <c r="BU181" i="25"/>
  <c r="BV175" i="25"/>
  <c r="CB160" i="21"/>
  <c r="CA162" i="21"/>
  <c r="CC174" i="25"/>
  <c r="CB183" i="25"/>
  <c r="BU137" i="25"/>
  <c r="BU138" i="25" s="1"/>
  <c r="BU133" i="25"/>
  <c r="BG34" i="27"/>
  <c r="BG25" i="27"/>
  <c r="BG46" i="3"/>
  <c r="BG73" i="3" s="1"/>
  <c r="BH23" i="27"/>
  <c r="BH63" i="27"/>
  <c r="BH70" i="27" s="1"/>
  <c r="BH27" i="27"/>
  <c r="BH54" i="27"/>
  <c r="BH57" i="27" s="1"/>
  <c r="BH67" i="27"/>
  <c r="BI60" i="27"/>
  <c r="BY31" i="3"/>
  <c r="CA149" i="21"/>
  <c r="BY208" i="25"/>
  <c r="CA221" i="25"/>
  <c r="BZ222" i="25"/>
  <c r="BV209" i="25"/>
  <c r="BU210" i="25"/>
  <c r="CE172" i="25"/>
  <c r="CD178" i="25"/>
  <c r="BV139" i="25"/>
  <c r="BV140" i="25" s="1"/>
  <c r="BV132" i="25"/>
  <c r="BV135" i="25"/>
  <c r="CB214" i="25"/>
  <c r="CA216" i="25"/>
  <c r="BY91" i="17"/>
  <c r="BY65" i="3"/>
  <c r="BF64" i="27"/>
  <c r="BF32" i="27"/>
  <c r="BF36" i="27"/>
  <c r="BS45" i="3"/>
  <c r="BS72" i="3" s="1"/>
  <c r="BS26" i="23"/>
  <c r="BS50" i="23"/>
  <c r="CA67" i="23"/>
  <c r="BZ72" i="23"/>
  <c r="AP114" i="15"/>
  <c r="AP113" i="15"/>
  <c r="BH112" i="21"/>
  <c r="BH147" i="21" s="1"/>
  <c r="BH145" i="21"/>
  <c r="BH146" i="21"/>
  <c r="BH144" i="21"/>
  <c r="BT182" i="25"/>
  <c r="BT186" i="25"/>
  <c r="BT187" i="25" s="1"/>
  <c r="BW78" i="3"/>
  <c r="BW92" i="17"/>
  <c r="BX170" i="25"/>
  <c r="BW188" i="25"/>
  <c r="BW189" i="25" s="1"/>
  <c r="CB256" i="3"/>
  <c r="CN69" i="25"/>
  <c r="CM82" i="25"/>
  <c r="CM96" i="25" s="1"/>
  <c r="BH57" i="23"/>
  <c r="BH108" i="25"/>
  <c r="BH72" i="27"/>
  <c r="BI6" i="3"/>
  <c r="BH7" i="3"/>
  <c r="CA38" i="3"/>
  <c r="BX93" i="27"/>
  <c r="BW104" i="27"/>
  <c r="BW105" i="27" s="1"/>
  <c r="AU115" i="25"/>
  <c r="AU143" i="25" s="1"/>
  <c r="CE167" i="21"/>
  <c r="CD168" i="21"/>
  <c r="BX95" i="27"/>
  <c r="BY94" i="27"/>
  <c r="BX87" i="27"/>
  <c r="BX102" i="27"/>
  <c r="BX103" i="27" s="1"/>
  <c r="BX154" i="25"/>
  <c r="BX155" i="25" s="1"/>
  <c r="BX130" i="25"/>
  <c r="BY119" i="25"/>
  <c r="AU146" i="25"/>
  <c r="CA73" i="23"/>
  <c r="BZ83" i="23"/>
  <c r="CP55" i="25"/>
  <c r="BX27" i="3"/>
  <c r="BX21" i="27"/>
  <c r="BX51" i="27" s="1"/>
  <c r="CE220" i="25"/>
  <c r="AS87" i="17"/>
  <c r="AS61" i="3"/>
  <c r="CN103" i="21"/>
  <c r="CN90" i="21"/>
  <c r="BH37" i="17"/>
  <c r="BH69" i="15"/>
  <c r="BH6" i="17"/>
  <c r="BH5" i="23"/>
  <c r="BH95" i="15"/>
  <c r="BH108" i="21"/>
  <c r="BH5" i="25"/>
  <c r="BH329" i="3"/>
  <c r="BH182" i="3"/>
  <c r="BH153" i="3"/>
  <c r="BH9" i="3"/>
  <c r="BH3" i="15"/>
  <c r="BH4" i="15" s="1"/>
  <c r="BH22" i="17"/>
  <c r="BH83" i="17"/>
  <c r="BH3" i="25"/>
  <c r="BH3" i="21"/>
  <c r="BH54" i="15"/>
  <c r="BH56" i="15" s="1"/>
  <c r="BH19" i="21"/>
  <c r="BH17" i="27"/>
  <c r="BH313" i="3"/>
  <c r="BH164" i="3"/>
  <c r="BH145" i="3"/>
  <c r="BI3" i="3"/>
  <c r="BH6" i="15"/>
  <c r="BH218" i="25"/>
  <c r="BH212" i="25"/>
  <c r="BH5" i="27"/>
  <c r="BH157" i="25"/>
  <c r="BH158" i="21"/>
  <c r="BH3" i="27"/>
  <c r="BH300" i="3"/>
  <c r="BH208" i="3"/>
  <c r="BH85" i="3"/>
  <c r="BH68" i="3"/>
  <c r="BH3" i="17"/>
  <c r="BH4" i="17" s="1"/>
  <c r="BH49" i="17"/>
  <c r="BH206" i="25"/>
  <c r="BH29" i="17"/>
  <c r="BH17" i="23"/>
  <c r="BH17" i="25"/>
  <c r="BH164" i="21"/>
  <c r="BH21" i="15"/>
  <c r="BH5" i="21"/>
  <c r="BH253" i="3"/>
  <c r="BH200" i="3"/>
  <c r="BH41" i="3"/>
  <c r="BH21" i="3"/>
  <c r="BE87" i="15"/>
  <c r="BZ32" i="3"/>
  <c r="BY52" i="3"/>
  <c r="AT75" i="25"/>
  <c r="AT78" i="25" s="1"/>
  <c r="AT23" i="25"/>
  <c r="AT27" i="25"/>
  <c r="BX104" i="21"/>
  <c r="BX91" i="21"/>
  <c r="CL166" i="21"/>
  <c r="CG74" i="23"/>
  <c r="BX68" i="27"/>
  <c r="BX29" i="27"/>
  <c r="BX24" i="27"/>
  <c r="BF78" i="17"/>
  <c r="BF80" i="17" s="1"/>
  <c r="CF78" i="23"/>
  <c r="AT28" i="3"/>
  <c r="AT21" i="25"/>
  <c r="BX79" i="3"/>
  <c r="BX93" i="17"/>
  <c r="BX50" i="3"/>
  <c r="BX77" i="3" s="1"/>
  <c r="BY78" i="21"/>
  <c r="BZ52" i="21"/>
  <c r="CK167" i="25"/>
  <c r="BY50" i="27"/>
  <c r="BZ48" i="27"/>
  <c r="BY20" i="27"/>
  <c r="BY61" i="27"/>
  <c r="BX82" i="23"/>
  <c r="BX86" i="23"/>
  <c r="BX87" i="23" s="1"/>
  <c r="AS25" i="25"/>
  <c r="AS34" i="25"/>
  <c r="AS48" i="3"/>
  <c r="CE35" i="3"/>
  <c r="BG76" i="15"/>
  <c r="BG78" i="15" s="1"/>
  <c r="BG57" i="15"/>
  <c r="BX147" i="25"/>
  <c r="BY147" i="25" s="1"/>
  <c r="BY84" i="23"/>
  <c r="BY81" i="23"/>
  <c r="BY88" i="23"/>
  <c r="BY89" i="23" s="1"/>
  <c r="BF80" i="15"/>
  <c r="BF85" i="15" s="1"/>
  <c r="BF81" i="15"/>
  <c r="BF86" i="15" s="1"/>
  <c r="BF79" i="15"/>
  <c r="BF84" i="15" s="1"/>
  <c r="BY93" i="3"/>
  <c r="BV17" i="17"/>
  <c r="BU159" i="3"/>
  <c r="CP51" i="21"/>
  <c r="CO77" i="21"/>
  <c r="BG56" i="17"/>
  <c r="BG66" i="17"/>
  <c r="BG72" i="17"/>
  <c r="BG70" i="17"/>
  <c r="BG71" i="17"/>
  <c r="BG76" i="17"/>
  <c r="BG55" i="17"/>
  <c r="BG52" i="17"/>
  <c r="BG58" i="17"/>
  <c r="BG67" i="17"/>
  <c r="BG62" i="17"/>
  <c r="BG64" i="17"/>
  <c r="BG68" i="17"/>
  <c r="BG54" i="17"/>
  <c r="BG73" i="17"/>
  <c r="BG61" i="17"/>
  <c r="BG77" i="17"/>
  <c r="BG65" i="17"/>
  <c r="BG59" i="17"/>
  <c r="BG60" i="17"/>
  <c r="BG74" i="17"/>
  <c r="BG53" i="17"/>
  <c r="BG69" i="17"/>
  <c r="BG57" i="17"/>
  <c r="BG75" i="17"/>
  <c r="BG63" i="17"/>
  <c r="BW35" i="27"/>
  <c r="BW47" i="3"/>
  <c r="BW74" i="3" s="1"/>
  <c r="BG194" i="25" l="1"/>
  <c r="BG160" i="25"/>
  <c r="BH115" i="21"/>
  <c r="BI110" i="21" s="1"/>
  <c r="BB114" i="27"/>
  <c r="BB115" i="27" s="1"/>
  <c r="BB116" i="27" s="1"/>
  <c r="BC223" i="3"/>
  <c r="BC198" i="3"/>
  <c r="AT91" i="25"/>
  <c r="AT105" i="25" s="1"/>
  <c r="CA136" i="21"/>
  <c r="BG162" i="25"/>
  <c r="BD185" i="3"/>
  <c r="BD192" i="3" s="1"/>
  <c r="BB79" i="27"/>
  <c r="BC74" i="27" s="1"/>
  <c r="BD246" i="3"/>
  <c r="BG193" i="25"/>
  <c r="BB265" i="3"/>
  <c r="BC103" i="3" s="1"/>
  <c r="BB63" i="15"/>
  <c r="BB212" i="3"/>
  <c r="BA322" i="3"/>
  <c r="BA323" i="3" s="1"/>
  <c r="BA309" i="3"/>
  <c r="BB267" i="3"/>
  <c r="BY30" i="3"/>
  <c r="BY88" i="3" s="1"/>
  <c r="BY51" i="3"/>
  <c r="BY50" i="3" s="1"/>
  <c r="BB320" i="3"/>
  <c r="BB305" i="3"/>
  <c r="BB303" i="3" s="1"/>
  <c r="BB211" i="3"/>
  <c r="BB105" i="3"/>
  <c r="BB304" i="3"/>
  <c r="AT65" i="25"/>
  <c r="BQ100" i="21"/>
  <c r="BQ87" i="21"/>
  <c r="BS48" i="21"/>
  <c r="BR74" i="21"/>
  <c r="BG192" i="25"/>
  <c r="CB149" i="21"/>
  <c r="BF198" i="25"/>
  <c r="BF199" i="25" s="1"/>
  <c r="BF54" i="25" s="1"/>
  <c r="BF81" i="25" s="1"/>
  <c r="CC60" i="21"/>
  <c r="CB73" i="21"/>
  <c r="BZ203" i="25"/>
  <c r="BZ204" i="25" s="1"/>
  <c r="BZ179" i="25"/>
  <c r="CA168" i="25"/>
  <c r="BZ184" i="25"/>
  <c r="BG164" i="25"/>
  <c r="BH159" i="25" s="1"/>
  <c r="BG195" i="25"/>
  <c r="CA26" i="21"/>
  <c r="CA86" i="21"/>
  <c r="CA99" i="21"/>
  <c r="BF20" i="25"/>
  <c r="BF29" i="3" s="1"/>
  <c r="BE95" i="25"/>
  <c r="BE24" i="25"/>
  <c r="BE68" i="25"/>
  <c r="BZ196" i="25"/>
  <c r="CC20" i="17"/>
  <c r="CD17" i="21"/>
  <c r="AV110" i="25"/>
  <c r="AV111" i="25" s="1"/>
  <c r="BW64" i="3"/>
  <c r="BW90" i="17"/>
  <c r="CB336" i="3"/>
  <c r="CC289" i="3"/>
  <c r="BY81" i="3"/>
  <c r="BZ37" i="3"/>
  <c r="BY34" i="3"/>
  <c r="BY89" i="3" s="1"/>
  <c r="BV99" i="25"/>
  <c r="BV29" i="25"/>
  <c r="BY335" i="3"/>
  <c r="BZ288" i="3"/>
  <c r="BY86" i="25"/>
  <c r="BZ59" i="25"/>
  <c r="CA134" i="21"/>
  <c r="CA272" i="3"/>
  <c r="BZ9" i="17"/>
  <c r="CB68" i="23"/>
  <c r="CA102" i="23"/>
  <c r="CA103" i="23" s="1"/>
  <c r="CA79" i="23"/>
  <c r="BW85" i="25"/>
  <c r="BX58" i="25"/>
  <c r="CB135" i="21"/>
  <c r="CB133" i="21" s="1"/>
  <c r="CB138" i="21" s="1"/>
  <c r="CB139" i="21" s="1"/>
  <c r="CC125" i="21"/>
  <c r="BX100" i="25"/>
  <c r="BX73" i="25"/>
  <c r="BX30" i="25"/>
  <c r="CD99" i="27"/>
  <c r="CD97" i="27" s="1"/>
  <c r="CE89" i="27"/>
  <c r="CC256" i="3"/>
  <c r="BI113" i="21"/>
  <c r="BI146" i="21"/>
  <c r="BI144" i="21"/>
  <c r="BI112" i="21"/>
  <c r="BI145" i="21"/>
  <c r="CB67" i="23"/>
  <c r="CA72" i="23"/>
  <c r="CB216" i="25"/>
  <c r="CC214" i="25"/>
  <c r="BV137" i="25"/>
  <c r="BV138" i="25" s="1"/>
  <c r="BV133" i="25"/>
  <c r="BZ208" i="25"/>
  <c r="BZ31" i="3"/>
  <c r="BH34" i="27"/>
  <c r="BH46" i="3"/>
  <c r="BH73" i="3" s="1"/>
  <c r="BH25" i="27"/>
  <c r="BG36" i="27"/>
  <c r="BG32" i="27"/>
  <c r="BG64" i="27"/>
  <c r="BW175" i="25"/>
  <c r="BV181" i="25"/>
  <c r="CA271" i="3"/>
  <c r="BZ276" i="3"/>
  <c r="BZ319" i="3"/>
  <c r="BY100" i="27"/>
  <c r="BY120" i="27"/>
  <c r="BY121" i="27" s="1"/>
  <c r="BY84" i="27"/>
  <c r="BY98" i="27"/>
  <c r="BZ83" i="27"/>
  <c r="BZ91" i="17"/>
  <c r="BZ65" i="3"/>
  <c r="CB84" i="25"/>
  <c r="CA98" i="25"/>
  <c r="CA31" i="25"/>
  <c r="BY125" i="25"/>
  <c r="BX134" i="25"/>
  <c r="BI111" i="21"/>
  <c r="BX188" i="25"/>
  <c r="BX189" i="25" s="1"/>
  <c r="BY170" i="25"/>
  <c r="BH150" i="21"/>
  <c r="BH151" i="21" s="1"/>
  <c r="CF172" i="25"/>
  <c r="CE178" i="25"/>
  <c r="BW209" i="25"/>
  <c r="BV210" i="25"/>
  <c r="CB221" i="25"/>
  <c r="CA222" i="25"/>
  <c r="BX92" i="17"/>
  <c r="BX78" i="3"/>
  <c r="BI67" i="27"/>
  <c r="BI63" i="27"/>
  <c r="BI70" i="27" s="1"/>
  <c r="BJ60" i="27"/>
  <c r="BI54" i="27"/>
  <c r="BI57" i="27" s="1"/>
  <c r="BI23" i="27"/>
  <c r="BI27" i="27"/>
  <c r="CD174" i="25"/>
  <c r="CC183" i="25"/>
  <c r="CB162" i="21"/>
  <c r="CC160" i="21"/>
  <c r="BU182" i="25"/>
  <c r="BU186" i="25"/>
  <c r="BU187" i="25" s="1"/>
  <c r="CA321" i="3"/>
  <c r="CB259" i="3"/>
  <c r="CB155" i="21"/>
  <c r="CB156" i="21" s="1"/>
  <c r="CB131" i="21"/>
  <c r="CC119" i="21"/>
  <c r="AR167" i="3"/>
  <c r="AQ106" i="15"/>
  <c r="AQ173" i="3"/>
  <c r="AQ340" i="3" s="1"/>
  <c r="AQ171" i="3"/>
  <c r="BY112" i="27"/>
  <c r="BZ112" i="27" s="1"/>
  <c r="BW132" i="25"/>
  <c r="BW139" i="25"/>
  <c r="BW140" i="25" s="1"/>
  <c r="BW135" i="25"/>
  <c r="BZ123" i="21"/>
  <c r="CA129" i="21"/>
  <c r="BZ140" i="21"/>
  <c r="BZ141" i="21" s="1"/>
  <c r="BI72" i="27"/>
  <c r="BI7" i="3"/>
  <c r="BI57" i="23"/>
  <c r="BI108" i="25"/>
  <c r="BJ6" i="3"/>
  <c r="CO69" i="25"/>
  <c r="CN82" i="25"/>
  <c r="CN96" i="25" s="1"/>
  <c r="CB38" i="3"/>
  <c r="CF167" i="21"/>
  <c r="CE168" i="21"/>
  <c r="BY93" i="27"/>
  <c r="BX104" i="27"/>
  <c r="BX105" i="27" s="1"/>
  <c r="BY87" i="27"/>
  <c r="BZ94" i="27"/>
  <c r="BY95" i="27"/>
  <c r="BY102" i="27"/>
  <c r="BY103" i="27" s="1"/>
  <c r="CO90" i="21"/>
  <c r="CO103" i="21"/>
  <c r="BV159" i="3"/>
  <c r="BW17" i="17"/>
  <c r="BG80" i="15"/>
  <c r="BG85" i="15" s="1"/>
  <c r="BG81" i="15"/>
  <c r="BG86" i="15" s="1"/>
  <c r="BG79" i="15"/>
  <c r="BG84" i="15" s="1"/>
  <c r="AS75" i="3"/>
  <c r="BY91" i="21"/>
  <c r="BY104" i="21"/>
  <c r="CG78" i="23"/>
  <c r="BZ52" i="3"/>
  <c r="CA32" i="3"/>
  <c r="BI3" i="15"/>
  <c r="BI4" i="15" s="1"/>
  <c r="BI22" i="17"/>
  <c r="BI54" i="15"/>
  <c r="BI56" i="15" s="1"/>
  <c r="BI6" i="17"/>
  <c r="BI212" i="25"/>
  <c r="BI17" i="27"/>
  <c r="BI157" i="25"/>
  <c r="BI3" i="25"/>
  <c r="BI3" i="21"/>
  <c r="BI329" i="3"/>
  <c r="BI208" i="3"/>
  <c r="BI85" i="3"/>
  <c r="BI21" i="3"/>
  <c r="BI218" i="25"/>
  <c r="BI6" i="15"/>
  <c r="BI164" i="21"/>
  <c r="BI3" i="27"/>
  <c r="BI17" i="25"/>
  <c r="BI5" i="27"/>
  <c r="BI5" i="25"/>
  <c r="BI313" i="3"/>
  <c r="BI200" i="3"/>
  <c r="BI153" i="3"/>
  <c r="BJ3" i="3"/>
  <c r="BI49" i="17"/>
  <c r="BI206" i="25"/>
  <c r="BI21" i="15"/>
  <c r="BI3" i="17"/>
  <c r="BI4" i="17" s="1"/>
  <c r="BI108" i="21"/>
  <c r="BI5" i="21"/>
  <c r="BI158" i="21"/>
  <c r="BI17" i="23"/>
  <c r="BI300" i="3"/>
  <c r="BI182" i="3"/>
  <c r="BI145" i="3"/>
  <c r="BI41" i="3"/>
  <c r="BI37" i="17"/>
  <c r="BI95" i="15"/>
  <c r="BI29" i="17"/>
  <c r="BI19" i="21"/>
  <c r="BI69" i="15"/>
  <c r="BI83" i="17"/>
  <c r="BI5" i="23"/>
  <c r="BI253" i="3"/>
  <c r="BI164" i="3"/>
  <c r="BI68" i="3"/>
  <c r="BI9" i="3"/>
  <c r="BZ81" i="23"/>
  <c r="BZ84" i="23"/>
  <c r="BZ88" i="23"/>
  <c r="BZ89" i="23" s="1"/>
  <c r="AU149" i="25"/>
  <c r="AU150" i="25" s="1"/>
  <c r="AU61" i="25" s="1"/>
  <c r="CP77" i="21"/>
  <c r="CP54" i="21"/>
  <c r="CP21" i="21" s="1"/>
  <c r="BZ93" i="3"/>
  <c r="BY68" i="27"/>
  <c r="BY29" i="27"/>
  <c r="BY24" i="27"/>
  <c r="CL167" i="25"/>
  <c r="CM166" i="21"/>
  <c r="AT61" i="3"/>
  <c r="AT87" i="17"/>
  <c r="CB73" i="23"/>
  <c r="CA83" i="23"/>
  <c r="BG78" i="17"/>
  <c r="BG80" i="17" s="1"/>
  <c r="BY82" i="23"/>
  <c r="BY86" i="23"/>
  <c r="BY87" i="23" s="1"/>
  <c r="CF35" i="3"/>
  <c r="AS92" i="25"/>
  <c r="AS36" i="25"/>
  <c r="AS32" i="25"/>
  <c r="BY27" i="3"/>
  <c r="BY21" i="27"/>
  <c r="BY51" i="27" s="1"/>
  <c r="CH74" i="23"/>
  <c r="BH57" i="15"/>
  <c r="BH76" i="15"/>
  <c r="BH78" i="15" s="1"/>
  <c r="CF220" i="25"/>
  <c r="BF87" i="15"/>
  <c r="BZ61" i="27"/>
  <c r="BZ50" i="27"/>
  <c r="CA48" i="27"/>
  <c r="BZ20" i="27"/>
  <c r="BZ78" i="21"/>
  <c r="CA52" i="21"/>
  <c r="BX35" i="27"/>
  <c r="BX47" i="3"/>
  <c r="BX74" i="3" s="1"/>
  <c r="AT25" i="25"/>
  <c r="AT34" i="25"/>
  <c r="AT48" i="3"/>
  <c r="BY79" i="3"/>
  <c r="BY93" i="17"/>
  <c r="BH67" i="17"/>
  <c r="BH72" i="17"/>
  <c r="BH60" i="17"/>
  <c r="BH58" i="17"/>
  <c r="BH71" i="17"/>
  <c r="BH65" i="17"/>
  <c r="BH59" i="17"/>
  <c r="BH73" i="17"/>
  <c r="BH52" i="17"/>
  <c r="BH53" i="17"/>
  <c r="BH66" i="17"/>
  <c r="BH62" i="17"/>
  <c r="BH76" i="17"/>
  <c r="BH64" i="17"/>
  <c r="BH63" i="17"/>
  <c r="BH70" i="17"/>
  <c r="BH57" i="17"/>
  <c r="BH54" i="17"/>
  <c r="BH55" i="17"/>
  <c r="BH77" i="17"/>
  <c r="BH56" i="17"/>
  <c r="BH68" i="17"/>
  <c r="BH61" i="17"/>
  <c r="BH69" i="17"/>
  <c r="BH74" i="17"/>
  <c r="BH75" i="17"/>
  <c r="BY154" i="25"/>
  <c r="BY155" i="25" s="1"/>
  <c r="BY130" i="25"/>
  <c r="BZ119" i="25"/>
  <c r="BC265" i="3" l="1"/>
  <c r="BY77" i="3"/>
  <c r="BD247" i="3"/>
  <c r="BD248" i="3" s="1"/>
  <c r="BD194" i="3"/>
  <c r="AV113" i="25"/>
  <c r="BG197" i="25"/>
  <c r="BG198" i="25" s="1"/>
  <c r="BG199" i="25" s="1"/>
  <c r="BG54" i="25" s="1"/>
  <c r="BG20" i="25" s="1"/>
  <c r="BG29" i="3" s="1"/>
  <c r="BE193" i="3"/>
  <c r="BE246" i="3" s="1"/>
  <c r="BC77" i="27"/>
  <c r="BC76" i="27"/>
  <c r="BC108" i="27"/>
  <c r="BC110" i="27"/>
  <c r="BC109" i="27"/>
  <c r="BC75" i="27"/>
  <c r="BC230" i="3"/>
  <c r="BC64" i="15"/>
  <c r="CA196" i="25"/>
  <c r="BC304" i="3"/>
  <c r="BZ30" i="3"/>
  <c r="BZ88" i="3" s="1"/>
  <c r="BZ51" i="3"/>
  <c r="BD103" i="3"/>
  <c r="BC305" i="3"/>
  <c r="BC303" i="3" s="1"/>
  <c r="BC320" i="3"/>
  <c r="BC104" i="3"/>
  <c r="BC212" i="3" s="1"/>
  <c r="BC211" i="3"/>
  <c r="BB309" i="3"/>
  <c r="BB322" i="3"/>
  <c r="BB323" i="3" s="1"/>
  <c r="BR87" i="21"/>
  <c r="BR100" i="21"/>
  <c r="BS74" i="21"/>
  <c r="BT48" i="21"/>
  <c r="AV112" i="25"/>
  <c r="AV115" i="25" s="1"/>
  <c r="CB134" i="21"/>
  <c r="BE35" i="25"/>
  <c r="BE49" i="3"/>
  <c r="BE76" i="3" s="1"/>
  <c r="BH194" i="25"/>
  <c r="BH192" i="25"/>
  <c r="BH161" i="25"/>
  <c r="BH193" i="25"/>
  <c r="CA203" i="25"/>
  <c r="CA204" i="25" s="1"/>
  <c r="CB168" i="25"/>
  <c r="CA179" i="25"/>
  <c r="CA184" i="25"/>
  <c r="CB99" i="21"/>
  <c r="CB26" i="21"/>
  <c r="CB86" i="21"/>
  <c r="BF24" i="25"/>
  <c r="BF95" i="25"/>
  <c r="BF68" i="25"/>
  <c r="BH162" i="25"/>
  <c r="BH160" i="25"/>
  <c r="CC73" i="21"/>
  <c r="CD60" i="21"/>
  <c r="CD20" i="17"/>
  <c r="CE17" i="21"/>
  <c r="BX64" i="3"/>
  <c r="BX90" i="17"/>
  <c r="BW99" i="25"/>
  <c r="BW29" i="25"/>
  <c r="CB272" i="3"/>
  <c r="CA9" i="17"/>
  <c r="BY100" i="25"/>
  <c r="BY30" i="25"/>
  <c r="BY73" i="25"/>
  <c r="CA37" i="3"/>
  <c r="BZ34" i="3"/>
  <c r="BZ89" i="3" s="1"/>
  <c r="BZ81" i="3"/>
  <c r="CC336" i="3"/>
  <c r="CD289" i="3"/>
  <c r="CB136" i="21"/>
  <c r="BI147" i="21"/>
  <c r="BI150" i="21" s="1"/>
  <c r="BI151" i="21" s="1"/>
  <c r="CF89" i="27"/>
  <c r="CE99" i="27"/>
  <c r="CE97" i="27" s="1"/>
  <c r="CD125" i="21"/>
  <c r="CC135" i="21"/>
  <c r="CC133" i="21" s="1"/>
  <c r="CC138" i="21" s="1"/>
  <c r="CC139" i="21" s="1"/>
  <c r="BX85" i="25"/>
  <c r="BY58" i="25"/>
  <c r="CC68" i="23"/>
  <c r="CB102" i="23"/>
  <c r="CB103" i="23" s="1"/>
  <c r="CB79" i="23"/>
  <c r="BZ86" i="25"/>
  <c r="CA59" i="25"/>
  <c r="CA288" i="3"/>
  <c r="BZ335" i="3"/>
  <c r="CB129" i="21"/>
  <c r="CA140" i="21"/>
  <c r="CA141" i="21" s="1"/>
  <c r="CA123" i="21"/>
  <c r="BW137" i="25"/>
  <c r="BW138" i="25" s="1"/>
  <c r="BW133" i="25"/>
  <c r="AQ172" i="3"/>
  <c r="AQ105" i="15" s="1"/>
  <c r="AQ104" i="15"/>
  <c r="CB321" i="3"/>
  <c r="CC259" i="3"/>
  <c r="CD160" i="21"/>
  <c r="CC162" i="21"/>
  <c r="BY188" i="25"/>
  <c r="BY189" i="25" s="1"/>
  <c r="BZ170" i="25"/>
  <c r="BZ125" i="25"/>
  <c r="BY134" i="25"/>
  <c r="CB271" i="3"/>
  <c r="CA276" i="3"/>
  <c r="CA319" i="3"/>
  <c r="BX175" i="25"/>
  <c r="BW181" i="25"/>
  <c r="BH64" i="27"/>
  <c r="BH32" i="27"/>
  <c r="BH36" i="27"/>
  <c r="BY78" i="3"/>
  <c r="BY92" i="17"/>
  <c r="CC216" i="25"/>
  <c r="CD214" i="25"/>
  <c r="BI115" i="21"/>
  <c r="BJ110" i="21" s="1"/>
  <c r="BJ111" i="21" s="1"/>
  <c r="AR177" i="3"/>
  <c r="CC131" i="21"/>
  <c r="CD119" i="21"/>
  <c r="CC155" i="21"/>
  <c r="CC156" i="21" s="1"/>
  <c r="CE174" i="25"/>
  <c r="CD183" i="25"/>
  <c r="BI46" i="3"/>
  <c r="BI73" i="3" s="1"/>
  <c r="BI34" i="27"/>
  <c r="BI25" i="27"/>
  <c r="BK60" i="27"/>
  <c r="BJ67" i="27"/>
  <c r="BJ63" i="27"/>
  <c r="BJ70" i="27" s="1"/>
  <c r="BJ27" i="27"/>
  <c r="BJ23" i="27"/>
  <c r="BJ54" i="27"/>
  <c r="BJ57" i="27" s="1"/>
  <c r="CC221" i="25"/>
  <c r="CB222" i="25"/>
  <c r="BX209" i="25"/>
  <c r="BW210" i="25"/>
  <c r="CG172" i="25"/>
  <c r="CF178" i="25"/>
  <c r="BX132" i="25"/>
  <c r="BX139" i="25"/>
  <c r="BX140" i="25" s="1"/>
  <c r="BX135" i="25"/>
  <c r="CA65" i="3"/>
  <c r="CA91" i="17"/>
  <c r="CB31" i="25"/>
  <c r="CC84" i="25"/>
  <c r="CB98" i="25"/>
  <c r="BZ100" i="27"/>
  <c r="CA83" i="27"/>
  <c r="CA112" i="27" s="1"/>
  <c r="BZ98" i="27"/>
  <c r="BZ120" i="27"/>
  <c r="BZ121" i="27" s="1"/>
  <c r="BZ84" i="27"/>
  <c r="BV186" i="25"/>
  <c r="BV187" i="25" s="1"/>
  <c r="BV182" i="25"/>
  <c r="CA31" i="3"/>
  <c r="CC149" i="21"/>
  <c r="CA208" i="25"/>
  <c r="CC67" i="23"/>
  <c r="CB72" i="23"/>
  <c r="CD256" i="3"/>
  <c r="BJ72" i="27"/>
  <c r="BK6" i="3"/>
  <c r="BJ7" i="3"/>
  <c r="BJ57" i="23"/>
  <c r="BJ108" i="25"/>
  <c r="CP69" i="25"/>
  <c r="CP82" i="25" s="1"/>
  <c r="CO82" i="25"/>
  <c r="CO96" i="25" s="1"/>
  <c r="CC38" i="3"/>
  <c r="CG167" i="21"/>
  <c r="CF168" i="21"/>
  <c r="CA94" i="27"/>
  <c r="BZ87" i="27"/>
  <c r="BZ95" i="27"/>
  <c r="BZ102" i="27"/>
  <c r="BZ103" i="27" s="1"/>
  <c r="BZ93" i="27"/>
  <c r="BY104" i="27"/>
  <c r="BY105" i="27" s="1"/>
  <c r="BZ29" i="27"/>
  <c r="BZ24" i="27"/>
  <c r="BZ68" i="27"/>
  <c r="CA84" i="23"/>
  <c r="CA81" i="23"/>
  <c r="CA88" i="23"/>
  <c r="CA89" i="23" s="1"/>
  <c r="BY35" i="27"/>
  <c r="BY47" i="3"/>
  <c r="BY74" i="3" s="1"/>
  <c r="CP55" i="21"/>
  <c r="CP24" i="3"/>
  <c r="CB32" i="3"/>
  <c r="CA52" i="3"/>
  <c r="AT32" i="25"/>
  <c r="AT36" i="25"/>
  <c r="AT92" i="25"/>
  <c r="CB52" i="21"/>
  <c r="CA78" i="21"/>
  <c r="BZ27" i="3"/>
  <c r="BZ21" i="27"/>
  <c r="BZ51" i="27" s="1"/>
  <c r="CC73" i="23"/>
  <c r="CB83" i="23"/>
  <c r="CN166" i="21"/>
  <c r="CP90" i="21"/>
  <c r="CP103" i="21"/>
  <c r="CP25" i="21"/>
  <c r="BI72" i="17"/>
  <c r="BI52" i="17"/>
  <c r="BI75" i="17"/>
  <c r="BI63" i="17"/>
  <c r="BI57" i="17"/>
  <c r="BI58" i="17"/>
  <c r="BI64" i="17"/>
  <c r="BI77" i="17"/>
  <c r="BI76" i="17"/>
  <c r="BI55" i="17"/>
  <c r="BI73" i="17"/>
  <c r="BI61" i="17"/>
  <c r="BI54" i="17"/>
  <c r="BI67" i="17"/>
  <c r="BI70" i="17"/>
  <c r="BI68" i="17"/>
  <c r="BI69" i="17"/>
  <c r="BI74" i="17"/>
  <c r="BI53" i="17"/>
  <c r="BI71" i="17"/>
  <c r="BI59" i="17"/>
  <c r="BI65" i="17"/>
  <c r="BI60" i="17"/>
  <c r="BI62" i="17"/>
  <c r="BI66" i="17"/>
  <c r="BI56" i="17"/>
  <c r="BZ79" i="3"/>
  <c r="BZ93" i="17"/>
  <c r="BZ50" i="3"/>
  <c r="CA50" i="27"/>
  <c r="CB48" i="27"/>
  <c r="CA20" i="27"/>
  <c r="CA61" i="27"/>
  <c r="CI74" i="23"/>
  <c r="CG35" i="3"/>
  <c r="CM167" i="25"/>
  <c r="CA93" i="3"/>
  <c r="BZ86" i="23"/>
  <c r="BZ87" i="23" s="1"/>
  <c r="BZ82" i="23"/>
  <c r="BJ54" i="15"/>
  <c r="BJ56" i="15" s="1"/>
  <c r="BJ6" i="17"/>
  <c r="BJ3" i="15"/>
  <c r="BJ4" i="15" s="1"/>
  <c r="BJ22" i="17"/>
  <c r="BJ17" i="25"/>
  <c r="BJ3" i="25"/>
  <c r="BJ5" i="21"/>
  <c r="BJ164" i="21"/>
  <c r="BJ3" i="21"/>
  <c r="BJ329" i="3"/>
  <c r="BJ182" i="3"/>
  <c r="BJ153" i="3"/>
  <c r="BJ9" i="3"/>
  <c r="BJ69" i="15"/>
  <c r="BJ218" i="25"/>
  <c r="BJ158" i="21"/>
  <c r="BJ5" i="25"/>
  <c r="BJ5" i="27"/>
  <c r="BJ108" i="21"/>
  <c r="BJ313" i="3"/>
  <c r="BJ164" i="3"/>
  <c r="BJ145" i="3"/>
  <c r="BK3" i="3"/>
  <c r="BJ21" i="15"/>
  <c r="BJ83" i="17"/>
  <c r="BJ49" i="17"/>
  <c r="BJ206" i="25"/>
  <c r="BJ3" i="17"/>
  <c r="BJ4" i="17" s="1"/>
  <c r="BJ17" i="27"/>
  <c r="BJ17" i="23"/>
  <c r="BJ19" i="21"/>
  <c r="BJ300" i="3"/>
  <c r="BJ208" i="3"/>
  <c r="BJ85" i="3"/>
  <c r="BJ68" i="3"/>
  <c r="BJ95" i="15"/>
  <c r="BJ29" i="17"/>
  <c r="BJ212" i="25"/>
  <c r="BJ37" i="17"/>
  <c r="BJ157" i="25"/>
  <c r="BJ3" i="27"/>
  <c r="BJ6" i="15"/>
  <c r="BJ5" i="23"/>
  <c r="BJ253" i="3"/>
  <c r="BJ200" i="3"/>
  <c r="BJ41" i="3"/>
  <c r="BJ21" i="3"/>
  <c r="BG87" i="15"/>
  <c r="BW159" i="3"/>
  <c r="BX17" i="17"/>
  <c r="CA119" i="25"/>
  <c r="BZ154" i="25"/>
  <c r="BZ155" i="25" s="1"/>
  <c r="BZ130" i="25"/>
  <c r="BZ104" i="21"/>
  <c r="BZ91" i="21"/>
  <c r="BH78" i="17"/>
  <c r="BH80" i="17" s="1"/>
  <c r="AT75" i="3"/>
  <c r="CG220" i="25"/>
  <c r="BH81" i="15"/>
  <c r="BH86" i="15" s="1"/>
  <c r="BH79" i="15"/>
  <c r="BH84" i="15" s="1"/>
  <c r="BH80" i="15"/>
  <c r="BH85" i="15" s="1"/>
  <c r="BZ147" i="25"/>
  <c r="AU88" i="25"/>
  <c r="AU19" i="25"/>
  <c r="AU64" i="25"/>
  <c r="BI76" i="15"/>
  <c r="BI78" i="15" s="1"/>
  <c r="BI57" i="15"/>
  <c r="CH78" i="23"/>
  <c r="AV146" i="25" l="1"/>
  <c r="CB196" i="25"/>
  <c r="BC111" i="27"/>
  <c r="BC114" i="27" s="1"/>
  <c r="BC115" i="27" s="1"/>
  <c r="BC116" i="27" s="1"/>
  <c r="BD223" i="3"/>
  <c r="BD198" i="3"/>
  <c r="BZ77" i="3"/>
  <c r="BC79" i="27"/>
  <c r="BD74" i="27" s="1"/>
  <c r="BE185" i="3"/>
  <c r="BE192" i="3" s="1"/>
  <c r="CC136" i="21"/>
  <c r="CA30" i="3"/>
  <c r="CA88" i="3" s="1"/>
  <c r="CA51" i="3"/>
  <c r="CA50" i="3" s="1"/>
  <c r="BG81" i="25"/>
  <c r="BC63" i="15"/>
  <c r="BD104" i="3"/>
  <c r="BD63" i="15" s="1"/>
  <c r="BD211" i="3"/>
  <c r="BD304" i="3"/>
  <c r="BC267" i="3"/>
  <c r="BC105" i="3"/>
  <c r="BT74" i="21"/>
  <c r="BU48" i="21"/>
  <c r="BS87" i="21"/>
  <c r="BS100" i="21"/>
  <c r="CA147" i="25"/>
  <c r="AW110" i="25"/>
  <c r="AW112" i="25" s="1"/>
  <c r="AV143" i="25"/>
  <c r="AV149" i="25" s="1"/>
  <c r="AV150" i="25" s="1"/>
  <c r="AV61" i="25" s="1"/>
  <c r="AV88" i="25" s="1"/>
  <c r="BJ113" i="21"/>
  <c r="BH164" i="25"/>
  <c r="BI159" i="25" s="1"/>
  <c r="BI193" i="25" s="1"/>
  <c r="CE60" i="21"/>
  <c r="CD73" i="21"/>
  <c r="BF49" i="3"/>
  <c r="BF76" i="3" s="1"/>
  <c r="BF35" i="25"/>
  <c r="CC26" i="21"/>
  <c r="CC86" i="21"/>
  <c r="CC99" i="21"/>
  <c r="BH195" i="25"/>
  <c r="BH197" i="25" s="1"/>
  <c r="BH198" i="25" s="1"/>
  <c r="BH199" i="25" s="1"/>
  <c r="BH54" i="25" s="1"/>
  <c r="BG24" i="25"/>
  <c r="BG68" i="25"/>
  <c r="BG95" i="25"/>
  <c r="CC168" i="25"/>
  <c r="CB179" i="25"/>
  <c r="CB203" i="25"/>
  <c r="CB204" i="25" s="1"/>
  <c r="CB184" i="25"/>
  <c r="CF17" i="21"/>
  <c r="CE20" i="17"/>
  <c r="CA335" i="3"/>
  <c r="CB288" i="3"/>
  <c r="BZ100" i="25"/>
  <c r="BZ73" i="25"/>
  <c r="BZ30" i="25"/>
  <c r="BY85" i="25"/>
  <c r="BZ58" i="25"/>
  <c r="CF99" i="27"/>
  <c r="CF97" i="27" s="1"/>
  <c r="CG89" i="27"/>
  <c r="CD336" i="3"/>
  <c r="CE289" i="3"/>
  <c r="CB37" i="3"/>
  <c r="CA81" i="3"/>
  <c r="CA34" i="3"/>
  <c r="CA89" i="3" s="1"/>
  <c r="BY64" i="3"/>
  <c r="BY90" i="17"/>
  <c r="CD149" i="21"/>
  <c r="CC134" i="21"/>
  <c r="CA86" i="25"/>
  <c r="CB59" i="25"/>
  <c r="CD68" i="23"/>
  <c r="CC102" i="23"/>
  <c r="CC103" i="23" s="1"/>
  <c r="CC79" i="23"/>
  <c r="BX99" i="25"/>
  <c r="BX29" i="25"/>
  <c r="CE125" i="21"/>
  <c r="CD135" i="21"/>
  <c r="CD133" i="21" s="1"/>
  <c r="CD138" i="21" s="1"/>
  <c r="CD139" i="21" s="1"/>
  <c r="CB9" i="17"/>
  <c r="CC272" i="3"/>
  <c r="CD67" i="23"/>
  <c r="CC72" i="23"/>
  <c r="CB208" i="25"/>
  <c r="CB31" i="3"/>
  <c r="CB51" i="3" s="1"/>
  <c r="CC31" i="25"/>
  <c r="CD84" i="25"/>
  <c r="CC98" i="25"/>
  <c r="BX137" i="25"/>
  <c r="BX138" i="25" s="1"/>
  <c r="BX133" i="25"/>
  <c r="BI36" i="27"/>
  <c r="BI32" i="27"/>
  <c r="BI64" i="27"/>
  <c r="CE183" i="25"/>
  <c r="CF174" i="25"/>
  <c r="CD155" i="21"/>
  <c r="CD156" i="21" s="1"/>
  <c r="CD131" i="21"/>
  <c r="CE119" i="21"/>
  <c r="CE214" i="25"/>
  <c r="CD216" i="25"/>
  <c r="BX181" i="25"/>
  <c r="BY175" i="25"/>
  <c r="BY139" i="25"/>
  <c r="BY140" i="25" s="1"/>
  <c r="BY132" i="25"/>
  <c r="BY135" i="25"/>
  <c r="CD162" i="21"/>
  <c r="CE160" i="21"/>
  <c r="CE256" i="3"/>
  <c r="BZ78" i="3"/>
  <c r="BZ92" i="17"/>
  <c r="CA100" i="27"/>
  <c r="CA120" i="27"/>
  <c r="CA121" i="27" s="1"/>
  <c r="CA98" i="27"/>
  <c r="CB83" i="27"/>
  <c r="CA84" i="27"/>
  <c r="CB65" i="3"/>
  <c r="CB91" i="17"/>
  <c r="CH172" i="25"/>
  <c r="CG178" i="25"/>
  <c r="BY209" i="25"/>
  <c r="BX210" i="25"/>
  <c r="CD221" i="25"/>
  <c r="CC222" i="25"/>
  <c r="BJ34" i="27"/>
  <c r="BJ46" i="3"/>
  <c r="BJ73" i="3" s="1"/>
  <c r="BJ25" i="27"/>
  <c r="BK54" i="27"/>
  <c r="BK57" i="27" s="1"/>
  <c r="BK23" i="27"/>
  <c r="BK27" i="27"/>
  <c r="BK67" i="27"/>
  <c r="BK63" i="27"/>
  <c r="BK70" i="27" s="1"/>
  <c r="BL60" i="27"/>
  <c r="AR180" i="3"/>
  <c r="AR168" i="3"/>
  <c r="AR170" i="3" s="1"/>
  <c r="AR179" i="3"/>
  <c r="BJ112" i="21"/>
  <c r="BJ115" i="21" s="1"/>
  <c r="BK110" i="21" s="1"/>
  <c r="BJ145" i="21"/>
  <c r="BJ146" i="21"/>
  <c r="BJ144" i="21"/>
  <c r="BW182" i="25"/>
  <c r="BW186" i="25"/>
  <c r="BW187" i="25" s="1"/>
  <c r="CC271" i="3"/>
  <c r="CB276" i="3"/>
  <c r="CB319" i="3"/>
  <c r="BZ134" i="25"/>
  <c r="CA125" i="25"/>
  <c r="CA170" i="25"/>
  <c r="BZ188" i="25"/>
  <c r="BZ189" i="25" s="1"/>
  <c r="CD259" i="3"/>
  <c r="CC321" i="3"/>
  <c r="AQ114" i="15"/>
  <c r="AQ113" i="15"/>
  <c r="CB140" i="21"/>
  <c r="CB141" i="21" s="1"/>
  <c r="CB123" i="21"/>
  <c r="CC129" i="21"/>
  <c r="BK57" i="23"/>
  <c r="BK7" i="3"/>
  <c r="BK108" i="25"/>
  <c r="BL6" i="3"/>
  <c r="BK72" i="27"/>
  <c r="CP96" i="25"/>
  <c r="CD38" i="3"/>
  <c r="CH167" i="21"/>
  <c r="CG168" i="21"/>
  <c r="BZ104" i="27"/>
  <c r="BZ105" i="27" s="1"/>
  <c r="CA93" i="27"/>
  <c r="CA87" i="27"/>
  <c r="CB94" i="27"/>
  <c r="CA95" i="27"/>
  <c r="CA102" i="27"/>
  <c r="CA103" i="27" s="1"/>
  <c r="BH87" i="15"/>
  <c r="CB50" i="27"/>
  <c r="CB61" i="27"/>
  <c r="CB20" i="27"/>
  <c r="BI78" i="17"/>
  <c r="BI80" i="17" s="1"/>
  <c r="CA104" i="21"/>
  <c r="CA91" i="21"/>
  <c r="CA93" i="17"/>
  <c r="CA79" i="3"/>
  <c r="CA86" i="23"/>
  <c r="CA87" i="23" s="1"/>
  <c r="CA82" i="23"/>
  <c r="BI81" i="15"/>
  <c r="BI86" i="15" s="1"/>
  <c r="BI80" i="15"/>
  <c r="BI85" i="15" s="1"/>
  <c r="BI79" i="15"/>
  <c r="BI84" i="15" s="1"/>
  <c r="CI78" i="23"/>
  <c r="BX159" i="3"/>
  <c r="BY17" i="17"/>
  <c r="BK212" i="25"/>
  <c r="BK95" i="15"/>
  <c r="BK29" i="17"/>
  <c r="BK22" i="17"/>
  <c r="BK5" i="21"/>
  <c r="BK206" i="25"/>
  <c r="BK5" i="23"/>
  <c r="BK157" i="25"/>
  <c r="BK300" i="3"/>
  <c r="BK182" i="3"/>
  <c r="BK145" i="3"/>
  <c r="BK9" i="3"/>
  <c r="BK6" i="15"/>
  <c r="BK54" i="15"/>
  <c r="BK56" i="15" s="1"/>
  <c r="BK6" i="17"/>
  <c r="BK5" i="25"/>
  <c r="BK164" i="21"/>
  <c r="BK3" i="25"/>
  <c r="BK3" i="21"/>
  <c r="BK17" i="25"/>
  <c r="BK253" i="3"/>
  <c r="BK164" i="3"/>
  <c r="BK68" i="3"/>
  <c r="BL3" i="3"/>
  <c r="BK69" i="15"/>
  <c r="BK3" i="17"/>
  <c r="BK4" i="17" s="1"/>
  <c r="BK49" i="17"/>
  <c r="BK17" i="27"/>
  <c r="BK3" i="15"/>
  <c r="BK4" i="15" s="1"/>
  <c r="BK5" i="27"/>
  <c r="BK19" i="21"/>
  <c r="BK158" i="21"/>
  <c r="BK329" i="3"/>
  <c r="BK208" i="3"/>
  <c r="BK85" i="3"/>
  <c r="BK21" i="3"/>
  <c r="BK83" i="17"/>
  <c r="BK21" i="15"/>
  <c r="BK37" i="17"/>
  <c r="BK3" i="27"/>
  <c r="BK17" i="23"/>
  <c r="BK218" i="25"/>
  <c r="BK108" i="21"/>
  <c r="BK313" i="3"/>
  <c r="BK200" i="3"/>
  <c r="BK153" i="3"/>
  <c r="BK41" i="3"/>
  <c r="CH35" i="3"/>
  <c r="CJ74" i="23"/>
  <c r="CB84" i="23"/>
  <c r="CB81" i="23"/>
  <c r="CB88" i="23"/>
  <c r="CB89" i="23" s="1"/>
  <c r="CB78" i="21"/>
  <c r="CC52" i="21"/>
  <c r="CB52" i="3"/>
  <c r="CC32" i="3"/>
  <c r="CB30" i="3"/>
  <c r="CB88" i="3" s="1"/>
  <c r="AU28" i="3"/>
  <c r="AU21" i="25"/>
  <c r="AU65" i="25" s="1"/>
  <c r="AU102" i="25"/>
  <c r="AU75" i="25"/>
  <c r="AU78" i="25" s="1"/>
  <c r="AU23" i="25"/>
  <c r="AU91" i="25"/>
  <c r="AU105" i="25" s="1"/>
  <c r="AU27" i="25"/>
  <c r="CB119" i="25"/>
  <c r="CA154" i="25"/>
  <c r="CA155" i="25" s="1"/>
  <c r="CA130" i="25"/>
  <c r="BJ67" i="17"/>
  <c r="BJ70" i="17"/>
  <c r="BJ60" i="17"/>
  <c r="BJ58" i="17"/>
  <c r="BJ76" i="17"/>
  <c r="BJ65" i="17"/>
  <c r="BJ59" i="17"/>
  <c r="BJ71" i="17"/>
  <c r="BJ52" i="17"/>
  <c r="BJ55" i="17"/>
  <c r="BJ69" i="17"/>
  <c r="BJ62" i="17"/>
  <c r="BJ74" i="17"/>
  <c r="BJ64" i="17"/>
  <c r="BJ63" i="17"/>
  <c r="BJ77" i="17"/>
  <c r="BJ53" i="17"/>
  <c r="BJ66" i="17"/>
  <c r="BJ73" i="17"/>
  <c r="BJ75" i="17"/>
  <c r="BJ56" i="17"/>
  <c r="BJ68" i="17"/>
  <c r="BJ61" i="17"/>
  <c r="BJ57" i="17"/>
  <c r="BJ72" i="17"/>
  <c r="BJ54" i="17"/>
  <c r="CB93" i="3"/>
  <c r="CA29" i="27"/>
  <c r="CA24" i="27"/>
  <c r="CA68" i="27"/>
  <c r="CO166" i="21"/>
  <c r="CD73" i="23"/>
  <c r="CC83" i="23"/>
  <c r="BZ35" i="27"/>
  <c r="BZ47" i="3"/>
  <c r="BZ74" i="3" s="1"/>
  <c r="AW113" i="25"/>
  <c r="CH220" i="25"/>
  <c r="BJ57" i="15"/>
  <c r="BJ76" i="15"/>
  <c r="BJ78" i="15" s="1"/>
  <c r="CN167" i="25"/>
  <c r="CA27" i="3"/>
  <c r="CA21" i="27"/>
  <c r="CA51" i="27" s="1"/>
  <c r="CA77" i="3" l="1"/>
  <c r="BE247" i="3"/>
  <c r="BE248" i="3" s="1"/>
  <c r="BE194" i="3"/>
  <c r="BF193" i="3"/>
  <c r="BD64" i="15"/>
  <c r="BD230" i="3"/>
  <c r="BD265" i="3"/>
  <c r="CE149" i="21"/>
  <c r="BD110" i="27"/>
  <c r="BD76" i="27"/>
  <c r="BD75" i="27"/>
  <c r="BD108" i="27"/>
  <c r="BD77" i="27"/>
  <c r="BD109" i="27"/>
  <c r="BI194" i="25"/>
  <c r="BD212" i="3"/>
  <c r="BI160" i="25"/>
  <c r="BI162" i="25"/>
  <c r="BD105" i="3"/>
  <c r="BI161" i="25"/>
  <c r="BC309" i="3"/>
  <c r="BC322" i="3"/>
  <c r="BC323" i="3" s="1"/>
  <c r="BD267" i="3"/>
  <c r="AV19" i="25"/>
  <c r="BT100" i="21"/>
  <c r="BT87" i="21"/>
  <c r="BV48" i="21"/>
  <c r="BU74" i="21"/>
  <c r="BI192" i="25"/>
  <c r="CD134" i="21"/>
  <c r="AV64" i="25"/>
  <c r="AW111" i="25"/>
  <c r="CD136" i="21"/>
  <c r="BH20" i="25"/>
  <c r="BH29" i="3" s="1"/>
  <c r="BH81" i="25"/>
  <c r="CC179" i="25"/>
  <c r="CD168" i="25"/>
  <c r="CC203" i="25"/>
  <c r="CC204" i="25" s="1"/>
  <c r="CC184" i="25"/>
  <c r="BI195" i="25"/>
  <c r="CF60" i="21"/>
  <c r="CE73" i="21"/>
  <c r="BG49" i="3"/>
  <c r="BG76" i="3" s="1"/>
  <c r="BG35" i="25"/>
  <c r="CD26" i="21"/>
  <c r="CD86" i="21"/>
  <c r="CD99" i="21"/>
  <c r="CC196" i="25"/>
  <c r="CF20" i="17"/>
  <c r="CG17" i="21"/>
  <c r="CD272" i="3"/>
  <c r="CC9" i="17"/>
  <c r="CE68" i="23"/>
  <c r="CD102" i="23"/>
  <c r="CD103" i="23" s="1"/>
  <c r="CD79" i="23"/>
  <c r="CA100" i="25"/>
  <c r="CA30" i="25"/>
  <c r="CA73" i="25"/>
  <c r="CB81" i="3"/>
  <c r="CB34" i="3"/>
  <c r="CB89" i="3" s="1"/>
  <c r="CC37" i="3"/>
  <c r="BY29" i="25"/>
  <c r="BY99" i="25"/>
  <c r="CB335" i="3"/>
  <c r="CC288" i="3"/>
  <c r="CF125" i="21"/>
  <c r="CE135" i="21"/>
  <c r="CE133" i="21" s="1"/>
  <c r="CE138" i="21" s="1"/>
  <c r="CE139" i="21" s="1"/>
  <c r="CB86" i="25"/>
  <c r="CC59" i="25"/>
  <c r="CE336" i="3"/>
  <c r="CF289" i="3"/>
  <c r="CG99" i="27"/>
  <c r="CG97" i="27" s="1"/>
  <c r="CH89" i="27"/>
  <c r="CA58" i="25"/>
  <c r="BZ85" i="25"/>
  <c r="BZ64" i="3"/>
  <c r="BZ90" i="17"/>
  <c r="BK112" i="21"/>
  <c r="BK145" i="21"/>
  <c r="BK146" i="21"/>
  <c r="BK144" i="21"/>
  <c r="BK113" i="21"/>
  <c r="BK111" i="21"/>
  <c r="AW115" i="25"/>
  <c r="AX110" i="25" s="1"/>
  <c r="AX111" i="25" s="1"/>
  <c r="CA188" i="25"/>
  <c r="CA189" i="25" s="1"/>
  <c r="CB170" i="25"/>
  <c r="BZ139" i="25"/>
  <c r="BZ140" i="25" s="1"/>
  <c r="BZ132" i="25"/>
  <c r="BZ135" i="25"/>
  <c r="AR106" i="15"/>
  <c r="AR173" i="3"/>
  <c r="AR340" i="3" s="1"/>
  <c r="AS167" i="3"/>
  <c r="AR171" i="3"/>
  <c r="BL63" i="27"/>
  <c r="BL70" i="27" s="1"/>
  <c r="BL27" i="27"/>
  <c r="BL23" i="27"/>
  <c r="BM60" i="27"/>
  <c r="BL54" i="27"/>
  <c r="BL57" i="27" s="1"/>
  <c r="BL67" i="27"/>
  <c r="BK34" i="27"/>
  <c r="BK25" i="27"/>
  <c r="BK46" i="3"/>
  <c r="BK73" i="3" s="1"/>
  <c r="BJ64" i="27"/>
  <c r="BJ32" i="27"/>
  <c r="BJ36" i="27"/>
  <c r="CE221" i="25"/>
  <c r="CD222" i="25"/>
  <c r="BZ209" i="25"/>
  <c r="BY210" i="25"/>
  <c r="CI172" i="25"/>
  <c r="CH178" i="25"/>
  <c r="BJ147" i="21"/>
  <c r="BJ150" i="21" s="1"/>
  <c r="BJ151" i="21" s="1"/>
  <c r="BY137" i="25"/>
  <c r="BY138" i="25" s="1"/>
  <c r="BY133" i="25"/>
  <c r="BY181" i="25"/>
  <c r="BZ175" i="25"/>
  <c r="CG174" i="25"/>
  <c r="CF183" i="25"/>
  <c r="CD98" i="25"/>
  <c r="CE84" i="25"/>
  <c r="CD31" i="25"/>
  <c r="CC31" i="3"/>
  <c r="CC51" i="3" s="1"/>
  <c r="CC208" i="25"/>
  <c r="CC123" i="21"/>
  <c r="CD129" i="21"/>
  <c r="CC140" i="21"/>
  <c r="CC141" i="21" s="1"/>
  <c r="CD321" i="3"/>
  <c r="CE259" i="3"/>
  <c r="CA134" i="25"/>
  <c r="CB125" i="25"/>
  <c r="CD271" i="3"/>
  <c r="CC276" i="3"/>
  <c r="CC319" i="3"/>
  <c r="CB100" i="27"/>
  <c r="CB120" i="27"/>
  <c r="CB121" i="27" s="1"/>
  <c r="CB84" i="27"/>
  <c r="CB98" i="27"/>
  <c r="CC83" i="27"/>
  <c r="CF256" i="3"/>
  <c r="CF160" i="21"/>
  <c r="CE162" i="21"/>
  <c r="BX186" i="25"/>
  <c r="BX187" i="25" s="1"/>
  <c r="BX182" i="25"/>
  <c r="CF214" i="25"/>
  <c r="CE216" i="25"/>
  <c r="CE131" i="21"/>
  <c r="CF119" i="21"/>
  <c r="CE155" i="21"/>
  <c r="CE156" i="21" s="1"/>
  <c r="CE134" i="21"/>
  <c r="CC91" i="17"/>
  <c r="CC65" i="3"/>
  <c r="CA78" i="3"/>
  <c r="CA92" i="17"/>
  <c r="CE67" i="23"/>
  <c r="CD72" i="23"/>
  <c r="CB112" i="27"/>
  <c r="BM6" i="3"/>
  <c r="BL7" i="3"/>
  <c r="BL72" i="27"/>
  <c r="BL108" i="25"/>
  <c r="BL57" i="23"/>
  <c r="CE38" i="3"/>
  <c r="CB95" i="27"/>
  <c r="CC94" i="27"/>
  <c r="CB87" i="27"/>
  <c r="CB102" i="27"/>
  <c r="CB103" i="27" s="1"/>
  <c r="CB93" i="27"/>
  <c r="CA104" i="27"/>
  <c r="CA105" i="27" s="1"/>
  <c r="CI167" i="21"/>
  <c r="CH168" i="21"/>
  <c r="CI220" i="25"/>
  <c r="CE73" i="23"/>
  <c r="CD83" i="23"/>
  <c r="CA47" i="3"/>
  <c r="CA74" i="3" s="1"/>
  <c r="CA35" i="27"/>
  <c r="CB154" i="25"/>
  <c r="CB155" i="25" s="1"/>
  <c r="CC119" i="25"/>
  <c r="CB130" i="25"/>
  <c r="CC78" i="21"/>
  <c r="CD52" i="21"/>
  <c r="CB82" i="23"/>
  <c r="CB86" i="23"/>
  <c r="CB87" i="23" s="1"/>
  <c r="CI35" i="3"/>
  <c r="CJ78" i="23"/>
  <c r="AW146" i="25"/>
  <c r="CB147" i="25"/>
  <c r="AU34" i="25"/>
  <c r="AU48" i="3"/>
  <c r="AU25" i="25"/>
  <c r="AV21" i="25"/>
  <c r="AV28" i="3"/>
  <c r="CB104" i="21"/>
  <c r="CB91" i="21"/>
  <c r="BL37" i="17"/>
  <c r="BL69" i="15"/>
  <c r="BL54" i="15"/>
  <c r="BL56" i="15" s="1"/>
  <c r="BL17" i="23"/>
  <c r="BL164" i="21"/>
  <c r="BL29" i="17"/>
  <c r="BL3" i="27"/>
  <c r="BL253" i="3"/>
  <c r="BL200" i="3"/>
  <c r="BL41" i="3"/>
  <c r="BL21" i="3"/>
  <c r="BL3" i="15"/>
  <c r="BL4" i="15" s="1"/>
  <c r="BL22" i="17"/>
  <c r="BL83" i="17"/>
  <c r="BL5" i="23"/>
  <c r="BL108" i="21"/>
  <c r="BL6" i="17"/>
  <c r="BL5" i="21"/>
  <c r="BL329" i="3"/>
  <c r="BL182" i="3"/>
  <c r="BL153" i="3"/>
  <c r="BL9" i="3"/>
  <c r="BL6" i="15"/>
  <c r="BL218" i="25"/>
  <c r="BL212" i="25"/>
  <c r="BL3" i="25"/>
  <c r="BL3" i="21"/>
  <c r="BL19" i="21"/>
  <c r="BL5" i="25"/>
  <c r="BL17" i="25"/>
  <c r="BL313" i="3"/>
  <c r="BL164" i="3"/>
  <c r="BL145" i="3"/>
  <c r="BM3" i="3"/>
  <c r="BL3" i="17"/>
  <c r="BL4" i="17" s="1"/>
  <c r="BL49" i="17"/>
  <c r="BL206" i="25"/>
  <c r="BL95" i="15"/>
  <c r="BL5" i="27"/>
  <c r="BL157" i="25"/>
  <c r="BL21" i="15"/>
  <c r="BL17" i="27"/>
  <c r="BL158" i="21"/>
  <c r="BL300" i="3"/>
  <c r="BL208" i="3"/>
  <c r="BL85" i="3"/>
  <c r="BL68" i="3"/>
  <c r="CO167" i="25"/>
  <c r="BJ80" i="15"/>
  <c r="BJ85" i="15" s="1"/>
  <c r="BJ81" i="15"/>
  <c r="BJ86" i="15" s="1"/>
  <c r="BJ79" i="15"/>
  <c r="BJ84" i="15" s="1"/>
  <c r="CP166" i="21"/>
  <c r="CC93" i="3"/>
  <c r="AV102" i="25"/>
  <c r="AV75" i="25"/>
  <c r="AV78" i="25" s="1"/>
  <c r="AV23" i="25"/>
  <c r="AV91" i="25"/>
  <c r="AV105" i="25" s="1"/>
  <c r="AV27" i="25"/>
  <c r="CD32" i="3"/>
  <c r="CC52" i="3"/>
  <c r="CC30" i="3"/>
  <c r="CC88" i="3" s="1"/>
  <c r="CK74" i="23"/>
  <c r="BK56" i="17"/>
  <c r="BK62" i="17"/>
  <c r="BK75" i="17"/>
  <c r="BK74" i="17"/>
  <c r="BK53" i="17"/>
  <c r="BK55" i="17"/>
  <c r="BK67" i="17"/>
  <c r="BK77" i="17"/>
  <c r="BK65" i="17"/>
  <c r="BK68" i="17"/>
  <c r="BK66" i="17"/>
  <c r="BK52" i="17"/>
  <c r="BK71" i="17"/>
  <c r="BK59" i="17"/>
  <c r="BK69" i="17"/>
  <c r="BK57" i="17"/>
  <c r="BK63" i="17"/>
  <c r="BK58" i="17"/>
  <c r="BK76" i="17"/>
  <c r="BK72" i="17"/>
  <c r="BK70" i="17"/>
  <c r="BK54" i="17"/>
  <c r="BK73" i="17"/>
  <c r="BK61" i="17"/>
  <c r="BK60" i="17"/>
  <c r="BK64" i="17"/>
  <c r="BI87" i="15"/>
  <c r="CB27" i="3"/>
  <c r="CB21" i="27"/>
  <c r="CB51" i="27" s="1"/>
  <c r="CC81" i="23"/>
  <c r="CC84" i="23"/>
  <c r="CC88" i="23"/>
  <c r="CC89" i="23" s="1"/>
  <c r="BJ78" i="17"/>
  <c r="BJ80" i="17" s="1"/>
  <c r="AU87" i="17"/>
  <c r="AU61" i="3"/>
  <c r="CB93" i="17"/>
  <c r="CB79" i="3"/>
  <c r="CB50" i="3"/>
  <c r="CB77" i="3" s="1"/>
  <c r="BK57" i="15"/>
  <c r="BK76" i="15"/>
  <c r="BK78" i="15" s="1"/>
  <c r="BY159" i="3"/>
  <c r="BZ17" i="17"/>
  <c r="CB24" i="27"/>
  <c r="CC68" i="27"/>
  <c r="CB68" i="27"/>
  <c r="CB29" i="27"/>
  <c r="CC112" i="27" l="1"/>
  <c r="BD111" i="27"/>
  <c r="BF185" i="3"/>
  <c r="BF192" i="3" s="1"/>
  <c r="BD79" i="27"/>
  <c r="BE74" i="27" s="1"/>
  <c r="BD305" i="3"/>
  <c r="BD303" i="3" s="1"/>
  <c r="BD320" i="3"/>
  <c r="BE103" i="3"/>
  <c r="BE198" i="3"/>
  <c r="BE223" i="3"/>
  <c r="AW143" i="25"/>
  <c r="AW149" i="25" s="1"/>
  <c r="AW150" i="25" s="1"/>
  <c r="AW61" i="25" s="1"/>
  <c r="AW88" i="25" s="1"/>
  <c r="CE136" i="21"/>
  <c r="BD114" i="27"/>
  <c r="BD115" i="27" s="1"/>
  <c r="BD116" i="27" s="1"/>
  <c r="BF246" i="3"/>
  <c r="BG193" i="3"/>
  <c r="BG246" i="3" s="1"/>
  <c r="BI164" i="25"/>
  <c r="BJ159" i="25" s="1"/>
  <c r="BJ160" i="25" s="1"/>
  <c r="BI197" i="25"/>
  <c r="BI198" i="25" s="1"/>
  <c r="BI199" i="25" s="1"/>
  <c r="BI54" i="25" s="1"/>
  <c r="BI81" i="25" s="1"/>
  <c r="BD322" i="3"/>
  <c r="BD309" i="3"/>
  <c r="AV65" i="25"/>
  <c r="BU87" i="21"/>
  <c r="BU100" i="21"/>
  <c r="BV74" i="21"/>
  <c r="BW48" i="21"/>
  <c r="CD196" i="25"/>
  <c r="BK115" i="21"/>
  <c r="BL110" i="21" s="1"/>
  <c r="BL112" i="21" s="1"/>
  <c r="BJ192" i="25"/>
  <c r="BJ194" i="25"/>
  <c r="BJ193" i="25"/>
  <c r="CF73" i="21"/>
  <c r="CG60" i="21"/>
  <c r="BH95" i="25"/>
  <c r="BH68" i="25"/>
  <c r="BH24" i="25"/>
  <c r="CE86" i="21"/>
  <c r="CE26" i="21"/>
  <c r="CE99" i="21"/>
  <c r="BJ162" i="25"/>
  <c r="CE168" i="25"/>
  <c r="CD179" i="25"/>
  <c r="CD203" i="25"/>
  <c r="CD204" i="25" s="1"/>
  <c r="CD184" i="25"/>
  <c r="CH17" i="21"/>
  <c r="CG20" i="17"/>
  <c r="BZ99" i="25"/>
  <c r="BZ29" i="25"/>
  <c r="CH99" i="27"/>
  <c r="CH97" i="27" s="1"/>
  <c r="CI89" i="27"/>
  <c r="CG289" i="3"/>
  <c r="CF336" i="3"/>
  <c r="CB100" i="25"/>
  <c r="CB73" i="25"/>
  <c r="CB30" i="25"/>
  <c r="CF135" i="21"/>
  <c r="CF133" i="21" s="1"/>
  <c r="CF138" i="21" s="1"/>
  <c r="CF139" i="21" s="1"/>
  <c r="CG125" i="21"/>
  <c r="CC335" i="3"/>
  <c r="CD288" i="3"/>
  <c r="CD37" i="3"/>
  <c r="CC34" i="3"/>
  <c r="CC89" i="3" s="1"/>
  <c r="CC81" i="3"/>
  <c r="CE272" i="3"/>
  <c r="CD9" i="17"/>
  <c r="CA85" i="25"/>
  <c r="CB58" i="25"/>
  <c r="CC86" i="25"/>
  <c r="CD59" i="25"/>
  <c r="CA90" i="17"/>
  <c r="CA64" i="3"/>
  <c r="CF68" i="23"/>
  <c r="CE102" i="23"/>
  <c r="CE103" i="23" s="1"/>
  <c r="CE79" i="23"/>
  <c r="BL111" i="21"/>
  <c r="BL144" i="21"/>
  <c r="CF67" i="23"/>
  <c r="CE72" i="23"/>
  <c r="CF149" i="21"/>
  <c r="CF131" i="21"/>
  <c r="CG119" i="21"/>
  <c r="CF155" i="21"/>
  <c r="CF156" i="21" s="1"/>
  <c r="CG256" i="3"/>
  <c r="CC100" i="27"/>
  <c r="CD83" i="27"/>
  <c r="CC84" i="27"/>
  <c r="CC120" i="27"/>
  <c r="CC121" i="27" s="1"/>
  <c r="CC98" i="27"/>
  <c r="CC125" i="25"/>
  <c r="CB134" i="25"/>
  <c r="CF259" i="3"/>
  <c r="CE321" i="3"/>
  <c r="CB78" i="3"/>
  <c r="CB92" i="17"/>
  <c r="CD91" i="17"/>
  <c r="CD65" i="3"/>
  <c r="CH174" i="25"/>
  <c r="CG183" i="25"/>
  <c r="BY182" i="25"/>
  <c r="BY186" i="25"/>
  <c r="BY187" i="25" s="1"/>
  <c r="BK32" i="27"/>
  <c r="BK64" i="27"/>
  <c r="BK36" i="27"/>
  <c r="BM63" i="27"/>
  <c r="BM70" i="27" s="1"/>
  <c r="BN60" i="27"/>
  <c r="BM67" i="27"/>
  <c r="BM23" i="27"/>
  <c r="BM27" i="27"/>
  <c r="BM54" i="27"/>
  <c r="BM57" i="27" s="1"/>
  <c r="AR104" i="15"/>
  <c r="AR172" i="3"/>
  <c r="AR105" i="15" s="1"/>
  <c r="BK147" i="21"/>
  <c r="BK150" i="21" s="1"/>
  <c r="BK151" i="21" s="1"/>
  <c r="CG214" i="25"/>
  <c r="CF216" i="25"/>
  <c r="CF162" i="21"/>
  <c r="CG160" i="21"/>
  <c r="CE271" i="3"/>
  <c r="CD276" i="3"/>
  <c r="CD319" i="3"/>
  <c r="CA139" i="25"/>
  <c r="CA140" i="25" s="1"/>
  <c r="CA132" i="25"/>
  <c r="CA135" i="25"/>
  <c r="CE129" i="21"/>
  <c r="CD140" i="21"/>
  <c r="CD141" i="21" s="1"/>
  <c r="CD123" i="21"/>
  <c r="CD208" i="25"/>
  <c r="CD31" i="3"/>
  <c r="CD51" i="3" s="1"/>
  <c r="CE98" i="25"/>
  <c r="CE31" i="25"/>
  <c r="CF84" i="25"/>
  <c r="BZ181" i="25"/>
  <c r="CA175" i="25"/>
  <c r="CJ172" i="25"/>
  <c r="CI178" i="25"/>
  <c r="CA209" i="25"/>
  <c r="BZ210" i="25"/>
  <c r="CF221" i="25"/>
  <c r="CE222" i="25"/>
  <c r="BL25" i="27"/>
  <c r="BL34" i="27"/>
  <c r="BL46" i="3"/>
  <c r="BL73" i="3" s="1"/>
  <c r="AS177" i="3"/>
  <c r="BZ137" i="25"/>
  <c r="BZ138" i="25" s="1"/>
  <c r="BZ133" i="25"/>
  <c r="CC170" i="25"/>
  <c r="CB188" i="25"/>
  <c r="CB189" i="25" s="1"/>
  <c r="BM108" i="25"/>
  <c r="BM72" i="27"/>
  <c r="BM57" i="23"/>
  <c r="BM7" i="3"/>
  <c r="BN6" i="3"/>
  <c r="CF38" i="3"/>
  <c r="CJ167" i="21"/>
  <c r="CI168" i="21"/>
  <c r="CC147" i="25"/>
  <c r="CC93" i="27"/>
  <c r="CB104" i="27"/>
  <c r="CB105" i="27" s="1"/>
  <c r="CC87" i="27"/>
  <c r="CC95" i="27"/>
  <c r="CD94" i="27"/>
  <c r="CC102" i="27"/>
  <c r="CC103" i="27" s="1"/>
  <c r="BK79" i="15"/>
  <c r="BK84" i="15" s="1"/>
  <c r="BK80" i="15"/>
  <c r="BK85" i="15" s="1"/>
  <c r="BK81" i="15"/>
  <c r="BK86" i="15" s="1"/>
  <c r="CC79" i="3"/>
  <c r="CC93" i="17"/>
  <c r="CC50" i="3"/>
  <c r="CC77" i="3" s="1"/>
  <c r="CD93" i="3"/>
  <c r="BJ87" i="15"/>
  <c r="CP167" i="25"/>
  <c r="BM3" i="15"/>
  <c r="BM4" i="15" s="1"/>
  <c r="BM22" i="17"/>
  <c r="BM54" i="15"/>
  <c r="BM56" i="15" s="1"/>
  <c r="BM6" i="17"/>
  <c r="BM69" i="15"/>
  <c r="BM5" i="25"/>
  <c r="BM158" i="21"/>
  <c r="BM3" i="25"/>
  <c r="BM3" i="21"/>
  <c r="BM300" i="3"/>
  <c r="BM182" i="3"/>
  <c r="BM145" i="3"/>
  <c r="BM41" i="3"/>
  <c r="BM218" i="25"/>
  <c r="BM6" i="15"/>
  <c r="BM164" i="21"/>
  <c r="BM3" i="27"/>
  <c r="BM17" i="27"/>
  <c r="BM5" i="27"/>
  <c r="BM83" i="17"/>
  <c r="BM253" i="3"/>
  <c r="BM164" i="3"/>
  <c r="BM68" i="3"/>
  <c r="BM9" i="3"/>
  <c r="BM49" i="17"/>
  <c r="BM206" i="25"/>
  <c r="BM21" i="15"/>
  <c r="BM3" i="17"/>
  <c r="BM4" i="17" s="1"/>
  <c r="BM108" i="21"/>
  <c r="BM157" i="25"/>
  <c r="BM5" i="21"/>
  <c r="BM17" i="23"/>
  <c r="BM329" i="3"/>
  <c r="BM208" i="3"/>
  <c r="BM85" i="3"/>
  <c r="BM21" i="3"/>
  <c r="BM37" i="17"/>
  <c r="BM95" i="15"/>
  <c r="BM29" i="17"/>
  <c r="BM19" i="21"/>
  <c r="BM17" i="25"/>
  <c r="BM212" i="25"/>
  <c r="BM5" i="23"/>
  <c r="BM313" i="3"/>
  <c r="BM200" i="3"/>
  <c r="BM153" i="3"/>
  <c r="BN3" i="3"/>
  <c r="CK78" i="23"/>
  <c r="CE52" i="21"/>
  <c r="CD78" i="21"/>
  <c r="CF73" i="23"/>
  <c r="CE83" i="23"/>
  <c r="CC86" i="23"/>
  <c r="CC87" i="23" s="1"/>
  <c r="CC82" i="23"/>
  <c r="CL74" i="23"/>
  <c r="CD52" i="3"/>
  <c r="CE32" i="3"/>
  <c r="AV87" i="17"/>
  <c r="AV61" i="3"/>
  <c r="CC104" i="21"/>
  <c r="CC91" i="21"/>
  <c r="CC154" i="25"/>
  <c r="CC155" i="25" s="1"/>
  <c r="CD119" i="25"/>
  <c r="CC130" i="25"/>
  <c r="CJ220" i="25"/>
  <c r="CB47" i="3"/>
  <c r="CB74" i="3" s="1"/>
  <c r="CB35" i="27"/>
  <c r="CA17" i="17"/>
  <c r="BZ159" i="3"/>
  <c r="AW19" i="25"/>
  <c r="BK78" i="17"/>
  <c r="BK80" i="17" s="1"/>
  <c r="BL75" i="17"/>
  <c r="BL56" i="17"/>
  <c r="BL68" i="17"/>
  <c r="BL59" i="17"/>
  <c r="BL53" i="17"/>
  <c r="BL73" i="17"/>
  <c r="BL54" i="17"/>
  <c r="BL65" i="17"/>
  <c r="BL70" i="17"/>
  <c r="BL60" i="17"/>
  <c r="BL58" i="17"/>
  <c r="BL76" i="17"/>
  <c r="BL72" i="17"/>
  <c r="BL57" i="17"/>
  <c r="BL71" i="17"/>
  <c r="BL52" i="17"/>
  <c r="BL55" i="17"/>
  <c r="BL67" i="17"/>
  <c r="BL63" i="17"/>
  <c r="BL74" i="17"/>
  <c r="BL64" i="17"/>
  <c r="BL61" i="17"/>
  <c r="BL77" i="17"/>
  <c r="BL69" i="17"/>
  <c r="BL66" i="17"/>
  <c r="BL62" i="17"/>
  <c r="AU92" i="25"/>
  <c r="AU36" i="25"/>
  <c r="AU32" i="25"/>
  <c r="AX112" i="25"/>
  <c r="AV25" i="25"/>
  <c r="AV48" i="3"/>
  <c r="AV34" i="25"/>
  <c r="BL57" i="15"/>
  <c r="BL76" i="15"/>
  <c r="BL78" i="15" s="1"/>
  <c r="AU75" i="3"/>
  <c r="AX113" i="25"/>
  <c r="CJ35" i="3"/>
  <c r="CD81" i="23"/>
  <c r="CD84" i="23"/>
  <c r="CD88" i="23"/>
  <c r="CD89" i="23" s="1"/>
  <c r="BJ161" i="25" l="1"/>
  <c r="BE265" i="3"/>
  <c r="BE320" i="3" s="1"/>
  <c r="BE305" i="3"/>
  <c r="BE303" i="3" s="1"/>
  <c r="BE77" i="27"/>
  <c r="BE109" i="27"/>
  <c r="BE110" i="27"/>
  <c r="BE76" i="27"/>
  <c r="BE75" i="27"/>
  <c r="BE108" i="27"/>
  <c r="AW64" i="25"/>
  <c r="BL145" i="21"/>
  <c r="BD323" i="3"/>
  <c r="BE64" i="15"/>
  <c r="BE230" i="3"/>
  <c r="BE211" i="3"/>
  <c r="BE304" i="3"/>
  <c r="BE104" i="3"/>
  <c r="BF194" i="3"/>
  <c r="BF247" i="3"/>
  <c r="BF248" i="3" s="1"/>
  <c r="CD147" i="25"/>
  <c r="BL146" i="21"/>
  <c r="CD30" i="3"/>
  <c r="CD88" i="3" s="1"/>
  <c r="BL113" i="21"/>
  <c r="BL147" i="21" s="1"/>
  <c r="BL150" i="21" s="1"/>
  <c r="BL151" i="21" s="1"/>
  <c r="CF136" i="21"/>
  <c r="BI20" i="25"/>
  <c r="BI29" i="3" s="1"/>
  <c r="BV100" i="21"/>
  <c r="BV87" i="21"/>
  <c r="BW74" i="21"/>
  <c r="BX48" i="21"/>
  <c r="BJ164" i="25"/>
  <c r="BK159" i="25" s="1"/>
  <c r="BK160" i="25" s="1"/>
  <c r="CF134" i="21"/>
  <c r="CE203" i="25"/>
  <c r="CE204" i="25" s="1"/>
  <c r="CF168" i="25"/>
  <c r="CE179" i="25"/>
  <c r="CE184" i="25"/>
  <c r="BH49" i="3"/>
  <c r="BH76" i="3" s="1"/>
  <c r="BH35" i="25"/>
  <c r="CF26" i="21"/>
  <c r="CF99" i="21"/>
  <c r="CF86" i="21"/>
  <c r="BI95" i="25"/>
  <c r="BI24" i="25"/>
  <c r="BI68" i="25"/>
  <c r="BJ195" i="25"/>
  <c r="BJ197" i="25" s="1"/>
  <c r="CH60" i="21"/>
  <c r="CG73" i="21"/>
  <c r="CE196" i="25"/>
  <c r="AX115" i="25"/>
  <c r="AY110" i="25" s="1"/>
  <c r="AY113" i="25" s="1"/>
  <c r="CI17" i="21"/>
  <c r="CH20" i="17"/>
  <c r="CE59" i="25"/>
  <c r="CD86" i="25"/>
  <c r="CB85" i="25"/>
  <c r="CC58" i="25"/>
  <c r="CF272" i="3"/>
  <c r="CE9" i="17"/>
  <c r="CE37" i="3"/>
  <c r="CD81" i="3"/>
  <c r="CD34" i="3"/>
  <c r="CD89" i="3" s="1"/>
  <c r="CG135" i="21"/>
  <c r="CG133" i="21" s="1"/>
  <c r="CG138" i="21" s="1"/>
  <c r="CG139" i="21" s="1"/>
  <c r="CH125" i="21"/>
  <c r="CB90" i="17"/>
  <c r="CB64" i="3"/>
  <c r="CG336" i="3"/>
  <c r="CH289" i="3"/>
  <c r="CF102" i="23"/>
  <c r="CF103" i="23" s="1"/>
  <c r="CG68" i="23"/>
  <c r="CF79" i="23"/>
  <c r="CC73" i="25"/>
  <c r="CC100" i="25"/>
  <c r="CC30" i="25"/>
  <c r="CA29" i="25"/>
  <c r="CA99" i="25"/>
  <c r="CE288" i="3"/>
  <c r="CD335" i="3"/>
  <c r="CJ89" i="27"/>
  <c r="CI99" i="27"/>
  <c r="CI97" i="27" s="1"/>
  <c r="BL32" i="27"/>
  <c r="BL36" i="27"/>
  <c r="BL64" i="27"/>
  <c r="CG221" i="25"/>
  <c r="CF222" i="25"/>
  <c r="CB209" i="25"/>
  <c r="CA210" i="25"/>
  <c r="CK172" i="25"/>
  <c r="CJ178" i="25"/>
  <c r="CB175" i="25"/>
  <c r="CA181" i="25"/>
  <c r="CG84" i="25"/>
  <c r="CF98" i="25"/>
  <c r="CF31" i="25"/>
  <c r="CE31" i="3"/>
  <c r="CE51" i="3" s="1"/>
  <c r="CG216" i="25"/>
  <c r="CH214" i="25"/>
  <c r="AR113" i="15"/>
  <c r="AR114" i="15"/>
  <c r="CH183" i="25"/>
  <c r="CI174" i="25"/>
  <c r="CG259" i="3"/>
  <c r="CF321" i="3"/>
  <c r="CD125" i="25"/>
  <c r="CC134" i="25"/>
  <c r="CD100" i="27"/>
  <c r="CD120" i="27"/>
  <c r="CD121" i="27" s="1"/>
  <c r="CD98" i="27"/>
  <c r="CE83" i="27"/>
  <c r="CD84" i="27"/>
  <c r="CG149" i="21"/>
  <c r="CG155" i="21"/>
  <c r="CG156" i="21" s="1"/>
  <c r="CG131" i="21"/>
  <c r="CH119" i="21"/>
  <c r="CG136" i="21"/>
  <c r="CG67" i="23"/>
  <c r="CF72" i="23"/>
  <c r="CC188" i="25"/>
  <c r="CC189" i="25" s="1"/>
  <c r="CD170" i="25"/>
  <c r="AS168" i="3"/>
  <c r="AS170" i="3" s="1"/>
  <c r="AS180" i="3"/>
  <c r="AS179" i="3"/>
  <c r="BZ182" i="25"/>
  <c r="BZ186" i="25"/>
  <c r="BZ187" i="25" s="1"/>
  <c r="CE91" i="17"/>
  <c r="CE65" i="3"/>
  <c r="CC92" i="17"/>
  <c r="CC78" i="3"/>
  <c r="CE208" i="25"/>
  <c r="CE140" i="21"/>
  <c r="CE141" i="21" s="1"/>
  <c r="CE123" i="21"/>
  <c r="CF129" i="21"/>
  <c r="CA137" i="25"/>
  <c r="CA138" i="25" s="1"/>
  <c r="CA133" i="25"/>
  <c r="CF271" i="3"/>
  <c r="CE276" i="3"/>
  <c r="CE319" i="3"/>
  <c r="CH160" i="21"/>
  <c r="CG162" i="21"/>
  <c r="BM46" i="3"/>
  <c r="BM73" i="3" s="1"/>
  <c r="BM34" i="27"/>
  <c r="BM25" i="27"/>
  <c r="BO60" i="27"/>
  <c r="BN67" i="27"/>
  <c r="BN63" i="27"/>
  <c r="BN70" i="27" s="1"/>
  <c r="BN27" i="27"/>
  <c r="BN23" i="27"/>
  <c r="BN54" i="27"/>
  <c r="BN57" i="27" s="1"/>
  <c r="CB132" i="25"/>
  <c r="CB139" i="25"/>
  <c r="CB140" i="25" s="1"/>
  <c r="CB135" i="25"/>
  <c r="CH256" i="3"/>
  <c r="CD112" i="27"/>
  <c r="BN108" i="25"/>
  <c r="BN72" i="27"/>
  <c r="BO6" i="3"/>
  <c r="BN7" i="3"/>
  <c r="BN57" i="23"/>
  <c r="CG38" i="3"/>
  <c r="CD93" i="27"/>
  <c r="CC104" i="27"/>
  <c r="CC105" i="27" s="1"/>
  <c r="CD87" i="27"/>
  <c r="CE94" i="27"/>
  <c r="CD95" i="27"/>
  <c r="CD102" i="27"/>
  <c r="CD103" i="27" s="1"/>
  <c r="CK167" i="21"/>
  <c r="CJ168" i="21"/>
  <c r="AX143" i="25"/>
  <c r="CK35" i="3"/>
  <c r="CE119" i="25"/>
  <c r="CE147" i="25" s="1"/>
  <c r="CD130" i="25"/>
  <c r="CD154" i="25"/>
  <c r="CD155" i="25" s="1"/>
  <c r="CF32" i="3"/>
  <c r="CE52" i="3"/>
  <c r="CE81" i="23"/>
  <c r="CE84" i="23"/>
  <c r="CE88" i="23"/>
  <c r="CE89" i="23" s="1"/>
  <c r="CD91" i="21"/>
  <c r="CD104" i="21"/>
  <c r="AW21" i="25"/>
  <c r="AW65" i="25" s="1"/>
  <c r="AW28" i="3"/>
  <c r="CD79" i="3"/>
  <c r="CD93" i="17"/>
  <c r="CD50" i="3"/>
  <c r="CD77" i="3" s="1"/>
  <c r="CM74" i="23"/>
  <c r="CG73" i="23"/>
  <c r="CF83" i="23"/>
  <c r="CE78" i="21"/>
  <c r="CF52" i="21"/>
  <c r="CL78" i="23"/>
  <c r="BM54" i="17"/>
  <c r="BM60" i="17"/>
  <c r="BM73" i="17"/>
  <c r="BM71" i="17"/>
  <c r="BM59" i="17"/>
  <c r="BM77" i="17"/>
  <c r="BM65" i="17"/>
  <c r="BM75" i="17"/>
  <c r="BM63" i="17"/>
  <c r="BM66" i="17"/>
  <c r="BM72" i="17"/>
  <c r="BM74" i="17"/>
  <c r="BM69" i="17"/>
  <c r="BM57" i="17"/>
  <c r="BM76" i="17"/>
  <c r="BM55" i="17"/>
  <c r="BM61" i="17"/>
  <c r="BM64" i="17"/>
  <c r="BM58" i="17"/>
  <c r="BM70" i="17"/>
  <c r="BM68" i="17"/>
  <c r="BM56" i="17"/>
  <c r="BM52" i="17"/>
  <c r="BM67" i="17"/>
  <c r="BM53" i="17"/>
  <c r="BM62" i="17"/>
  <c r="CD82" i="23"/>
  <c r="CD86" i="23"/>
  <c r="CD87" i="23" s="1"/>
  <c r="AV75" i="3"/>
  <c r="AW75" i="25"/>
  <c r="AW78" i="25" s="1"/>
  <c r="AW102" i="25"/>
  <c r="AW23" i="25"/>
  <c r="AW27" i="25"/>
  <c r="AW91" i="25"/>
  <c r="AW105" i="25" s="1"/>
  <c r="AX146" i="25"/>
  <c r="BL80" i="15"/>
  <c r="BL85" i="15" s="1"/>
  <c r="BL81" i="15"/>
  <c r="BL86" i="15" s="1"/>
  <c r="BL79" i="15"/>
  <c r="BL84" i="15" s="1"/>
  <c r="AV92" i="25"/>
  <c r="AV32" i="25"/>
  <c r="AV36" i="25"/>
  <c r="BL78" i="17"/>
  <c r="BL80" i="17" s="1"/>
  <c r="CB17" i="17"/>
  <c r="CA159" i="3"/>
  <c r="CK220" i="25"/>
  <c r="BN69" i="15"/>
  <c r="BN218" i="25"/>
  <c r="BN158" i="21"/>
  <c r="BN3" i="17"/>
  <c r="BN4" i="17" s="1"/>
  <c r="BN3" i="27"/>
  <c r="BN108" i="21"/>
  <c r="BN253" i="3"/>
  <c r="BN200" i="3"/>
  <c r="BN41" i="3"/>
  <c r="BN21" i="3"/>
  <c r="BN21" i="15"/>
  <c r="BN83" i="17"/>
  <c r="BN49" i="17"/>
  <c r="BN206" i="25"/>
  <c r="BN5" i="27"/>
  <c r="BN5" i="21"/>
  <c r="BN19" i="21"/>
  <c r="BN329" i="3"/>
  <c r="BN182" i="3"/>
  <c r="BN153" i="3"/>
  <c r="BN9" i="3"/>
  <c r="BN95" i="15"/>
  <c r="BN29" i="17"/>
  <c r="BN212" i="25"/>
  <c r="BN37" i="17"/>
  <c r="BN157" i="25"/>
  <c r="BN17" i="23"/>
  <c r="BN5" i="25"/>
  <c r="BN3" i="21"/>
  <c r="BN6" i="15"/>
  <c r="BN313" i="3"/>
  <c r="BN164" i="3"/>
  <c r="BN145" i="3"/>
  <c r="BO3" i="3"/>
  <c r="BN54" i="15"/>
  <c r="BN56" i="15" s="1"/>
  <c r="BN6" i="17"/>
  <c r="BN3" i="15"/>
  <c r="BN4" i="15" s="1"/>
  <c r="BN22" i="17"/>
  <c r="BN17" i="25"/>
  <c r="BN5" i="23"/>
  <c r="BN17" i="27"/>
  <c r="BN164" i="21"/>
  <c r="BN3" i="25"/>
  <c r="BN300" i="3"/>
  <c r="BN208" i="3"/>
  <c r="BN85" i="3"/>
  <c r="BN68" i="3"/>
  <c r="BM57" i="15"/>
  <c r="BM76" i="15"/>
  <c r="BM78" i="15" s="1"/>
  <c r="CE93" i="3"/>
  <c r="BK87" i="15"/>
  <c r="BK194" i="25" l="1"/>
  <c r="BE111" i="27"/>
  <c r="BE114" i="27" s="1"/>
  <c r="BE115" i="27" s="1"/>
  <c r="BE116" i="27" s="1"/>
  <c r="BF103" i="3"/>
  <c r="BF104" i="3" s="1"/>
  <c r="CE112" i="27"/>
  <c r="BL115" i="21"/>
  <c r="BM110" i="21" s="1"/>
  <c r="BM144" i="21" s="1"/>
  <c r="BE63" i="15"/>
  <c r="BE267" i="3"/>
  <c r="BE212" i="3"/>
  <c r="BE105" i="3"/>
  <c r="BF198" i="3"/>
  <c r="BF223" i="3"/>
  <c r="BE79" i="27"/>
  <c r="BF74" i="27" s="1"/>
  <c r="BG185" i="3"/>
  <c r="BG192" i="3" s="1"/>
  <c r="BF75" i="27"/>
  <c r="BH185" i="3" s="1"/>
  <c r="BH192" i="3" s="1"/>
  <c r="BK162" i="25"/>
  <c r="BK161" i="25"/>
  <c r="CE30" i="3"/>
  <c r="CE88" i="3" s="1"/>
  <c r="CF196" i="25"/>
  <c r="BY48" i="21"/>
  <c r="BX74" i="21"/>
  <c r="BW87" i="21"/>
  <c r="BW100" i="21"/>
  <c r="CG134" i="21"/>
  <c r="BK193" i="25"/>
  <c r="BK192" i="25"/>
  <c r="BJ198" i="25"/>
  <c r="BJ199" i="25" s="1"/>
  <c r="BJ54" i="25" s="1"/>
  <c r="CG99" i="21"/>
  <c r="CG86" i="21"/>
  <c r="CG26" i="21"/>
  <c r="CF203" i="25"/>
  <c r="CF204" i="25" s="1"/>
  <c r="CF179" i="25"/>
  <c r="CG168" i="25"/>
  <c r="CF184" i="25"/>
  <c r="CH73" i="21"/>
  <c r="CI60" i="21"/>
  <c r="BI35" i="25"/>
  <c r="BI49" i="3"/>
  <c r="BI76" i="3" s="1"/>
  <c r="CJ17" i="21"/>
  <c r="CI20" i="17"/>
  <c r="CC85" i="25"/>
  <c r="CD58" i="25"/>
  <c r="CD73" i="25"/>
  <c r="CD30" i="25"/>
  <c r="CD100" i="25"/>
  <c r="CK89" i="27"/>
  <c r="CJ99" i="27"/>
  <c r="CJ97" i="27" s="1"/>
  <c r="CE335" i="3"/>
  <c r="CF288" i="3"/>
  <c r="BH247" i="3"/>
  <c r="BH248" i="3" s="1"/>
  <c r="CC64" i="3"/>
  <c r="CC90" i="17"/>
  <c r="CH68" i="23"/>
  <c r="CG102" i="23"/>
  <c r="CG103" i="23" s="1"/>
  <c r="CG79" i="23"/>
  <c r="CH336" i="3"/>
  <c r="CI289" i="3"/>
  <c r="CH135" i="21"/>
  <c r="CH133" i="21" s="1"/>
  <c r="CH138" i="21" s="1"/>
  <c r="CH139" i="21" s="1"/>
  <c r="CI125" i="21"/>
  <c r="CF37" i="3"/>
  <c r="CE81" i="3"/>
  <c r="CE34" i="3"/>
  <c r="CE89" i="3" s="1"/>
  <c r="CF9" i="17"/>
  <c r="CG272" i="3"/>
  <c r="CB99" i="25"/>
  <c r="CB29" i="25"/>
  <c r="CF59" i="25"/>
  <c r="CE86" i="25"/>
  <c r="BN34" i="27"/>
  <c r="BN46" i="3"/>
  <c r="BN73" i="3" s="1"/>
  <c r="BN25" i="27"/>
  <c r="BO54" i="27"/>
  <c r="BO57" i="27" s="1"/>
  <c r="BO23" i="27"/>
  <c r="BO27" i="27"/>
  <c r="BO67" i="27"/>
  <c r="BO63" i="27"/>
  <c r="BO70" i="27" s="1"/>
  <c r="BP60" i="27"/>
  <c r="CG271" i="3"/>
  <c r="CF276" i="3"/>
  <c r="CF319" i="3"/>
  <c r="CE170" i="25"/>
  <c r="CD188" i="25"/>
  <c r="CD189" i="25" s="1"/>
  <c r="BM146" i="21"/>
  <c r="BM112" i="21"/>
  <c r="CH67" i="23"/>
  <c r="CG72" i="23"/>
  <c r="CI119" i="21"/>
  <c r="CH155" i="21"/>
  <c r="CH156" i="21" s="1"/>
  <c r="CH131" i="21"/>
  <c r="CD134" i="25"/>
  <c r="CE125" i="25"/>
  <c r="CG321" i="3"/>
  <c r="CH259" i="3"/>
  <c r="CF31" i="3"/>
  <c r="CF51" i="3" s="1"/>
  <c r="CA182" i="25"/>
  <c r="CA186" i="25"/>
  <c r="CA187" i="25" s="1"/>
  <c r="BM111" i="21"/>
  <c r="CI256" i="3"/>
  <c r="CB137" i="25"/>
  <c r="CB138" i="25" s="1"/>
  <c r="CB133" i="25"/>
  <c r="BM64" i="27"/>
  <c r="BM36" i="27"/>
  <c r="BM32" i="27"/>
  <c r="CH162" i="21"/>
  <c r="CI160" i="21"/>
  <c r="CG129" i="21"/>
  <c r="CF140" i="21"/>
  <c r="CF141" i="21" s="1"/>
  <c r="CF123" i="21"/>
  <c r="CF208" i="25"/>
  <c r="AT167" i="3"/>
  <c r="AS173" i="3"/>
  <c r="AS340" i="3" s="1"/>
  <c r="AS106" i="15"/>
  <c r="AS171" i="3"/>
  <c r="CH149" i="21"/>
  <c r="CE100" i="27"/>
  <c r="CF83" i="27"/>
  <c r="CE120" i="27"/>
  <c r="CE121" i="27" s="1"/>
  <c r="CE84" i="27"/>
  <c r="CE98" i="27"/>
  <c r="CC139" i="25"/>
  <c r="CC140" i="25" s="1"/>
  <c r="CC132" i="25"/>
  <c r="CC135" i="25"/>
  <c r="CJ174" i="25"/>
  <c r="CI183" i="25"/>
  <c r="CI214" i="25"/>
  <c r="CH216" i="25"/>
  <c r="CD78" i="3"/>
  <c r="CD92" i="17"/>
  <c r="CF65" i="3"/>
  <c r="CF91" i="17"/>
  <c r="CG98" i="25"/>
  <c r="CG31" i="25"/>
  <c r="CH84" i="25"/>
  <c r="CC175" i="25"/>
  <c r="CB181" i="25"/>
  <c r="CL172" i="25"/>
  <c r="CK178" i="25"/>
  <c r="CC209" i="25"/>
  <c r="CB210" i="25"/>
  <c r="CH221" i="25"/>
  <c r="CG222" i="25"/>
  <c r="BP6" i="3"/>
  <c r="BO108" i="25"/>
  <c r="BO72" i="27"/>
  <c r="BO57" i="23"/>
  <c r="BO7" i="3"/>
  <c r="CH38" i="3"/>
  <c r="CL167" i="21"/>
  <c r="CK168" i="21"/>
  <c r="BM78" i="17"/>
  <c r="BM80" i="17" s="1"/>
  <c r="CE95" i="27"/>
  <c r="CF94" i="27"/>
  <c r="CE87" i="27"/>
  <c r="CE102" i="27"/>
  <c r="CE103" i="27" s="1"/>
  <c r="CD104" i="27"/>
  <c r="CD105" i="27" s="1"/>
  <c r="CE93" i="27"/>
  <c r="CF93" i="3"/>
  <c r="BO212" i="25"/>
  <c r="BO95" i="15"/>
  <c r="BO29" i="17"/>
  <c r="BO206" i="25"/>
  <c r="BO5" i="21"/>
  <c r="BO17" i="23"/>
  <c r="BO164" i="21"/>
  <c r="BO22" i="17"/>
  <c r="BO300" i="3"/>
  <c r="BO182" i="3"/>
  <c r="BO145" i="3"/>
  <c r="BO9" i="3"/>
  <c r="BO6" i="15"/>
  <c r="BO54" i="15"/>
  <c r="BO56" i="15" s="1"/>
  <c r="BO6" i="17"/>
  <c r="BO5" i="25"/>
  <c r="BO108" i="21"/>
  <c r="BO5" i="23"/>
  <c r="BO19" i="21"/>
  <c r="BO157" i="25"/>
  <c r="BO253" i="3"/>
  <c r="BO164" i="3"/>
  <c r="BO68" i="3"/>
  <c r="BP3" i="3"/>
  <c r="BO69" i="15"/>
  <c r="BO3" i="17"/>
  <c r="BO4" i="17" s="1"/>
  <c r="BO3" i="15"/>
  <c r="BO4" i="15" s="1"/>
  <c r="BO17" i="27"/>
  <c r="BO3" i="25"/>
  <c r="BO3" i="21"/>
  <c r="BO49" i="17"/>
  <c r="BO17" i="25"/>
  <c r="BO329" i="3"/>
  <c r="BO208" i="3"/>
  <c r="BO85" i="3"/>
  <c r="BO21" i="3"/>
  <c r="BO83" i="17"/>
  <c r="BO21" i="15"/>
  <c r="BO3" i="27"/>
  <c r="BO5" i="27"/>
  <c r="BO218" i="25"/>
  <c r="BO37" i="17"/>
  <c r="BO158" i="21"/>
  <c r="BO313" i="3"/>
  <c r="BO200" i="3"/>
  <c r="BO153" i="3"/>
  <c r="BO41" i="3"/>
  <c r="CC17" i="17"/>
  <c r="CB159" i="3"/>
  <c r="AW87" i="17"/>
  <c r="AW61" i="3"/>
  <c r="CF78" i="21"/>
  <c r="CG52" i="21"/>
  <c r="CN74" i="23"/>
  <c r="CE79" i="3"/>
  <c r="CE93" i="17"/>
  <c r="CE50" i="3"/>
  <c r="CE77" i="3" s="1"/>
  <c r="CL35" i="3"/>
  <c r="AY112" i="25"/>
  <c r="AY146" i="25" s="1"/>
  <c r="AY111" i="25"/>
  <c r="BM79" i="15"/>
  <c r="BM84" i="15" s="1"/>
  <c r="BM80" i="15"/>
  <c r="BM85" i="15" s="1"/>
  <c r="BM81" i="15"/>
  <c r="BM86" i="15" s="1"/>
  <c r="BN59" i="17"/>
  <c r="BN71" i="17"/>
  <c r="BN52" i="17"/>
  <c r="BN73" i="17"/>
  <c r="BN76" i="17"/>
  <c r="BN72" i="17"/>
  <c r="BN74" i="17"/>
  <c r="BN64" i="17"/>
  <c r="BN63" i="17"/>
  <c r="BN77" i="17"/>
  <c r="BN54" i="17"/>
  <c r="BN69" i="17"/>
  <c r="BN65" i="17"/>
  <c r="BN75" i="17"/>
  <c r="BN56" i="17"/>
  <c r="BN68" i="17"/>
  <c r="BN61" i="17"/>
  <c r="BN55" i="17"/>
  <c r="BN66" i="17"/>
  <c r="BN62" i="17"/>
  <c r="BN67" i="17"/>
  <c r="BN70" i="17"/>
  <c r="BN60" i="17"/>
  <c r="BN58" i="17"/>
  <c r="BN53" i="17"/>
  <c r="BN57" i="17"/>
  <c r="CL220" i="25"/>
  <c r="AW34" i="25"/>
  <c r="AW48" i="3"/>
  <c r="AW25" i="25"/>
  <c r="CE104" i="21"/>
  <c r="CE91" i="21"/>
  <c r="CF52" i="3"/>
  <c r="CG32" i="3"/>
  <c r="CE130" i="25"/>
  <c r="CE154" i="25"/>
  <c r="CE155" i="25" s="1"/>
  <c r="CF119" i="25"/>
  <c r="BL87" i="15"/>
  <c r="CM78" i="23"/>
  <c r="CF84" i="23"/>
  <c r="CF81" i="23"/>
  <c r="CF88" i="23"/>
  <c r="CF89" i="23" s="1"/>
  <c r="CE86" i="23"/>
  <c r="CE87" i="23" s="1"/>
  <c r="CE82" i="23"/>
  <c r="BN76" i="15"/>
  <c r="BN78" i="15" s="1"/>
  <c r="BN57" i="15"/>
  <c r="CH73" i="23"/>
  <c r="CG83" i="23"/>
  <c r="AX149" i="25"/>
  <c r="AX150" i="25" s="1"/>
  <c r="AX61" i="25" s="1"/>
  <c r="CG196" i="25" l="1"/>
  <c r="BF105" i="3"/>
  <c r="BF212" i="3"/>
  <c r="BF63" i="15"/>
  <c r="BF211" i="3"/>
  <c r="BF304" i="3"/>
  <c r="BM113" i="21"/>
  <c r="BM145" i="21"/>
  <c r="BK164" i="25"/>
  <c r="BL159" i="25" s="1"/>
  <c r="BH193" i="3"/>
  <c r="BG194" i="3"/>
  <c r="BG247" i="3"/>
  <c r="BG248" i="3" s="1"/>
  <c r="BF230" i="3"/>
  <c r="BF64" i="15"/>
  <c r="BF265" i="3"/>
  <c r="BE322" i="3"/>
  <c r="BE323" i="3" s="1"/>
  <c r="BE309" i="3"/>
  <c r="BF267" i="3"/>
  <c r="BK195" i="25"/>
  <c r="BF77" i="27"/>
  <c r="BF76" i="27"/>
  <c r="BF108" i="27"/>
  <c r="BF110" i="27"/>
  <c r="BF109" i="27"/>
  <c r="BL162" i="25"/>
  <c r="BL192" i="25"/>
  <c r="CF30" i="3"/>
  <c r="CF88" i="3" s="1"/>
  <c r="BL193" i="25"/>
  <c r="BX100" i="21"/>
  <c r="BX87" i="21"/>
  <c r="BZ48" i="21"/>
  <c r="BY74" i="21"/>
  <c r="CH136" i="21"/>
  <c r="CI149" i="21"/>
  <c r="BL160" i="25"/>
  <c r="BK197" i="25"/>
  <c r="BL161" i="25"/>
  <c r="BL195" i="25" s="1"/>
  <c r="BL194" i="25"/>
  <c r="CI73" i="21"/>
  <c r="CJ60" i="21"/>
  <c r="CG203" i="25"/>
  <c r="CG204" i="25" s="1"/>
  <c r="CH168" i="25"/>
  <c r="CG179" i="25"/>
  <c r="CG184" i="25"/>
  <c r="CH26" i="21"/>
  <c r="CH86" i="21"/>
  <c r="CH99" i="21"/>
  <c r="BJ81" i="25"/>
  <c r="BJ20" i="25"/>
  <c r="BJ29" i="3" s="1"/>
  <c r="CK17" i="21"/>
  <c r="CJ20" i="17"/>
  <c r="CF86" i="25"/>
  <c r="CG59" i="25"/>
  <c r="CG9" i="17"/>
  <c r="CH272" i="3"/>
  <c r="CG37" i="3"/>
  <c r="CF34" i="3"/>
  <c r="CF89" i="3" s="1"/>
  <c r="CF81" i="3"/>
  <c r="CI68" i="23"/>
  <c r="CH102" i="23"/>
  <c r="CH103" i="23" s="1"/>
  <c r="CH79" i="23"/>
  <c r="CC29" i="25"/>
  <c r="CC99" i="25"/>
  <c r="BF322" i="3"/>
  <c r="BF309" i="3"/>
  <c r="BM115" i="21"/>
  <c r="BN110" i="21" s="1"/>
  <c r="BN145" i="21" s="1"/>
  <c r="CH134" i="21"/>
  <c r="CE100" i="25"/>
  <c r="CE30" i="25"/>
  <c r="CE73" i="25"/>
  <c r="CI135" i="21"/>
  <c r="CI133" i="21" s="1"/>
  <c r="CI138" i="21" s="1"/>
  <c r="CJ125" i="21"/>
  <c r="CI336" i="3"/>
  <c r="CJ289" i="3"/>
  <c r="CG288" i="3"/>
  <c r="CF335" i="3"/>
  <c r="CL89" i="27"/>
  <c r="CK99" i="27"/>
  <c r="CK97" i="27" s="1"/>
  <c r="CD64" i="3"/>
  <c r="CD90" i="17"/>
  <c r="CD85" i="25"/>
  <c r="CE58" i="25"/>
  <c r="BN112" i="21"/>
  <c r="BN144" i="21"/>
  <c r="CI221" i="25"/>
  <c r="CH222" i="25"/>
  <c r="CD209" i="25"/>
  <c r="CC210" i="25"/>
  <c r="CM172" i="25"/>
  <c r="CL178" i="25"/>
  <c r="CD175" i="25"/>
  <c r="CC181" i="25"/>
  <c r="CG65" i="3"/>
  <c r="CG91" i="17"/>
  <c r="CF100" i="27"/>
  <c r="CF120" i="27"/>
  <c r="CF121" i="27" s="1"/>
  <c r="CF84" i="27"/>
  <c r="CF98" i="27"/>
  <c r="CG83" i="27"/>
  <c r="AT177" i="3"/>
  <c r="CG208" i="25"/>
  <c r="CH129" i="21"/>
  <c r="CG140" i="21"/>
  <c r="CG141" i="21" s="1"/>
  <c r="CG123" i="21"/>
  <c r="CJ256" i="3"/>
  <c r="CG31" i="3"/>
  <c r="CG51" i="3" s="1"/>
  <c r="CI259" i="3"/>
  <c r="CH321" i="3"/>
  <c r="CE134" i="25"/>
  <c r="CF125" i="25"/>
  <c r="CF170" i="25"/>
  <c r="CE188" i="25"/>
  <c r="CE189" i="25" s="1"/>
  <c r="BP27" i="27"/>
  <c r="BP23" i="27"/>
  <c r="BP63" i="27"/>
  <c r="BP70" i="27" s="1"/>
  <c r="BP54" i="27"/>
  <c r="BP57" i="27" s="1"/>
  <c r="BP67" i="27"/>
  <c r="BQ60" i="27"/>
  <c r="BO34" i="27"/>
  <c r="BO25" i="27"/>
  <c r="BO46" i="3"/>
  <c r="BO73" i="3" s="1"/>
  <c r="BN64" i="27"/>
  <c r="BN32" i="27"/>
  <c r="BN36" i="27"/>
  <c r="AY115" i="25"/>
  <c r="AY143" i="25" s="1"/>
  <c r="AY149" i="25" s="1"/>
  <c r="AY150" i="25" s="1"/>
  <c r="AY61" i="25" s="1"/>
  <c r="CB182" i="25"/>
  <c r="CB186" i="25"/>
  <c r="CB187" i="25" s="1"/>
  <c r="CH31" i="25"/>
  <c r="CI84" i="25"/>
  <c r="CH98" i="25"/>
  <c r="CI216" i="25"/>
  <c r="CJ214" i="25"/>
  <c r="CJ183" i="25"/>
  <c r="CK174" i="25"/>
  <c r="CC137" i="25"/>
  <c r="CC138" i="25" s="1"/>
  <c r="CC133" i="25"/>
  <c r="AS172" i="3"/>
  <c r="AS105" i="15" s="1"/>
  <c r="AS104" i="15"/>
  <c r="CI162" i="21"/>
  <c r="CJ160" i="21"/>
  <c r="BM147" i="21"/>
  <c r="BM150" i="21" s="1"/>
  <c r="BM151" i="21" s="1"/>
  <c r="BN113" i="21"/>
  <c r="BN111" i="21"/>
  <c r="CE92" i="17"/>
  <c r="CE78" i="3"/>
  <c r="CD132" i="25"/>
  <c r="CD139" i="25"/>
  <c r="CD140" i="25" s="1"/>
  <c r="CD135" i="25"/>
  <c r="CI155" i="21"/>
  <c r="CI156" i="21" s="1"/>
  <c r="CI131" i="21"/>
  <c r="CJ119" i="21"/>
  <c r="CI136" i="21"/>
  <c r="CI134" i="21"/>
  <c r="CI139" i="21"/>
  <c r="CI67" i="23"/>
  <c r="CH72" i="23"/>
  <c r="CH271" i="3"/>
  <c r="CG276" i="3"/>
  <c r="CG319" i="3"/>
  <c r="CF112" i="27"/>
  <c r="BP57" i="23"/>
  <c r="BP108" i="25"/>
  <c r="BP72" i="27"/>
  <c r="BP7" i="3"/>
  <c r="BQ6" i="3"/>
  <c r="CI38" i="3"/>
  <c r="CF93" i="27"/>
  <c r="CE104" i="27"/>
  <c r="CE105" i="27" s="1"/>
  <c r="CF87" i="27"/>
  <c r="CG94" i="27"/>
  <c r="CF95" i="27"/>
  <c r="CF102" i="27"/>
  <c r="CF103" i="27" s="1"/>
  <c r="CM167" i="21"/>
  <c r="CL168" i="21"/>
  <c r="CI73" i="23"/>
  <c r="CH83" i="23"/>
  <c r="BM87" i="15"/>
  <c r="AZ110" i="25"/>
  <c r="AZ111" i="25" s="1"/>
  <c r="CF104" i="21"/>
  <c r="CF91" i="21"/>
  <c r="BO57" i="15"/>
  <c r="BO76" i="15"/>
  <c r="BO78" i="15" s="1"/>
  <c r="BN79" i="15"/>
  <c r="BN84" i="15" s="1"/>
  <c r="BN80" i="15"/>
  <c r="BN85" i="15" s="1"/>
  <c r="BN81" i="15"/>
  <c r="BN86" i="15" s="1"/>
  <c r="CF154" i="25"/>
  <c r="CF155" i="25" s="1"/>
  <c r="CG119" i="25"/>
  <c r="CF130" i="25"/>
  <c r="CG52" i="3"/>
  <c r="CH32" i="3"/>
  <c r="AW32" i="25"/>
  <c r="AW92" i="25"/>
  <c r="AW36" i="25"/>
  <c r="CM220" i="25"/>
  <c r="CF147" i="25"/>
  <c r="CO74" i="23"/>
  <c r="AX88" i="25"/>
  <c r="AX19" i="25"/>
  <c r="AX64" i="25"/>
  <c r="CF86" i="23"/>
  <c r="CF87" i="23" s="1"/>
  <c r="CF82" i="23"/>
  <c r="CF79" i="3"/>
  <c r="CF93" i="17"/>
  <c r="CF50" i="3"/>
  <c r="CF77" i="3" s="1"/>
  <c r="AW75" i="3"/>
  <c r="CM35" i="3"/>
  <c r="BP6" i="15"/>
  <c r="BP218" i="25"/>
  <c r="BP212" i="25"/>
  <c r="BP5" i="23"/>
  <c r="BP21" i="15"/>
  <c r="BP17" i="25"/>
  <c r="BP5" i="25"/>
  <c r="BP29" i="17"/>
  <c r="BP253" i="3"/>
  <c r="BP200" i="3"/>
  <c r="BP41" i="3"/>
  <c r="BP21" i="3"/>
  <c r="BP3" i="17"/>
  <c r="BP4" i="17" s="1"/>
  <c r="BP49" i="17"/>
  <c r="BP206" i="25"/>
  <c r="BP3" i="25"/>
  <c r="BP3" i="21"/>
  <c r="BP164" i="21"/>
  <c r="BP95" i="15"/>
  <c r="BP17" i="27"/>
  <c r="BP6" i="17"/>
  <c r="BP329" i="3"/>
  <c r="BP182" i="3"/>
  <c r="BP153" i="3"/>
  <c r="BP9" i="3"/>
  <c r="BP37" i="17"/>
  <c r="BP69" i="15"/>
  <c r="BP5" i="27"/>
  <c r="BP157" i="25"/>
  <c r="BP108" i="21"/>
  <c r="BP54" i="15"/>
  <c r="BP56" i="15" s="1"/>
  <c r="BP3" i="27"/>
  <c r="BP313" i="3"/>
  <c r="BP164" i="3"/>
  <c r="BP145" i="3"/>
  <c r="BQ3" i="3"/>
  <c r="BP3" i="15"/>
  <c r="BP4" i="15" s="1"/>
  <c r="BP22" i="17"/>
  <c r="BP83" i="17"/>
  <c r="BP17" i="23"/>
  <c r="BP158" i="21"/>
  <c r="BP19" i="21"/>
  <c r="BP5" i="21"/>
  <c r="BP300" i="3"/>
  <c r="BP208" i="3"/>
  <c r="BP85" i="3"/>
  <c r="BP68" i="3"/>
  <c r="CG81" i="23"/>
  <c r="CG84" i="23"/>
  <c r="CG88" i="23"/>
  <c r="CG89" i="23" s="1"/>
  <c r="CN78" i="23"/>
  <c r="BN78" i="17"/>
  <c r="BN80" i="17" s="1"/>
  <c r="CG78" i="21"/>
  <c r="CH52" i="21"/>
  <c r="CD17" i="17"/>
  <c r="CC159" i="3"/>
  <c r="BO73" i="17"/>
  <c r="BO61" i="17"/>
  <c r="BO59" i="17"/>
  <c r="BO69" i="17"/>
  <c r="BO57" i="17"/>
  <c r="BO76" i="17"/>
  <c r="BO55" i="17"/>
  <c r="BO74" i="17"/>
  <c r="BO53" i="17"/>
  <c r="BO54" i="17"/>
  <c r="BO70" i="17"/>
  <c r="BO72" i="17"/>
  <c r="BO68" i="17"/>
  <c r="BO66" i="17"/>
  <c r="BO71" i="17"/>
  <c r="BO52" i="17"/>
  <c r="BO62" i="17"/>
  <c r="BO67" i="17"/>
  <c r="BO60" i="17"/>
  <c r="BO56" i="17"/>
  <c r="BO58" i="17"/>
  <c r="BO64" i="17"/>
  <c r="BO77" i="17"/>
  <c r="BO65" i="17"/>
  <c r="BO75" i="17"/>
  <c r="BO63" i="17"/>
  <c r="CG93" i="3"/>
  <c r="BF79" i="27" l="1"/>
  <c r="BG74" i="27" s="1"/>
  <c r="BG76" i="27" s="1"/>
  <c r="BF111" i="27"/>
  <c r="BG75" i="27"/>
  <c r="BG108" i="27"/>
  <c r="BF305" i="3"/>
  <c r="BF303" i="3" s="1"/>
  <c r="BG103" i="3"/>
  <c r="BF320" i="3"/>
  <c r="BG223" i="3"/>
  <c r="BG198" i="3"/>
  <c r="CG30" i="3"/>
  <c r="CG88" i="3" s="1"/>
  <c r="BF323" i="3"/>
  <c r="BF114" i="27"/>
  <c r="BF115" i="27" s="1"/>
  <c r="BF116" i="27" s="1"/>
  <c r="BH246" i="3"/>
  <c r="BH194" i="3"/>
  <c r="BI193" i="3"/>
  <c r="BN146" i="21"/>
  <c r="BL197" i="25"/>
  <c r="BL198" i="25" s="1"/>
  <c r="BL199" i="25" s="1"/>
  <c r="BL54" i="25" s="1"/>
  <c r="BK198" i="25"/>
  <c r="BK199" i="25" s="1"/>
  <c r="BK54" i="25" s="1"/>
  <c r="BK20" i="25" s="1"/>
  <c r="BK29" i="3" s="1"/>
  <c r="BL164" i="25"/>
  <c r="BM159" i="25" s="1"/>
  <c r="BM162" i="25" s="1"/>
  <c r="CG112" i="27"/>
  <c r="BY100" i="21"/>
  <c r="BY87" i="21"/>
  <c r="BZ74" i="21"/>
  <c r="CA48" i="21"/>
  <c r="BJ95" i="25"/>
  <c r="BJ68" i="25"/>
  <c r="BJ24" i="25"/>
  <c r="CK60" i="21"/>
  <c r="CJ73" i="21"/>
  <c r="BL20" i="25"/>
  <c r="BL29" i="3" s="1"/>
  <c r="CH179" i="25"/>
  <c r="CH203" i="25"/>
  <c r="CH204" i="25" s="1"/>
  <c r="CI168" i="25"/>
  <c r="CH184" i="25"/>
  <c r="CH196" i="25"/>
  <c r="CI99" i="21"/>
  <c r="CI26" i="21"/>
  <c r="CI86" i="21"/>
  <c r="CL17" i="21"/>
  <c r="CK20" i="17"/>
  <c r="CE85" i="25"/>
  <c r="CF58" i="25"/>
  <c r="CJ68" i="23"/>
  <c r="CI102" i="23"/>
  <c r="CI103" i="23" s="1"/>
  <c r="CI79" i="23"/>
  <c r="CH9" i="17"/>
  <c r="CI272" i="3"/>
  <c r="CF73" i="25"/>
  <c r="CF30" i="25"/>
  <c r="CF100" i="25"/>
  <c r="CD29" i="25"/>
  <c r="CD99" i="25"/>
  <c r="CL99" i="27"/>
  <c r="CL97" i="27" s="1"/>
  <c r="CM89" i="27"/>
  <c r="CH288" i="3"/>
  <c r="CG335" i="3"/>
  <c r="CJ336" i="3"/>
  <c r="CK289" i="3"/>
  <c r="CK125" i="21"/>
  <c r="CJ135" i="21"/>
  <c r="CJ133" i="21" s="1"/>
  <c r="CJ138" i="21" s="1"/>
  <c r="CJ139" i="21" s="1"/>
  <c r="CE90" i="17"/>
  <c r="CE64" i="3"/>
  <c r="CH37" i="3"/>
  <c r="CG81" i="3"/>
  <c r="CG34" i="3"/>
  <c r="CG89" i="3" s="1"/>
  <c r="CH59" i="25"/>
  <c r="CG86" i="25"/>
  <c r="CJ67" i="23"/>
  <c r="CI72" i="23"/>
  <c r="CJ155" i="21"/>
  <c r="CJ156" i="21" s="1"/>
  <c r="CJ131" i="21"/>
  <c r="CK119" i="21"/>
  <c r="BN147" i="21"/>
  <c r="BN150" i="21" s="1"/>
  <c r="BN151" i="21" s="1"/>
  <c r="CK160" i="21"/>
  <c r="CJ162" i="21"/>
  <c r="CI98" i="25"/>
  <c r="CI31" i="25"/>
  <c r="CJ84" i="25"/>
  <c r="BO36" i="27"/>
  <c r="BO32" i="27"/>
  <c r="BO64" i="27"/>
  <c r="BQ63" i="27"/>
  <c r="BQ70" i="27" s="1"/>
  <c r="BR60" i="27"/>
  <c r="BQ67" i="27"/>
  <c r="BQ23" i="27"/>
  <c r="BQ27" i="27"/>
  <c r="BQ54" i="27"/>
  <c r="BQ57" i="27" s="1"/>
  <c r="BP46" i="3"/>
  <c r="BP73" i="3" s="1"/>
  <c r="BP25" i="27"/>
  <c r="BP34" i="27"/>
  <c r="CF134" i="25"/>
  <c r="CG125" i="25"/>
  <c r="CF78" i="3"/>
  <c r="CF92" i="17"/>
  <c r="CK256" i="3"/>
  <c r="CH123" i="21"/>
  <c r="CI129" i="21"/>
  <c r="CH140" i="21"/>
  <c r="CH141" i="21" s="1"/>
  <c r="AT180" i="3"/>
  <c r="AT168" i="3"/>
  <c r="AT170" i="3" s="1"/>
  <c r="AT179" i="3"/>
  <c r="CG100" i="27"/>
  <c r="CG120" i="27"/>
  <c r="CG121" i="27" s="1"/>
  <c r="CG84" i="27"/>
  <c r="CH83" i="27"/>
  <c r="CG98" i="27"/>
  <c r="CD181" i="25"/>
  <c r="CE175" i="25"/>
  <c r="CN172" i="25"/>
  <c r="CM178" i="25"/>
  <c r="CE209" i="25"/>
  <c r="CD210" i="25"/>
  <c r="CJ221" i="25"/>
  <c r="CI222" i="25"/>
  <c r="CI271" i="3"/>
  <c r="CH276" i="3"/>
  <c r="CH319" i="3"/>
  <c r="CD137" i="25"/>
  <c r="CD138" i="25" s="1"/>
  <c r="CD133" i="25"/>
  <c r="AS114" i="15"/>
  <c r="AS113" i="15"/>
  <c r="CK183" i="25"/>
  <c r="CL174" i="25"/>
  <c r="CJ216" i="25"/>
  <c r="CK214" i="25"/>
  <c r="CH65" i="3"/>
  <c r="CH91" i="17"/>
  <c r="CF188" i="25"/>
  <c r="CF189" i="25" s="1"/>
  <c r="CG170" i="25"/>
  <c r="CE139" i="25"/>
  <c r="CE140" i="25" s="1"/>
  <c r="CE132" i="25"/>
  <c r="CE135" i="25"/>
  <c r="CI321" i="3"/>
  <c r="CJ259" i="3"/>
  <c r="CH31" i="3"/>
  <c r="CH51" i="3" s="1"/>
  <c r="CH208" i="25"/>
  <c r="CJ149" i="21"/>
  <c r="CC182" i="25"/>
  <c r="CC186" i="25"/>
  <c r="CC187" i="25" s="1"/>
  <c r="BN115" i="21"/>
  <c r="BO110" i="21" s="1"/>
  <c r="BQ57" i="23"/>
  <c r="BQ7" i="3"/>
  <c r="BQ72" i="27"/>
  <c r="BR6" i="3"/>
  <c r="BQ108" i="25"/>
  <c r="CJ38" i="3"/>
  <c r="CG147" i="25"/>
  <c r="CN167" i="21"/>
  <c r="CM168" i="21"/>
  <c r="CG93" i="27"/>
  <c r="CF104" i="27"/>
  <c r="CF105" i="27" s="1"/>
  <c r="CG95" i="27"/>
  <c r="CG87" i="27"/>
  <c r="CH94" i="27"/>
  <c r="CG102" i="27"/>
  <c r="CG103" i="27" s="1"/>
  <c r="CH93" i="3"/>
  <c r="CG91" i="21"/>
  <c r="CG104" i="21"/>
  <c r="BP75" i="17"/>
  <c r="BP56" i="17"/>
  <c r="BP68" i="17"/>
  <c r="BP59" i="17"/>
  <c r="BP76" i="17"/>
  <c r="BP54" i="17"/>
  <c r="BP73" i="17"/>
  <c r="BP65" i="17"/>
  <c r="BP70" i="17"/>
  <c r="BP60" i="17"/>
  <c r="BP58" i="17"/>
  <c r="BP67" i="17"/>
  <c r="BP72" i="17"/>
  <c r="BP57" i="17"/>
  <c r="BP71" i="17"/>
  <c r="BP52" i="17"/>
  <c r="BP69" i="17"/>
  <c r="BP66" i="17"/>
  <c r="BP63" i="17"/>
  <c r="BP74" i="17"/>
  <c r="BP64" i="17"/>
  <c r="BP61" i="17"/>
  <c r="BP77" i="17"/>
  <c r="BP55" i="17"/>
  <c r="BP53" i="17"/>
  <c r="BP62" i="17"/>
  <c r="AX75" i="25"/>
  <c r="AX78" i="25" s="1"/>
  <c r="AX102" i="25"/>
  <c r="AX23" i="25"/>
  <c r="AX91" i="25"/>
  <c r="AX105" i="25" s="1"/>
  <c r="AX27" i="25"/>
  <c r="CI32" i="3"/>
  <c r="CH52" i="3"/>
  <c r="CH119" i="25"/>
  <c r="CG130" i="25"/>
  <c r="CG154" i="25"/>
  <c r="CG155" i="25" s="1"/>
  <c r="BN87" i="15"/>
  <c r="AZ112" i="25"/>
  <c r="AZ113" i="25"/>
  <c r="CE17" i="17"/>
  <c r="CD159" i="3"/>
  <c r="CG79" i="3"/>
  <c r="CG93" i="17"/>
  <c r="CG50" i="3"/>
  <c r="CG77" i="3" s="1"/>
  <c r="CG86" i="23"/>
  <c r="CG87" i="23" s="1"/>
  <c r="CG82" i="23"/>
  <c r="BQ3" i="15"/>
  <c r="BQ4" i="15" s="1"/>
  <c r="BQ22" i="17"/>
  <c r="BQ54" i="15"/>
  <c r="BQ56" i="15" s="1"/>
  <c r="BQ6" i="17"/>
  <c r="BQ164" i="21"/>
  <c r="BQ83" i="17"/>
  <c r="BQ5" i="25"/>
  <c r="BQ17" i="23"/>
  <c r="BQ3" i="27"/>
  <c r="BQ300" i="3"/>
  <c r="BQ182" i="3"/>
  <c r="BQ145" i="3"/>
  <c r="BQ41" i="3"/>
  <c r="BQ218" i="25"/>
  <c r="BQ6" i="15"/>
  <c r="BQ108" i="21"/>
  <c r="BQ157" i="25"/>
  <c r="BQ69" i="15"/>
  <c r="BQ5" i="23"/>
  <c r="BQ5" i="21"/>
  <c r="BQ253" i="3"/>
  <c r="BQ164" i="3"/>
  <c r="BQ68" i="3"/>
  <c r="BQ9" i="3"/>
  <c r="BQ49" i="17"/>
  <c r="BQ206" i="25"/>
  <c r="BQ21" i="15"/>
  <c r="BQ3" i="17"/>
  <c r="BQ4" i="17" s="1"/>
  <c r="BQ19" i="21"/>
  <c r="BQ17" i="25"/>
  <c r="BQ3" i="25"/>
  <c r="BQ3" i="21"/>
  <c r="BQ329" i="3"/>
  <c r="BQ208" i="3"/>
  <c r="BQ85" i="3"/>
  <c r="BQ21" i="3"/>
  <c r="BQ37" i="17"/>
  <c r="BQ95" i="15"/>
  <c r="BQ29" i="17"/>
  <c r="BQ212" i="25"/>
  <c r="BQ158" i="21"/>
  <c r="BQ5" i="27"/>
  <c r="BQ17" i="27"/>
  <c r="BQ313" i="3"/>
  <c r="BQ200" i="3"/>
  <c r="BQ153" i="3"/>
  <c r="BR3" i="3"/>
  <c r="CN35" i="3"/>
  <c r="CP74" i="23"/>
  <c r="CN220" i="25"/>
  <c r="BO79" i="15"/>
  <c r="BO84" i="15" s="1"/>
  <c r="BO81" i="15"/>
  <c r="BO86" i="15" s="1"/>
  <c r="BO80" i="15"/>
  <c r="BO85" i="15" s="1"/>
  <c r="CH81" i="23"/>
  <c r="CH84" i="23"/>
  <c r="CH88" i="23"/>
  <c r="CH89" i="23" s="1"/>
  <c r="BO78" i="17"/>
  <c r="BO80" i="17" s="1"/>
  <c r="CH78" i="21"/>
  <c r="CI52" i="21"/>
  <c r="CH54" i="21"/>
  <c r="CH21" i="21" s="1"/>
  <c r="CO78" i="23"/>
  <c r="BP76" i="15"/>
  <c r="BP78" i="15" s="1"/>
  <c r="BP57" i="15"/>
  <c r="AX28" i="3"/>
  <c r="AX21" i="25"/>
  <c r="AX65" i="25" s="1"/>
  <c r="AY88" i="25"/>
  <c r="AY19" i="25"/>
  <c r="AY64" i="25"/>
  <c r="CJ73" i="23"/>
  <c r="CI83" i="23"/>
  <c r="BM194" i="25" l="1"/>
  <c r="BM161" i="25"/>
  <c r="BM195" i="25" s="1"/>
  <c r="BG109" i="27"/>
  <c r="BM160" i="25"/>
  <c r="BM193" i="25"/>
  <c r="BM192" i="25"/>
  <c r="BG77" i="27"/>
  <c r="BG111" i="27" s="1"/>
  <c r="BG110" i="27"/>
  <c r="BH223" i="3"/>
  <c r="BH198" i="3"/>
  <c r="BK81" i="25"/>
  <c r="BL81" i="25" s="1"/>
  <c r="BL68" i="25" s="1"/>
  <c r="BI246" i="3"/>
  <c r="BG230" i="3"/>
  <c r="BG64" i="15"/>
  <c r="BG304" i="3"/>
  <c r="BG104" i="3"/>
  <c r="BG211" i="3"/>
  <c r="BG265" i="3"/>
  <c r="BI185" i="3"/>
  <c r="BI192" i="3" s="1"/>
  <c r="BM197" i="25"/>
  <c r="BM198" i="25" s="1"/>
  <c r="BM199" i="25" s="1"/>
  <c r="BM54" i="25" s="1"/>
  <c r="CI196" i="25"/>
  <c r="CH30" i="3"/>
  <c r="CH88" i="3" s="1"/>
  <c r="CH112" i="27"/>
  <c r="BM164" i="25"/>
  <c r="BN159" i="25" s="1"/>
  <c r="BN162" i="25" s="1"/>
  <c r="CB48" i="21"/>
  <c r="CA74" i="21"/>
  <c r="BZ100" i="21"/>
  <c r="BZ87" i="21"/>
  <c r="CH147" i="25"/>
  <c r="CJ134" i="21"/>
  <c r="CJ136" i="21"/>
  <c r="BL95" i="25"/>
  <c r="CJ86" i="21"/>
  <c r="CJ26" i="21"/>
  <c r="CJ99" i="21"/>
  <c r="BN161" i="25"/>
  <c r="BN195" i="25" s="1"/>
  <c r="CI179" i="25"/>
  <c r="CI203" i="25"/>
  <c r="CI204" i="25" s="1"/>
  <c r="CJ168" i="25"/>
  <c r="CJ196" i="25" s="1"/>
  <c r="CI184" i="25"/>
  <c r="BK24" i="25"/>
  <c r="BK95" i="25"/>
  <c r="CK73" i="21"/>
  <c r="CL60" i="21"/>
  <c r="BJ35" i="25"/>
  <c r="BJ49" i="3"/>
  <c r="BJ76" i="3" s="1"/>
  <c r="CL20" i="17"/>
  <c r="CM17" i="21"/>
  <c r="CG73" i="25"/>
  <c r="CG100" i="25"/>
  <c r="CG30" i="25"/>
  <c r="CH81" i="3"/>
  <c r="CH34" i="3"/>
  <c r="CH89" i="3" s="1"/>
  <c r="CI37" i="3"/>
  <c r="CK336" i="3"/>
  <c r="CL289" i="3"/>
  <c r="CM99" i="27"/>
  <c r="CM97" i="27" s="1"/>
  <c r="CN89" i="27"/>
  <c r="CJ272" i="3"/>
  <c r="CI9" i="17"/>
  <c r="CJ102" i="23"/>
  <c r="CJ103" i="23" s="1"/>
  <c r="CK68" i="23"/>
  <c r="CJ79" i="23"/>
  <c r="CE99" i="25"/>
  <c r="CE29" i="25"/>
  <c r="CI59" i="25"/>
  <c r="CH86" i="25"/>
  <c r="CK135" i="21"/>
  <c r="CK133" i="21" s="1"/>
  <c r="CK138" i="21" s="1"/>
  <c r="CK139" i="21" s="1"/>
  <c r="CL125" i="21"/>
  <c r="CI288" i="3"/>
  <c r="CH335" i="3"/>
  <c r="CF90" i="17"/>
  <c r="CF64" i="3"/>
  <c r="CF85" i="25"/>
  <c r="CG58" i="25"/>
  <c r="BO146" i="21"/>
  <c r="BO112" i="21"/>
  <c r="BO145" i="21"/>
  <c r="BO144" i="21"/>
  <c r="CG92" i="17"/>
  <c r="CG78" i="3"/>
  <c r="CK259" i="3"/>
  <c r="CJ321" i="3"/>
  <c r="BO111" i="21"/>
  <c r="CF175" i="25"/>
  <c r="CE181" i="25"/>
  <c r="AU167" i="3"/>
  <c r="AT173" i="3"/>
  <c r="AT340" i="3" s="1"/>
  <c r="AT106" i="15"/>
  <c r="AT171" i="3"/>
  <c r="CF139" i="25"/>
  <c r="CF140" i="25" s="1"/>
  <c r="CF132" i="25"/>
  <c r="CF135" i="25"/>
  <c r="BP32" i="27"/>
  <c r="BP36" i="27"/>
  <c r="BP64" i="27"/>
  <c r="BQ46" i="3"/>
  <c r="BQ73" i="3" s="1"/>
  <c r="BQ34" i="27"/>
  <c r="BQ25" i="27"/>
  <c r="BR27" i="27"/>
  <c r="BR23" i="27"/>
  <c r="BR54" i="27"/>
  <c r="BR57" i="27" s="1"/>
  <c r="BS60" i="27"/>
  <c r="BR67" i="27"/>
  <c r="BR63" i="27"/>
  <c r="BR70" i="27" s="1"/>
  <c r="CI65" i="3"/>
  <c r="CI91" i="17"/>
  <c r="CL160" i="21"/>
  <c r="CK162" i="21"/>
  <c r="BO113" i="21"/>
  <c r="CI208" i="25"/>
  <c r="CH50" i="3"/>
  <c r="CI31" i="3"/>
  <c r="CI51" i="3" s="1"/>
  <c r="CE137" i="25"/>
  <c r="CE138" i="25" s="1"/>
  <c r="CE133" i="25"/>
  <c r="CH170" i="25"/>
  <c r="CG188" i="25"/>
  <c r="CG189" i="25" s="1"/>
  <c r="CK216" i="25"/>
  <c r="CL214" i="25"/>
  <c r="CM174" i="25"/>
  <c r="CL183" i="25"/>
  <c r="CJ271" i="3"/>
  <c r="CI276" i="3"/>
  <c r="CI319" i="3"/>
  <c r="CK221" i="25"/>
  <c r="CJ222" i="25"/>
  <c r="CF209" i="25"/>
  <c r="CE210" i="25"/>
  <c r="CO172" i="25"/>
  <c r="CN178" i="25"/>
  <c r="CD186" i="25"/>
  <c r="CD187" i="25" s="1"/>
  <c r="CD182" i="25"/>
  <c r="CH100" i="27"/>
  <c r="CI83" i="27"/>
  <c r="CH120" i="27"/>
  <c r="CH121" i="27" s="1"/>
  <c r="CH84" i="27"/>
  <c r="CH98" i="27"/>
  <c r="CI140" i="21"/>
  <c r="CI141" i="21" s="1"/>
  <c r="CI123" i="21"/>
  <c r="CJ129" i="21"/>
  <c r="CL256" i="3"/>
  <c r="CH125" i="25"/>
  <c r="CG134" i="25"/>
  <c r="CJ98" i="25"/>
  <c r="CJ31" i="25"/>
  <c r="CK84" i="25"/>
  <c r="CK149" i="21"/>
  <c r="CL119" i="21"/>
  <c r="CK155" i="21"/>
  <c r="CK156" i="21" s="1"/>
  <c r="CK131" i="21"/>
  <c r="CK67" i="23"/>
  <c r="CJ72" i="23"/>
  <c r="BS6" i="3"/>
  <c r="BR57" i="23"/>
  <c r="BR7" i="3"/>
  <c r="BR72" i="27"/>
  <c r="BR108" i="25"/>
  <c r="CK38" i="3"/>
  <c r="CO167" i="21"/>
  <c r="CN168" i="21"/>
  <c r="CG104" i="27"/>
  <c r="CG105" i="27" s="1"/>
  <c r="CH93" i="27"/>
  <c r="CI94" i="27"/>
  <c r="CH87" i="27"/>
  <c r="CH95" i="27"/>
  <c r="CH102" i="27"/>
  <c r="CH103" i="27" s="1"/>
  <c r="CH79" i="3"/>
  <c r="CH93" i="17"/>
  <c r="AX87" i="17"/>
  <c r="AX61" i="3"/>
  <c r="BP78" i="17"/>
  <c r="BP80" i="17" s="1"/>
  <c r="CH55" i="21"/>
  <c r="CH24" i="3"/>
  <c r="CO220" i="25"/>
  <c r="BR95" i="15"/>
  <c r="BR29" i="17"/>
  <c r="BR212" i="25"/>
  <c r="BR37" i="17"/>
  <c r="BR3" i="17"/>
  <c r="BR4" i="17" s="1"/>
  <c r="BR158" i="21"/>
  <c r="BR17" i="27"/>
  <c r="BR17" i="23"/>
  <c r="BR5" i="27"/>
  <c r="BR253" i="3"/>
  <c r="BR200" i="3"/>
  <c r="BR41" i="3"/>
  <c r="BR21" i="3"/>
  <c r="BR54" i="15"/>
  <c r="BR56" i="15" s="1"/>
  <c r="BR6" i="17"/>
  <c r="BR3" i="15"/>
  <c r="BR4" i="15" s="1"/>
  <c r="BR22" i="17"/>
  <c r="BR3" i="21"/>
  <c r="BR3" i="27"/>
  <c r="BR164" i="21"/>
  <c r="BR5" i="23"/>
  <c r="BR329" i="3"/>
  <c r="BR182" i="3"/>
  <c r="BR153" i="3"/>
  <c r="BR9" i="3"/>
  <c r="BR69" i="15"/>
  <c r="BR218" i="25"/>
  <c r="BR157" i="25"/>
  <c r="BR6" i="15"/>
  <c r="BR5" i="21"/>
  <c r="BR108" i="21"/>
  <c r="BR313" i="3"/>
  <c r="BR164" i="3"/>
  <c r="BR145" i="3"/>
  <c r="BS3" i="3"/>
  <c r="BR21" i="15"/>
  <c r="BR83" i="17"/>
  <c r="BR49" i="17"/>
  <c r="BR206" i="25"/>
  <c r="BR17" i="25"/>
  <c r="BR5" i="25"/>
  <c r="BR3" i="25"/>
  <c r="BR19" i="21"/>
  <c r="BR300" i="3"/>
  <c r="BR208" i="3"/>
  <c r="BR85" i="3"/>
  <c r="BR68" i="3"/>
  <c r="BQ76" i="15"/>
  <c r="BQ78" i="15" s="1"/>
  <c r="BQ57" i="15"/>
  <c r="AZ146" i="25"/>
  <c r="CJ32" i="3"/>
  <c r="CI52" i="3"/>
  <c r="CI30" i="3"/>
  <c r="CI88" i="3" s="1"/>
  <c r="CI81" i="23"/>
  <c r="CI84" i="23"/>
  <c r="CI88" i="23"/>
  <c r="CI89" i="23" s="1"/>
  <c r="AY21" i="25"/>
  <c r="AY65" i="25" s="1"/>
  <c r="AY28" i="3"/>
  <c r="CK73" i="23"/>
  <c r="CJ83" i="23"/>
  <c r="AY102" i="25"/>
  <c r="AY75" i="25"/>
  <c r="AY78" i="25" s="1"/>
  <c r="AY23" i="25"/>
  <c r="AY27" i="25"/>
  <c r="AY91" i="25"/>
  <c r="AY105" i="25" s="1"/>
  <c r="CI78" i="21"/>
  <c r="CJ52" i="21"/>
  <c r="CI54" i="21"/>
  <c r="CI21" i="21" s="1"/>
  <c r="BO87" i="15"/>
  <c r="CH154" i="25"/>
  <c r="CH155" i="25" s="1"/>
  <c r="CI119" i="25"/>
  <c r="CH130" i="25"/>
  <c r="AX34" i="25"/>
  <c r="AX48" i="3"/>
  <c r="AX25" i="25"/>
  <c r="CI93" i="3"/>
  <c r="BP80" i="15"/>
  <c r="BP85" i="15" s="1"/>
  <c r="BP81" i="15"/>
  <c r="BP86" i="15" s="1"/>
  <c r="BP79" i="15"/>
  <c r="BP84" i="15" s="1"/>
  <c r="CP78" i="23"/>
  <c r="CH104" i="21"/>
  <c r="CH91" i="21"/>
  <c r="CH25" i="21"/>
  <c r="CH80" i="21"/>
  <c r="CH82" i="23"/>
  <c r="CH86" i="23"/>
  <c r="CH87" i="23" s="1"/>
  <c r="CO35" i="3"/>
  <c r="BQ72" i="17"/>
  <c r="BQ69" i="17"/>
  <c r="BQ75" i="17"/>
  <c r="BQ63" i="17"/>
  <c r="BQ70" i="17"/>
  <c r="BQ66" i="17"/>
  <c r="BQ64" i="17"/>
  <c r="BQ62" i="17"/>
  <c r="BQ76" i="17"/>
  <c r="BQ55" i="17"/>
  <c r="BQ65" i="17"/>
  <c r="BQ58" i="17"/>
  <c r="BQ54" i="17"/>
  <c r="BQ67" i="17"/>
  <c r="BQ57" i="17"/>
  <c r="BQ68" i="17"/>
  <c r="BQ52" i="17"/>
  <c r="BQ73" i="17"/>
  <c r="BQ61" i="17"/>
  <c r="BQ71" i="17"/>
  <c r="BQ59" i="17"/>
  <c r="BQ56" i="17"/>
  <c r="BQ60" i="17"/>
  <c r="BQ77" i="17"/>
  <c r="BQ74" i="17"/>
  <c r="BQ53" i="17"/>
  <c r="CE159" i="3"/>
  <c r="CF17" i="17"/>
  <c r="AZ115" i="25"/>
  <c r="BN194" i="25" l="1"/>
  <c r="BG79" i="27"/>
  <c r="BH74" i="27" s="1"/>
  <c r="BH75" i="27" s="1"/>
  <c r="BG114" i="27"/>
  <c r="BG115" i="27" s="1"/>
  <c r="BG116" i="27" s="1"/>
  <c r="BN160" i="25"/>
  <c r="BN193" i="25"/>
  <c r="BN192" i="25"/>
  <c r="BH108" i="27"/>
  <c r="BH76" i="27"/>
  <c r="BH109" i="27"/>
  <c r="BH110" i="27"/>
  <c r="BG305" i="3"/>
  <c r="BG303" i="3" s="1"/>
  <c r="BG320" i="3"/>
  <c r="BH103" i="3"/>
  <c r="BG63" i="15"/>
  <c r="BG105" i="3"/>
  <c r="BG212" i="3"/>
  <c r="BG267" i="3"/>
  <c r="BK68" i="25"/>
  <c r="BL24" i="25"/>
  <c r="BL35" i="25" s="1"/>
  <c r="BI247" i="3"/>
  <c r="BI248" i="3" s="1"/>
  <c r="BI194" i="3"/>
  <c r="BJ193" i="3"/>
  <c r="BJ246" i="3" s="1"/>
  <c r="BH77" i="27"/>
  <c r="BH111" i="27" s="1"/>
  <c r="BH64" i="15"/>
  <c r="BH230" i="3"/>
  <c r="CH77" i="3"/>
  <c r="CK134" i="21"/>
  <c r="CA100" i="21"/>
  <c r="CA87" i="21"/>
  <c r="CB74" i="21"/>
  <c r="CC48" i="21"/>
  <c r="CK136" i="21"/>
  <c r="BN197" i="25"/>
  <c r="BN198" i="25" s="1"/>
  <c r="BN199" i="25" s="1"/>
  <c r="BN54" i="25" s="1"/>
  <c r="BN20" i="25" s="1"/>
  <c r="BN29" i="3" s="1"/>
  <c r="CM60" i="21"/>
  <c r="CL73" i="21"/>
  <c r="BM81" i="25"/>
  <c r="BM20" i="25"/>
  <c r="BM29" i="3" s="1"/>
  <c r="CK26" i="21"/>
  <c r="CK86" i="21"/>
  <c r="CK99" i="21"/>
  <c r="BK35" i="25"/>
  <c r="BK49" i="3"/>
  <c r="BK76" i="3" s="1"/>
  <c r="CK168" i="25"/>
  <c r="CJ203" i="25"/>
  <c r="CJ204" i="25" s="1"/>
  <c r="CJ179" i="25"/>
  <c r="CJ184" i="25"/>
  <c r="BN164" i="25"/>
  <c r="BO159" i="25" s="1"/>
  <c r="BL49" i="3"/>
  <c r="BL76" i="3" s="1"/>
  <c r="CN17" i="21"/>
  <c r="CM20" i="17"/>
  <c r="CH58" i="25"/>
  <c r="CG85" i="25"/>
  <c r="CM125" i="21"/>
  <c r="CL135" i="21"/>
  <c r="CL133" i="21" s="1"/>
  <c r="CL138" i="21" s="1"/>
  <c r="CL139" i="21" s="1"/>
  <c r="CH73" i="25"/>
  <c r="CH30" i="25"/>
  <c r="CH100" i="25"/>
  <c r="CJ9" i="17"/>
  <c r="CK272" i="3"/>
  <c r="CI81" i="3"/>
  <c r="CJ37" i="3"/>
  <c r="CI34" i="3"/>
  <c r="CI89" i="3" s="1"/>
  <c r="CF29" i="25"/>
  <c r="CF99" i="25"/>
  <c r="CJ288" i="3"/>
  <c r="CI335" i="3"/>
  <c r="CI86" i="25"/>
  <c r="CJ59" i="25"/>
  <c r="CL68" i="23"/>
  <c r="CK102" i="23"/>
  <c r="CK103" i="23" s="1"/>
  <c r="CK79" i="23"/>
  <c r="CO89" i="27"/>
  <c r="CN99" i="27"/>
  <c r="CN97" i="27" s="1"/>
  <c r="CL336" i="3"/>
  <c r="CM289" i="3"/>
  <c r="CG90" i="17"/>
  <c r="CG64" i="3"/>
  <c r="CL149" i="21"/>
  <c r="CJ91" i="17"/>
  <c r="CJ65" i="3"/>
  <c r="CG139" i="25"/>
  <c r="CG140" i="25" s="1"/>
  <c r="CG132" i="25"/>
  <c r="CG135" i="25"/>
  <c r="CK129" i="21"/>
  <c r="CJ140" i="21"/>
  <c r="CJ141" i="21" s="1"/>
  <c r="CJ123" i="21"/>
  <c r="CI100" i="27"/>
  <c r="CI120" i="27"/>
  <c r="CI121" i="27" s="1"/>
  <c r="CI84" i="27"/>
  <c r="CJ83" i="27"/>
  <c r="CI98" i="27"/>
  <c r="CK271" i="3"/>
  <c r="CJ276" i="3"/>
  <c r="CJ319" i="3"/>
  <c r="CN174" i="25"/>
  <c r="CM183" i="25"/>
  <c r="CH188" i="25"/>
  <c r="CH189" i="25" s="1"/>
  <c r="CI170" i="25"/>
  <c r="CH78" i="3"/>
  <c r="CH92" i="17"/>
  <c r="BO147" i="21"/>
  <c r="CM160" i="21"/>
  <c r="CL162" i="21"/>
  <c r="BS63" i="27"/>
  <c r="BS70" i="27" s="1"/>
  <c r="BT60" i="27"/>
  <c r="BS67" i="27"/>
  <c r="BS23" i="27"/>
  <c r="BS27" i="27"/>
  <c r="BS54" i="27"/>
  <c r="BS57" i="27" s="1"/>
  <c r="BR34" i="27"/>
  <c r="BR46" i="3"/>
  <c r="BR73" i="3" s="1"/>
  <c r="BR25" i="27"/>
  <c r="BQ64" i="27"/>
  <c r="BQ36" i="27"/>
  <c r="BQ32" i="27"/>
  <c r="AU177" i="3"/>
  <c r="CF181" i="25"/>
  <c r="CG175" i="25"/>
  <c r="CK321" i="3"/>
  <c r="CL259" i="3"/>
  <c r="BO150" i="21"/>
  <c r="BO151" i="21" s="1"/>
  <c r="CL67" i="23"/>
  <c r="CK72" i="23"/>
  <c r="CM119" i="21"/>
  <c r="CL155" i="21"/>
  <c r="CL156" i="21" s="1"/>
  <c r="CL131" i="21"/>
  <c r="CK31" i="25"/>
  <c r="CK98" i="25"/>
  <c r="CL84" i="25"/>
  <c r="CI125" i="25"/>
  <c r="CH134" i="25"/>
  <c r="CM256" i="3"/>
  <c r="CP172" i="25"/>
  <c r="CP178" i="25" s="1"/>
  <c r="CO178" i="25"/>
  <c r="CG209" i="25"/>
  <c r="CF210" i="25"/>
  <c r="CL221" i="25"/>
  <c r="CK222" i="25"/>
  <c r="CL216" i="25"/>
  <c r="CM214" i="25"/>
  <c r="CJ31" i="3"/>
  <c r="CJ51" i="3" s="1"/>
  <c r="CJ208" i="25"/>
  <c r="CF137" i="25"/>
  <c r="CF138" i="25" s="1"/>
  <c r="CF133" i="25"/>
  <c r="AT172" i="3"/>
  <c r="AT105" i="15" s="1"/>
  <c r="AT104" i="15"/>
  <c r="CE186" i="25"/>
  <c r="CE187" i="25" s="1"/>
  <c r="CE182" i="25"/>
  <c r="BO115" i="21"/>
  <c r="BP110" i="21" s="1"/>
  <c r="BP111" i="21" s="1"/>
  <c r="CI112" i="27"/>
  <c r="CJ112" i="27" s="1"/>
  <c r="BT6" i="3"/>
  <c r="BS7" i="3"/>
  <c r="BS57" i="23"/>
  <c r="BS108" i="25"/>
  <c r="BS72" i="27"/>
  <c r="CL38" i="3"/>
  <c r="CI95" i="27"/>
  <c r="CI87" i="27"/>
  <c r="CJ94" i="27"/>
  <c r="CI102" i="27"/>
  <c r="CI103" i="27" s="1"/>
  <c r="CH104" i="27"/>
  <c r="CH105" i="27" s="1"/>
  <c r="CI93" i="27"/>
  <c r="CP167" i="21"/>
  <c r="CP168" i="21" s="1"/>
  <c r="CO168" i="21"/>
  <c r="BA110" i="25"/>
  <c r="AZ143" i="25"/>
  <c r="AZ149" i="25" s="1"/>
  <c r="AZ150" i="25" s="1"/>
  <c r="AZ61" i="25" s="1"/>
  <c r="AX92" i="25"/>
  <c r="AX32" i="25"/>
  <c r="AX36" i="25"/>
  <c r="CJ78" i="21"/>
  <c r="CK52" i="21"/>
  <c r="CJ54" i="21"/>
  <c r="CJ21" i="21" s="1"/>
  <c r="CJ84" i="23"/>
  <c r="CJ81" i="23"/>
  <c r="CJ88" i="23"/>
  <c r="CJ89" i="23" s="1"/>
  <c r="CI79" i="3"/>
  <c r="CI93" i="17"/>
  <c r="CI50" i="3"/>
  <c r="CI77" i="3" s="1"/>
  <c r="CF159" i="3"/>
  <c r="CG17" i="17"/>
  <c r="BQ78" i="17"/>
  <c r="BQ80" i="17" s="1"/>
  <c r="AX75" i="3"/>
  <c r="CJ119" i="25"/>
  <c r="CI130" i="25"/>
  <c r="CI154" i="25"/>
  <c r="CI155" i="25" s="1"/>
  <c r="CI104" i="21"/>
  <c r="CI91" i="21"/>
  <c r="CI25" i="21"/>
  <c r="CI80" i="21"/>
  <c r="AY61" i="3"/>
  <c r="AY87" i="17"/>
  <c r="CL73" i="23"/>
  <c r="CK83" i="23"/>
  <c r="CJ52" i="3"/>
  <c r="CK32" i="3"/>
  <c r="CI147" i="25"/>
  <c r="BQ79" i="15"/>
  <c r="BQ84" i="15" s="1"/>
  <c r="BQ81" i="15"/>
  <c r="BQ86" i="15" s="1"/>
  <c r="BQ80" i="15"/>
  <c r="BQ85" i="15" s="1"/>
  <c r="CP35" i="3"/>
  <c r="CH93" i="21"/>
  <c r="CH67" i="21"/>
  <c r="CH22" i="21"/>
  <c r="AY48" i="3"/>
  <c r="AY25" i="25"/>
  <c r="AY34" i="25"/>
  <c r="CI86" i="23"/>
  <c r="CI87" i="23" s="1"/>
  <c r="CI82" i="23"/>
  <c r="BS69" i="15"/>
  <c r="BS3" i="17"/>
  <c r="BS4" i="17" s="1"/>
  <c r="BS5" i="25"/>
  <c r="BS22" i="17"/>
  <c r="BS3" i="25"/>
  <c r="BS3" i="21"/>
  <c r="BS206" i="25"/>
  <c r="BS37" i="17"/>
  <c r="BS253" i="3"/>
  <c r="BS164" i="3"/>
  <c r="BS68" i="3"/>
  <c r="BT3" i="3"/>
  <c r="BS83" i="17"/>
  <c r="BS21" i="15"/>
  <c r="BS17" i="27"/>
  <c r="BS164" i="21"/>
  <c r="BS5" i="27"/>
  <c r="BS49" i="17"/>
  <c r="BS157" i="25"/>
  <c r="BS19" i="21"/>
  <c r="BS329" i="3"/>
  <c r="BS208" i="3"/>
  <c r="BS85" i="3"/>
  <c r="BS21" i="3"/>
  <c r="BS212" i="25"/>
  <c r="BS95" i="15"/>
  <c r="BS29" i="17"/>
  <c r="BS3" i="27"/>
  <c r="BS108" i="21"/>
  <c r="BS17" i="23"/>
  <c r="BS3" i="15"/>
  <c r="BS4" i="15" s="1"/>
  <c r="BS17" i="25"/>
  <c r="BS313" i="3"/>
  <c r="BS200" i="3"/>
  <c r="BS153" i="3"/>
  <c r="BS9" i="3"/>
  <c r="BS6" i="15"/>
  <c r="BS54" i="15"/>
  <c r="BS56" i="15" s="1"/>
  <c r="BS6" i="17"/>
  <c r="BS5" i="21"/>
  <c r="BS218" i="25"/>
  <c r="BS5" i="23"/>
  <c r="BS158" i="21"/>
  <c r="BS300" i="3"/>
  <c r="BS182" i="3"/>
  <c r="BS145" i="3"/>
  <c r="BS41" i="3"/>
  <c r="BP87" i="15"/>
  <c r="CJ93" i="3"/>
  <c r="CI55" i="21"/>
  <c r="CI24" i="3"/>
  <c r="BR59" i="17"/>
  <c r="BR71" i="17"/>
  <c r="BR52" i="17"/>
  <c r="BR57" i="17"/>
  <c r="BR55" i="17"/>
  <c r="BR65" i="17"/>
  <c r="BR74" i="17"/>
  <c r="BR64" i="17"/>
  <c r="BR63" i="17"/>
  <c r="BR77" i="17"/>
  <c r="BR76" i="17"/>
  <c r="BR53" i="17"/>
  <c r="BR62" i="17"/>
  <c r="BR75" i="17"/>
  <c r="BR56" i="17"/>
  <c r="BR68" i="17"/>
  <c r="BR61" i="17"/>
  <c r="BR69" i="17"/>
  <c r="BR54" i="17"/>
  <c r="BR73" i="17"/>
  <c r="BR67" i="17"/>
  <c r="BR70" i="17"/>
  <c r="BR60" i="17"/>
  <c r="BR58" i="17"/>
  <c r="BR66" i="17"/>
  <c r="BR72" i="17"/>
  <c r="BR57" i="15"/>
  <c r="BR76" i="15"/>
  <c r="BR78" i="15" s="1"/>
  <c r="CP220" i="25"/>
  <c r="BH114" i="27" l="1"/>
  <c r="BH115" i="27" s="1"/>
  <c r="BH116" i="27" s="1"/>
  <c r="BI223" i="3"/>
  <c r="BI198" i="3"/>
  <c r="BG309" i="3"/>
  <c r="BG322" i="3"/>
  <c r="BG323" i="3" s="1"/>
  <c r="BH104" i="3"/>
  <c r="BH212" i="3" s="1"/>
  <c r="BH304" i="3"/>
  <c r="BH63" i="15"/>
  <c r="BH265" i="3"/>
  <c r="BH211" i="3"/>
  <c r="BJ185" i="3"/>
  <c r="BJ192" i="3" s="1"/>
  <c r="BH79" i="27"/>
  <c r="BI74" i="27" s="1"/>
  <c r="CJ30" i="3"/>
  <c r="CJ88" i="3" s="1"/>
  <c r="CC74" i="21"/>
  <c r="CD48" i="21"/>
  <c r="CB87" i="21"/>
  <c r="CB100" i="21"/>
  <c r="CL134" i="21"/>
  <c r="CL136" i="21"/>
  <c r="BM68" i="25"/>
  <c r="BM24" i="25"/>
  <c r="BM95" i="25"/>
  <c r="CL99" i="21"/>
  <c r="CL86" i="21"/>
  <c r="CL26" i="21"/>
  <c r="BO193" i="25"/>
  <c r="BO161" i="25"/>
  <c r="BO192" i="25"/>
  <c r="BO194" i="25"/>
  <c r="BO162" i="25"/>
  <c r="CK203" i="25"/>
  <c r="CK204" i="25" s="1"/>
  <c r="CL168" i="25"/>
  <c r="CK179" i="25"/>
  <c r="CK184" i="25"/>
  <c r="BO160" i="25"/>
  <c r="CM73" i="21"/>
  <c r="CN60" i="21"/>
  <c r="BN81" i="25"/>
  <c r="CK196" i="25"/>
  <c r="CO17" i="21"/>
  <c r="CN20" i="17"/>
  <c r="CP89" i="27"/>
  <c r="CP99" i="27" s="1"/>
  <c r="CP97" i="27" s="1"/>
  <c r="CO99" i="27"/>
  <c r="CO97" i="27" s="1"/>
  <c r="CI100" i="25"/>
  <c r="CI30" i="25"/>
  <c r="CI73" i="25"/>
  <c r="CK9" i="17"/>
  <c r="CL272" i="3"/>
  <c r="CG99" i="25"/>
  <c r="CG29" i="25"/>
  <c r="CM336" i="3"/>
  <c r="CN289" i="3"/>
  <c r="CM68" i="23"/>
  <c r="CL102" i="23"/>
  <c r="CL103" i="23" s="1"/>
  <c r="CL79" i="23"/>
  <c r="CK59" i="25"/>
  <c r="CJ86" i="25"/>
  <c r="CK288" i="3"/>
  <c r="CJ335" i="3"/>
  <c r="CK37" i="3"/>
  <c r="CJ34" i="3"/>
  <c r="CJ89" i="3" s="1"/>
  <c r="CJ81" i="3"/>
  <c r="CH64" i="3"/>
  <c r="CH90" i="17"/>
  <c r="CM135" i="21"/>
  <c r="CM133" i="21" s="1"/>
  <c r="CM138" i="21" s="1"/>
  <c r="CN125" i="21"/>
  <c r="CH85" i="25"/>
  <c r="CI58" i="25"/>
  <c r="AT114" i="15"/>
  <c r="AT113" i="15"/>
  <c r="CI92" i="17"/>
  <c r="CI78" i="3"/>
  <c r="CN256" i="3"/>
  <c r="CH132" i="25"/>
  <c r="CH139" i="25"/>
  <c r="CH140" i="25" s="1"/>
  <c r="CH135" i="25"/>
  <c r="CM84" i="25"/>
  <c r="CL98" i="25"/>
  <c r="CL31" i="25"/>
  <c r="CK65" i="3"/>
  <c r="CK91" i="17"/>
  <c r="CH175" i="25"/>
  <c r="CG181" i="25"/>
  <c r="BS34" i="27"/>
  <c r="BS25" i="27"/>
  <c r="BS46" i="3"/>
  <c r="BS73" i="3" s="1"/>
  <c r="BT63" i="27"/>
  <c r="BT70" i="27" s="1"/>
  <c r="BT27" i="27"/>
  <c r="BT23" i="27"/>
  <c r="BU60" i="27"/>
  <c r="BT54" i="27"/>
  <c r="BT57" i="27" s="1"/>
  <c r="BT67" i="27"/>
  <c r="CN183" i="25"/>
  <c r="CO174" i="25"/>
  <c r="BP112" i="21"/>
  <c r="BP144" i="21"/>
  <c r="BP146" i="21"/>
  <c r="BP145" i="21"/>
  <c r="CK208" i="25"/>
  <c r="CJ50" i="3"/>
  <c r="CK31" i="3"/>
  <c r="CK51" i="3" s="1"/>
  <c r="CM216" i="25"/>
  <c r="CN214" i="25"/>
  <c r="CM221" i="25"/>
  <c r="CL222" i="25"/>
  <c r="CH209" i="25"/>
  <c r="CG210" i="25"/>
  <c r="CI134" i="25"/>
  <c r="CJ125" i="25"/>
  <c r="CM155" i="21"/>
  <c r="CM156" i="21" s="1"/>
  <c r="CM131" i="21"/>
  <c r="CN119" i="21"/>
  <c r="CM139" i="21"/>
  <c r="CM67" i="23"/>
  <c r="CL72" i="23"/>
  <c r="CM259" i="3"/>
  <c r="CL321" i="3"/>
  <c r="CF186" i="25"/>
  <c r="CF187" i="25" s="1"/>
  <c r="CF182" i="25"/>
  <c r="AU179" i="3"/>
  <c r="AU168" i="3"/>
  <c r="AU170" i="3" s="1"/>
  <c r="AU180" i="3"/>
  <c r="BR32" i="27"/>
  <c r="BR36" i="27"/>
  <c r="BR64" i="27"/>
  <c r="CN160" i="21"/>
  <c r="CM162" i="21"/>
  <c r="BP113" i="21"/>
  <c r="CJ170" i="25"/>
  <c r="CI188" i="25"/>
  <c r="CI189" i="25" s="1"/>
  <c r="CL271" i="3"/>
  <c r="CK276" i="3"/>
  <c r="CK319" i="3"/>
  <c r="CJ100" i="27"/>
  <c r="CK83" i="27"/>
  <c r="CJ120" i="27"/>
  <c r="CJ121" i="27" s="1"/>
  <c r="CJ84" i="27"/>
  <c r="CJ98" i="27"/>
  <c r="CK123" i="21"/>
  <c r="CL129" i="21"/>
  <c r="CK140" i="21"/>
  <c r="CK141" i="21" s="1"/>
  <c r="CG137" i="25"/>
  <c r="CG138" i="25" s="1"/>
  <c r="CG133" i="25"/>
  <c r="CM149" i="21"/>
  <c r="BT108" i="25"/>
  <c r="BT7" i="3"/>
  <c r="BT57" i="23"/>
  <c r="BU6" i="3"/>
  <c r="BT72" i="27"/>
  <c r="CM38" i="3"/>
  <c r="CJ95" i="27"/>
  <c r="CJ87" i="27"/>
  <c r="CK94" i="27"/>
  <c r="CJ102" i="27"/>
  <c r="CJ103" i="27" s="1"/>
  <c r="CI104" i="27"/>
  <c r="CI105" i="27" s="1"/>
  <c r="CJ93" i="27"/>
  <c r="BS76" i="15"/>
  <c r="BS78" i="15" s="1"/>
  <c r="BS57" i="15"/>
  <c r="BS77" i="17"/>
  <c r="BS65" i="17"/>
  <c r="BS55" i="17"/>
  <c r="BS58" i="17"/>
  <c r="BS75" i="17"/>
  <c r="BS71" i="17"/>
  <c r="BS59" i="17"/>
  <c r="BS69" i="17"/>
  <c r="BS57" i="17"/>
  <c r="BS73" i="17"/>
  <c r="BS61" i="17"/>
  <c r="BS68" i="17"/>
  <c r="BS72" i="17"/>
  <c r="BS70" i="17"/>
  <c r="BS76" i="17"/>
  <c r="BS74" i="17"/>
  <c r="BS53" i="17"/>
  <c r="BS63" i="17"/>
  <c r="BS64" i="17"/>
  <c r="BS56" i="17"/>
  <c r="BS62" i="17"/>
  <c r="BS60" i="17"/>
  <c r="BS66" i="17"/>
  <c r="BS54" i="17"/>
  <c r="BS52" i="17"/>
  <c r="BS67" i="17"/>
  <c r="AY75" i="3"/>
  <c r="BQ87" i="15"/>
  <c r="CM73" i="23"/>
  <c r="CL83" i="23"/>
  <c r="CJ154" i="25"/>
  <c r="CJ155" i="25" s="1"/>
  <c r="CK119" i="25"/>
  <c r="CJ130" i="25"/>
  <c r="CH17" i="17"/>
  <c r="CG159" i="3"/>
  <c r="AZ88" i="25"/>
  <c r="AZ19" i="25"/>
  <c r="AZ64" i="25"/>
  <c r="BR81" i="15"/>
  <c r="BR86" i="15" s="1"/>
  <c r="BR79" i="15"/>
  <c r="BR84" i="15" s="1"/>
  <c r="BR80" i="15"/>
  <c r="BR85" i="15" s="1"/>
  <c r="CK93" i="3"/>
  <c r="CL32" i="3"/>
  <c r="CK52" i="3"/>
  <c r="CK30" i="3"/>
  <c r="CK88" i="3" s="1"/>
  <c r="CJ55" i="21"/>
  <c r="CJ24" i="3"/>
  <c r="BA112" i="25"/>
  <c r="BA111" i="25"/>
  <c r="BA113" i="25"/>
  <c r="BR78" i="17"/>
  <c r="BR80" i="17" s="1"/>
  <c r="BT37" i="17"/>
  <c r="BT69" i="15"/>
  <c r="BT3" i="25"/>
  <c r="BT3" i="21"/>
  <c r="BT157" i="25"/>
  <c r="BT108" i="21"/>
  <c r="BT17" i="27"/>
  <c r="BT313" i="3"/>
  <c r="BT164" i="3"/>
  <c r="BT145" i="3"/>
  <c r="BU3" i="3"/>
  <c r="BT3" i="15"/>
  <c r="BT4" i="15" s="1"/>
  <c r="BT22" i="17"/>
  <c r="BT83" i="17"/>
  <c r="BT5" i="27"/>
  <c r="BT95" i="15"/>
  <c r="BT29" i="17"/>
  <c r="BT19" i="21"/>
  <c r="BT3" i="27"/>
  <c r="BT300" i="3"/>
  <c r="BT208" i="3"/>
  <c r="BT85" i="3"/>
  <c r="BT68" i="3"/>
  <c r="BT6" i="15"/>
  <c r="BT218" i="25"/>
  <c r="BT212" i="25"/>
  <c r="BT17" i="23"/>
  <c r="BT54" i="15"/>
  <c r="BT56" i="15" s="1"/>
  <c r="BT6" i="17"/>
  <c r="BT158" i="21"/>
  <c r="BT5" i="21"/>
  <c r="BT253" i="3"/>
  <c r="BT200" i="3"/>
  <c r="BT41" i="3"/>
  <c r="BT21" i="3"/>
  <c r="BT3" i="17"/>
  <c r="BT4" i="17" s="1"/>
  <c r="BT49" i="17"/>
  <c r="BT206" i="25"/>
  <c r="BT21" i="15"/>
  <c r="BT5" i="23"/>
  <c r="BT164" i="21"/>
  <c r="BT5" i="25"/>
  <c r="BT17" i="25"/>
  <c r="BT329" i="3"/>
  <c r="BT182" i="3"/>
  <c r="BT153" i="3"/>
  <c r="BT9" i="3"/>
  <c r="CH44" i="3"/>
  <c r="CH81" i="21"/>
  <c r="CH29" i="21"/>
  <c r="CH28" i="21"/>
  <c r="CJ79" i="3"/>
  <c r="CJ93" i="17"/>
  <c r="CK78" i="21"/>
  <c r="CL52" i="21"/>
  <c r="CK54" i="21"/>
  <c r="CK21" i="21" s="1"/>
  <c r="AY92" i="25"/>
  <c r="AY32" i="25"/>
  <c r="AY36" i="25"/>
  <c r="CJ147" i="25"/>
  <c r="CK147" i="25" s="1"/>
  <c r="CK81" i="23"/>
  <c r="CK84" i="23"/>
  <c r="CK88" i="23"/>
  <c r="CK89" i="23" s="1"/>
  <c r="CI93" i="21"/>
  <c r="CI22" i="21"/>
  <c r="CI67" i="21"/>
  <c r="CI106" i="21"/>
  <c r="CJ86" i="23"/>
  <c r="CJ87" i="23" s="1"/>
  <c r="CJ82" i="23"/>
  <c r="CJ104" i="21"/>
  <c r="CJ91" i="21"/>
  <c r="CJ25" i="21"/>
  <c r="CJ80" i="21"/>
  <c r="BK193" i="3" l="1"/>
  <c r="BK246" i="3" s="1"/>
  <c r="BJ247" i="3"/>
  <c r="BJ248" i="3" s="1"/>
  <c r="BJ194" i="3"/>
  <c r="CJ77" i="3"/>
  <c r="BI77" i="27"/>
  <c r="BI75" i="27"/>
  <c r="BI76" i="27"/>
  <c r="BI108" i="27"/>
  <c r="BI110" i="27"/>
  <c r="BI109" i="27"/>
  <c r="BH105" i="3"/>
  <c r="BH305" i="3"/>
  <c r="BH303" i="3" s="1"/>
  <c r="BH320" i="3"/>
  <c r="BI103" i="3"/>
  <c r="BH267" i="3"/>
  <c r="BI230" i="3"/>
  <c r="BI64" i="15"/>
  <c r="CM134" i="21"/>
  <c r="CM136" i="21"/>
  <c r="CE48" i="21"/>
  <c r="CD74" i="21"/>
  <c r="CC100" i="21"/>
  <c r="CC87" i="21"/>
  <c r="CL196" i="25"/>
  <c r="CO60" i="21"/>
  <c r="CN73" i="21"/>
  <c r="BO164" i="25"/>
  <c r="BP159" i="25" s="1"/>
  <c r="BN24" i="25"/>
  <c r="BN68" i="25"/>
  <c r="BN95" i="25"/>
  <c r="CM86" i="21"/>
  <c r="CM26" i="21"/>
  <c r="CM99" i="21"/>
  <c r="CL179" i="25"/>
  <c r="CL203" i="25"/>
  <c r="CL204" i="25" s="1"/>
  <c r="CM168" i="25"/>
  <c r="CL184" i="25"/>
  <c r="BO195" i="25"/>
  <c r="BO197" i="25" s="1"/>
  <c r="BO198" i="25" s="1"/>
  <c r="BO199" i="25" s="1"/>
  <c r="BO54" i="25" s="1"/>
  <c r="BP162" i="25"/>
  <c r="BM35" i="25"/>
  <c r="BM49" i="3"/>
  <c r="BM76" i="3" s="1"/>
  <c r="CP17" i="21"/>
  <c r="CP20" i="17" s="1"/>
  <c r="CO20" i="17"/>
  <c r="CH29" i="25"/>
  <c r="CH99" i="25"/>
  <c r="CL37" i="3"/>
  <c r="CK81" i="3"/>
  <c r="CK34" i="3"/>
  <c r="CK89" i="3" s="1"/>
  <c r="CL288" i="3"/>
  <c r="CK335" i="3"/>
  <c r="CJ100" i="25"/>
  <c r="CJ73" i="25"/>
  <c r="CJ30" i="25"/>
  <c r="CM102" i="23"/>
  <c r="CM103" i="23" s="1"/>
  <c r="CN68" i="23"/>
  <c r="CM79" i="23"/>
  <c r="CM272" i="3"/>
  <c r="CL9" i="17"/>
  <c r="CJ58" i="25"/>
  <c r="CI85" i="25"/>
  <c r="CO125" i="21"/>
  <c r="CN135" i="21"/>
  <c r="CN133" i="21" s="1"/>
  <c r="CN138" i="21" s="1"/>
  <c r="CN139" i="21" s="1"/>
  <c r="CK86" i="25"/>
  <c r="CL59" i="25"/>
  <c r="CO289" i="3"/>
  <c r="CN336" i="3"/>
  <c r="CI90" i="17"/>
  <c r="CI64" i="3"/>
  <c r="CK100" i="27"/>
  <c r="CK120" i="27"/>
  <c r="CK121" i="27" s="1"/>
  <c r="CK98" i="27"/>
  <c r="CL83" i="27"/>
  <c r="CK84" i="27"/>
  <c r="CM271" i="3"/>
  <c r="CL276" i="3"/>
  <c r="CL319" i="3"/>
  <c r="CK170" i="25"/>
  <c r="CJ188" i="25"/>
  <c r="CJ189" i="25" s="1"/>
  <c r="AV167" i="3"/>
  <c r="AU173" i="3"/>
  <c r="AU340" i="3" s="1"/>
  <c r="AU106" i="15"/>
  <c r="AU171" i="3"/>
  <c r="CI132" i="25"/>
  <c r="CI139" i="25"/>
  <c r="CI140" i="25" s="1"/>
  <c r="CI135" i="25"/>
  <c r="CI209" i="25"/>
  <c r="CH210" i="25"/>
  <c r="CN221" i="25"/>
  <c r="CM222" i="25"/>
  <c r="CJ92" i="17"/>
  <c r="CJ78" i="3"/>
  <c r="CL208" i="25"/>
  <c r="CK112" i="27"/>
  <c r="BT46" i="3"/>
  <c r="BT73" i="3" s="1"/>
  <c r="BT25" i="27"/>
  <c r="BT34" i="27"/>
  <c r="BS32" i="27"/>
  <c r="BS64" i="27"/>
  <c r="BS36" i="27"/>
  <c r="CG186" i="25"/>
  <c r="CG187" i="25" s="1"/>
  <c r="CG182" i="25"/>
  <c r="CL65" i="3"/>
  <c r="CL91" i="17"/>
  <c r="CM98" i="25"/>
  <c r="CN84" i="25"/>
  <c r="CM31" i="25"/>
  <c r="CO256" i="3"/>
  <c r="CL123" i="21"/>
  <c r="CM129" i="21"/>
  <c r="CL140" i="21"/>
  <c r="CL141" i="21" s="1"/>
  <c r="BP147" i="21"/>
  <c r="BP150" i="21" s="1"/>
  <c r="BP151" i="21" s="1"/>
  <c r="CN162" i="21"/>
  <c r="CO160" i="21"/>
  <c r="CN259" i="3"/>
  <c r="CM321" i="3"/>
  <c r="CN67" i="23"/>
  <c r="CM72" i="23"/>
  <c r="CN149" i="21"/>
  <c r="CN155" i="21"/>
  <c r="CN156" i="21" s="1"/>
  <c r="CN131" i="21"/>
  <c r="CO119" i="21"/>
  <c r="CK125" i="25"/>
  <c r="CJ134" i="25"/>
  <c r="CO214" i="25"/>
  <c r="CN216" i="25"/>
  <c r="CL31" i="3"/>
  <c r="CL51" i="3" s="1"/>
  <c r="BP115" i="21"/>
  <c r="BQ110" i="21" s="1"/>
  <c r="CP174" i="25"/>
  <c r="CP183" i="25" s="1"/>
  <c r="CO183" i="25"/>
  <c r="BU63" i="27"/>
  <c r="BU70" i="27" s="1"/>
  <c r="BV60" i="27"/>
  <c r="BU67" i="27"/>
  <c r="BU23" i="27"/>
  <c r="BU27" i="27"/>
  <c r="BU54" i="27"/>
  <c r="BU57" i="27" s="1"/>
  <c r="CH181" i="25"/>
  <c r="CI175" i="25"/>
  <c r="CH137" i="25"/>
  <c r="CH138" i="25" s="1"/>
  <c r="CH133" i="25"/>
  <c r="BU108" i="25"/>
  <c r="BU7" i="3"/>
  <c r="BU57" i="23"/>
  <c r="BU72" i="27"/>
  <c r="BV6" i="3"/>
  <c r="CN38" i="3"/>
  <c r="CK93" i="27"/>
  <c r="CJ104" i="27"/>
  <c r="CJ105" i="27" s="1"/>
  <c r="BS78" i="17"/>
  <c r="BS80" i="17" s="1"/>
  <c r="CK87" i="27"/>
  <c r="CK95" i="27"/>
  <c r="CL94" i="27"/>
  <c r="CK102" i="27"/>
  <c r="CK103" i="27" s="1"/>
  <c r="BA115" i="25"/>
  <c r="BA143" i="25" s="1"/>
  <c r="CK24" i="3"/>
  <c r="CK55" i="21"/>
  <c r="CH71" i="3"/>
  <c r="CL93" i="3"/>
  <c r="CI17" i="17"/>
  <c r="CH159" i="3"/>
  <c r="CJ22" i="21"/>
  <c r="CJ106" i="21"/>
  <c r="CJ93" i="21"/>
  <c r="CJ67" i="21"/>
  <c r="CL78" i="21"/>
  <c r="CM52" i="21"/>
  <c r="CL54" i="21"/>
  <c r="CL21" i="21" s="1"/>
  <c r="BT74" i="17"/>
  <c r="BT64" i="17"/>
  <c r="BT61" i="17"/>
  <c r="BT77" i="17"/>
  <c r="BT54" i="17"/>
  <c r="BT55" i="17"/>
  <c r="BT53" i="17"/>
  <c r="BT75" i="17"/>
  <c r="BT56" i="17"/>
  <c r="BT68" i="17"/>
  <c r="BT59" i="17"/>
  <c r="BT76" i="17"/>
  <c r="BT72" i="17"/>
  <c r="BT69" i="17"/>
  <c r="BT65" i="17"/>
  <c r="BT70" i="17"/>
  <c r="BT60" i="17"/>
  <c r="BT58" i="17"/>
  <c r="BT67" i="17"/>
  <c r="BT63" i="17"/>
  <c r="BT57" i="17"/>
  <c r="BT71" i="17"/>
  <c r="BT52" i="17"/>
  <c r="BT73" i="17"/>
  <c r="BT66" i="17"/>
  <c r="BT62" i="17"/>
  <c r="BA146" i="25"/>
  <c r="CK79" i="3"/>
  <c r="CK93" i="17"/>
  <c r="CK50" i="3"/>
  <c r="CK77" i="3" s="1"/>
  <c r="AZ28" i="3"/>
  <c r="AZ21" i="25"/>
  <c r="AZ65" i="25" s="1"/>
  <c r="CK86" i="23"/>
  <c r="CK87" i="23" s="1"/>
  <c r="CK82" i="23"/>
  <c r="CK104" i="21"/>
  <c r="CK91" i="21"/>
  <c r="CK25" i="21"/>
  <c r="CK80" i="21"/>
  <c r="BT57" i="15"/>
  <c r="BT76" i="15"/>
  <c r="BT78" i="15" s="1"/>
  <c r="CL52" i="3"/>
  <c r="CM32" i="3"/>
  <c r="CL30" i="3"/>
  <c r="CL88" i="3" s="1"/>
  <c r="BR87" i="15"/>
  <c r="AZ75" i="25"/>
  <c r="AZ78" i="25" s="1"/>
  <c r="AZ102" i="25"/>
  <c r="AZ23" i="25"/>
  <c r="AZ91" i="25"/>
  <c r="AZ105" i="25" s="1"/>
  <c r="AZ27" i="25"/>
  <c r="CL81" i="23"/>
  <c r="CL84" i="23"/>
  <c r="CL88" i="23"/>
  <c r="CL89" i="23" s="1"/>
  <c r="BS79" i="15"/>
  <c r="BS84" i="15" s="1"/>
  <c r="BS80" i="15"/>
  <c r="BS85" i="15" s="1"/>
  <c r="BS81" i="15"/>
  <c r="BS86" i="15" s="1"/>
  <c r="CI28" i="21"/>
  <c r="CI29" i="21"/>
  <c r="CI44" i="3"/>
  <c r="CI81" i="21"/>
  <c r="BU49" i="17"/>
  <c r="BU206" i="25"/>
  <c r="BU21" i="15"/>
  <c r="BU3" i="17"/>
  <c r="BU4" i="17" s="1"/>
  <c r="BU108" i="21"/>
  <c r="BU5" i="21"/>
  <c r="BU158" i="21"/>
  <c r="BU17" i="23"/>
  <c r="BU329" i="3"/>
  <c r="BU208" i="3"/>
  <c r="BU85" i="3"/>
  <c r="BU21" i="3"/>
  <c r="BU37" i="17"/>
  <c r="BU95" i="15"/>
  <c r="BU29" i="17"/>
  <c r="BU19" i="21"/>
  <c r="BU212" i="25"/>
  <c r="BU3" i="27"/>
  <c r="BU5" i="23"/>
  <c r="BU313" i="3"/>
  <c r="BU200" i="3"/>
  <c r="BU153" i="3"/>
  <c r="BU41" i="3"/>
  <c r="BU3" i="15"/>
  <c r="BU4" i="15" s="1"/>
  <c r="BU22" i="17"/>
  <c r="BU54" i="15"/>
  <c r="BU56" i="15" s="1"/>
  <c r="BU6" i="17"/>
  <c r="BU83" i="17"/>
  <c r="BU69" i="15"/>
  <c r="BU157" i="25"/>
  <c r="BU3" i="25"/>
  <c r="BU3" i="21"/>
  <c r="BU300" i="3"/>
  <c r="BU182" i="3"/>
  <c r="BU145" i="3"/>
  <c r="BU9" i="3"/>
  <c r="BU218" i="25"/>
  <c r="BU6" i="15"/>
  <c r="BU164" i="21"/>
  <c r="BU17" i="27"/>
  <c r="BU17" i="25"/>
  <c r="BU5" i="27"/>
  <c r="BU5" i="25"/>
  <c r="BU253" i="3"/>
  <c r="BU164" i="3"/>
  <c r="BU68" i="3"/>
  <c r="BV3" i="3"/>
  <c r="CL119" i="25"/>
  <c r="CK154" i="25"/>
  <c r="CK155" i="25" s="1"/>
  <c r="CK130" i="25"/>
  <c r="CN73" i="23"/>
  <c r="CM83" i="23"/>
  <c r="BH322" i="3" l="1"/>
  <c r="BH309" i="3"/>
  <c r="BH323" i="3"/>
  <c r="BI111" i="27"/>
  <c r="BI114" i="27" s="1"/>
  <c r="BI265" i="3"/>
  <c r="BI211" i="3"/>
  <c r="BI304" i="3"/>
  <c r="BI79" i="27"/>
  <c r="BJ74" i="27" s="1"/>
  <c r="BK185" i="3"/>
  <c r="BK192" i="3" s="1"/>
  <c r="BI104" i="3"/>
  <c r="BJ198" i="3"/>
  <c r="BJ223" i="3"/>
  <c r="CN136" i="21"/>
  <c r="CD87" i="21"/>
  <c r="CD100" i="21"/>
  <c r="CF48" i="21"/>
  <c r="CE74" i="21"/>
  <c r="CN134" i="21"/>
  <c r="BP161" i="25"/>
  <c r="BP195" i="25" s="1"/>
  <c r="BP193" i="25"/>
  <c r="BP194" i="25"/>
  <c r="BP192" i="25"/>
  <c r="CN99" i="21"/>
  <c r="CN26" i="21"/>
  <c r="CN86" i="21"/>
  <c r="CM196" i="25"/>
  <c r="BO20" i="25"/>
  <c r="BO29" i="3" s="1"/>
  <c r="BO81" i="25"/>
  <c r="CN168" i="25"/>
  <c r="CM179" i="25"/>
  <c r="CM203" i="25"/>
  <c r="CM204" i="25" s="1"/>
  <c r="CM184" i="25"/>
  <c r="BN35" i="25"/>
  <c r="BN49" i="3"/>
  <c r="BN76" i="3" s="1"/>
  <c r="BP160" i="25"/>
  <c r="CP60" i="21"/>
  <c r="CP73" i="21" s="1"/>
  <c r="CO73" i="21"/>
  <c r="CL112" i="27"/>
  <c r="BB110" i="25"/>
  <c r="CO336" i="3"/>
  <c r="CP289" i="3"/>
  <c r="CP336" i="3" s="1"/>
  <c r="CK73" i="25"/>
  <c r="CK100" i="25"/>
  <c r="CK30" i="25"/>
  <c r="CI29" i="25"/>
  <c r="CI99" i="25"/>
  <c r="CM37" i="3"/>
  <c r="CL34" i="3"/>
  <c r="CL89" i="3" s="1"/>
  <c r="CL81" i="3"/>
  <c r="CL86" i="25"/>
  <c r="CM59" i="25"/>
  <c r="CO135" i="21"/>
  <c r="CO133" i="21" s="1"/>
  <c r="CO138" i="21" s="1"/>
  <c r="CO139" i="21" s="1"/>
  <c r="CP125" i="21"/>
  <c r="CP135" i="21" s="1"/>
  <c r="CP133" i="21" s="1"/>
  <c r="CP138" i="21" s="1"/>
  <c r="CK58" i="25"/>
  <c r="CJ85" i="25"/>
  <c r="CN272" i="3"/>
  <c r="CM9" i="17"/>
  <c r="CN102" i="23"/>
  <c r="CN103" i="23" s="1"/>
  <c r="CO68" i="23"/>
  <c r="CN79" i="23"/>
  <c r="CJ64" i="3"/>
  <c r="CJ90" i="17"/>
  <c r="CL335" i="3"/>
  <c r="CM288" i="3"/>
  <c r="CH63" i="3"/>
  <c r="CH89" i="17"/>
  <c r="CH182" i="25"/>
  <c r="CH186" i="25"/>
  <c r="CH187" i="25" s="1"/>
  <c r="CK78" i="3"/>
  <c r="CK92" i="17"/>
  <c r="CJ139" i="25"/>
  <c r="CJ140" i="25" s="1"/>
  <c r="CJ132" i="25"/>
  <c r="CJ135" i="25"/>
  <c r="CO67" i="23"/>
  <c r="CN72" i="23"/>
  <c r="CO259" i="3"/>
  <c r="CN321" i="3"/>
  <c r="CN129" i="21"/>
  <c r="CM140" i="21"/>
  <c r="CM141" i="21" s="1"/>
  <c r="CM123" i="21"/>
  <c r="CP256" i="3"/>
  <c r="CM91" i="17"/>
  <c r="CM65" i="3"/>
  <c r="CO221" i="25"/>
  <c r="CN222" i="25"/>
  <c r="CJ209" i="25"/>
  <c r="CI210" i="25"/>
  <c r="AV177" i="3"/>
  <c r="CL170" i="25"/>
  <c r="CK188" i="25"/>
  <c r="CK189" i="25" s="1"/>
  <c r="CI181" i="25"/>
  <c r="CJ175" i="25"/>
  <c r="BU46" i="3"/>
  <c r="BU73" i="3" s="1"/>
  <c r="BU34" i="27"/>
  <c r="BU25" i="27"/>
  <c r="BV67" i="27"/>
  <c r="BV63" i="27"/>
  <c r="BV70" i="27" s="1"/>
  <c r="BW60" i="27"/>
  <c r="BV54" i="27"/>
  <c r="BV57" i="27" s="1"/>
  <c r="BV27" i="27"/>
  <c r="BV23" i="27"/>
  <c r="BQ112" i="21"/>
  <c r="BQ145" i="21"/>
  <c r="BQ146" i="21"/>
  <c r="BQ144" i="21"/>
  <c r="BQ111" i="21"/>
  <c r="CM31" i="3"/>
  <c r="CM51" i="3" s="1"/>
  <c r="CL50" i="3"/>
  <c r="CL77" i="3" s="1"/>
  <c r="CO216" i="25"/>
  <c r="CP214" i="25"/>
  <c r="CP216" i="25" s="1"/>
  <c r="CL125" i="25"/>
  <c r="CK134" i="25"/>
  <c r="CO149" i="21"/>
  <c r="CO131" i="21"/>
  <c r="CP119" i="21"/>
  <c r="CO155" i="21"/>
  <c r="CO156" i="21" s="1"/>
  <c r="CO136" i="21"/>
  <c r="CO162" i="21"/>
  <c r="CP160" i="21"/>
  <c r="CP162" i="21" s="1"/>
  <c r="BQ113" i="21"/>
  <c r="CO84" i="25"/>
  <c r="CN98" i="25"/>
  <c r="CN31" i="25"/>
  <c r="BT64" i="27"/>
  <c r="BT32" i="27"/>
  <c r="BT36" i="27"/>
  <c r="CM208" i="25"/>
  <c r="CI137" i="25"/>
  <c r="CI138" i="25" s="1"/>
  <c r="CI133" i="25"/>
  <c r="AU104" i="15"/>
  <c r="AU172" i="3"/>
  <c r="AU105" i="15" s="1"/>
  <c r="CN271" i="3"/>
  <c r="CM276" i="3"/>
  <c r="CM319" i="3"/>
  <c r="CL100" i="27"/>
  <c r="CM83" i="27"/>
  <c r="CL84" i="27"/>
  <c r="CL120" i="27"/>
  <c r="CL121" i="27" s="1"/>
  <c r="CL98" i="27"/>
  <c r="BV108" i="25"/>
  <c r="BV72" i="27"/>
  <c r="BV7" i="3"/>
  <c r="BW6" i="3"/>
  <c r="BV57" i="23"/>
  <c r="CO38" i="3"/>
  <c r="CL87" i="27"/>
  <c r="CL95" i="27"/>
  <c r="CM94" i="27"/>
  <c r="CL102" i="27"/>
  <c r="CL103" i="27" s="1"/>
  <c r="CK104" i="27"/>
  <c r="CK105" i="27" s="1"/>
  <c r="CL93" i="27"/>
  <c r="BV54" i="15"/>
  <c r="BV56" i="15" s="1"/>
  <c r="BV6" i="17"/>
  <c r="BV3" i="15"/>
  <c r="BV4" i="15" s="1"/>
  <c r="BV22" i="17"/>
  <c r="BV157" i="25"/>
  <c r="BV17" i="23"/>
  <c r="BV3" i="27"/>
  <c r="BV3" i="21"/>
  <c r="BV300" i="3"/>
  <c r="BV208" i="3"/>
  <c r="BV85" i="3"/>
  <c r="BV68" i="3"/>
  <c r="BV69" i="15"/>
  <c r="BV218" i="25"/>
  <c r="BV17" i="25"/>
  <c r="BV5" i="23"/>
  <c r="BV5" i="21"/>
  <c r="BV164" i="21"/>
  <c r="BV253" i="3"/>
  <c r="BV200" i="3"/>
  <c r="BV41" i="3"/>
  <c r="BV21" i="3"/>
  <c r="BV21" i="15"/>
  <c r="BV83" i="17"/>
  <c r="BV49" i="17"/>
  <c r="BV206" i="25"/>
  <c r="BV158" i="21"/>
  <c r="BV5" i="25"/>
  <c r="BV5" i="27"/>
  <c r="BV108" i="21"/>
  <c r="BV329" i="3"/>
  <c r="BV182" i="3"/>
  <c r="BV153" i="3"/>
  <c r="BV9" i="3"/>
  <c r="BV95" i="15"/>
  <c r="BV29" i="17"/>
  <c r="BV212" i="25"/>
  <c r="BV37" i="17"/>
  <c r="BV6" i="15"/>
  <c r="BV3" i="25"/>
  <c r="BV17" i="27"/>
  <c r="BV3" i="17"/>
  <c r="BV4" i="17" s="1"/>
  <c r="BV19" i="21"/>
  <c r="BV313" i="3"/>
  <c r="BV164" i="3"/>
  <c r="BV145" i="3"/>
  <c r="BW3" i="3"/>
  <c r="CI71" i="3"/>
  <c r="BS87" i="15"/>
  <c r="CL55" i="21"/>
  <c r="CL24" i="3"/>
  <c r="CJ44" i="3"/>
  <c r="CJ81" i="21"/>
  <c r="CJ29" i="21"/>
  <c r="CJ28" i="21"/>
  <c r="BA149" i="25"/>
  <c r="BA150" i="25" s="1"/>
  <c r="BA61" i="25" s="1"/>
  <c r="BU76" i="15"/>
  <c r="BU78" i="15" s="1"/>
  <c r="BU57" i="15"/>
  <c r="CL86" i="23"/>
  <c r="CL87" i="23" s="1"/>
  <c r="CL82" i="23"/>
  <c r="AZ61" i="3"/>
  <c r="AZ87" i="17"/>
  <c r="BT78" i="17"/>
  <c r="BT80" i="17" s="1"/>
  <c r="CM78" i="21"/>
  <c r="CN52" i="21"/>
  <c r="CM54" i="21"/>
  <c r="CM21" i="21" s="1"/>
  <c r="BB112" i="25"/>
  <c r="CO73" i="23"/>
  <c r="CN83" i="23"/>
  <c r="CM119" i="25"/>
  <c r="CL154" i="25"/>
  <c r="CL155" i="25" s="1"/>
  <c r="CL130" i="25"/>
  <c r="BU68" i="17"/>
  <c r="BU74" i="17"/>
  <c r="BU72" i="17"/>
  <c r="BU56" i="17"/>
  <c r="BU77" i="17"/>
  <c r="BU65" i="17"/>
  <c r="BU54" i="17"/>
  <c r="BU60" i="17"/>
  <c r="BU58" i="17"/>
  <c r="BU64" i="17"/>
  <c r="BU73" i="17"/>
  <c r="BU69" i="17"/>
  <c r="BU57" i="17"/>
  <c r="BU75" i="17"/>
  <c r="BU63" i="17"/>
  <c r="BU53" i="17"/>
  <c r="BU67" i="17"/>
  <c r="BU66" i="17"/>
  <c r="BU70" i="17"/>
  <c r="BU52" i="17"/>
  <c r="BU76" i="17"/>
  <c r="BU55" i="17"/>
  <c r="BU71" i="17"/>
  <c r="BU59" i="17"/>
  <c r="BU61" i="17"/>
  <c r="BU62" i="17"/>
  <c r="CL147" i="25"/>
  <c r="CN32" i="3"/>
  <c r="CM52" i="3"/>
  <c r="CM30" i="3"/>
  <c r="CM88" i="3" s="1"/>
  <c r="CL104" i="21"/>
  <c r="CL91" i="21"/>
  <c r="CL25" i="21"/>
  <c r="CL80" i="21"/>
  <c r="CJ17" i="17"/>
  <c r="CI159" i="3"/>
  <c r="CM93" i="3"/>
  <c r="CM81" i="23"/>
  <c r="CM84" i="23"/>
  <c r="CM88" i="23"/>
  <c r="CM89" i="23" s="1"/>
  <c r="AZ25" i="25"/>
  <c r="AZ48" i="3"/>
  <c r="AZ34" i="25"/>
  <c r="CL93" i="17"/>
  <c r="CL79" i="3"/>
  <c r="BT80" i="15"/>
  <c r="BT85" i="15" s="1"/>
  <c r="BT81" i="15"/>
  <c r="BT86" i="15" s="1"/>
  <c r="BT79" i="15"/>
  <c r="BT84" i="15" s="1"/>
  <c r="CK22" i="21"/>
  <c r="CK67" i="21"/>
  <c r="CK106" i="21"/>
  <c r="CK93" i="21"/>
  <c r="BI115" i="27" l="1"/>
  <c r="BI116" i="27" s="1"/>
  <c r="BJ230" i="3"/>
  <c r="BJ64" i="15"/>
  <c r="BI105" i="3"/>
  <c r="BI212" i="3"/>
  <c r="BI63" i="15"/>
  <c r="BJ76" i="27"/>
  <c r="BJ75" i="27"/>
  <c r="BJ110" i="27"/>
  <c r="BJ109" i="27"/>
  <c r="BJ108" i="27"/>
  <c r="BJ77" i="27"/>
  <c r="BI305" i="3"/>
  <c r="BI303" i="3" s="1"/>
  <c r="BI320" i="3"/>
  <c r="BJ103" i="3"/>
  <c r="BJ304" i="3" s="1"/>
  <c r="BK247" i="3"/>
  <c r="BK248" i="3" s="1"/>
  <c r="BK194" i="3"/>
  <c r="BL193" i="3"/>
  <c r="BI267" i="3"/>
  <c r="CM112" i="27"/>
  <c r="CE100" i="21"/>
  <c r="CE87" i="21"/>
  <c r="CF74" i="21"/>
  <c r="CG48" i="21"/>
  <c r="BP197" i="25"/>
  <c r="BP198" i="25" s="1"/>
  <c r="BP199" i="25" s="1"/>
  <c r="BP54" i="25" s="1"/>
  <c r="CO134" i="21"/>
  <c r="CO86" i="21"/>
  <c r="CO99" i="21"/>
  <c r="CO26" i="21"/>
  <c r="CO168" i="25"/>
  <c r="CN179" i="25"/>
  <c r="CN203" i="25"/>
  <c r="CN204" i="25" s="1"/>
  <c r="CN184" i="25"/>
  <c r="CN196" i="25"/>
  <c r="CO196" i="25" s="1"/>
  <c r="BP164" i="25"/>
  <c r="BQ159" i="25" s="1"/>
  <c r="CP80" i="21"/>
  <c r="CP26" i="21"/>
  <c r="CP99" i="21"/>
  <c r="CP86" i="21"/>
  <c r="BO24" i="25"/>
  <c r="BO68" i="25"/>
  <c r="BO95" i="25"/>
  <c r="BQ115" i="21"/>
  <c r="BR110" i="21" s="1"/>
  <c r="BR146" i="21" s="1"/>
  <c r="CP68" i="23"/>
  <c r="CO102" i="23"/>
  <c r="CO103" i="23" s="1"/>
  <c r="CO79" i="23"/>
  <c r="CJ99" i="25"/>
  <c r="CJ29" i="25"/>
  <c r="CN59" i="25"/>
  <c r="CM86" i="25"/>
  <c r="CI63" i="3"/>
  <c r="CI89" i="17"/>
  <c r="CN288" i="3"/>
  <c r="CM335" i="3"/>
  <c r="CN9" i="17"/>
  <c r="CO272" i="3"/>
  <c r="CL58" i="25"/>
  <c r="CK85" i="25"/>
  <c r="CL73" i="25"/>
  <c r="CL30" i="25"/>
  <c r="CL100" i="25"/>
  <c r="CN37" i="3"/>
  <c r="CM34" i="3"/>
  <c r="CM89" i="3" s="1"/>
  <c r="CM81" i="3"/>
  <c r="CK64" i="3"/>
  <c r="CK90" i="17"/>
  <c r="BB113" i="25"/>
  <c r="BB146" i="25" s="1"/>
  <c r="BB111" i="25"/>
  <c r="CM100" i="27"/>
  <c r="CM120" i="27"/>
  <c r="CM121" i="27" s="1"/>
  <c r="CN83" i="27"/>
  <c r="CN112" i="27" s="1"/>
  <c r="CM84" i="27"/>
  <c r="CM98" i="27"/>
  <c r="CO271" i="3"/>
  <c r="CN276" i="3"/>
  <c r="CN319" i="3"/>
  <c r="AU113" i="15"/>
  <c r="AU114" i="15"/>
  <c r="CN208" i="25"/>
  <c r="BQ147" i="21"/>
  <c r="BQ150" i="21" s="1"/>
  <c r="BQ151" i="21" s="1"/>
  <c r="BR113" i="21"/>
  <c r="CK139" i="25"/>
  <c r="CK140" i="25" s="1"/>
  <c r="CK132" i="25"/>
  <c r="CK135" i="25"/>
  <c r="CL78" i="3"/>
  <c r="CL92" i="17"/>
  <c r="BV34" i="27"/>
  <c r="BV46" i="3"/>
  <c r="BV73" i="3" s="1"/>
  <c r="BV25" i="27"/>
  <c r="BU64" i="27"/>
  <c r="BU36" i="27"/>
  <c r="BU32" i="27"/>
  <c r="CI182" i="25"/>
  <c r="CI186" i="25"/>
  <c r="CI187" i="25" s="1"/>
  <c r="CM170" i="25"/>
  <c r="CL188" i="25"/>
  <c r="CL189" i="25" s="1"/>
  <c r="AV180" i="3"/>
  <c r="AV179" i="3"/>
  <c r="AV168" i="3"/>
  <c r="AV170" i="3" s="1"/>
  <c r="CK209" i="25"/>
  <c r="CJ210" i="25"/>
  <c r="CP221" i="25"/>
  <c r="CP222" i="25" s="1"/>
  <c r="CO222" i="25"/>
  <c r="CJ137" i="25"/>
  <c r="CJ138" i="25" s="1"/>
  <c r="CJ133" i="25"/>
  <c r="CN91" i="17"/>
  <c r="CN65" i="3"/>
  <c r="CP84" i="25"/>
  <c r="CO31" i="25"/>
  <c r="CO98" i="25"/>
  <c r="CP131" i="21"/>
  <c r="CP155" i="21"/>
  <c r="CP156" i="21" s="1"/>
  <c r="CP136" i="21"/>
  <c r="CP134" i="21"/>
  <c r="CP139" i="21"/>
  <c r="CP149" i="21"/>
  <c r="CM125" i="25"/>
  <c r="CL134" i="25"/>
  <c r="CN31" i="3"/>
  <c r="CN51" i="3" s="1"/>
  <c r="CM50" i="3"/>
  <c r="CM77" i="3" s="1"/>
  <c r="BR111" i="21"/>
  <c r="BR144" i="21"/>
  <c r="BR145" i="21"/>
  <c r="BW54" i="27"/>
  <c r="BW57" i="27" s="1"/>
  <c r="BW23" i="27"/>
  <c r="BW27" i="27"/>
  <c r="BW67" i="27"/>
  <c r="BW63" i="27"/>
  <c r="BW70" i="27" s="1"/>
  <c r="BX60" i="27"/>
  <c r="CK175" i="25"/>
  <c r="CJ181" i="25"/>
  <c r="CN140" i="21"/>
  <c r="CN141" i="21" s="1"/>
  <c r="CN123" i="21"/>
  <c r="CO129" i="21"/>
  <c r="CP259" i="3"/>
  <c r="CP321" i="3" s="1"/>
  <c r="CO321" i="3"/>
  <c r="CP67" i="23"/>
  <c r="CP72" i="23" s="1"/>
  <c r="CO72" i="23"/>
  <c r="BW57" i="23"/>
  <c r="BW7" i="3"/>
  <c r="BW108" i="25"/>
  <c r="BW72" i="27"/>
  <c r="BX6" i="3"/>
  <c r="CP38" i="3"/>
  <c r="CM93" i="27"/>
  <c r="CL104" i="27"/>
  <c r="CL105" i="27" s="1"/>
  <c r="CM95" i="27"/>
  <c r="CM87" i="27"/>
  <c r="CN94" i="27"/>
  <c r="CM102" i="27"/>
  <c r="CM103" i="27" s="1"/>
  <c r="CM147" i="25"/>
  <c r="CK44" i="3"/>
  <c r="CK81" i="21"/>
  <c r="CK28" i="21"/>
  <c r="CK29" i="21"/>
  <c r="AZ92" i="25"/>
  <c r="AZ32" i="25"/>
  <c r="AZ36" i="25"/>
  <c r="CN93" i="3"/>
  <c r="CL93" i="21"/>
  <c r="CL67" i="21"/>
  <c r="CL22" i="21"/>
  <c r="CL106" i="21"/>
  <c r="CN52" i="3"/>
  <c r="CO32" i="3"/>
  <c r="CM130" i="25"/>
  <c r="CM154" i="25"/>
  <c r="CM155" i="25" s="1"/>
  <c r="CN119" i="25"/>
  <c r="CM104" i="21"/>
  <c r="CM91" i="21"/>
  <c r="CM25" i="21"/>
  <c r="CM80" i="21"/>
  <c r="BV67" i="17"/>
  <c r="BV70" i="17"/>
  <c r="BV60" i="17"/>
  <c r="BV58" i="17"/>
  <c r="BV66" i="17"/>
  <c r="BV62" i="17"/>
  <c r="BV59" i="17"/>
  <c r="BV71" i="17"/>
  <c r="BV52" i="17"/>
  <c r="BV54" i="17"/>
  <c r="BV73" i="17"/>
  <c r="BV55" i="17"/>
  <c r="BV74" i="17"/>
  <c r="BV64" i="17"/>
  <c r="BV63" i="17"/>
  <c r="BV77" i="17"/>
  <c r="BV76" i="17"/>
  <c r="BV72" i="17"/>
  <c r="BV53" i="17"/>
  <c r="BV75" i="17"/>
  <c r="BV56" i="17"/>
  <c r="BV68" i="17"/>
  <c r="BV61" i="17"/>
  <c r="BV69" i="17"/>
  <c r="BV65" i="17"/>
  <c r="BV57" i="17"/>
  <c r="BV76" i="15"/>
  <c r="BV78" i="15" s="1"/>
  <c r="BV57" i="15"/>
  <c r="BT87" i="15"/>
  <c r="CM82" i="23"/>
  <c r="CM86" i="23"/>
  <c r="CM87" i="23" s="1"/>
  <c r="CN81" i="23"/>
  <c r="CN84" i="23"/>
  <c r="CN88" i="23"/>
  <c r="CN89" i="23" s="1"/>
  <c r="CP73" i="23"/>
  <c r="CO83" i="23"/>
  <c r="CM24" i="3"/>
  <c r="CM55" i="21"/>
  <c r="BA88" i="25"/>
  <c r="BA19" i="25"/>
  <c r="BA64" i="25"/>
  <c r="BW6" i="15"/>
  <c r="BW54" i="15"/>
  <c r="BW56" i="15" s="1"/>
  <c r="BW6" i="17"/>
  <c r="BW3" i="27"/>
  <c r="BW206" i="25"/>
  <c r="BW37" i="17"/>
  <c r="BW17" i="23"/>
  <c r="BW157" i="25"/>
  <c r="BW300" i="3"/>
  <c r="BW182" i="3"/>
  <c r="BW145" i="3"/>
  <c r="BW41" i="3"/>
  <c r="BW69" i="15"/>
  <c r="BW3" i="17"/>
  <c r="BW4" i="17" s="1"/>
  <c r="BW218" i="25"/>
  <c r="BW5" i="21"/>
  <c r="BW108" i="21"/>
  <c r="BW22" i="17"/>
  <c r="BW5" i="23"/>
  <c r="BW17" i="25"/>
  <c r="BW253" i="3"/>
  <c r="BW164" i="3"/>
  <c r="BW68" i="3"/>
  <c r="BW9" i="3"/>
  <c r="BW83" i="17"/>
  <c r="BW21" i="15"/>
  <c r="BW5" i="25"/>
  <c r="BW3" i="15"/>
  <c r="BW4" i="15" s="1"/>
  <c r="BW19" i="21"/>
  <c r="BW3" i="25"/>
  <c r="BW3" i="21"/>
  <c r="BW158" i="21"/>
  <c r="BW329" i="3"/>
  <c r="BW208" i="3"/>
  <c r="BW85" i="3"/>
  <c r="BW21" i="3"/>
  <c r="BW212" i="25"/>
  <c r="BW95" i="15"/>
  <c r="BW29" i="17"/>
  <c r="BW17" i="27"/>
  <c r="BW49" i="17"/>
  <c r="BW5" i="27"/>
  <c r="BW164" i="21"/>
  <c r="BW313" i="3"/>
  <c r="BW200" i="3"/>
  <c r="BW153" i="3"/>
  <c r="BX3" i="3"/>
  <c r="AZ75" i="3"/>
  <c r="CK17" i="17"/>
  <c r="CJ159" i="3"/>
  <c r="CM93" i="17"/>
  <c r="CM79" i="3"/>
  <c r="BU78" i="17"/>
  <c r="BU80" i="17" s="1"/>
  <c r="CN78" i="21"/>
  <c r="CO52" i="21"/>
  <c r="CN54" i="21"/>
  <c r="CN21" i="21" s="1"/>
  <c r="BU79" i="15"/>
  <c r="BU84" i="15" s="1"/>
  <c r="BU80" i="15"/>
  <c r="BU85" i="15" s="1"/>
  <c r="BU81" i="15"/>
  <c r="BU86" i="15" s="1"/>
  <c r="CJ71" i="3"/>
  <c r="BJ265" i="3" l="1"/>
  <c r="BJ111" i="27"/>
  <c r="BJ114" i="27" s="1"/>
  <c r="BJ115" i="27" s="1"/>
  <c r="BJ116" i="27" s="1"/>
  <c r="BI322" i="3"/>
  <c r="BI323" i="3" s="1"/>
  <c r="BI309" i="3"/>
  <c r="BK223" i="3"/>
  <c r="BK198" i="3"/>
  <c r="BK103" i="3"/>
  <c r="BJ305" i="3"/>
  <c r="BJ303" i="3" s="1"/>
  <c r="BJ320" i="3"/>
  <c r="BL185" i="3"/>
  <c r="BL192" i="3" s="1"/>
  <c r="BM193" i="3" s="1"/>
  <c r="CP83" i="23"/>
  <c r="CN30" i="3"/>
  <c r="CN88" i="3" s="1"/>
  <c r="BR112" i="21"/>
  <c r="BL246" i="3"/>
  <c r="BJ211" i="3"/>
  <c r="BJ79" i="27"/>
  <c r="BK74" i="27" s="1"/>
  <c r="BK75" i="27" s="1"/>
  <c r="BJ104" i="3"/>
  <c r="CG74" i="21"/>
  <c r="CF100" i="21"/>
  <c r="CF87" i="21"/>
  <c r="BB115" i="25"/>
  <c r="BC110" i="25" s="1"/>
  <c r="BP20" i="25"/>
  <c r="BP29" i="3" s="1"/>
  <c r="BP81" i="25"/>
  <c r="BQ192" i="25"/>
  <c r="BQ194" i="25"/>
  <c r="BQ193" i="25"/>
  <c r="BQ161" i="25"/>
  <c r="BQ162" i="25"/>
  <c r="BQ160" i="25"/>
  <c r="BO49" i="3"/>
  <c r="BO76" i="3" s="1"/>
  <c r="BO35" i="25"/>
  <c r="CP67" i="21"/>
  <c r="CP93" i="21"/>
  <c r="CP22" i="21"/>
  <c r="CP168" i="25"/>
  <c r="CP196" i="25" s="1"/>
  <c r="CO179" i="25"/>
  <c r="CO203" i="25"/>
  <c r="CO204" i="25" s="1"/>
  <c r="CO184" i="25"/>
  <c r="BR115" i="21"/>
  <c r="BS110" i="21" s="1"/>
  <c r="BS145" i="21" s="1"/>
  <c r="CN81" i="3"/>
  <c r="CN34" i="3"/>
  <c r="CN89" i="3" s="1"/>
  <c r="CO37" i="3"/>
  <c r="CL85" i="25"/>
  <c r="CM58" i="25"/>
  <c r="CN335" i="3"/>
  <c r="CO288" i="3"/>
  <c r="CO59" i="25"/>
  <c r="CN86" i="25"/>
  <c r="CL90" i="17"/>
  <c r="CL64" i="3"/>
  <c r="CK29" i="25"/>
  <c r="CK99" i="25"/>
  <c r="CO9" i="17"/>
  <c r="CP272" i="3"/>
  <c r="CP9" i="17" s="1"/>
  <c r="CM73" i="25"/>
  <c r="CM30" i="25"/>
  <c r="CM100" i="25"/>
  <c r="CJ63" i="3"/>
  <c r="CJ89" i="17"/>
  <c r="CP102" i="23"/>
  <c r="CP103" i="23" s="1"/>
  <c r="CP79" i="23"/>
  <c r="BS113" i="21"/>
  <c r="CN147" i="25"/>
  <c r="CP129" i="21"/>
  <c r="CO140" i="21"/>
  <c r="CO141" i="21" s="1"/>
  <c r="CO123" i="21"/>
  <c r="CJ182" i="25"/>
  <c r="CJ186" i="25"/>
  <c r="CJ187" i="25" s="1"/>
  <c r="BX54" i="27"/>
  <c r="BX57" i="27" s="1"/>
  <c r="BX67" i="27"/>
  <c r="BY60" i="27"/>
  <c r="BX23" i="27"/>
  <c r="BX63" i="27"/>
  <c r="BX70" i="27" s="1"/>
  <c r="BX27" i="27"/>
  <c r="BW46" i="3"/>
  <c r="BW73" i="3" s="1"/>
  <c r="BW34" i="27"/>
  <c r="BW25" i="27"/>
  <c r="CM78" i="3"/>
  <c r="CM92" i="17"/>
  <c r="CL139" i="25"/>
  <c r="CL140" i="25" s="1"/>
  <c r="CL132" i="25"/>
  <c r="CL135" i="25"/>
  <c r="CP98" i="25"/>
  <c r="CP31" i="25"/>
  <c r="CL209" i="25"/>
  <c r="CK210" i="25"/>
  <c r="CK137" i="25"/>
  <c r="CK138" i="25" s="1"/>
  <c r="CK133" i="25"/>
  <c r="BR147" i="21"/>
  <c r="BR150" i="21" s="1"/>
  <c r="BR151" i="21" s="1"/>
  <c r="CP271" i="3"/>
  <c r="CO276" i="3"/>
  <c r="CO319" i="3"/>
  <c r="CK181" i="25"/>
  <c r="CL175" i="25"/>
  <c r="CN50" i="3"/>
  <c r="CN77" i="3" s="1"/>
  <c r="CO31" i="3"/>
  <c r="CM134" i="25"/>
  <c r="CN125" i="25"/>
  <c r="CO91" i="17"/>
  <c r="CO65" i="3"/>
  <c r="AW167" i="3"/>
  <c r="AV106" i="15"/>
  <c r="AV173" i="3"/>
  <c r="AV340" i="3" s="1"/>
  <c r="AV171" i="3"/>
  <c r="CM188" i="25"/>
  <c r="CM189" i="25" s="1"/>
  <c r="CN170" i="25"/>
  <c r="BV64" i="27"/>
  <c r="BV32" i="27"/>
  <c r="BV36" i="27"/>
  <c r="CO208" i="25"/>
  <c r="CN100" i="27"/>
  <c r="CN120" i="27"/>
  <c r="CN121" i="27" s="1"/>
  <c r="CN98" i="27"/>
  <c r="CO83" i="27"/>
  <c r="CO112" i="27" s="1"/>
  <c r="CN84" i="27"/>
  <c r="BX108" i="25"/>
  <c r="BX72" i="27"/>
  <c r="BX7" i="3"/>
  <c r="BY6" i="3"/>
  <c r="BX57" i="23"/>
  <c r="CN95" i="27"/>
  <c r="CO94" i="27"/>
  <c r="CN87" i="27"/>
  <c r="CN102" i="27"/>
  <c r="CN103" i="27" s="1"/>
  <c r="CN93" i="27"/>
  <c r="CM104" i="27"/>
  <c r="CM105" i="27" s="1"/>
  <c r="CN24" i="3"/>
  <c r="CN55" i="21"/>
  <c r="BW74" i="17"/>
  <c r="BW53" i="17"/>
  <c r="BW69" i="17"/>
  <c r="BW57" i="17"/>
  <c r="BW75" i="17"/>
  <c r="BW63" i="17"/>
  <c r="BW56" i="17"/>
  <c r="BW66" i="17"/>
  <c r="BW72" i="17"/>
  <c r="BW70" i="17"/>
  <c r="BW71" i="17"/>
  <c r="BW76" i="17"/>
  <c r="BW55" i="17"/>
  <c r="BW52" i="17"/>
  <c r="BW58" i="17"/>
  <c r="BW67" i="17"/>
  <c r="BW62" i="17"/>
  <c r="BW64" i="17"/>
  <c r="BW68" i="17"/>
  <c r="BW54" i="17"/>
  <c r="BW73" i="17"/>
  <c r="BW61" i="17"/>
  <c r="BW77" i="17"/>
  <c r="BW65" i="17"/>
  <c r="BW59" i="17"/>
  <c r="BW60" i="17"/>
  <c r="BA28" i="3"/>
  <c r="BA21" i="25"/>
  <c r="BA65" i="25" s="1"/>
  <c r="CO119" i="25"/>
  <c r="CN130" i="25"/>
  <c r="CN154" i="25"/>
  <c r="CN155" i="25" s="1"/>
  <c r="CL44" i="3"/>
  <c r="CL81" i="21"/>
  <c r="CL29" i="21"/>
  <c r="CL28" i="21"/>
  <c r="CO93" i="3"/>
  <c r="BU87" i="15"/>
  <c r="CO78" i="21"/>
  <c r="CO54" i="21"/>
  <c r="CO21" i="21" s="1"/>
  <c r="BA75" i="25"/>
  <c r="BA78" i="25" s="1"/>
  <c r="BA102" i="25"/>
  <c r="BA23" i="25"/>
  <c r="BA27" i="25"/>
  <c r="BA91" i="25"/>
  <c r="BA105" i="25" s="1"/>
  <c r="CO81" i="23"/>
  <c r="CO84" i="23"/>
  <c r="CO88" i="23"/>
  <c r="CO89" i="23" s="1"/>
  <c r="BV79" i="15"/>
  <c r="BV84" i="15" s="1"/>
  <c r="BV81" i="15"/>
  <c r="BV86" i="15" s="1"/>
  <c r="BV80" i="15"/>
  <c r="BV85" i="15" s="1"/>
  <c r="CO52" i="3"/>
  <c r="CP32" i="3"/>
  <c r="CK71" i="3"/>
  <c r="CN104" i="21"/>
  <c r="CN91" i="21"/>
  <c r="CN25" i="21"/>
  <c r="CN80" i="21"/>
  <c r="BX3" i="17"/>
  <c r="BX4" i="17" s="1"/>
  <c r="BX49" i="17"/>
  <c r="BX206" i="25"/>
  <c r="BX29" i="17"/>
  <c r="BX17" i="23"/>
  <c r="BX95" i="15"/>
  <c r="BX108" i="21"/>
  <c r="BX5" i="25"/>
  <c r="BX158" i="21"/>
  <c r="BX300" i="3"/>
  <c r="BX208" i="3"/>
  <c r="BX85" i="3"/>
  <c r="BX68" i="3"/>
  <c r="BX37" i="17"/>
  <c r="BX69" i="15"/>
  <c r="BX6" i="17"/>
  <c r="BX5" i="23"/>
  <c r="BX54" i="15"/>
  <c r="BX56" i="15" s="1"/>
  <c r="BX19" i="21"/>
  <c r="BX17" i="27"/>
  <c r="BX253" i="3"/>
  <c r="BX200" i="3"/>
  <c r="BX41" i="3"/>
  <c r="BX21" i="3"/>
  <c r="BX3" i="15"/>
  <c r="BX4" i="15" s="1"/>
  <c r="BX22" i="17"/>
  <c r="BX83" i="17"/>
  <c r="BX3" i="25"/>
  <c r="BX3" i="21"/>
  <c r="BX17" i="25"/>
  <c r="BX3" i="27"/>
  <c r="BX329" i="3"/>
  <c r="BX182" i="3"/>
  <c r="BX153" i="3"/>
  <c r="BX9" i="3"/>
  <c r="BX6" i="15"/>
  <c r="BX218" i="25"/>
  <c r="BX212" i="25"/>
  <c r="BX5" i="27"/>
  <c r="BX157" i="25"/>
  <c r="BX164" i="21"/>
  <c r="BX21" i="15"/>
  <c r="BX5" i="21"/>
  <c r="BX313" i="3"/>
  <c r="BX164" i="3"/>
  <c r="BX145" i="3"/>
  <c r="BY3" i="3"/>
  <c r="CP81" i="23"/>
  <c r="CP84" i="23"/>
  <c r="CP88" i="23"/>
  <c r="CP89" i="23" s="1"/>
  <c r="CN82" i="23"/>
  <c r="CN86" i="23"/>
  <c r="CN87" i="23" s="1"/>
  <c r="CM67" i="21"/>
  <c r="CM106" i="21"/>
  <c r="CM93" i="21"/>
  <c r="CM22" i="21"/>
  <c r="CN93" i="17"/>
  <c r="CN79" i="3"/>
  <c r="CL17" i="17"/>
  <c r="CK159" i="3"/>
  <c r="BW76" i="15"/>
  <c r="BW78" i="15" s="1"/>
  <c r="BW57" i="15"/>
  <c r="BV78" i="17"/>
  <c r="BV80" i="17" s="1"/>
  <c r="BJ212" i="3" l="1"/>
  <c r="BK104" i="3"/>
  <c r="BJ105" i="3"/>
  <c r="BM185" i="3"/>
  <c r="BM192" i="3" s="1"/>
  <c r="BK211" i="3"/>
  <c r="BK265" i="3"/>
  <c r="BK304" i="3"/>
  <c r="BK230" i="3"/>
  <c r="BK64" i="15"/>
  <c r="BK77" i="27"/>
  <c r="BK108" i="27"/>
  <c r="BK109" i="27"/>
  <c r="BK110" i="27"/>
  <c r="BK76" i="27"/>
  <c r="BK79" i="27" s="1"/>
  <c r="BL74" i="27" s="1"/>
  <c r="BJ63" i="15"/>
  <c r="BN193" i="3"/>
  <c r="BN246" i="3" s="1"/>
  <c r="BM246" i="3"/>
  <c r="BL194" i="3"/>
  <c r="BL247" i="3"/>
  <c r="BL248" i="3" s="1"/>
  <c r="BJ267" i="3"/>
  <c r="CO30" i="3"/>
  <c r="CO88" i="3" s="1"/>
  <c r="CO51" i="3"/>
  <c r="CO50" i="3" s="1"/>
  <c r="BS111" i="21"/>
  <c r="BB143" i="25"/>
  <c r="BB149" i="25" s="1"/>
  <c r="BB150" i="25" s="1"/>
  <c r="BB61" i="25" s="1"/>
  <c r="BB64" i="25" s="1"/>
  <c r="BS112" i="21"/>
  <c r="BS147" i="21" s="1"/>
  <c r="BS146" i="21"/>
  <c r="BQ164" i="25"/>
  <c r="BR159" i="25" s="1"/>
  <c r="BR160" i="25" s="1"/>
  <c r="CG100" i="21"/>
  <c r="CG87" i="21"/>
  <c r="CH100" i="21"/>
  <c r="CO147" i="25"/>
  <c r="BS144" i="21"/>
  <c r="BR194" i="25"/>
  <c r="BR193" i="25"/>
  <c r="BQ195" i="25"/>
  <c r="BQ197" i="25" s="1"/>
  <c r="BQ198" i="25" s="1"/>
  <c r="BQ199" i="25" s="1"/>
  <c r="BQ54" i="25" s="1"/>
  <c r="BR162" i="25"/>
  <c r="BP68" i="25"/>
  <c r="BP95" i="25"/>
  <c r="BP24" i="25"/>
  <c r="CP184" i="25"/>
  <c r="CP203" i="25"/>
  <c r="CP204" i="25" s="1"/>
  <c r="CP179" i="25"/>
  <c r="CP28" i="21"/>
  <c r="CP29" i="21"/>
  <c r="CP81" i="21"/>
  <c r="CP44" i="3"/>
  <c r="CP71" i="3" s="1"/>
  <c r="CM64" i="3"/>
  <c r="CM90" i="17"/>
  <c r="CN73" i="25"/>
  <c r="CN30" i="25"/>
  <c r="CN100" i="25"/>
  <c r="CO335" i="3"/>
  <c r="CP288" i="3"/>
  <c r="CP335" i="3" s="1"/>
  <c r="CM85" i="25"/>
  <c r="CN58" i="25"/>
  <c r="CO81" i="3"/>
  <c r="CO34" i="3"/>
  <c r="CO89" i="3" s="1"/>
  <c r="CP37" i="3"/>
  <c r="CK63" i="3"/>
  <c r="CK89" i="17"/>
  <c r="CP59" i="25"/>
  <c r="CO86" i="25"/>
  <c r="CL99" i="25"/>
  <c r="CL29" i="25"/>
  <c r="CP208" i="25"/>
  <c r="CN188" i="25"/>
  <c r="CN189" i="25" s="1"/>
  <c r="CO170" i="25"/>
  <c r="AV104" i="15"/>
  <c r="AV172" i="3"/>
  <c r="AV105" i="15" s="1"/>
  <c r="CM132" i="25"/>
  <c r="CM139" i="25"/>
  <c r="CM140" i="25" s="1"/>
  <c r="CM135" i="25"/>
  <c r="CN78" i="3"/>
  <c r="CN92" i="17"/>
  <c r="CK186" i="25"/>
  <c r="CK187" i="25" s="1"/>
  <c r="CK182" i="25"/>
  <c r="CP276" i="3"/>
  <c r="CP319" i="3"/>
  <c r="CL137" i="25"/>
  <c r="CL138" i="25" s="1"/>
  <c r="CL133" i="25"/>
  <c r="BX34" i="27"/>
  <c r="BX46" i="3"/>
  <c r="BX73" i="3" s="1"/>
  <c r="BX25" i="27"/>
  <c r="CP140" i="21"/>
  <c r="CP141" i="21" s="1"/>
  <c r="CP123" i="21"/>
  <c r="CO100" i="27"/>
  <c r="CP83" i="27"/>
  <c r="CO98" i="27"/>
  <c r="CO120" i="27"/>
  <c r="CO121" i="27" s="1"/>
  <c r="CO84" i="27"/>
  <c r="AW177" i="3"/>
  <c r="CO125" i="25"/>
  <c r="CN134" i="25"/>
  <c r="CP31" i="3"/>
  <c r="CP51" i="3" s="1"/>
  <c r="BS115" i="21"/>
  <c r="BT110" i="21" s="1"/>
  <c r="CM175" i="25"/>
  <c r="CL181" i="25"/>
  <c r="CM209" i="25"/>
  <c r="CL210" i="25"/>
  <c r="CP65" i="3"/>
  <c r="CP91" i="17"/>
  <c r="BW64" i="27"/>
  <c r="BW36" i="27"/>
  <c r="BW32" i="27"/>
  <c r="BZ60" i="27"/>
  <c r="BY67" i="27"/>
  <c r="BY63" i="27"/>
  <c r="BY70" i="27" s="1"/>
  <c r="BY27" i="27"/>
  <c r="BY23" i="27"/>
  <c r="BY54" i="27"/>
  <c r="BY57" i="27" s="1"/>
  <c r="BT113" i="21"/>
  <c r="BY108" i="25"/>
  <c r="BY7" i="3"/>
  <c r="BY57" i="23"/>
  <c r="BZ6" i="3"/>
  <c r="BY72" i="27"/>
  <c r="CO95" i="27"/>
  <c r="CP94" i="27"/>
  <c r="CO87" i="27"/>
  <c r="CO102" i="27"/>
  <c r="CO103" i="27" s="1"/>
  <c r="CO93" i="27"/>
  <c r="CN104" i="27"/>
  <c r="CN105" i="27" s="1"/>
  <c r="CM81" i="21"/>
  <c r="CM28" i="21"/>
  <c r="CM29" i="21"/>
  <c r="CM44" i="3"/>
  <c r="BY3" i="15"/>
  <c r="BY4" i="15" s="1"/>
  <c r="BY22" i="17"/>
  <c r="BY54" i="15"/>
  <c r="BY56" i="15" s="1"/>
  <c r="BY6" i="17"/>
  <c r="BY212" i="25"/>
  <c r="BY5" i="25"/>
  <c r="BY17" i="25"/>
  <c r="BY83" i="17"/>
  <c r="BY5" i="23"/>
  <c r="BY300" i="3"/>
  <c r="BY182" i="3"/>
  <c r="BY145" i="3"/>
  <c r="BY9" i="3"/>
  <c r="BY218" i="25"/>
  <c r="BY6" i="15"/>
  <c r="BY164" i="21"/>
  <c r="BY3" i="27"/>
  <c r="BY158" i="21"/>
  <c r="BY3" i="25"/>
  <c r="BY3" i="21"/>
  <c r="BY253" i="3"/>
  <c r="BY164" i="3"/>
  <c r="BY68" i="3"/>
  <c r="BZ3" i="3"/>
  <c r="BY49" i="17"/>
  <c r="BY206" i="25"/>
  <c r="BY21" i="15"/>
  <c r="BY3" i="17"/>
  <c r="BY4" i="17" s="1"/>
  <c r="BY108" i="21"/>
  <c r="BY69" i="15"/>
  <c r="BY17" i="27"/>
  <c r="BY5" i="27"/>
  <c r="BY329" i="3"/>
  <c r="BY208" i="3"/>
  <c r="BY85" i="3"/>
  <c r="BY21" i="3"/>
  <c r="BY37" i="17"/>
  <c r="BY95" i="15"/>
  <c r="BY29" i="17"/>
  <c r="BY19" i="21"/>
  <c r="BY157" i="25"/>
  <c r="BY5" i="21"/>
  <c r="BY17" i="23"/>
  <c r="BY313" i="3"/>
  <c r="BY200" i="3"/>
  <c r="BY153" i="3"/>
  <c r="BY41" i="3"/>
  <c r="CP52" i="3"/>
  <c r="BV87" i="15"/>
  <c r="CP82" i="23"/>
  <c r="CP86" i="23"/>
  <c r="CP87" i="23" s="1"/>
  <c r="BX57" i="15"/>
  <c r="BX76" i="15"/>
  <c r="BX78" i="15" s="1"/>
  <c r="BX57" i="17"/>
  <c r="BX71" i="17"/>
  <c r="BX52" i="17"/>
  <c r="BX53" i="17"/>
  <c r="BX66" i="17"/>
  <c r="BX62" i="17"/>
  <c r="BX74" i="17"/>
  <c r="BX64" i="17"/>
  <c r="BX61" i="17"/>
  <c r="BX77" i="17"/>
  <c r="BX73" i="17"/>
  <c r="BX69" i="17"/>
  <c r="BX55" i="17"/>
  <c r="BX75" i="17"/>
  <c r="BX56" i="17"/>
  <c r="BX68" i="17"/>
  <c r="BX59" i="17"/>
  <c r="BX76" i="17"/>
  <c r="BX72" i="17"/>
  <c r="BX54" i="17"/>
  <c r="BX65" i="17"/>
  <c r="BX70" i="17"/>
  <c r="BX60" i="17"/>
  <c r="BX58" i="17"/>
  <c r="BX67" i="17"/>
  <c r="BX63" i="17"/>
  <c r="CN67" i="21"/>
  <c r="CN22" i="21"/>
  <c r="CN106" i="21"/>
  <c r="CN93" i="21"/>
  <c r="CO93" i="17"/>
  <c r="CO79" i="3"/>
  <c r="CO86" i="23"/>
  <c r="CO87" i="23" s="1"/>
  <c r="CO82" i="23"/>
  <c r="BA61" i="3"/>
  <c r="BA87" i="17"/>
  <c r="CO55" i="21"/>
  <c r="CO24" i="3"/>
  <c r="CP93" i="3"/>
  <c r="CL71" i="3"/>
  <c r="CP119" i="25"/>
  <c r="CO154" i="25"/>
  <c r="CO155" i="25" s="1"/>
  <c r="CO130" i="25"/>
  <c r="BW78" i="17"/>
  <c r="BW80" i="17" s="1"/>
  <c r="BW81" i="15"/>
  <c r="BW86" i="15" s="1"/>
  <c r="BW80" i="15"/>
  <c r="BW85" i="15" s="1"/>
  <c r="BW79" i="15"/>
  <c r="BW84" i="15" s="1"/>
  <c r="CM17" i="17"/>
  <c r="CL159" i="3"/>
  <c r="BC112" i="25"/>
  <c r="BC113" i="25"/>
  <c r="BC111" i="25"/>
  <c r="BA34" i="25"/>
  <c r="BA48" i="3"/>
  <c r="BA25" i="25"/>
  <c r="CO104" i="21"/>
  <c r="CO91" i="21"/>
  <c r="CP104" i="21"/>
  <c r="CO25" i="21"/>
  <c r="CO80" i="21"/>
  <c r="BR192" i="25" l="1"/>
  <c r="BR161" i="25"/>
  <c r="BR195" i="25" s="1"/>
  <c r="BR197" i="25" s="1"/>
  <c r="BR198" i="25" s="1"/>
  <c r="BR199" i="25" s="1"/>
  <c r="BR54" i="25" s="1"/>
  <c r="CO77" i="3"/>
  <c r="BJ322" i="3"/>
  <c r="BJ323" i="3" s="1"/>
  <c r="BJ309" i="3"/>
  <c r="BK267" i="3"/>
  <c r="BL223" i="3"/>
  <c r="BL198" i="3"/>
  <c r="BL76" i="27"/>
  <c r="BL108" i="27"/>
  <c r="BL110" i="27"/>
  <c r="BL109" i="27"/>
  <c r="BK111" i="27"/>
  <c r="BK114" i="27" s="1"/>
  <c r="BK115" i="27" s="1"/>
  <c r="BK116" i="27" s="1"/>
  <c r="BL77" i="27"/>
  <c r="BM247" i="3"/>
  <c r="BM248" i="3" s="1"/>
  <c r="BM194" i="3"/>
  <c r="BK105" i="3"/>
  <c r="BK212" i="3"/>
  <c r="BK63" i="15"/>
  <c r="BK320" i="3"/>
  <c r="BK305" i="3"/>
  <c r="BK303" i="3" s="1"/>
  <c r="BL103" i="3"/>
  <c r="BL75" i="27"/>
  <c r="BB19" i="25"/>
  <c r="BB28" i="3" s="1"/>
  <c r="BB88" i="25"/>
  <c r="BS150" i="21"/>
  <c r="BS151" i="21" s="1"/>
  <c r="CP30" i="3"/>
  <c r="CP88" i="3" s="1"/>
  <c r="BR164" i="25"/>
  <c r="BS159" i="25" s="1"/>
  <c r="BS160" i="25" s="1"/>
  <c r="BP49" i="3"/>
  <c r="BP76" i="3" s="1"/>
  <c r="BP35" i="25"/>
  <c r="BQ20" i="25"/>
  <c r="BQ29" i="3" s="1"/>
  <c r="BQ81" i="25"/>
  <c r="CL63" i="3"/>
  <c r="CL89" i="17"/>
  <c r="CP86" i="25"/>
  <c r="CO58" i="25"/>
  <c r="CN85" i="25"/>
  <c r="CO30" i="25"/>
  <c r="CO73" i="25"/>
  <c r="CO100" i="25"/>
  <c r="CP81" i="3"/>
  <c r="CP34" i="3"/>
  <c r="CP89" i="3" s="1"/>
  <c r="CM99" i="25"/>
  <c r="CM29" i="25"/>
  <c r="CN90" i="17"/>
  <c r="CN64" i="3"/>
  <c r="BY46" i="3"/>
  <c r="BY73" i="3" s="1"/>
  <c r="BY34" i="27"/>
  <c r="BY25" i="27"/>
  <c r="BZ27" i="27"/>
  <c r="BZ23" i="27"/>
  <c r="BZ54" i="27"/>
  <c r="BZ57" i="27" s="1"/>
  <c r="BZ63" i="27"/>
  <c r="BZ70" i="27" s="1"/>
  <c r="CA60" i="27"/>
  <c r="BZ67" i="27"/>
  <c r="CN209" i="25"/>
  <c r="CM210" i="25"/>
  <c r="CN175" i="25"/>
  <c r="CM181" i="25"/>
  <c r="BT112" i="21"/>
  <c r="BT144" i="21"/>
  <c r="BT146" i="21"/>
  <c r="BT145" i="21"/>
  <c r="CO92" i="17"/>
  <c r="CO78" i="3"/>
  <c r="CP125" i="25"/>
  <c r="CP134" i="25" s="1"/>
  <c r="CO134" i="25"/>
  <c r="AW168" i="3"/>
  <c r="AW170" i="3" s="1"/>
  <c r="AW180" i="3"/>
  <c r="AW179" i="3"/>
  <c r="CP84" i="27"/>
  <c r="CP98" i="27"/>
  <c r="CP120" i="27"/>
  <c r="CP121" i="27" s="1"/>
  <c r="CP100" i="27"/>
  <c r="CO188" i="25"/>
  <c r="CO189" i="25" s="1"/>
  <c r="CP170" i="25"/>
  <c r="BC115" i="25"/>
  <c r="BC143" i="25" s="1"/>
  <c r="BT147" i="21"/>
  <c r="CL186" i="25"/>
  <c r="CL187" i="25" s="1"/>
  <c r="CL182" i="25"/>
  <c r="BT111" i="21"/>
  <c r="CP78" i="3"/>
  <c r="CP92" i="17"/>
  <c r="CN139" i="25"/>
  <c r="CN140" i="25" s="1"/>
  <c r="CN132" i="25"/>
  <c r="CN135" i="25"/>
  <c r="BX32" i="27"/>
  <c r="BX36" i="27"/>
  <c r="BX64" i="27"/>
  <c r="CM137" i="25"/>
  <c r="CM138" i="25" s="1"/>
  <c r="CM133" i="25"/>
  <c r="AV114" i="15"/>
  <c r="AV113" i="15"/>
  <c r="CP112" i="27"/>
  <c r="BZ57" i="23"/>
  <c r="BZ7" i="3"/>
  <c r="CA6" i="3"/>
  <c r="BZ108" i="25"/>
  <c r="BZ72" i="27"/>
  <c r="CP87" i="27"/>
  <c r="CP95" i="27"/>
  <c r="CP102" i="27"/>
  <c r="CP103" i="27" s="1"/>
  <c r="CP93" i="27"/>
  <c r="CP104" i="27" s="1"/>
  <c r="CP105" i="27" s="1"/>
  <c r="CO104" i="27"/>
  <c r="CO105" i="27" s="1"/>
  <c r="BD110" i="25"/>
  <c r="BD113" i="25" s="1"/>
  <c r="CN17" i="17"/>
  <c r="CM159" i="3"/>
  <c r="CP154" i="25"/>
  <c r="CP155" i="25" s="1"/>
  <c r="CP130" i="25"/>
  <c r="CP135" i="25"/>
  <c r="BX78" i="17"/>
  <c r="BX80" i="17" s="1"/>
  <c r="BY64" i="17"/>
  <c r="BY77" i="17"/>
  <c r="BY76" i="17"/>
  <c r="BY55" i="17"/>
  <c r="BY73" i="17"/>
  <c r="BY61" i="17"/>
  <c r="BY54" i="17"/>
  <c r="BY67" i="17"/>
  <c r="BY70" i="17"/>
  <c r="BY68" i="17"/>
  <c r="BY69" i="17"/>
  <c r="BY74" i="17"/>
  <c r="BY53" i="17"/>
  <c r="BY71" i="17"/>
  <c r="BY59" i="17"/>
  <c r="BY65" i="17"/>
  <c r="BY60" i="17"/>
  <c r="BY62" i="17"/>
  <c r="BY66" i="17"/>
  <c r="BY56" i="17"/>
  <c r="BY72" i="17"/>
  <c r="BY52" i="17"/>
  <c r="BY75" i="17"/>
  <c r="BY63" i="17"/>
  <c r="BY57" i="17"/>
  <c r="BY58" i="17"/>
  <c r="CM71" i="3"/>
  <c r="CO22" i="21"/>
  <c r="CO67" i="21"/>
  <c r="CO106" i="21"/>
  <c r="CO93" i="21"/>
  <c r="CP106" i="21"/>
  <c r="BW87" i="15"/>
  <c r="CP93" i="17"/>
  <c r="CP79" i="3"/>
  <c r="CP50" i="3"/>
  <c r="BZ69" i="15"/>
  <c r="BZ218" i="25"/>
  <c r="BZ158" i="21"/>
  <c r="BZ3" i="27"/>
  <c r="BZ6" i="15"/>
  <c r="BZ3" i="17"/>
  <c r="BZ4" i="17" s="1"/>
  <c r="BZ253" i="3"/>
  <c r="BZ200" i="3"/>
  <c r="BZ41" i="3"/>
  <c r="BZ21" i="3"/>
  <c r="BZ21" i="15"/>
  <c r="BZ83" i="17"/>
  <c r="BZ49" i="17"/>
  <c r="BZ206" i="25"/>
  <c r="BZ5" i="27"/>
  <c r="BZ5" i="21"/>
  <c r="BZ164" i="21"/>
  <c r="BZ329" i="3"/>
  <c r="BZ182" i="3"/>
  <c r="BZ153" i="3"/>
  <c r="BZ9" i="3"/>
  <c r="BZ95" i="15"/>
  <c r="BZ29" i="17"/>
  <c r="BZ212" i="25"/>
  <c r="BZ37" i="17"/>
  <c r="BZ157" i="25"/>
  <c r="BZ5" i="25"/>
  <c r="BZ17" i="23"/>
  <c r="BZ108" i="21"/>
  <c r="BZ3" i="25"/>
  <c r="BZ313" i="3"/>
  <c r="BZ164" i="3"/>
  <c r="BZ145" i="3"/>
  <c r="CA3" i="3"/>
  <c r="BZ54" i="15"/>
  <c r="BZ56" i="15" s="1"/>
  <c r="BZ6" i="17"/>
  <c r="BZ3" i="15"/>
  <c r="BZ4" i="15" s="1"/>
  <c r="BZ22" i="17"/>
  <c r="BZ17" i="25"/>
  <c r="BZ17" i="27"/>
  <c r="BZ3" i="21"/>
  <c r="BZ19" i="21"/>
  <c r="BZ5" i="23"/>
  <c r="BZ300" i="3"/>
  <c r="BZ208" i="3"/>
  <c r="BZ85" i="3"/>
  <c r="BZ68" i="3"/>
  <c r="CP147" i="25"/>
  <c r="BA92" i="25"/>
  <c r="BA36" i="25"/>
  <c r="BA32" i="25"/>
  <c r="BB21" i="25"/>
  <c r="BB65" i="25" s="1"/>
  <c r="BY57" i="15"/>
  <c r="BY76" i="15"/>
  <c r="BY78" i="15" s="1"/>
  <c r="BA75" i="3"/>
  <c r="BC146" i="25"/>
  <c r="BB102" i="25"/>
  <c r="BB75" i="25"/>
  <c r="BB78" i="25" s="1"/>
  <c r="BB23" i="25"/>
  <c r="BB27" i="25"/>
  <c r="BB91" i="25"/>
  <c r="BB105" i="25" s="1"/>
  <c r="CN81" i="21"/>
  <c r="CN29" i="21"/>
  <c r="CN28" i="21"/>
  <c r="CN44" i="3"/>
  <c r="BX81" i="15"/>
  <c r="BX86" i="15" s="1"/>
  <c r="BX80" i="15"/>
  <c r="BX85" i="15" s="1"/>
  <c r="BX79" i="15"/>
  <c r="BX84" i="15" s="1"/>
  <c r="BT115" i="21" l="1"/>
  <c r="BU110" i="21" s="1"/>
  <c r="BL265" i="3"/>
  <c r="BL104" i="3"/>
  <c r="BL211" i="3"/>
  <c r="BK309" i="3"/>
  <c r="BK322" i="3"/>
  <c r="BK323" i="3" s="1"/>
  <c r="BN185" i="3"/>
  <c r="BN192" i="3" s="1"/>
  <c r="BM223" i="3"/>
  <c r="BM198" i="3"/>
  <c r="BL111" i="27"/>
  <c r="BL114" i="27" s="1"/>
  <c r="BL79" i="27"/>
  <c r="BM74" i="27" s="1"/>
  <c r="BL230" i="3"/>
  <c r="BL64" i="15"/>
  <c r="BL304" i="3"/>
  <c r="CP77" i="3"/>
  <c r="BD111" i="25"/>
  <c r="BQ24" i="25"/>
  <c r="BQ68" i="25"/>
  <c r="BQ95" i="25"/>
  <c r="BR81" i="25"/>
  <c r="BR20" i="25"/>
  <c r="BR29" i="3" s="1"/>
  <c r="BS162" i="25"/>
  <c r="BS193" i="25"/>
  <c r="BS194" i="25"/>
  <c r="BS192" i="25"/>
  <c r="BS161" i="25"/>
  <c r="BS195" i="25" s="1"/>
  <c r="BT150" i="21"/>
  <c r="BT151" i="21" s="1"/>
  <c r="CO90" i="17"/>
  <c r="CO64" i="3"/>
  <c r="CO85" i="25"/>
  <c r="CP58" i="25"/>
  <c r="CP85" i="25" s="1"/>
  <c r="CP29" i="25" s="1"/>
  <c r="CM63" i="3"/>
  <c r="CM89" i="17"/>
  <c r="CN99" i="25"/>
  <c r="CN29" i="25"/>
  <c r="CP100" i="25"/>
  <c r="CP73" i="25"/>
  <c r="CP30" i="25"/>
  <c r="BU111" i="21"/>
  <c r="BU146" i="21"/>
  <c r="BU144" i="21"/>
  <c r="BU112" i="21"/>
  <c r="BU145" i="21"/>
  <c r="BU113" i="21"/>
  <c r="CP188" i="25"/>
  <c r="CP189" i="25" s="1"/>
  <c r="AX167" i="3"/>
  <c r="AW106" i="15"/>
  <c r="AW173" i="3"/>
  <c r="AW340" i="3" s="1"/>
  <c r="AW171" i="3"/>
  <c r="CP132" i="25"/>
  <c r="CP139" i="25"/>
  <c r="CP140" i="25" s="1"/>
  <c r="CM186" i="25"/>
  <c r="CM187" i="25" s="1"/>
  <c r="CM182" i="25"/>
  <c r="BZ34" i="27"/>
  <c r="BZ46" i="3"/>
  <c r="BZ73" i="3" s="1"/>
  <c r="BZ25" i="27"/>
  <c r="BY36" i="27"/>
  <c r="BY32" i="27"/>
  <c r="BY64" i="27"/>
  <c r="CN137" i="25"/>
  <c r="CN138" i="25" s="1"/>
  <c r="CN133" i="25"/>
  <c r="CO139" i="25"/>
  <c r="CO140" i="25" s="1"/>
  <c r="CO132" i="25"/>
  <c r="CO135" i="25"/>
  <c r="CN181" i="25"/>
  <c r="CO175" i="25"/>
  <c r="CO209" i="25"/>
  <c r="CN210" i="25"/>
  <c r="CA67" i="27"/>
  <c r="CA54" i="27"/>
  <c r="CA57" i="27" s="1"/>
  <c r="CA23" i="27"/>
  <c r="CA27" i="27"/>
  <c r="CA63" i="27"/>
  <c r="CA70" i="27" s="1"/>
  <c r="CB60" i="27"/>
  <c r="CA57" i="23"/>
  <c r="CA72" i="27"/>
  <c r="CA108" i="25"/>
  <c r="CA7" i="3"/>
  <c r="CB6" i="3"/>
  <c r="CN71" i="3"/>
  <c r="BB48" i="3"/>
  <c r="BB34" i="25"/>
  <c r="BB25" i="25"/>
  <c r="BZ76" i="15"/>
  <c r="BZ78" i="15" s="1"/>
  <c r="BZ57" i="15"/>
  <c r="BX87" i="15"/>
  <c r="CA212" i="25"/>
  <c r="CA95" i="15"/>
  <c r="CA29" i="17"/>
  <c r="CA22" i="17"/>
  <c r="CA5" i="21"/>
  <c r="CA17" i="23"/>
  <c r="CA218" i="25"/>
  <c r="CA313" i="3"/>
  <c r="CA200" i="3"/>
  <c r="CA153" i="3"/>
  <c r="CA41" i="3"/>
  <c r="CA6" i="15"/>
  <c r="CA54" i="15"/>
  <c r="CA56" i="15" s="1"/>
  <c r="CA6" i="17"/>
  <c r="CA5" i="25"/>
  <c r="CA164" i="21"/>
  <c r="CA206" i="25"/>
  <c r="CA5" i="23"/>
  <c r="CA157" i="25"/>
  <c r="CA300" i="3"/>
  <c r="CA182" i="3"/>
  <c r="CA145" i="3"/>
  <c r="CA9" i="3"/>
  <c r="CA69" i="15"/>
  <c r="CA3" i="17"/>
  <c r="CA4" i="17" s="1"/>
  <c r="CA49" i="17"/>
  <c r="CA17" i="27"/>
  <c r="CA108" i="21"/>
  <c r="CA3" i="25"/>
  <c r="CA3" i="21"/>
  <c r="CA17" i="25"/>
  <c r="CA253" i="3"/>
  <c r="CA164" i="3"/>
  <c r="CA68" i="3"/>
  <c r="CB3" i="3"/>
  <c r="CA83" i="17"/>
  <c r="CA21" i="15"/>
  <c r="CA37" i="17"/>
  <c r="CA3" i="27"/>
  <c r="CA3" i="15"/>
  <c r="CA4" i="15" s="1"/>
  <c r="CA5" i="27"/>
  <c r="CA19" i="21"/>
  <c r="CA158" i="21"/>
  <c r="CA329" i="3"/>
  <c r="CA208" i="3"/>
  <c r="CA85" i="3"/>
  <c r="CA21" i="3"/>
  <c r="CO44" i="3"/>
  <c r="CO81" i="21"/>
  <c r="CO28" i="21"/>
  <c r="CO29" i="21"/>
  <c r="BY78" i="17"/>
  <c r="BY80" i="17" s="1"/>
  <c r="BY81" i="15"/>
  <c r="BY86" i="15" s="1"/>
  <c r="BY80" i="15"/>
  <c r="BY85" i="15" s="1"/>
  <c r="BY79" i="15"/>
  <c r="BY84" i="15" s="1"/>
  <c r="BZ59" i="17"/>
  <c r="BZ71" i="17"/>
  <c r="BZ52" i="17"/>
  <c r="BZ55" i="17"/>
  <c r="BZ69" i="17"/>
  <c r="BZ65" i="17"/>
  <c r="BZ74" i="17"/>
  <c r="BZ64" i="17"/>
  <c r="BZ63" i="17"/>
  <c r="BZ77" i="17"/>
  <c r="BZ53" i="17"/>
  <c r="BZ66" i="17"/>
  <c r="BZ62" i="17"/>
  <c r="BZ75" i="17"/>
  <c r="BZ56" i="17"/>
  <c r="BZ68" i="17"/>
  <c r="BZ61" i="17"/>
  <c r="BZ73" i="17"/>
  <c r="BZ57" i="17"/>
  <c r="BZ54" i="17"/>
  <c r="BZ67" i="17"/>
  <c r="BZ70" i="17"/>
  <c r="BZ60" i="17"/>
  <c r="BZ58" i="17"/>
  <c r="BZ76" i="17"/>
  <c r="BZ72" i="17"/>
  <c r="BC149" i="25"/>
  <c r="BC150" i="25" s="1"/>
  <c r="BC61" i="25" s="1"/>
  <c r="BB61" i="3"/>
  <c r="BB87" i="17"/>
  <c r="CO17" i="17"/>
  <c r="CN159" i="3"/>
  <c r="BD112" i="25"/>
  <c r="BD146" i="25" s="1"/>
  <c r="BM109" i="27" l="1"/>
  <c r="BM76" i="27"/>
  <c r="BM108" i="27"/>
  <c r="BM110" i="27"/>
  <c r="BL115" i="27"/>
  <c r="BL116" i="27" s="1"/>
  <c r="BM230" i="3"/>
  <c r="BM64" i="15"/>
  <c r="BN247" i="3"/>
  <c r="BN248" i="3" s="1"/>
  <c r="BN194" i="3"/>
  <c r="BO193" i="3"/>
  <c r="BO246" i="3" s="1"/>
  <c r="BL212" i="3"/>
  <c r="BL63" i="15"/>
  <c r="BM77" i="27"/>
  <c r="BM75" i="27"/>
  <c r="BL105" i="3"/>
  <c r="BL267" i="3"/>
  <c r="BM103" i="3"/>
  <c r="BM104" i="3" s="1"/>
  <c r="BL320" i="3"/>
  <c r="BL305" i="3"/>
  <c r="BL303" i="3" s="1"/>
  <c r="CP99" i="25"/>
  <c r="BS164" i="25"/>
  <c r="BT159" i="25" s="1"/>
  <c r="BT162" i="25" s="1"/>
  <c r="BR68" i="25"/>
  <c r="BR95" i="25"/>
  <c r="BR24" i="25"/>
  <c r="BS197" i="25"/>
  <c r="BQ49" i="3"/>
  <c r="BQ76" i="3" s="1"/>
  <c r="BQ35" i="25"/>
  <c r="CP64" i="3"/>
  <c r="CP90" i="17"/>
  <c r="CO99" i="25"/>
  <c r="CO29" i="25"/>
  <c r="CN63" i="3"/>
  <c r="CN89" i="17"/>
  <c r="CA34" i="27"/>
  <c r="CA25" i="27"/>
  <c r="CA46" i="3"/>
  <c r="CA73" i="3" s="1"/>
  <c r="CP209" i="25"/>
  <c r="CP210" i="25" s="1"/>
  <c r="CO210" i="25"/>
  <c r="CN186" i="25"/>
  <c r="CN187" i="25" s="1"/>
  <c r="CN182" i="25"/>
  <c r="CO137" i="25"/>
  <c r="CO138" i="25" s="1"/>
  <c r="CO133" i="25"/>
  <c r="AW172" i="3"/>
  <c r="AW105" i="15" s="1"/>
  <c r="AW104" i="15"/>
  <c r="BU115" i="21"/>
  <c r="BV110" i="21" s="1"/>
  <c r="BV113" i="21" s="1"/>
  <c r="BU147" i="21"/>
  <c r="BU150" i="21" s="1"/>
  <c r="BU151" i="21" s="1"/>
  <c r="BD115" i="25"/>
  <c r="CB54" i="27"/>
  <c r="CB57" i="27" s="1"/>
  <c r="CB67" i="27"/>
  <c r="CC60" i="27"/>
  <c r="CB23" i="27"/>
  <c r="CB63" i="27"/>
  <c r="CB70" i="27" s="1"/>
  <c r="CB27" i="27"/>
  <c r="CO181" i="25"/>
  <c r="CP175" i="25"/>
  <c r="CP181" i="25" s="1"/>
  <c r="BZ36" i="27"/>
  <c r="BZ64" i="27"/>
  <c r="BZ32" i="27"/>
  <c r="CP137" i="25"/>
  <c r="CP138" i="25" s="1"/>
  <c r="CP133" i="25"/>
  <c r="AX177" i="3"/>
  <c r="CC6" i="3"/>
  <c r="CB7" i="3"/>
  <c r="CB108" i="25"/>
  <c r="CB72" i="27"/>
  <c r="CB57" i="23"/>
  <c r="CP63" i="3"/>
  <c r="CP89" i="17"/>
  <c r="BC88" i="25"/>
  <c r="BC19" i="25"/>
  <c r="BC64" i="25"/>
  <c r="CA76" i="15"/>
  <c r="CA78" i="15" s="1"/>
  <c r="CA57" i="15"/>
  <c r="BB75" i="3"/>
  <c r="BZ81" i="15"/>
  <c r="BZ86" i="15" s="1"/>
  <c r="BZ79" i="15"/>
  <c r="BZ84" i="15" s="1"/>
  <c r="BZ80" i="15"/>
  <c r="BZ85" i="15" s="1"/>
  <c r="BZ78" i="17"/>
  <c r="BZ80" i="17" s="1"/>
  <c r="CB49" i="17"/>
  <c r="CB206" i="25"/>
  <c r="CB95" i="15"/>
  <c r="CB5" i="27"/>
  <c r="CB21" i="15"/>
  <c r="CB19" i="21"/>
  <c r="CB17" i="27"/>
  <c r="CB300" i="3"/>
  <c r="CB208" i="3"/>
  <c r="CB85" i="3"/>
  <c r="CB68" i="3"/>
  <c r="CB157" i="25"/>
  <c r="CB37" i="17"/>
  <c r="CB69" i="15"/>
  <c r="CB54" i="15"/>
  <c r="CB56" i="15" s="1"/>
  <c r="CB17" i="23"/>
  <c r="CB158" i="21"/>
  <c r="CB29" i="17"/>
  <c r="CB3" i="27"/>
  <c r="CB253" i="3"/>
  <c r="CB200" i="3"/>
  <c r="CB41" i="3"/>
  <c r="CB21" i="3"/>
  <c r="CB6" i="15"/>
  <c r="CB3" i="15"/>
  <c r="CB4" i="15" s="1"/>
  <c r="CB22" i="17"/>
  <c r="CB83" i="17"/>
  <c r="CB5" i="23"/>
  <c r="CB164" i="21"/>
  <c r="CB6" i="17"/>
  <c r="CB5" i="21"/>
  <c r="CB329" i="3"/>
  <c r="CB182" i="3"/>
  <c r="CB153" i="3"/>
  <c r="CB9" i="3"/>
  <c r="CB3" i="17"/>
  <c r="CB4" i="17" s="1"/>
  <c r="CB218" i="25"/>
  <c r="CB212" i="25"/>
  <c r="CB3" i="25"/>
  <c r="CB3" i="21"/>
  <c r="CB108" i="21"/>
  <c r="CB5" i="25"/>
  <c r="CB17" i="25"/>
  <c r="CB313" i="3"/>
  <c r="CB164" i="3"/>
  <c r="CB145" i="3"/>
  <c r="CC3" i="3"/>
  <c r="BB32" i="25"/>
  <c r="BB36" i="25"/>
  <c r="BB92" i="25"/>
  <c r="BE110" i="25"/>
  <c r="BD143" i="25"/>
  <c r="BD149" i="25" s="1"/>
  <c r="BD150" i="25" s="1"/>
  <c r="BD61" i="25" s="1"/>
  <c r="CP17" i="17"/>
  <c r="CO159" i="3"/>
  <c r="BY87" i="15"/>
  <c r="CO71" i="3"/>
  <c r="CA70" i="17"/>
  <c r="CA54" i="17"/>
  <c r="CA63" i="17"/>
  <c r="CA58" i="17"/>
  <c r="CA60" i="17"/>
  <c r="CA64" i="17"/>
  <c r="CA56" i="17"/>
  <c r="CA62" i="17"/>
  <c r="CA52" i="17"/>
  <c r="CA73" i="17"/>
  <c r="CA61" i="17"/>
  <c r="CA55" i="17"/>
  <c r="CA67" i="17"/>
  <c r="CA77" i="17"/>
  <c r="CA65" i="17"/>
  <c r="CA75" i="17"/>
  <c r="CA74" i="17"/>
  <c r="CA53" i="17"/>
  <c r="CA71" i="17"/>
  <c r="CA59" i="17"/>
  <c r="CA69" i="17"/>
  <c r="CA57" i="17"/>
  <c r="CA68" i="17"/>
  <c r="CA66" i="17"/>
  <c r="CA76" i="17"/>
  <c r="CA72" i="17"/>
  <c r="BT192" i="25" l="1"/>
  <c r="BM265" i="3"/>
  <c r="BN103" i="3" s="1"/>
  <c r="BM304" i="3"/>
  <c r="BM111" i="27"/>
  <c r="BM114" i="27" s="1"/>
  <c r="BM320" i="3"/>
  <c r="BL322" i="3"/>
  <c r="BL323" i="3" s="1"/>
  <c r="BL309" i="3"/>
  <c r="BO185" i="3"/>
  <c r="BO192" i="3" s="1"/>
  <c r="BM267" i="3"/>
  <c r="BM212" i="3"/>
  <c r="BT193" i="25"/>
  <c r="BM211" i="3"/>
  <c r="BM63" i="15"/>
  <c r="BM105" i="3"/>
  <c r="BN223" i="3"/>
  <c r="BN198" i="3"/>
  <c r="BM79" i="27"/>
  <c r="BN74" i="27" s="1"/>
  <c r="BT160" i="25"/>
  <c r="BV111" i="21"/>
  <c r="BT194" i="25"/>
  <c r="BT161" i="25"/>
  <c r="BT195" i="25" s="1"/>
  <c r="BR49" i="3"/>
  <c r="BR76" i="3" s="1"/>
  <c r="BR35" i="25"/>
  <c r="BS198" i="25"/>
  <c r="BS199" i="25" s="1"/>
  <c r="BS54" i="25" s="1"/>
  <c r="CO63" i="3"/>
  <c r="CO89" i="17"/>
  <c r="AX180" i="3"/>
  <c r="AX168" i="3"/>
  <c r="AX170" i="3" s="1"/>
  <c r="AX179" i="3"/>
  <c r="CP182" i="25"/>
  <c r="CP186" i="25"/>
  <c r="CP187" i="25" s="1"/>
  <c r="CB25" i="27"/>
  <c r="CB34" i="27"/>
  <c r="CB46" i="3"/>
  <c r="CB73" i="3" s="1"/>
  <c r="AW113" i="15"/>
  <c r="AW114" i="15"/>
  <c r="CA64" i="27"/>
  <c r="CA36" i="27"/>
  <c r="CA32" i="27"/>
  <c r="CO182" i="25"/>
  <c r="CO186" i="25"/>
  <c r="CO187" i="25" s="1"/>
  <c r="CC63" i="27"/>
  <c r="CC70" i="27" s="1"/>
  <c r="CD60" i="27"/>
  <c r="CC67" i="27"/>
  <c r="CC23" i="27"/>
  <c r="CC27" i="27"/>
  <c r="CC54" i="27"/>
  <c r="CC57" i="27" s="1"/>
  <c r="BV146" i="21"/>
  <c r="BV145" i="21"/>
  <c r="BV112" i="21"/>
  <c r="BV147" i="21" s="1"/>
  <c r="BV144" i="21"/>
  <c r="CD6" i="3"/>
  <c r="CC108" i="25"/>
  <c r="CC57" i="23"/>
  <c r="CC7" i="3"/>
  <c r="CC72" i="27"/>
  <c r="BZ87" i="15"/>
  <c r="BC21" i="25"/>
  <c r="BC65" i="25" s="1"/>
  <c r="BC28" i="3"/>
  <c r="CP159" i="3"/>
  <c r="CC49" i="17"/>
  <c r="CC206" i="25"/>
  <c r="CC21" i="15"/>
  <c r="CC3" i="17"/>
  <c r="CC4" i="17" s="1"/>
  <c r="CC108" i="21"/>
  <c r="CC17" i="27"/>
  <c r="CC3" i="27"/>
  <c r="CC17" i="23"/>
  <c r="CC300" i="3"/>
  <c r="CC182" i="3"/>
  <c r="CC145" i="3"/>
  <c r="CC9" i="3"/>
  <c r="CC37" i="17"/>
  <c r="CC95" i="15"/>
  <c r="CC29" i="17"/>
  <c r="CC19" i="21"/>
  <c r="CC17" i="25"/>
  <c r="CC212" i="25"/>
  <c r="CC5" i="23"/>
  <c r="CC253" i="3"/>
  <c r="CC164" i="3"/>
  <c r="CC68" i="3"/>
  <c r="CD3" i="3"/>
  <c r="CC3" i="15"/>
  <c r="CC4" i="15" s="1"/>
  <c r="CC22" i="17"/>
  <c r="CC54" i="15"/>
  <c r="CC56" i="15" s="1"/>
  <c r="CC6" i="17"/>
  <c r="CC69" i="15"/>
  <c r="CC83" i="17"/>
  <c r="CC158" i="21"/>
  <c r="CC3" i="25"/>
  <c r="CC3" i="21"/>
  <c r="CC329" i="3"/>
  <c r="CC208" i="3"/>
  <c r="CC85" i="3"/>
  <c r="CC21" i="3"/>
  <c r="CC218" i="25"/>
  <c r="CC6" i="15"/>
  <c r="CC164" i="21"/>
  <c r="CC157" i="25"/>
  <c r="CC5" i="25"/>
  <c r="CC5" i="27"/>
  <c r="CC5" i="21"/>
  <c r="CC313" i="3"/>
  <c r="CC200" i="3"/>
  <c r="CC153" i="3"/>
  <c r="CC41" i="3"/>
  <c r="CB57" i="15"/>
  <c r="CB76" i="15"/>
  <c r="CB78" i="15" s="1"/>
  <c r="CA79" i="15"/>
  <c r="CA84" i="15" s="1"/>
  <c r="CA80" i="15"/>
  <c r="CA85" i="15" s="1"/>
  <c r="CA81" i="15"/>
  <c r="CA86" i="15" s="1"/>
  <c r="BC102" i="25"/>
  <c r="BC75" i="25"/>
  <c r="BC78" i="25" s="1"/>
  <c r="BC23" i="25"/>
  <c r="BC91" i="25"/>
  <c r="BC105" i="25" s="1"/>
  <c r="BC27" i="25"/>
  <c r="BC61" i="3" s="1"/>
  <c r="CA78" i="17"/>
  <c r="CA80" i="17" s="1"/>
  <c r="BD88" i="25"/>
  <c r="BD19" i="25"/>
  <c r="BD64" i="25"/>
  <c r="BE112" i="25"/>
  <c r="BE111" i="25"/>
  <c r="BE113" i="25"/>
  <c r="CB74" i="17"/>
  <c r="CB64" i="17"/>
  <c r="CB61" i="17"/>
  <c r="CB77" i="17"/>
  <c r="CB73" i="17"/>
  <c r="CB66" i="17"/>
  <c r="CB63" i="17"/>
  <c r="CB75" i="17"/>
  <c r="CB56" i="17"/>
  <c r="CB68" i="17"/>
  <c r="CB59" i="17"/>
  <c r="CB54" i="17"/>
  <c r="CB69" i="17"/>
  <c r="CB62" i="17"/>
  <c r="CB65" i="17"/>
  <c r="CB70" i="17"/>
  <c r="CB60" i="17"/>
  <c r="CB58" i="17"/>
  <c r="CB76" i="17"/>
  <c r="CB53" i="17"/>
  <c r="CB57" i="17"/>
  <c r="CB71" i="17"/>
  <c r="CB52" i="17"/>
  <c r="CB55" i="17"/>
  <c r="CB67" i="17"/>
  <c r="CB72" i="17"/>
  <c r="BM305" i="3" l="1"/>
  <c r="BM303" i="3" s="1"/>
  <c r="BM115" i="27"/>
  <c r="BM116" i="27" s="1"/>
  <c r="BN104" i="3"/>
  <c r="BN63" i="15" s="1"/>
  <c r="BN77" i="27"/>
  <c r="BN109" i="27"/>
  <c r="BN110" i="27"/>
  <c r="BN108" i="27"/>
  <c r="BN76" i="27"/>
  <c r="BN111" i="27" s="1"/>
  <c r="BN79" i="27"/>
  <c r="BO74" i="27" s="1"/>
  <c r="BN64" i="15"/>
  <c r="BN230" i="3"/>
  <c r="BN75" i="27"/>
  <c r="BP185" i="3" s="1"/>
  <c r="BP192" i="3" s="1"/>
  <c r="BM309" i="3"/>
  <c r="BM322" i="3"/>
  <c r="BM323" i="3" s="1"/>
  <c r="BP193" i="3"/>
  <c r="BO247" i="3"/>
  <c r="BO248" i="3" s="1"/>
  <c r="BO194" i="3"/>
  <c r="BN265" i="3"/>
  <c r="BN211" i="3"/>
  <c r="BN304" i="3"/>
  <c r="BT197" i="25"/>
  <c r="BT198" i="25" s="1"/>
  <c r="BT199" i="25" s="1"/>
  <c r="BT54" i="25" s="1"/>
  <c r="BT164" i="25"/>
  <c r="BU159" i="25" s="1"/>
  <c r="BU162" i="25" s="1"/>
  <c r="BV115" i="21"/>
  <c r="BW110" i="21" s="1"/>
  <c r="BW145" i="21" s="1"/>
  <c r="BS81" i="25"/>
  <c r="BS20" i="25"/>
  <c r="BS29" i="3" s="1"/>
  <c r="BU192" i="25"/>
  <c r="BV150" i="21"/>
  <c r="BV151" i="21" s="1"/>
  <c r="CC25" i="27"/>
  <c r="CC46" i="3"/>
  <c r="CC73" i="3" s="1"/>
  <c r="CC34" i="27"/>
  <c r="CD63" i="27"/>
  <c r="CD70" i="27" s="1"/>
  <c r="CE60" i="27"/>
  <c r="CD67" i="27"/>
  <c r="CD27" i="27"/>
  <c r="CD23" i="27"/>
  <c r="CD54" i="27"/>
  <c r="CD57" i="27" s="1"/>
  <c r="CB36" i="27"/>
  <c r="CB64" i="27"/>
  <c r="CB32" i="27"/>
  <c r="AX106" i="15"/>
  <c r="AX173" i="3"/>
  <c r="AX340" i="3" s="1"/>
  <c r="AY167" i="3"/>
  <c r="AX171" i="3"/>
  <c r="CE6" i="3"/>
  <c r="CD72" i="27"/>
  <c r="CD108" i="25"/>
  <c r="CD57" i="23"/>
  <c r="CD7" i="3"/>
  <c r="BE115" i="25"/>
  <c r="BF110" i="25" s="1"/>
  <c r="CB78" i="17"/>
  <c r="CB80" i="17" s="1"/>
  <c r="BC87" i="17"/>
  <c r="CA87" i="15"/>
  <c r="CD69" i="15"/>
  <c r="CD218" i="25"/>
  <c r="CD6" i="15"/>
  <c r="CD3" i="17"/>
  <c r="CD4" i="17" s="1"/>
  <c r="CD17" i="27"/>
  <c r="CD164" i="21"/>
  <c r="CD300" i="3"/>
  <c r="CD208" i="3"/>
  <c r="CD85" i="3"/>
  <c r="CD68" i="3"/>
  <c r="CD21" i="15"/>
  <c r="CD83" i="17"/>
  <c r="CD49" i="17"/>
  <c r="CD206" i="25"/>
  <c r="CD17" i="23"/>
  <c r="CD3" i="27"/>
  <c r="CD108" i="21"/>
  <c r="CD253" i="3"/>
  <c r="CD200" i="3"/>
  <c r="CD41" i="3"/>
  <c r="CD21" i="3"/>
  <c r="CD95" i="15"/>
  <c r="CD29" i="17"/>
  <c r="CD212" i="25"/>
  <c r="CD37" i="17"/>
  <c r="CD17" i="25"/>
  <c r="CD5" i="23"/>
  <c r="CD157" i="25"/>
  <c r="CD5" i="21"/>
  <c r="CD19" i="21"/>
  <c r="CD329" i="3"/>
  <c r="CD182" i="3"/>
  <c r="CD153" i="3"/>
  <c r="CD9" i="3"/>
  <c r="CD54" i="15"/>
  <c r="CD56" i="15" s="1"/>
  <c r="CD6" i="17"/>
  <c r="CD3" i="15"/>
  <c r="CD4" i="15" s="1"/>
  <c r="CD22" i="17"/>
  <c r="CD158" i="21"/>
  <c r="CD3" i="21"/>
  <c r="CD5" i="25"/>
  <c r="CD3" i="25"/>
  <c r="CD5" i="27"/>
  <c r="CD313" i="3"/>
  <c r="CD164" i="3"/>
  <c r="CD145" i="3"/>
  <c r="CE3" i="3"/>
  <c r="CC57" i="15"/>
  <c r="CC76" i="15"/>
  <c r="CC78" i="15" s="1"/>
  <c r="BE146" i="25"/>
  <c r="BD28" i="3"/>
  <c r="BD21" i="25"/>
  <c r="BD65" i="25" s="1"/>
  <c r="BC34" i="25"/>
  <c r="BC48" i="3"/>
  <c r="BC25" i="25"/>
  <c r="CB81" i="15"/>
  <c r="CB86" i="15" s="1"/>
  <c r="CB79" i="15"/>
  <c r="CB84" i="15" s="1"/>
  <c r="CB80" i="15"/>
  <c r="CB85" i="15" s="1"/>
  <c r="CC54" i="17"/>
  <c r="CC60" i="17"/>
  <c r="CC73" i="17"/>
  <c r="CC72" i="17"/>
  <c r="CC74" i="17"/>
  <c r="CC77" i="17"/>
  <c r="CC65" i="17"/>
  <c r="CC75" i="17"/>
  <c r="CC63" i="17"/>
  <c r="CC66" i="17"/>
  <c r="CC64" i="17"/>
  <c r="CC58" i="17"/>
  <c r="CC69" i="17"/>
  <c r="CC57" i="17"/>
  <c r="CC76" i="17"/>
  <c r="CC55" i="17"/>
  <c r="CC61" i="17"/>
  <c r="CC67" i="17"/>
  <c r="CC53" i="17"/>
  <c r="CC70" i="17"/>
  <c r="CC68" i="17"/>
  <c r="CC56" i="17"/>
  <c r="CC71" i="17"/>
  <c r="CC59" i="17"/>
  <c r="CC52" i="17"/>
  <c r="CC62" i="17"/>
  <c r="BD102" i="25"/>
  <c r="BD75" i="25"/>
  <c r="BD78" i="25" s="1"/>
  <c r="BD23" i="25"/>
  <c r="BD27" i="25"/>
  <c r="BD91" i="25"/>
  <c r="BD105" i="25" s="1"/>
  <c r="BN114" i="27" l="1"/>
  <c r="BN115" i="27" s="1"/>
  <c r="BN116" i="27" s="1"/>
  <c r="BN105" i="3"/>
  <c r="BW111" i="21"/>
  <c r="BW144" i="21"/>
  <c r="BN212" i="3"/>
  <c r="BN267" i="3"/>
  <c r="BO223" i="3"/>
  <c r="BO198" i="3"/>
  <c r="BP246" i="3"/>
  <c r="BQ193" i="3"/>
  <c r="BO75" i="27"/>
  <c r="BO109" i="27"/>
  <c r="BO110" i="27"/>
  <c r="BO108" i="27"/>
  <c r="BO76" i="27"/>
  <c r="BN305" i="3"/>
  <c r="BN303" i="3" s="1"/>
  <c r="BO103" i="3"/>
  <c r="BN320" i="3"/>
  <c r="BO265" i="3"/>
  <c r="BP194" i="3"/>
  <c r="BP247" i="3"/>
  <c r="BP248" i="3" s="1"/>
  <c r="BO77" i="27"/>
  <c r="BO111" i="27" s="1"/>
  <c r="BO114" i="27" s="1"/>
  <c r="BT20" i="25"/>
  <c r="BT29" i="3" s="1"/>
  <c r="BT81" i="25"/>
  <c r="BT24" i="25" s="1"/>
  <c r="BU161" i="25"/>
  <c r="BU195" i="25" s="1"/>
  <c r="BU160" i="25"/>
  <c r="BU193" i="25"/>
  <c r="BU194" i="25"/>
  <c r="BW112" i="21"/>
  <c r="BW113" i="21"/>
  <c r="BW147" i="21" s="1"/>
  <c r="BW150" i="21" s="1"/>
  <c r="BW151" i="21" s="1"/>
  <c r="BW146" i="21"/>
  <c r="BT68" i="25"/>
  <c r="BS68" i="25"/>
  <c r="BS95" i="25"/>
  <c r="BS24" i="25"/>
  <c r="BE143" i="25"/>
  <c r="BF113" i="25"/>
  <c r="BF111" i="25"/>
  <c r="AY177" i="3"/>
  <c r="CD46" i="3"/>
  <c r="CD73" i="3" s="1"/>
  <c r="CD25" i="27"/>
  <c r="CD34" i="27"/>
  <c r="AX104" i="15"/>
  <c r="AX172" i="3"/>
  <c r="AX105" i="15" s="1"/>
  <c r="CE63" i="27"/>
  <c r="CE70" i="27" s="1"/>
  <c r="CF60" i="27"/>
  <c r="CE67" i="27"/>
  <c r="CE23" i="27"/>
  <c r="CE27" i="27"/>
  <c r="CE54" i="27"/>
  <c r="CE57" i="27" s="1"/>
  <c r="CC36" i="27"/>
  <c r="CC32" i="27"/>
  <c r="CC64" i="27"/>
  <c r="CE7" i="3"/>
  <c r="CE72" i="27"/>
  <c r="CE57" i="23"/>
  <c r="CF6" i="3"/>
  <c r="CE108" i="25"/>
  <c r="CC78" i="17"/>
  <c r="CC80" i="17" s="1"/>
  <c r="CD74" i="17"/>
  <c r="CD64" i="17"/>
  <c r="CD63" i="17"/>
  <c r="CD77" i="17"/>
  <c r="CD76" i="17"/>
  <c r="CD55" i="17"/>
  <c r="CD62" i="17"/>
  <c r="CD75" i="17"/>
  <c r="CD56" i="17"/>
  <c r="CD68" i="17"/>
  <c r="CD61" i="17"/>
  <c r="CD69" i="17"/>
  <c r="CD53" i="17"/>
  <c r="CD73" i="17"/>
  <c r="CD67" i="17"/>
  <c r="CD70" i="17"/>
  <c r="CD60" i="17"/>
  <c r="CD58" i="17"/>
  <c r="CD66" i="17"/>
  <c r="CD72" i="17"/>
  <c r="CD59" i="17"/>
  <c r="CD71" i="17"/>
  <c r="CD52" i="17"/>
  <c r="CD57" i="17"/>
  <c r="CD54" i="17"/>
  <c r="CD65" i="17"/>
  <c r="CB87" i="15"/>
  <c r="BC92" i="25"/>
  <c r="BC36" i="25"/>
  <c r="BC32" i="25"/>
  <c r="CE69" i="15"/>
  <c r="CE3" i="17"/>
  <c r="CE4" i="17" s="1"/>
  <c r="CE3" i="15"/>
  <c r="CE4" i="15" s="1"/>
  <c r="CE5" i="25"/>
  <c r="CE164" i="21"/>
  <c r="CE17" i="23"/>
  <c r="CE19" i="21"/>
  <c r="CE17" i="25"/>
  <c r="CE300" i="3"/>
  <c r="CE182" i="3"/>
  <c r="CE145" i="3"/>
  <c r="CE9" i="3"/>
  <c r="CE83" i="17"/>
  <c r="CE21" i="15"/>
  <c r="CE17" i="27"/>
  <c r="CE108" i="21"/>
  <c r="CE5" i="23"/>
  <c r="CE49" i="17"/>
  <c r="CE158" i="21"/>
  <c r="CE253" i="3"/>
  <c r="CE164" i="3"/>
  <c r="CE68" i="3"/>
  <c r="CF3" i="3"/>
  <c r="CE212" i="25"/>
  <c r="CE95" i="15"/>
  <c r="CE29" i="17"/>
  <c r="CE206" i="25"/>
  <c r="CE3" i="27"/>
  <c r="CE3" i="25"/>
  <c r="CE3" i="21"/>
  <c r="CE37" i="17"/>
  <c r="CE329" i="3"/>
  <c r="CE208" i="3"/>
  <c r="CE85" i="3"/>
  <c r="CE21" i="3"/>
  <c r="CE6" i="15"/>
  <c r="CE54" i="15"/>
  <c r="CE56" i="15" s="1"/>
  <c r="CE6" i="17"/>
  <c r="CE157" i="25"/>
  <c r="CE5" i="21"/>
  <c r="CE5" i="27"/>
  <c r="CE218" i="25"/>
  <c r="CE22" i="17"/>
  <c r="CE313" i="3"/>
  <c r="CE200" i="3"/>
  <c r="CE153" i="3"/>
  <c r="CE41" i="3"/>
  <c r="CD57" i="15"/>
  <c r="CD76" i="15"/>
  <c r="CD78" i="15" s="1"/>
  <c r="BE149" i="25"/>
  <c r="BE150" i="25" s="1"/>
  <c r="BE61" i="25" s="1"/>
  <c r="BD61" i="3"/>
  <c r="BD87" i="17"/>
  <c r="BD34" i="25"/>
  <c r="BD48" i="3"/>
  <c r="BD25" i="25"/>
  <c r="BC75" i="3"/>
  <c r="CC81" i="15"/>
  <c r="CC86" i="15" s="1"/>
  <c r="CC80" i="15"/>
  <c r="CC85" i="15" s="1"/>
  <c r="CC79" i="15"/>
  <c r="CC84" i="15" s="1"/>
  <c r="BF112" i="25"/>
  <c r="BF146" i="25" s="1"/>
  <c r="BW115" i="21" l="1"/>
  <c r="BX110" i="21" s="1"/>
  <c r="BX111" i="21" s="1"/>
  <c r="BU197" i="25"/>
  <c r="BU198" i="25" s="1"/>
  <c r="BU199" i="25" s="1"/>
  <c r="BU54" i="25" s="1"/>
  <c r="BO115" i="27"/>
  <c r="BO116" i="27" s="1"/>
  <c r="BN309" i="3"/>
  <c r="BN322" i="3"/>
  <c r="BN323" i="3" s="1"/>
  <c r="BP198" i="3"/>
  <c r="BP223" i="3"/>
  <c r="BQ246" i="3"/>
  <c r="BU164" i="25"/>
  <c r="BV159" i="25" s="1"/>
  <c r="BV160" i="25" s="1"/>
  <c r="BP103" i="3"/>
  <c r="BO320" i="3"/>
  <c r="BO305" i="3"/>
  <c r="BO303" i="3" s="1"/>
  <c r="BO211" i="3"/>
  <c r="BO104" i="3"/>
  <c r="BO63" i="15" s="1"/>
  <c r="BO304" i="3"/>
  <c r="BQ185" i="3"/>
  <c r="BQ192" i="3" s="1"/>
  <c r="BO79" i="27"/>
  <c r="BP74" i="27" s="1"/>
  <c r="BO64" i="15"/>
  <c r="BO230" i="3"/>
  <c r="BT95" i="25"/>
  <c r="BU20" i="25"/>
  <c r="BU29" i="3" s="1"/>
  <c r="BU81" i="25"/>
  <c r="BS35" i="25"/>
  <c r="BS49" i="3"/>
  <c r="BS76" i="3" s="1"/>
  <c r="BT49" i="3"/>
  <c r="BT76" i="3" s="1"/>
  <c r="BT35" i="25"/>
  <c r="BV193" i="25"/>
  <c r="BV161" i="25"/>
  <c r="BV194" i="25"/>
  <c r="BV162" i="25"/>
  <c r="CE46" i="3"/>
  <c r="CE73" i="3" s="1"/>
  <c r="CE34" i="27"/>
  <c r="CE25" i="27"/>
  <c r="CF67" i="27"/>
  <c r="CG60" i="27"/>
  <c r="CF54" i="27"/>
  <c r="CF57" i="27" s="1"/>
  <c r="CF63" i="27"/>
  <c r="CF70" i="27" s="1"/>
  <c r="CF27" i="27"/>
  <c r="CF23" i="27"/>
  <c r="CD36" i="27"/>
  <c r="CD64" i="27"/>
  <c r="CD32" i="27"/>
  <c r="AX113" i="15"/>
  <c r="AX114" i="15"/>
  <c r="BX146" i="21"/>
  <c r="BX144" i="21"/>
  <c r="BX112" i="21"/>
  <c r="BX145" i="21"/>
  <c r="BX113" i="21"/>
  <c r="AY179" i="3"/>
  <c r="AY180" i="3"/>
  <c r="AY168" i="3"/>
  <c r="AY170" i="3" s="1"/>
  <c r="CF108" i="25"/>
  <c r="CF57" i="23"/>
  <c r="CF7" i="3"/>
  <c r="CG6" i="3"/>
  <c r="CF72" i="27"/>
  <c r="BE88" i="25"/>
  <c r="BE19" i="25"/>
  <c r="BE64" i="25"/>
  <c r="CF3" i="17"/>
  <c r="CF4" i="17" s="1"/>
  <c r="CF218" i="25"/>
  <c r="CF212" i="25"/>
  <c r="CF5" i="23"/>
  <c r="CF164" i="21"/>
  <c r="CF17" i="25"/>
  <c r="CF5" i="21"/>
  <c r="CF329" i="3"/>
  <c r="CF182" i="3"/>
  <c r="CF153" i="3"/>
  <c r="CF9" i="3"/>
  <c r="CF49" i="17"/>
  <c r="CF206" i="25"/>
  <c r="CF3" i="25"/>
  <c r="CF3" i="21"/>
  <c r="CF108" i="21"/>
  <c r="CF158" i="21"/>
  <c r="CF5" i="25"/>
  <c r="CF313" i="3"/>
  <c r="CF164" i="3"/>
  <c r="CF145" i="3"/>
  <c r="CG3" i="3"/>
  <c r="CF157" i="25"/>
  <c r="CF37" i="17"/>
  <c r="CF69" i="15"/>
  <c r="CF5" i="27"/>
  <c r="CF6" i="17"/>
  <c r="CF19" i="21"/>
  <c r="CF95" i="15"/>
  <c r="CF17" i="27"/>
  <c r="CF300" i="3"/>
  <c r="CF208" i="3"/>
  <c r="CF85" i="3"/>
  <c r="CF68" i="3"/>
  <c r="CF6" i="15"/>
  <c r="CF3" i="15"/>
  <c r="CF4" i="15" s="1"/>
  <c r="CF22" i="17"/>
  <c r="CF83" i="17"/>
  <c r="CF17" i="23"/>
  <c r="CF21" i="15"/>
  <c r="CF29" i="17"/>
  <c r="CF54" i="15"/>
  <c r="CF56" i="15" s="1"/>
  <c r="CF3" i="27"/>
  <c r="CF253" i="3"/>
  <c r="CF200" i="3"/>
  <c r="CF41" i="3"/>
  <c r="CF21" i="3"/>
  <c r="CC87" i="15"/>
  <c r="CE56" i="17"/>
  <c r="CE58" i="17"/>
  <c r="CE64" i="17"/>
  <c r="CE69" i="17"/>
  <c r="CE57" i="17"/>
  <c r="CE75" i="17"/>
  <c r="CE63" i="17"/>
  <c r="CE73" i="17"/>
  <c r="CE61" i="17"/>
  <c r="CE59" i="17"/>
  <c r="CE70" i="17"/>
  <c r="CE72" i="17"/>
  <c r="CE76" i="17"/>
  <c r="CE55" i="17"/>
  <c r="CE74" i="17"/>
  <c r="CE53" i="17"/>
  <c r="CE52" i="17"/>
  <c r="CE62" i="17"/>
  <c r="CE67" i="17"/>
  <c r="CE68" i="17"/>
  <c r="CE66" i="17"/>
  <c r="CE71" i="17"/>
  <c r="CE77" i="17"/>
  <c r="CE65" i="17"/>
  <c r="CE54" i="17"/>
  <c r="CE60" i="17"/>
  <c r="BF115" i="25"/>
  <c r="BD92" i="25"/>
  <c r="BD32" i="25"/>
  <c r="BD36" i="25"/>
  <c r="CD81" i="15"/>
  <c r="CD86" i="15" s="1"/>
  <c r="CD79" i="15"/>
  <c r="CD84" i="15" s="1"/>
  <c r="CD80" i="15"/>
  <c r="CD85" i="15" s="1"/>
  <c r="CE57" i="15"/>
  <c r="CE76" i="15"/>
  <c r="CE78" i="15" s="1"/>
  <c r="BD75" i="3"/>
  <c r="CD78" i="17"/>
  <c r="CD80" i="17" s="1"/>
  <c r="BV192" i="25" l="1"/>
  <c r="BO105" i="3"/>
  <c r="BP304" i="3"/>
  <c r="BP109" i="27"/>
  <c r="BP75" i="27"/>
  <c r="BP108" i="27"/>
  <c r="BP110" i="27"/>
  <c r="BP76" i="27"/>
  <c r="BP77" i="27"/>
  <c r="BP64" i="15"/>
  <c r="BP230" i="3"/>
  <c r="BQ247" i="3"/>
  <c r="BQ248" i="3" s="1"/>
  <c r="BQ194" i="3"/>
  <c r="BO212" i="3"/>
  <c r="BO267" i="3"/>
  <c r="BP104" i="3"/>
  <c r="BP63" i="15" s="1"/>
  <c r="BP211" i="3"/>
  <c r="BP265" i="3"/>
  <c r="BR193" i="3"/>
  <c r="BR246" i="3" s="1"/>
  <c r="BX115" i="21"/>
  <c r="BY110" i="21" s="1"/>
  <c r="BV164" i="25"/>
  <c r="BW159" i="25" s="1"/>
  <c r="BW193" i="25" s="1"/>
  <c r="BU95" i="25"/>
  <c r="BU68" i="25"/>
  <c r="BU24" i="25"/>
  <c r="BV195" i="25"/>
  <c r="BV197" i="25" s="1"/>
  <c r="BY111" i="21"/>
  <c r="BY146" i="21"/>
  <c r="BY145" i="21"/>
  <c r="BY112" i="21"/>
  <c r="BY144" i="21"/>
  <c r="AY106" i="15"/>
  <c r="AY173" i="3"/>
  <c r="AY340" i="3" s="1"/>
  <c r="AZ167" i="3"/>
  <c r="AY171" i="3"/>
  <c r="CF46" i="3"/>
  <c r="CF73" i="3" s="1"/>
  <c r="CF25" i="27"/>
  <c r="CF34" i="27"/>
  <c r="CG63" i="27"/>
  <c r="CG70" i="27" s="1"/>
  <c r="CH60" i="27"/>
  <c r="CG67" i="27"/>
  <c r="CG23" i="27"/>
  <c r="CG27" i="27"/>
  <c r="CG54" i="27"/>
  <c r="CG57" i="27" s="1"/>
  <c r="CE64" i="27"/>
  <c r="CE36" i="27"/>
  <c r="CE32" i="27"/>
  <c r="BX147" i="21"/>
  <c r="BX150" i="21" s="1"/>
  <c r="BX151" i="21" s="1"/>
  <c r="BY113" i="21"/>
  <c r="CG7" i="3"/>
  <c r="CH6" i="3"/>
  <c r="CG72" i="27"/>
  <c r="CG57" i="23"/>
  <c r="CG108" i="25"/>
  <c r="CD87" i="15"/>
  <c r="BE28" i="3"/>
  <c r="BE21" i="25"/>
  <c r="BE65" i="25" s="1"/>
  <c r="CE79" i="15"/>
  <c r="CE84" i="15" s="1"/>
  <c r="CE81" i="15"/>
  <c r="CE86" i="15" s="1"/>
  <c r="CE80" i="15"/>
  <c r="CE85" i="15" s="1"/>
  <c r="BG110" i="25"/>
  <c r="BF143" i="25"/>
  <c r="BF149" i="25" s="1"/>
  <c r="BF150" i="25" s="1"/>
  <c r="BF61" i="25" s="1"/>
  <c r="CE78" i="17"/>
  <c r="CE80" i="17" s="1"/>
  <c r="CF57" i="15"/>
  <c r="CF76" i="15"/>
  <c r="CF78" i="15" s="1"/>
  <c r="CG218" i="25"/>
  <c r="CG6" i="15"/>
  <c r="CG108" i="21"/>
  <c r="CG83" i="17"/>
  <c r="CG17" i="27"/>
  <c r="CG3" i="25"/>
  <c r="CG3" i="21"/>
  <c r="CG313" i="3"/>
  <c r="CG200" i="3"/>
  <c r="CG153" i="3"/>
  <c r="CG41" i="3"/>
  <c r="CG49" i="17"/>
  <c r="CG206" i="25"/>
  <c r="CG21" i="15"/>
  <c r="CG3" i="17"/>
  <c r="CG4" i="17" s="1"/>
  <c r="CG19" i="21"/>
  <c r="CG17" i="25"/>
  <c r="CG5" i="21"/>
  <c r="CG5" i="27"/>
  <c r="CG300" i="3"/>
  <c r="CG182" i="3"/>
  <c r="CG145" i="3"/>
  <c r="CG9" i="3"/>
  <c r="CG37" i="17"/>
  <c r="CG95" i="15"/>
  <c r="CG29" i="17"/>
  <c r="CG5" i="25"/>
  <c r="CG158" i="21"/>
  <c r="CG69" i="15"/>
  <c r="CG17" i="23"/>
  <c r="CG253" i="3"/>
  <c r="CG164" i="3"/>
  <c r="CG68" i="3"/>
  <c r="CH3" i="3"/>
  <c r="CG3" i="15"/>
  <c r="CG4" i="15" s="1"/>
  <c r="CG22" i="17"/>
  <c r="CG54" i="15"/>
  <c r="CG56" i="15" s="1"/>
  <c r="CG6" i="17"/>
  <c r="CG164" i="21"/>
  <c r="CG3" i="27"/>
  <c r="CG212" i="25"/>
  <c r="CG157" i="25"/>
  <c r="CG5" i="23"/>
  <c r="CG329" i="3"/>
  <c r="CG208" i="3"/>
  <c r="CG85" i="3"/>
  <c r="CG21" i="3"/>
  <c r="BE102" i="25"/>
  <c r="BE75" i="25"/>
  <c r="BE78" i="25" s="1"/>
  <c r="BE23" i="25"/>
  <c r="BE91" i="25"/>
  <c r="BE105" i="25" s="1"/>
  <c r="BE27" i="25"/>
  <c r="CF74" i="17"/>
  <c r="CF64" i="17"/>
  <c r="CF61" i="17"/>
  <c r="CF77" i="17"/>
  <c r="CF76" i="17"/>
  <c r="CF54" i="17"/>
  <c r="CF62" i="17"/>
  <c r="CF75" i="17"/>
  <c r="CF56" i="17"/>
  <c r="CF68" i="17"/>
  <c r="CF59" i="17"/>
  <c r="CF67" i="17"/>
  <c r="CF55" i="17"/>
  <c r="CF73" i="17"/>
  <c r="CF65" i="17"/>
  <c r="CF70" i="17"/>
  <c r="CF60" i="17"/>
  <c r="CF58" i="17"/>
  <c r="CF66" i="17"/>
  <c r="CF72" i="17"/>
  <c r="CF57" i="17"/>
  <c r="CF71" i="17"/>
  <c r="CF52" i="17"/>
  <c r="CF69" i="17"/>
  <c r="CF53" i="17"/>
  <c r="CF63" i="17"/>
  <c r="BW162" i="25" l="1"/>
  <c r="BP111" i="27"/>
  <c r="BP320" i="3"/>
  <c r="BQ103" i="3"/>
  <c r="BP305" i="3"/>
  <c r="BP303" i="3" s="1"/>
  <c r="BO309" i="3"/>
  <c r="BO322" i="3"/>
  <c r="BO323" i="3" s="1"/>
  <c r="BP267" i="3"/>
  <c r="BQ223" i="3"/>
  <c r="BQ198" i="3"/>
  <c r="BR185" i="3"/>
  <c r="BR192" i="3" s="1"/>
  <c r="BP79" i="27"/>
  <c r="BQ74" i="27" s="1"/>
  <c r="BQ75" i="27" s="1"/>
  <c r="BW194" i="25"/>
  <c r="BP105" i="3"/>
  <c r="BP212" i="3"/>
  <c r="BP114" i="27"/>
  <c r="BW160" i="25"/>
  <c r="BW192" i="25"/>
  <c r="BW161" i="25"/>
  <c r="BW164" i="25" s="1"/>
  <c r="BX159" i="25" s="1"/>
  <c r="BX162" i="25" s="1"/>
  <c r="BV198" i="25"/>
  <c r="BV199" i="25" s="1"/>
  <c r="BV54" i="25" s="1"/>
  <c r="BU35" i="25"/>
  <c r="BU49" i="3"/>
  <c r="BU76" i="3" s="1"/>
  <c r="CF32" i="27"/>
  <c r="CF36" i="27"/>
  <c r="CF64" i="27"/>
  <c r="AY172" i="3"/>
  <c r="AY105" i="15" s="1"/>
  <c r="AY104" i="15"/>
  <c r="BY115" i="21"/>
  <c r="BZ110" i="21" s="1"/>
  <c r="BZ113" i="21" s="1"/>
  <c r="BY147" i="21"/>
  <c r="BY150" i="21" s="1"/>
  <c r="BY151" i="21" s="1"/>
  <c r="CG46" i="3"/>
  <c r="CG73" i="3" s="1"/>
  <c r="CG34" i="27"/>
  <c r="CG25" i="27"/>
  <c r="CH63" i="27"/>
  <c r="CH70" i="27" s="1"/>
  <c r="CI60" i="27"/>
  <c r="CH67" i="27"/>
  <c r="CH27" i="27"/>
  <c r="CH23" i="27"/>
  <c r="CH54" i="27"/>
  <c r="CH57" i="27" s="1"/>
  <c r="AZ177" i="3"/>
  <c r="CH7" i="3"/>
  <c r="CI6" i="3"/>
  <c r="CH72" i="27"/>
  <c r="CH57" i="23"/>
  <c r="CH108" i="25"/>
  <c r="BF88" i="25"/>
  <c r="BF19" i="25"/>
  <c r="BF64" i="25"/>
  <c r="CF78" i="17"/>
  <c r="CF80" i="17" s="1"/>
  <c r="BE48" i="3"/>
  <c r="BE25" i="25"/>
  <c r="BE34" i="25"/>
  <c r="CH21" i="15"/>
  <c r="CH83" i="17"/>
  <c r="CH49" i="17"/>
  <c r="CH206" i="25"/>
  <c r="CH158" i="21"/>
  <c r="CH6" i="15"/>
  <c r="CH5" i="21"/>
  <c r="CH108" i="21"/>
  <c r="CH313" i="3"/>
  <c r="CH164" i="3"/>
  <c r="CH145" i="3"/>
  <c r="CI3" i="3"/>
  <c r="CH95" i="15"/>
  <c r="CH29" i="17"/>
  <c r="CH212" i="25"/>
  <c r="CH37" i="17"/>
  <c r="CH3" i="17"/>
  <c r="CH4" i="17" s="1"/>
  <c r="CH157" i="25"/>
  <c r="CH5" i="25"/>
  <c r="CH5" i="27"/>
  <c r="CH19" i="21"/>
  <c r="CH300" i="3"/>
  <c r="CH208" i="3"/>
  <c r="CH85" i="3"/>
  <c r="CH68" i="3"/>
  <c r="CH54" i="15"/>
  <c r="CH56" i="15" s="1"/>
  <c r="CH6" i="17"/>
  <c r="CH3" i="15"/>
  <c r="CH4" i="15" s="1"/>
  <c r="CH22" i="17"/>
  <c r="CH3" i="25"/>
  <c r="CH17" i="27"/>
  <c r="CH17" i="23"/>
  <c r="CH3" i="21"/>
  <c r="CH253" i="3"/>
  <c r="CH200" i="3"/>
  <c r="CH41" i="3"/>
  <c r="CH21" i="3"/>
  <c r="CH69" i="15"/>
  <c r="CH218" i="25"/>
  <c r="CH17" i="25"/>
  <c r="CH5" i="23"/>
  <c r="CH3" i="27"/>
  <c r="CH164" i="21"/>
  <c r="CH329" i="3"/>
  <c r="CH182" i="3"/>
  <c r="CH153" i="3"/>
  <c r="CH9" i="3"/>
  <c r="BG112" i="25"/>
  <c r="BG111" i="25"/>
  <c r="BG113" i="25"/>
  <c r="CG57" i="15"/>
  <c r="CG76" i="15"/>
  <c r="CG78" i="15" s="1"/>
  <c r="BE61" i="3"/>
  <c r="BE87" i="17"/>
  <c r="CG71" i="17"/>
  <c r="CG59" i="17"/>
  <c r="CG75" i="17"/>
  <c r="CG63" i="17"/>
  <c r="CG70" i="17"/>
  <c r="CG74" i="17"/>
  <c r="CG53" i="17"/>
  <c r="CG72" i="17"/>
  <c r="CG69" i="17"/>
  <c r="CG76" i="17"/>
  <c r="CG55" i="17"/>
  <c r="CG65" i="17"/>
  <c r="CG66" i="17"/>
  <c r="CG64" i="17"/>
  <c r="CG62" i="17"/>
  <c r="CG68" i="17"/>
  <c r="CG52" i="17"/>
  <c r="CG56" i="17"/>
  <c r="CG58" i="17"/>
  <c r="CG54" i="17"/>
  <c r="CG67" i="17"/>
  <c r="CG57" i="17"/>
  <c r="CG60" i="17"/>
  <c r="CG77" i="17"/>
  <c r="CG73" i="17"/>
  <c r="CG61" i="17"/>
  <c r="CF81" i="15"/>
  <c r="CF86" i="15" s="1"/>
  <c r="CF79" i="15"/>
  <c r="CF84" i="15" s="1"/>
  <c r="CF80" i="15"/>
  <c r="CF85" i="15" s="1"/>
  <c r="CE87" i="15"/>
  <c r="BW195" i="25" l="1"/>
  <c r="BW197" i="25"/>
  <c r="BW198" i="25" s="1"/>
  <c r="BW199" i="25" s="1"/>
  <c r="BW54" i="25" s="1"/>
  <c r="BW20" i="25" s="1"/>
  <c r="BW29" i="3" s="1"/>
  <c r="BS185" i="3"/>
  <c r="BS192" i="3" s="1"/>
  <c r="BP309" i="3"/>
  <c r="BP322" i="3"/>
  <c r="BP323" i="3" s="1"/>
  <c r="BQ265" i="3"/>
  <c r="BQ304" i="3"/>
  <c r="BQ211" i="3"/>
  <c r="BQ104" i="3"/>
  <c r="BP115" i="27"/>
  <c r="BP116" i="27" s="1"/>
  <c r="BQ77" i="27"/>
  <c r="BQ108" i="27"/>
  <c r="BQ110" i="27"/>
  <c r="BQ109" i="27"/>
  <c r="BQ76" i="27"/>
  <c r="BQ111" i="27" s="1"/>
  <c r="BS193" i="3"/>
  <c r="BS246" i="3" s="1"/>
  <c r="BR194" i="3"/>
  <c r="BR247" i="3"/>
  <c r="BR248" i="3" s="1"/>
  <c r="BQ64" i="15"/>
  <c r="BQ230" i="3"/>
  <c r="BV20" i="25"/>
  <c r="BV29" i="3" s="1"/>
  <c r="BV81" i="25"/>
  <c r="BX161" i="25"/>
  <c r="BX195" i="25" s="1"/>
  <c r="BX194" i="25"/>
  <c r="BX193" i="25"/>
  <c r="BX192" i="25"/>
  <c r="BX160" i="25"/>
  <c r="BG115" i="25"/>
  <c r="BG143" i="25" s="1"/>
  <c r="CJ60" i="27"/>
  <c r="CI67" i="27"/>
  <c r="CI63" i="27"/>
  <c r="CI70" i="27" s="1"/>
  <c r="CI23" i="27"/>
  <c r="CI27" i="27"/>
  <c r="CI54" i="27"/>
  <c r="CI57" i="27" s="1"/>
  <c r="CG64" i="27"/>
  <c r="CG36" i="27"/>
  <c r="CG32" i="27"/>
  <c r="BZ112" i="21"/>
  <c r="BZ147" i="21" s="1"/>
  <c r="BZ144" i="21"/>
  <c r="BZ146" i="21"/>
  <c r="BZ145" i="21"/>
  <c r="BZ111" i="21"/>
  <c r="AZ168" i="3"/>
  <c r="AZ170" i="3" s="1"/>
  <c r="AZ179" i="3"/>
  <c r="AZ180" i="3"/>
  <c r="CH34" i="27"/>
  <c r="CH46" i="3"/>
  <c r="CH73" i="3" s="1"/>
  <c r="CH25" i="27"/>
  <c r="AY114" i="15"/>
  <c r="AY113" i="15"/>
  <c r="CJ6" i="3"/>
  <c r="CI57" i="23"/>
  <c r="CI7" i="3"/>
  <c r="CI72" i="27"/>
  <c r="CI108" i="25"/>
  <c r="CG80" i="15"/>
  <c r="CG85" i="15" s="1"/>
  <c r="CG81" i="15"/>
  <c r="CG86" i="15" s="1"/>
  <c r="CG79" i="15"/>
  <c r="CG84" i="15" s="1"/>
  <c r="CH76" i="15"/>
  <c r="CH78" i="15" s="1"/>
  <c r="CH57" i="15"/>
  <c r="BE75" i="3"/>
  <c r="BF21" i="25"/>
  <c r="BF65" i="25" s="1"/>
  <c r="BF28" i="3"/>
  <c r="BF102" i="25"/>
  <c r="BF75" i="25"/>
  <c r="BF78" i="25" s="1"/>
  <c r="BF23" i="25"/>
  <c r="BF91" i="25"/>
  <c r="BF105" i="25" s="1"/>
  <c r="BF27" i="25"/>
  <c r="CG78" i="17"/>
  <c r="CG80" i="17" s="1"/>
  <c r="BG146" i="25"/>
  <c r="CI212" i="25"/>
  <c r="CI95" i="15"/>
  <c r="CI29" i="17"/>
  <c r="CI3" i="27"/>
  <c r="CI218" i="25"/>
  <c r="CI17" i="23"/>
  <c r="CI19" i="21"/>
  <c r="CI17" i="25"/>
  <c r="CI253" i="3"/>
  <c r="CI164" i="3"/>
  <c r="CI68" i="3"/>
  <c r="CJ3" i="3"/>
  <c r="CI6" i="15"/>
  <c r="CI54" i="15"/>
  <c r="CI56" i="15" s="1"/>
  <c r="CI6" i="17"/>
  <c r="CI5" i="21"/>
  <c r="CI157" i="25"/>
  <c r="CI5" i="23"/>
  <c r="CI3" i="15"/>
  <c r="CI4" i="15" s="1"/>
  <c r="CI158" i="21"/>
  <c r="CI329" i="3"/>
  <c r="CI208" i="3"/>
  <c r="CI85" i="3"/>
  <c r="CI21" i="3"/>
  <c r="CI69" i="15"/>
  <c r="CI3" i="17"/>
  <c r="CI4" i="17" s="1"/>
  <c r="CI5" i="25"/>
  <c r="CI164" i="21"/>
  <c r="CI3" i="25"/>
  <c r="CI3" i="21"/>
  <c r="CI49" i="17"/>
  <c r="CI313" i="3"/>
  <c r="CI200" i="3"/>
  <c r="CI153" i="3"/>
  <c r="CI41" i="3"/>
  <c r="CI83" i="17"/>
  <c r="CI21" i="15"/>
  <c r="CI17" i="27"/>
  <c r="CI108" i="21"/>
  <c r="CI5" i="27"/>
  <c r="CI22" i="17"/>
  <c r="CI206" i="25"/>
  <c r="CI37" i="17"/>
  <c r="CI300" i="3"/>
  <c r="CI182" i="3"/>
  <c r="CI145" i="3"/>
  <c r="CI9" i="3"/>
  <c r="CF87" i="15"/>
  <c r="CH67" i="17"/>
  <c r="CH70" i="17"/>
  <c r="CH60" i="17"/>
  <c r="CH58" i="17"/>
  <c r="CH66" i="17"/>
  <c r="CH72" i="17"/>
  <c r="CH59" i="17"/>
  <c r="CH71" i="17"/>
  <c r="CH52" i="17"/>
  <c r="CH57" i="17"/>
  <c r="CH55" i="17"/>
  <c r="CH65" i="17"/>
  <c r="CH74" i="17"/>
  <c r="CH64" i="17"/>
  <c r="CH63" i="17"/>
  <c r="CH77" i="17"/>
  <c r="CH76" i="17"/>
  <c r="CH53" i="17"/>
  <c r="CH62" i="17"/>
  <c r="CH75" i="17"/>
  <c r="CH56" i="17"/>
  <c r="CH68" i="17"/>
  <c r="CH61" i="17"/>
  <c r="CH69" i="17"/>
  <c r="CH54" i="17"/>
  <c r="CH73" i="17"/>
  <c r="BE36" i="25"/>
  <c r="BE32" i="25"/>
  <c r="BE92" i="25"/>
  <c r="BQ114" i="27" l="1"/>
  <c r="BQ115" i="27" s="1"/>
  <c r="BQ116" i="27" s="1"/>
  <c r="BQ105" i="3"/>
  <c r="BQ212" i="3"/>
  <c r="BQ267" i="3"/>
  <c r="BR223" i="3"/>
  <c r="BR198" i="3"/>
  <c r="BQ79" i="27"/>
  <c r="BR74" i="27" s="1"/>
  <c r="BQ63" i="15"/>
  <c r="BQ320" i="3"/>
  <c r="BR103" i="3"/>
  <c r="BQ305" i="3"/>
  <c r="BQ303" i="3" s="1"/>
  <c r="BT193" i="3"/>
  <c r="BS194" i="3"/>
  <c r="BS247" i="3"/>
  <c r="BS248" i="3" s="1"/>
  <c r="BH110" i="25"/>
  <c r="BH111" i="25" s="1"/>
  <c r="BX197" i="25"/>
  <c r="BX198" i="25" s="1"/>
  <c r="BX199" i="25" s="1"/>
  <c r="BX54" i="25" s="1"/>
  <c r="BV24" i="25"/>
  <c r="BV95" i="25"/>
  <c r="BV68" i="25"/>
  <c r="BW81" i="25"/>
  <c r="BX164" i="25"/>
  <c r="BY159" i="25" s="1"/>
  <c r="BY160" i="25" s="1"/>
  <c r="BZ150" i="21"/>
  <c r="BZ151" i="21" s="1"/>
  <c r="AZ106" i="15"/>
  <c r="AZ173" i="3"/>
  <c r="AZ340" i="3" s="1"/>
  <c r="BA167" i="3"/>
  <c r="AZ171" i="3"/>
  <c r="CJ27" i="27"/>
  <c r="CJ23" i="27"/>
  <c r="CK60" i="27"/>
  <c r="CJ54" i="27"/>
  <c r="CJ57" i="27" s="1"/>
  <c r="CJ63" i="27"/>
  <c r="CJ70" i="27" s="1"/>
  <c r="CJ67" i="27"/>
  <c r="CH36" i="27"/>
  <c r="CH64" i="27"/>
  <c r="CH32" i="27"/>
  <c r="BZ115" i="21"/>
  <c r="CA110" i="21" s="1"/>
  <c r="CA111" i="21" s="1"/>
  <c r="CI34" i="27"/>
  <c r="CI25" i="27"/>
  <c r="CI46" i="3"/>
  <c r="CI73" i="3" s="1"/>
  <c r="CJ72" i="27"/>
  <c r="CJ108" i="25"/>
  <c r="CJ57" i="23"/>
  <c r="CJ7" i="3"/>
  <c r="CK6" i="3"/>
  <c r="CI76" i="15"/>
  <c r="CI78" i="15" s="1"/>
  <c r="CI57" i="15"/>
  <c r="CH78" i="17"/>
  <c r="CH80" i="17" s="1"/>
  <c r="BF25" i="25"/>
  <c r="BF48" i="3"/>
  <c r="BF34" i="25"/>
  <c r="CJ3" i="17"/>
  <c r="CJ4" i="17" s="1"/>
  <c r="CJ218" i="25"/>
  <c r="CJ212" i="25"/>
  <c r="CJ17" i="23"/>
  <c r="CJ6" i="17"/>
  <c r="CJ54" i="15"/>
  <c r="CJ56" i="15" s="1"/>
  <c r="CJ17" i="27"/>
  <c r="CJ158" i="21"/>
  <c r="CJ253" i="3"/>
  <c r="CJ200" i="3"/>
  <c r="CJ41" i="3"/>
  <c r="CJ21" i="3"/>
  <c r="CJ49" i="17"/>
  <c r="CJ206" i="25"/>
  <c r="CJ21" i="15"/>
  <c r="CJ5" i="23"/>
  <c r="CJ164" i="21"/>
  <c r="CJ3" i="27"/>
  <c r="CJ329" i="3"/>
  <c r="CJ182" i="3"/>
  <c r="CJ153" i="3"/>
  <c r="CJ9" i="3"/>
  <c r="CJ157" i="25"/>
  <c r="CJ37" i="17"/>
  <c r="CJ69" i="15"/>
  <c r="CJ3" i="25"/>
  <c r="CJ3" i="21"/>
  <c r="CJ108" i="21"/>
  <c r="CJ17" i="25"/>
  <c r="CJ5" i="21"/>
  <c r="CJ6" i="15"/>
  <c r="CJ3" i="15"/>
  <c r="CJ4" i="15" s="1"/>
  <c r="CJ22" i="17"/>
  <c r="CJ83" i="17"/>
  <c r="CJ5" i="27"/>
  <c r="CJ29" i="17"/>
  <c r="CJ19" i="21"/>
  <c r="CJ5" i="25"/>
  <c r="CJ95" i="15"/>
  <c r="CJ300" i="3"/>
  <c r="CJ208" i="3"/>
  <c r="CJ85" i="3"/>
  <c r="CJ68" i="3"/>
  <c r="CJ145" i="3"/>
  <c r="CK3" i="3"/>
  <c r="CJ313" i="3"/>
  <c r="CJ164" i="3"/>
  <c r="CG87" i="15"/>
  <c r="BG149" i="25"/>
  <c r="BG150" i="25" s="1"/>
  <c r="BG61" i="25" s="1"/>
  <c r="CI69" i="17"/>
  <c r="CI57" i="17"/>
  <c r="CI73" i="17"/>
  <c r="CI61" i="17"/>
  <c r="CI68" i="17"/>
  <c r="CI72" i="17"/>
  <c r="CI70" i="17"/>
  <c r="CI76" i="17"/>
  <c r="CI74" i="17"/>
  <c r="CI53" i="17"/>
  <c r="CI63" i="17"/>
  <c r="CI64" i="17"/>
  <c r="CI56" i="17"/>
  <c r="CI77" i="17"/>
  <c r="CI65" i="17"/>
  <c r="CI55" i="17"/>
  <c r="CI58" i="17"/>
  <c r="CI75" i="17"/>
  <c r="CI71" i="17"/>
  <c r="CI59" i="17"/>
  <c r="CI66" i="17"/>
  <c r="CI54" i="17"/>
  <c r="CI62" i="17"/>
  <c r="CI52" i="17"/>
  <c r="CI60" i="17"/>
  <c r="CI67" i="17"/>
  <c r="BF61" i="3"/>
  <c r="BF87" i="17"/>
  <c r="CH79" i="15"/>
  <c r="CH84" i="15" s="1"/>
  <c r="CH80" i="15"/>
  <c r="CH85" i="15" s="1"/>
  <c r="CH81" i="15"/>
  <c r="CH86" i="15" s="1"/>
  <c r="BH112" i="25"/>
  <c r="BR265" i="3" l="1"/>
  <c r="BS223" i="3"/>
  <c r="BS198" i="3"/>
  <c r="BS103" i="3"/>
  <c r="BR305" i="3"/>
  <c r="BR303" i="3" s="1"/>
  <c r="BS265" i="3"/>
  <c r="BR320" i="3"/>
  <c r="BR211" i="3"/>
  <c r="BR304" i="3"/>
  <c r="BH113" i="25"/>
  <c r="BH146" i="25" s="1"/>
  <c r="BT246" i="3"/>
  <c r="BR108" i="27"/>
  <c r="BR76" i="27"/>
  <c r="BR109" i="27"/>
  <c r="BR110" i="27"/>
  <c r="BR75" i="27"/>
  <c r="BR64" i="15"/>
  <c r="BR230" i="3"/>
  <c r="BQ322" i="3"/>
  <c r="BQ323" i="3" s="1"/>
  <c r="BQ309" i="3"/>
  <c r="BR104" i="3"/>
  <c r="BR77" i="27"/>
  <c r="BR111" i="27" s="1"/>
  <c r="BR114" i="27" s="1"/>
  <c r="BW24" i="25"/>
  <c r="BW68" i="25"/>
  <c r="BW95" i="25"/>
  <c r="BY193" i="25"/>
  <c r="BY192" i="25"/>
  <c r="BY194" i="25"/>
  <c r="BY161" i="25"/>
  <c r="BY162" i="25"/>
  <c r="BV35" i="25"/>
  <c r="BV49" i="3"/>
  <c r="BV76" i="3" s="1"/>
  <c r="BX20" i="25"/>
  <c r="BX29" i="3" s="1"/>
  <c r="BX81" i="25"/>
  <c r="CL60" i="27"/>
  <c r="CK63" i="27"/>
  <c r="CK70" i="27" s="1"/>
  <c r="CK54" i="27"/>
  <c r="CK57" i="27" s="1"/>
  <c r="CK23" i="27"/>
  <c r="CK27" i="27"/>
  <c r="CK67" i="27"/>
  <c r="BA177" i="3"/>
  <c r="CI64" i="27"/>
  <c r="CI32" i="27"/>
  <c r="CI36" i="27"/>
  <c r="CA146" i="21"/>
  <c r="CA145" i="21"/>
  <c r="CA112" i="21"/>
  <c r="CA144" i="21"/>
  <c r="CA113" i="21"/>
  <c r="CJ46" i="3"/>
  <c r="CJ73" i="3" s="1"/>
  <c r="CJ34" i="27"/>
  <c r="CJ25" i="27"/>
  <c r="AZ172" i="3"/>
  <c r="AZ105" i="15" s="1"/>
  <c r="AZ104" i="15"/>
  <c r="CK72" i="27"/>
  <c r="CK7" i="3"/>
  <c r="CK108" i="25"/>
  <c r="CL6" i="3"/>
  <c r="CK57" i="23"/>
  <c r="CI78" i="17"/>
  <c r="CI80" i="17" s="1"/>
  <c r="CJ76" i="15"/>
  <c r="CJ78" i="15" s="1"/>
  <c r="CJ57" i="15"/>
  <c r="BF92" i="25"/>
  <c r="BF32" i="25"/>
  <c r="BF36" i="25"/>
  <c r="CI80" i="15"/>
  <c r="CI85" i="15" s="1"/>
  <c r="CI81" i="15"/>
  <c r="CI86" i="15" s="1"/>
  <c r="CI79" i="15"/>
  <c r="CI84" i="15" s="1"/>
  <c r="BG88" i="25"/>
  <c r="BG19" i="25"/>
  <c r="BG64" i="25"/>
  <c r="CK3" i="15"/>
  <c r="CK4" i="15" s="1"/>
  <c r="CK22" i="17"/>
  <c r="CK54" i="15"/>
  <c r="CK56" i="15" s="1"/>
  <c r="CK6" i="17"/>
  <c r="CK83" i="17"/>
  <c r="CK19" i="21"/>
  <c r="CK17" i="25"/>
  <c r="CK3" i="25"/>
  <c r="CK3" i="21"/>
  <c r="CK253" i="3"/>
  <c r="CK164" i="3"/>
  <c r="CK68" i="3"/>
  <c r="CL3" i="3"/>
  <c r="CK218" i="25"/>
  <c r="CK6" i="15"/>
  <c r="CK157" i="25"/>
  <c r="CK17" i="27"/>
  <c r="CK158" i="21"/>
  <c r="CK5" i="27"/>
  <c r="CK5" i="25"/>
  <c r="CK329" i="3"/>
  <c r="CK208" i="3"/>
  <c r="CK85" i="3"/>
  <c r="CK21" i="3"/>
  <c r="CK37" i="17"/>
  <c r="CK95" i="15"/>
  <c r="CK29" i="17"/>
  <c r="CK108" i="21"/>
  <c r="CK212" i="25"/>
  <c r="CK3" i="27"/>
  <c r="CK5" i="23"/>
  <c r="CK300" i="3"/>
  <c r="CK182" i="3"/>
  <c r="CK145" i="3"/>
  <c r="CK9" i="3"/>
  <c r="CK206" i="25"/>
  <c r="CK5" i="21"/>
  <c r="CK200" i="3"/>
  <c r="CK21" i="15"/>
  <c r="CK69" i="15"/>
  <c r="CK153" i="3"/>
  <c r="CK3" i="17"/>
  <c r="CK4" i="17" s="1"/>
  <c r="CK17" i="23"/>
  <c r="CK41" i="3"/>
  <c r="CK49" i="17"/>
  <c r="CK164" i="21"/>
  <c r="CK313" i="3"/>
  <c r="CJ57" i="17"/>
  <c r="CJ71" i="17"/>
  <c r="CJ52" i="17"/>
  <c r="CJ73" i="17"/>
  <c r="CJ66" i="17"/>
  <c r="CJ62" i="17"/>
  <c r="CJ74" i="17"/>
  <c r="CJ64" i="17"/>
  <c r="CJ61" i="17"/>
  <c r="CJ77" i="17"/>
  <c r="CJ54" i="17"/>
  <c r="CJ55" i="17"/>
  <c r="CJ53" i="17"/>
  <c r="CJ65" i="17"/>
  <c r="CJ70" i="17"/>
  <c r="CJ60" i="17"/>
  <c r="CJ58" i="17"/>
  <c r="CJ67" i="17"/>
  <c r="CJ63" i="17"/>
  <c r="CJ56" i="17"/>
  <c r="CJ72" i="17"/>
  <c r="CJ68" i="17"/>
  <c r="CJ69" i="17"/>
  <c r="CJ59" i="17"/>
  <c r="CJ75" i="17"/>
  <c r="CJ76" i="17"/>
  <c r="CH87" i="15"/>
  <c r="BH115" i="25"/>
  <c r="BF75" i="3"/>
  <c r="BS304" i="3" l="1"/>
  <c r="BR79" i="27"/>
  <c r="BS74" i="27" s="1"/>
  <c r="BR115" i="27"/>
  <c r="BR116" i="27" s="1"/>
  <c r="BS305" i="3"/>
  <c r="BS303" i="3" s="1"/>
  <c r="BS320" i="3"/>
  <c r="BT103" i="3"/>
  <c r="BS211" i="3"/>
  <c r="BS230" i="3"/>
  <c r="BS64" i="15"/>
  <c r="BR105" i="3"/>
  <c r="BS104" i="3"/>
  <c r="BR212" i="3"/>
  <c r="BR267" i="3"/>
  <c r="BT185" i="3"/>
  <c r="BT192" i="3" s="1"/>
  <c r="BS75" i="27"/>
  <c r="BR63" i="15"/>
  <c r="CA147" i="21"/>
  <c r="CA150" i="21" s="1"/>
  <c r="CA151" i="21" s="1"/>
  <c r="BY164" i="25"/>
  <c r="BZ159" i="25" s="1"/>
  <c r="BZ193" i="25" s="1"/>
  <c r="BX95" i="25"/>
  <c r="BX68" i="25"/>
  <c r="BX24" i="25"/>
  <c r="BY195" i="25"/>
  <c r="BY197" i="25" s="1"/>
  <c r="BW35" i="25"/>
  <c r="BW49" i="3"/>
  <c r="BW76" i="3" s="1"/>
  <c r="CJ64" i="27"/>
  <c r="CJ32" i="27"/>
  <c r="CJ36" i="27"/>
  <c r="BA168" i="3"/>
  <c r="BA170" i="3" s="1"/>
  <c r="BA180" i="3"/>
  <c r="BA179" i="3"/>
  <c r="CK25" i="27"/>
  <c r="CK46" i="3"/>
  <c r="CK73" i="3" s="1"/>
  <c r="CK34" i="27"/>
  <c r="AZ113" i="15"/>
  <c r="AZ114" i="15"/>
  <c r="CA115" i="21"/>
  <c r="CB110" i="21" s="1"/>
  <c r="CL54" i="27"/>
  <c r="CL57" i="27" s="1"/>
  <c r="CL27" i="27"/>
  <c r="CL23" i="27"/>
  <c r="CL67" i="27"/>
  <c r="CL63" i="27"/>
  <c r="CL70" i="27" s="1"/>
  <c r="CM60" i="27"/>
  <c r="CL7" i="3"/>
  <c r="CL57" i="23"/>
  <c r="CL72" i="27"/>
  <c r="CM6" i="3"/>
  <c r="CL108" i="25"/>
  <c r="BI110" i="25"/>
  <c r="BH143" i="25"/>
  <c r="BH149" i="25" s="1"/>
  <c r="BH150" i="25" s="1"/>
  <c r="BH61" i="25" s="1"/>
  <c r="BG102" i="25"/>
  <c r="BG75" i="25"/>
  <c r="BG78" i="25" s="1"/>
  <c r="BG23" i="25"/>
  <c r="BG27" i="25"/>
  <c r="BG91" i="25"/>
  <c r="BG105" i="25" s="1"/>
  <c r="CK57" i="15"/>
  <c r="CK76" i="15"/>
  <c r="CK78" i="15" s="1"/>
  <c r="CJ78" i="17"/>
  <c r="CJ80" i="17" s="1"/>
  <c r="CI87" i="15"/>
  <c r="CJ81" i="15"/>
  <c r="CJ86" i="15" s="1"/>
  <c r="CJ79" i="15"/>
  <c r="CJ84" i="15" s="1"/>
  <c r="CJ80" i="15"/>
  <c r="CJ85" i="15" s="1"/>
  <c r="CK76" i="17"/>
  <c r="CK55" i="17"/>
  <c r="CK71" i="17"/>
  <c r="CK59" i="17"/>
  <c r="CK61" i="17"/>
  <c r="CK62" i="17"/>
  <c r="CK68" i="17"/>
  <c r="CK74" i="17"/>
  <c r="CK72" i="17"/>
  <c r="CK56" i="17"/>
  <c r="CK77" i="17"/>
  <c r="CK65" i="17"/>
  <c r="CK54" i="17"/>
  <c r="CK60" i="17"/>
  <c r="CK58" i="17"/>
  <c r="CK64" i="17"/>
  <c r="CK73" i="17"/>
  <c r="CK69" i="17"/>
  <c r="CK57" i="17"/>
  <c r="CK75" i="17"/>
  <c r="CK63" i="17"/>
  <c r="CK53" i="17"/>
  <c r="CK67" i="17"/>
  <c r="CK66" i="17"/>
  <c r="CK70" i="17"/>
  <c r="CK52" i="17"/>
  <c r="CL95" i="15"/>
  <c r="CL29" i="17"/>
  <c r="CL212" i="25"/>
  <c r="CL37" i="17"/>
  <c r="CL6" i="15"/>
  <c r="CL5" i="25"/>
  <c r="CL17" i="23"/>
  <c r="CL157" i="25"/>
  <c r="CL3" i="25"/>
  <c r="CL313" i="3"/>
  <c r="CL164" i="3"/>
  <c r="CL145" i="3"/>
  <c r="CM3" i="3"/>
  <c r="CL54" i="15"/>
  <c r="CL56" i="15" s="1"/>
  <c r="CL6" i="17"/>
  <c r="CL3" i="15"/>
  <c r="CL4" i="15" s="1"/>
  <c r="CL22" i="17"/>
  <c r="CL17" i="25"/>
  <c r="CL17" i="27"/>
  <c r="CL3" i="21"/>
  <c r="CL164" i="21"/>
  <c r="CL5" i="23"/>
  <c r="CL300" i="3"/>
  <c r="CL208" i="3"/>
  <c r="CL85" i="3"/>
  <c r="CL68" i="3"/>
  <c r="CL69" i="15"/>
  <c r="CL218" i="25"/>
  <c r="CL158" i="21"/>
  <c r="CL3" i="27"/>
  <c r="CL3" i="17"/>
  <c r="CL4" i="17" s="1"/>
  <c r="CL108" i="21"/>
  <c r="CL253" i="3"/>
  <c r="CL200" i="3"/>
  <c r="CL41" i="3"/>
  <c r="CL21" i="3"/>
  <c r="CL21" i="15"/>
  <c r="CL83" i="17"/>
  <c r="CL49" i="17"/>
  <c r="CL206" i="25"/>
  <c r="CL5" i="27"/>
  <c r="CL5" i="21"/>
  <c r="CL19" i="21"/>
  <c r="CL329" i="3"/>
  <c r="CL182" i="3"/>
  <c r="CL153" i="3"/>
  <c r="CL9" i="3"/>
  <c r="BG28" i="3"/>
  <c r="BG21" i="25"/>
  <c r="BG65" i="25" s="1"/>
  <c r="BU185" i="3" l="1"/>
  <c r="BU192" i="3" s="1"/>
  <c r="BS267" i="3"/>
  <c r="BR322" i="3"/>
  <c r="BR323" i="3" s="1"/>
  <c r="BR309" i="3"/>
  <c r="BS105" i="3"/>
  <c r="BS212" i="3"/>
  <c r="BT104" i="3"/>
  <c r="BS63" i="15"/>
  <c r="BT304" i="3"/>
  <c r="BT211" i="3"/>
  <c r="BS77" i="27"/>
  <c r="BS110" i="27"/>
  <c r="BS76" i="27"/>
  <c r="BS108" i="27"/>
  <c r="BS109" i="27"/>
  <c r="BT247" i="3"/>
  <c r="BT248" i="3" s="1"/>
  <c r="BT194" i="3"/>
  <c r="BU193" i="3"/>
  <c r="BU246" i="3" s="1"/>
  <c r="BZ162" i="25"/>
  <c r="BZ192" i="25"/>
  <c r="BZ194" i="25"/>
  <c r="BY198" i="25"/>
  <c r="BY199" i="25" s="1"/>
  <c r="BY54" i="25" s="1"/>
  <c r="BY20" i="25" s="1"/>
  <c r="BY29" i="3" s="1"/>
  <c r="BZ160" i="25"/>
  <c r="BZ161" i="25"/>
  <c r="BX49" i="3"/>
  <c r="BX76" i="3" s="1"/>
  <c r="BX35" i="25"/>
  <c r="CL46" i="3"/>
  <c r="CL73" i="3" s="1"/>
  <c r="CL25" i="27"/>
  <c r="CL34" i="27"/>
  <c r="CB113" i="21"/>
  <c r="CB112" i="21"/>
  <c r="CB145" i="21"/>
  <c r="CB146" i="21"/>
  <c r="CB144" i="21"/>
  <c r="CB111" i="21"/>
  <c r="CK64" i="27"/>
  <c r="CK32" i="27"/>
  <c r="CK36" i="27"/>
  <c r="BA106" i="15"/>
  <c r="BB167" i="3"/>
  <c r="BA173" i="3"/>
  <c r="BA340" i="3" s="1"/>
  <c r="BA171" i="3"/>
  <c r="CM23" i="27"/>
  <c r="CM27" i="27"/>
  <c r="CM54" i="27"/>
  <c r="CM57" i="27" s="1"/>
  <c r="CM63" i="27"/>
  <c r="CM70" i="27" s="1"/>
  <c r="CN60" i="27"/>
  <c r="CM67" i="27"/>
  <c r="CM108" i="25"/>
  <c r="CM57" i="23"/>
  <c r="CM72" i="27"/>
  <c r="CN6" i="3"/>
  <c r="CM7" i="3"/>
  <c r="CL57" i="15"/>
  <c r="CL76" i="15"/>
  <c r="CL78" i="15" s="1"/>
  <c r="CK81" i="15"/>
  <c r="CK86" i="15" s="1"/>
  <c r="CK80" i="15"/>
  <c r="CK85" i="15" s="1"/>
  <c r="CK79" i="15"/>
  <c r="CK84" i="15" s="1"/>
  <c r="BI112" i="25"/>
  <c r="BI111" i="25"/>
  <c r="BI113" i="25"/>
  <c r="CM212" i="25"/>
  <c r="CM95" i="15"/>
  <c r="CM29" i="17"/>
  <c r="CM17" i="27"/>
  <c r="CM108" i="21"/>
  <c r="CM3" i="25"/>
  <c r="CM3" i="21"/>
  <c r="CM164" i="21"/>
  <c r="CM329" i="3"/>
  <c r="CM208" i="3"/>
  <c r="CM85" i="3"/>
  <c r="CM21" i="3"/>
  <c r="CM6" i="15"/>
  <c r="CM54" i="15"/>
  <c r="CM56" i="15" s="1"/>
  <c r="CM6" i="17"/>
  <c r="CM3" i="27"/>
  <c r="CM49" i="17"/>
  <c r="CM5" i="27"/>
  <c r="CM3" i="15"/>
  <c r="CM4" i="15" s="1"/>
  <c r="CM19" i="21"/>
  <c r="CM313" i="3"/>
  <c r="CM200" i="3"/>
  <c r="CM153" i="3"/>
  <c r="CM41" i="3"/>
  <c r="CM69" i="15"/>
  <c r="CM3" i="17"/>
  <c r="CM4" i="17" s="1"/>
  <c r="CM218" i="25"/>
  <c r="CM5" i="21"/>
  <c r="CM37" i="17"/>
  <c r="CM17" i="23"/>
  <c r="CM17" i="25"/>
  <c r="CM300" i="3"/>
  <c r="CM182" i="3"/>
  <c r="CM145" i="3"/>
  <c r="CM9" i="3"/>
  <c r="CM83" i="17"/>
  <c r="CM21" i="15"/>
  <c r="CM5" i="25"/>
  <c r="CM157" i="25"/>
  <c r="CM22" i="17"/>
  <c r="CM5" i="23"/>
  <c r="CM206" i="25"/>
  <c r="CM158" i="21"/>
  <c r="CM253" i="3"/>
  <c r="CM164" i="3"/>
  <c r="CM68" i="3"/>
  <c r="CN3" i="3"/>
  <c r="CJ87" i="15"/>
  <c r="BG61" i="3"/>
  <c r="BG87" i="17"/>
  <c r="CK78" i="17"/>
  <c r="CK80" i="17" s="1"/>
  <c r="BG25" i="25"/>
  <c r="BG34" i="25"/>
  <c r="BG48" i="3"/>
  <c r="CL74" i="17"/>
  <c r="CL64" i="17"/>
  <c r="CL63" i="17"/>
  <c r="CL77" i="17"/>
  <c r="CL76" i="17"/>
  <c r="CL72" i="17"/>
  <c r="CL53" i="17"/>
  <c r="CL75" i="17"/>
  <c r="CL56" i="17"/>
  <c r="CL68" i="17"/>
  <c r="CL61" i="17"/>
  <c r="CL69" i="17"/>
  <c r="CL65" i="17"/>
  <c r="CL57" i="17"/>
  <c r="CL67" i="17"/>
  <c r="CL70" i="17"/>
  <c r="CL60" i="17"/>
  <c r="CL58" i="17"/>
  <c r="CL66" i="17"/>
  <c r="CL62" i="17"/>
  <c r="CL59" i="17"/>
  <c r="CL71" i="17"/>
  <c r="CL52" i="17"/>
  <c r="CL54" i="17"/>
  <c r="CL73" i="17"/>
  <c r="CL55" i="17"/>
  <c r="BH88" i="25"/>
  <c r="BH19" i="25"/>
  <c r="BH64" i="25"/>
  <c r="BS111" i="27" l="1"/>
  <c r="BZ195" i="25"/>
  <c r="BY81" i="25"/>
  <c r="BS79" i="27"/>
  <c r="BT74" i="27" s="1"/>
  <c r="BT110" i="27" s="1"/>
  <c r="BS114" i="27"/>
  <c r="BS115" i="27" s="1"/>
  <c r="BS116" i="27" s="1"/>
  <c r="BT63" i="15"/>
  <c r="BT212" i="3"/>
  <c r="BT198" i="3"/>
  <c r="BT223" i="3"/>
  <c r="BT105" i="3"/>
  <c r="BS322" i="3"/>
  <c r="BS323" i="3" s="1"/>
  <c r="BS309" i="3"/>
  <c r="BT267" i="3"/>
  <c r="BV193" i="3"/>
  <c r="BV246" i="3" s="1"/>
  <c r="BU247" i="3"/>
  <c r="BU248" i="3" s="1"/>
  <c r="BU194" i="3"/>
  <c r="BZ164" i="25"/>
  <c r="CA159" i="25" s="1"/>
  <c r="CA161" i="25" s="1"/>
  <c r="BZ197" i="25"/>
  <c r="BZ198" i="25" s="1"/>
  <c r="BZ199" i="25" s="1"/>
  <c r="BZ54" i="25" s="1"/>
  <c r="BY68" i="25"/>
  <c r="BY24" i="25"/>
  <c r="BY95" i="25"/>
  <c r="CN54" i="27"/>
  <c r="CN57" i="27" s="1"/>
  <c r="CN67" i="27"/>
  <c r="CO60" i="27"/>
  <c r="CN27" i="27"/>
  <c r="CN23" i="27"/>
  <c r="CN63" i="27"/>
  <c r="CN70" i="27" s="1"/>
  <c r="CM25" i="27"/>
  <c r="CM46" i="3"/>
  <c r="CM73" i="3" s="1"/>
  <c r="CM34" i="27"/>
  <c r="CB115" i="21"/>
  <c r="CC110" i="21" s="1"/>
  <c r="CC111" i="21" s="1"/>
  <c r="CB147" i="21"/>
  <c r="CB150" i="21" s="1"/>
  <c r="CB151" i="21" s="1"/>
  <c r="CL36" i="27"/>
  <c r="CL64" i="27"/>
  <c r="CL32" i="27"/>
  <c r="BA104" i="15"/>
  <c r="BA172" i="3"/>
  <c r="BA105" i="15" s="1"/>
  <c r="BB177" i="3"/>
  <c r="CC113" i="21"/>
  <c r="CN72" i="27"/>
  <c r="CN7" i="3"/>
  <c r="CO6" i="3"/>
  <c r="CN57" i="23"/>
  <c r="CN108" i="25"/>
  <c r="CL78" i="17"/>
  <c r="CL80" i="17" s="1"/>
  <c r="BG75" i="3"/>
  <c r="CN3" i="17"/>
  <c r="CN4" i="17" s="1"/>
  <c r="CN218" i="25"/>
  <c r="CN212" i="25"/>
  <c r="CN5" i="27"/>
  <c r="CN95" i="15"/>
  <c r="CN108" i="21"/>
  <c r="CN17" i="27"/>
  <c r="CN158" i="21"/>
  <c r="CN253" i="3"/>
  <c r="CN200" i="3"/>
  <c r="CN41" i="3"/>
  <c r="CN21" i="3"/>
  <c r="CN49" i="17"/>
  <c r="CN206" i="25"/>
  <c r="CN29" i="17"/>
  <c r="CN17" i="23"/>
  <c r="CN54" i="15"/>
  <c r="CN56" i="15" s="1"/>
  <c r="CN19" i="21"/>
  <c r="CN3" i="27"/>
  <c r="CN329" i="3"/>
  <c r="CN182" i="3"/>
  <c r="CN153" i="3"/>
  <c r="CN9" i="3"/>
  <c r="CN157" i="25"/>
  <c r="CN37" i="17"/>
  <c r="CN69" i="15"/>
  <c r="CN6" i="17"/>
  <c r="CN5" i="23"/>
  <c r="CN21" i="15"/>
  <c r="CN5" i="21"/>
  <c r="CN313" i="3"/>
  <c r="CN164" i="3"/>
  <c r="CN145" i="3"/>
  <c r="CO3" i="3"/>
  <c r="CN6" i="15"/>
  <c r="CN3" i="15"/>
  <c r="CN4" i="15" s="1"/>
  <c r="CN22" i="17"/>
  <c r="CN83" i="17"/>
  <c r="CN3" i="25"/>
  <c r="CN3" i="21"/>
  <c r="CN164" i="21"/>
  <c r="CN5" i="25"/>
  <c r="CN17" i="25"/>
  <c r="CN300" i="3"/>
  <c r="CN208" i="3"/>
  <c r="CN85" i="3"/>
  <c r="CN68" i="3"/>
  <c r="CL81" i="15"/>
  <c r="CL86" i="15" s="1"/>
  <c r="CL80" i="15"/>
  <c r="CL85" i="15" s="1"/>
  <c r="CL79" i="15"/>
  <c r="CL84" i="15" s="1"/>
  <c r="CM76" i="15"/>
  <c r="CM78" i="15" s="1"/>
  <c r="CM57" i="15"/>
  <c r="BH21" i="25"/>
  <c r="BH65" i="25" s="1"/>
  <c r="BH28" i="3"/>
  <c r="BG92" i="25"/>
  <c r="BG36" i="25"/>
  <c r="BG32" i="25"/>
  <c r="CM73" i="17"/>
  <c r="CM61" i="17"/>
  <c r="CM77" i="17"/>
  <c r="CM65" i="17"/>
  <c r="CM59" i="17"/>
  <c r="CM60" i="17"/>
  <c r="CM74" i="17"/>
  <c r="CM53" i="17"/>
  <c r="CM69" i="17"/>
  <c r="CM57" i="17"/>
  <c r="CM75" i="17"/>
  <c r="CM63" i="17"/>
  <c r="CM56" i="17"/>
  <c r="CM66" i="17"/>
  <c r="CM72" i="17"/>
  <c r="CM70" i="17"/>
  <c r="CM71" i="17"/>
  <c r="CM76" i="17"/>
  <c r="CM55" i="17"/>
  <c r="CM52" i="17"/>
  <c r="CM58" i="17"/>
  <c r="CM67" i="17"/>
  <c r="CM62" i="17"/>
  <c r="CM64" i="17"/>
  <c r="CM68" i="17"/>
  <c r="CM54" i="17"/>
  <c r="BI115" i="25"/>
  <c r="CK87" i="15"/>
  <c r="BH102" i="25"/>
  <c r="BH75" i="25"/>
  <c r="BH78" i="25" s="1"/>
  <c r="BH23" i="25"/>
  <c r="BH27" i="25"/>
  <c r="BH91" i="25"/>
  <c r="BH105" i="25" s="1"/>
  <c r="BI146" i="25"/>
  <c r="CA162" i="25" l="1"/>
  <c r="BT109" i="27"/>
  <c r="BT77" i="27"/>
  <c r="BT75" i="27"/>
  <c r="BV185" i="3" s="1"/>
  <c r="BV192" i="3" s="1"/>
  <c r="BW193" i="3" s="1"/>
  <c r="BW246" i="3" s="1"/>
  <c r="BT76" i="27"/>
  <c r="BT108" i="27"/>
  <c r="CA192" i="25"/>
  <c r="BU198" i="3"/>
  <c r="BU223" i="3"/>
  <c r="BT64" i="15"/>
  <c r="BT230" i="3"/>
  <c r="BT265" i="3"/>
  <c r="BV194" i="3"/>
  <c r="BV247" i="3"/>
  <c r="BV248" i="3" s="1"/>
  <c r="CA160" i="25"/>
  <c r="CA194" i="25"/>
  <c r="BT309" i="3"/>
  <c r="BT322" i="3"/>
  <c r="BT79" i="27"/>
  <c r="BU74" i="27" s="1"/>
  <c r="BZ20" i="25"/>
  <c r="BZ29" i="3" s="1"/>
  <c r="BZ81" i="25"/>
  <c r="BZ68" i="25" s="1"/>
  <c r="CA193" i="25"/>
  <c r="CA195" i="25"/>
  <c r="BY35" i="25"/>
  <c r="BY49" i="3"/>
  <c r="BY76" i="3" s="1"/>
  <c r="CA164" i="25"/>
  <c r="CB159" i="25" s="1"/>
  <c r="CB160" i="25" s="1"/>
  <c r="BZ24" i="25"/>
  <c r="CM64" i="27"/>
  <c r="CM36" i="27"/>
  <c r="CM32" i="27"/>
  <c r="CN46" i="3"/>
  <c r="CN73" i="3" s="1"/>
  <c r="CN25" i="27"/>
  <c r="CN34" i="27"/>
  <c r="CO23" i="27"/>
  <c r="CO27" i="27"/>
  <c r="CO54" i="27"/>
  <c r="CO57" i="27" s="1"/>
  <c r="CP60" i="27"/>
  <c r="CO67" i="27"/>
  <c r="CO63" i="27"/>
  <c r="CO70" i="27" s="1"/>
  <c r="BB180" i="3"/>
  <c r="BB168" i="3"/>
  <c r="BB170" i="3" s="1"/>
  <c r="BB179" i="3"/>
  <c r="BA113" i="15"/>
  <c r="BA114" i="15"/>
  <c r="CC112" i="21"/>
  <c r="CC147" i="21" s="1"/>
  <c r="CC145" i="21"/>
  <c r="CC146" i="21"/>
  <c r="CC144" i="21"/>
  <c r="CC115" i="21"/>
  <c r="CD110" i="21" s="1"/>
  <c r="CO57" i="23"/>
  <c r="CO7" i="3"/>
  <c r="CO72" i="27"/>
  <c r="CP6" i="3"/>
  <c r="CO108" i="25"/>
  <c r="BJ110" i="25"/>
  <c r="BI143" i="25"/>
  <c r="BI149" i="25" s="1"/>
  <c r="BI150" i="25" s="1"/>
  <c r="BI61" i="25" s="1"/>
  <c r="CM78" i="17"/>
  <c r="CM80" i="17" s="1"/>
  <c r="CL87" i="15"/>
  <c r="BH61" i="3"/>
  <c r="BH87" i="17"/>
  <c r="CO218" i="25"/>
  <c r="CO6" i="15"/>
  <c r="CO164" i="21"/>
  <c r="CO17" i="27"/>
  <c r="CO17" i="25"/>
  <c r="CO3" i="25"/>
  <c r="CO3" i="21"/>
  <c r="CO329" i="3"/>
  <c r="CO208" i="3"/>
  <c r="CO85" i="3"/>
  <c r="CO21" i="3"/>
  <c r="CO49" i="17"/>
  <c r="CO206" i="25"/>
  <c r="CO21" i="15"/>
  <c r="CO3" i="17"/>
  <c r="CO4" i="17" s="1"/>
  <c r="CO108" i="21"/>
  <c r="CO3" i="27"/>
  <c r="CO158" i="21"/>
  <c r="CO5" i="27"/>
  <c r="CO313" i="3"/>
  <c r="CO200" i="3"/>
  <c r="CO153" i="3"/>
  <c r="CO41" i="3"/>
  <c r="CO37" i="17"/>
  <c r="CO95" i="15"/>
  <c r="CO29" i="17"/>
  <c r="CO19" i="21"/>
  <c r="CO69" i="15"/>
  <c r="CO5" i="21"/>
  <c r="CO17" i="23"/>
  <c r="CO300" i="3"/>
  <c r="CO182" i="3"/>
  <c r="CO145" i="3"/>
  <c r="CO9" i="3"/>
  <c r="CO3" i="15"/>
  <c r="CO4" i="15" s="1"/>
  <c r="CO22" i="17"/>
  <c r="CO54" i="15"/>
  <c r="CO56" i="15" s="1"/>
  <c r="CO6" i="17"/>
  <c r="CO212" i="25"/>
  <c r="CO5" i="25"/>
  <c r="CO157" i="25"/>
  <c r="CO83" i="17"/>
  <c r="CO5" i="23"/>
  <c r="CO253" i="3"/>
  <c r="CO164" i="3"/>
  <c r="CO68" i="3"/>
  <c r="CP3" i="3"/>
  <c r="BH34" i="25"/>
  <c r="BH48" i="3"/>
  <c r="BH25" i="25"/>
  <c r="CM80" i="15"/>
  <c r="CM85" i="15" s="1"/>
  <c r="CM81" i="15"/>
  <c r="CM86" i="15" s="1"/>
  <c r="CM79" i="15"/>
  <c r="CM84" i="15" s="1"/>
  <c r="CN57" i="15"/>
  <c r="CN76" i="15"/>
  <c r="CN78" i="15" s="1"/>
  <c r="CN75" i="17"/>
  <c r="CN56" i="17"/>
  <c r="CN68" i="17"/>
  <c r="CN59" i="17"/>
  <c r="CN76" i="17"/>
  <c r="CN72" i="17"/>
  <c r="CN54" i="17"/>
  <c r="CN65" i="17"/>
  <c r="CN70" i="17"/>
  <c r="CN60" i="17"/>
  <c r="CN58" i="17"/>
  <c r="CN67" i="17"/>
  <c r="CN63" i="17"/>
  <c r="CN57" i="17"/>
  <c r="CN71" i="17"/>
  <c r="CN52" i="17"/>
  <c r="CN53" i="17"/>
  <c r="CN66" i="17"/>
  <c r="CN62" i="17"/>
  <c r="CN74" i="17"/>
  <c r="CN64" i="17"/>
  <c r="CN61" i="17"/>
  <c r="CN77" i="17"/>
  <c r="CN69" i="17"/>
  <c r="CN73" i="17"/>
  <c r="CN55" i="17"/>
  <c r="BT111" i="27" l="1"/>
  <c r="BT114" i="27" s="1"/>
  <c r="BT115" i="27" s="1"/>
  <c r="BT116" i="27" s="1"/>
  <c r="BZ95" i="25"/>
  <c r="BU75" i="27"/>
  <c r="BW185" i="3" s="1"/>
  <c r="BW192" i="3" s="1"/>
  <c r="BU76" i="27"/>
  <c r="BU110" i="27"/>
  <c r="BU109" i="27"/>
  <c r="BU108" i="27"/>
  <c r="BU77" i="27"/>
  <c r="BU230" i="3"/>
  <c r="BU64" i="15"/>
  <c r="BV223" i="3"/>
  <c r="BV198" i="3"/>
  <c r="BT320" i="3"/>
  <c r="BT323" i="3" s="1"/>
  <c r="BU103" i="3"/>
  <c r="BT305" i="3"/>
  <c r="BT303" i="3" s="1"/>
  <c r="BU265" i="3"/>
  <c r="CB162" i="25"/>
  <c r="CA197" i="25"/>
  <c r="CA198" i="25" s="1"/>
  <c r="CA199" i="25" s="1"/>
  <c r="CA54" i="25" s="1"/>
  <c r="CA20" i="25" s="1"/>
  <c r="CA29" i="3" s="1"/>
  <c r="BZ35" i="25"/>
  <c r="BZ49" i="3"/>
  <c r="BZ76" i="3" s="1"/>
  <c r="CB161" i="25"/>
  <c r="CB164" i="25" s="1"/>
  <c r="CC159" i="25" s="1"/>
  <c r="CB194" i="25"/>
  <c r="CB193" i="25"/>
  <c r="CB192" i="25"/>
  <c r="CC150" i="21"/>
  <c r="CC151" i="21" s="1"/>
  <c r="BB106" i="15"/>
  <c r="BB173" i="3"/>
  <c r="BB340" i="3" s="1"/>
  <c r="BC167" i="3"/>
  <c r="BB171" i="3"/>
  <c r="CO46" i="3"/>
  <c r="CO73" i="3" s="1"/>
  <c r="CO34" i="27"/>
  <c r="CO25" i="27"/>
  <c r="CN32" i="27"/>
  <c r="CN36" i="27"/>
  <c r="CN64" i="27"/>
  <c r="CD112" i="21"/>
  <c r="CD144" i="21"/>
  <c r="CD146" i="21"/>
  <c r="CD145" i="21"/>
  <c r="CP63" i="27"/>
  <c r="CP70" i="27" s="1"/>
  <c r="CP23" i="27"/>
  <c r="CP67" i="27"/>
  <c r="CP27" i="27"/>
  <c r="CP54" i="27"/>
  <c r="CP57" i="27" s="1"/>
  <c r="CD113" i="21"/>
  <c r="CD111" i="21"/>
  <c r="CP72" i="27"/>
  <c r="CP57" i="23"/>
  <c r="CP7" i="3"/>
  <c r="CP108" i="25"/>
  <c r="CN78" i="17"/>
  <c r="CN80" i="17" s="1"/>
  <c r="BH75" i="3"/>
  <c r="CO72" i="17"/>
  <c r="CO52" i="17"/>
  <c r="CO57" i="17"/>
  <c r="CO60" i="17"/>
  <c r="CO65" i="17"/>
  <c r="CO58" i="17"/>
  <c r="CO64" i="17"/>
  <c r="CO77" i="17"/>
  <c r="CO75" i="17"/>
  <c r="CO63" i="17"/>
  <c r="CO73" i="17"/>
  <c r="CO61" i="17"/>
  <c r="CO54" i="17"/>
  <c r="CO67" i="17"/>
  <c r="CO70" i="17"/>
  <c r="CO76" i="17"/>
  <c r="CO55" i="17"/>
  <c r="CO74" i="17"/>
  <c r="CO53" i="17"/>
  <c r="CO71" i="17"/>
  <c r="CO59" i="17"/>
  <c r="CO62" i="17"/>
  <c r="CO68" i="17"/>
  <c r="CO69" i="17"/>
  <c r="CO66" i="17"/>
  <c r="CO56" i="17"/>
  <c r="CP95" i="15"/>
  <c r="CP6" i="17"/>
  <c r="CP3" i="15"/>
  <c r="CP4" i="15" s="1"/>
  <c r="CP22" i="17"/>
  <c r="CP17" i="25"/>
  <c r="CP17" i="23"/>
  <c r="CP17" i="27"/>
  <c r="CP6" i="15"/>
  <c r="CP5" i="27"/>
  <c r="CP329" i="3"/>
  <c r="CP182" i="3"/>
  <c r="CP153" i="3"/>
  <c r="CP9" i="3"/>
  <c r="CP54" i="15"/>
  <c r="CP69" i="15"/>
  <c r="CP218" i="25"/>
  <c r="CP158" i="21"/>
  <c r="CP5" i="23"/>
  <c r="CP3" i="27"/>
  <c r="CP164" i="21"/>
  <c r="CP313" i="3"/>
  <c r="CP164" i="3"/>
  <c r="CP145" i="3"/>
  <c r="CP68" i="3"/>
  <c r="CP21" i="15"/>
  <c r="CP83" i="17"/>
  <c r="CP49" i="17"/>
  <c r="CP206" i="25"/>
  <c r="CP3" i="17"/>
  <c r="CP4" i="17" s="1"/>
  <c r="CP3" i="21"/>
  <c r="CP5" i="21"/>
  <c r="CP108" i="21"/>
  <c r="CP300" i="3"/>
  <c r="CP208" i="3"/>
  <c r="CP85" i="3"/>
  <c r="CP21" i="3"/>
  <c r="CP29" i="17"/>
  <c r="CP212" i="25"/>
  <c r="CP37" i="17"/>
  <c r="CP157" i="25"/>
  <c r="CP5" i="25"/>
  <c r="CP3" i="25"/>
  <c r="CP19" i="21"/>
  <c r="CP253" i="3"/>
  <c r="CP200" i="3"/>
  <c r="CP41" i="3"/>
  <c r="BI88" i="25"/>
  <c r="BI19" i="25"/>
  <c r="BI64" i="25"/>
  <c r="CM87" i="15"/>
  <c r="BJ112" i="25"/>
  <c r="BJ113" i="25"/>
  <c r="BJ111" i="25"/>
  <c r="CN79" i="15"/>
  <c r="CN84" i="15" s="1"/>
  <c r="CN81" i="15"/>
  <c r="CN86" i="15" s="1"/>
  <c r="CN80" i="15"/>
  <c r="CN85" i="15" s="1"/>
  <c r="BH36" i="25"/>
  <c r="BH92" i="25"/>
  <c r="BH32" i="25"/>
  <c r="CO57" i="15"/>
  <c r="CO76" i="15"/>
  <c r="CO78" i="15" s="1"/>
  <c r="BU305" i="3" l="1"/>
  <c r="BU303" i="3" s="1"/>
  <c r="BV103" i="3"/>
  <c r="BU320" i="3"/>
  <c r="BU211" i="3"/>
  <c r="BU104" i="3"/>
  <c r="BU304" i="3"/>
  <c r="BU111" i="27"/>
  <c r="BU114" i="27" s="1"/>
  <c r="BU115" i="27" s="1"/>
  <c r="BU116" i="27" s="1"/>
  <c r="BU79" i="27"/>
  <c r="BV74" i="27" s="1"/>
  <c r="BV64" i="15"/>
  <c r="BV230" i="3"/>
  <c r="BX193" i="3"/>
  <c r="BW194" i="3"/>
  <c r="BW247" i="3"/>
  <c r="BW248" i="3" s="1"/>
  <c r="CA81" i="25"/>
  <c r="CC161" i="25"/>
  <c r="CC194" i="25"/>
  <c r="CC193" i="25"/>
  <c r="CC192" i="25"/>
  <c r="CC160" i="25"/>
  <c r="CC162" i="25"/>
  <c r="CA24" i="25"/>
  <c r="CA68" i="25"/>
  <c r="CA95" i="25"/>
  <c r="CB195" i="25"/>
  <c r="CB197" i="25" s="1"/>
  <c r="CD147" i="21"/>
  <c r="CD150" i="21" s="1"/>
  <c r="CD151" i="21" s="1"/>
  <c r="CP34" i="27"/>
  <c r="CP46" i="3"/>
  <c r="CP73" i="3" s="1"/>
  <c r="CP25" i="27"/>
  <c r="CD115" i="21"/>
  <c r="CE110" i="21" s="1"/>
  <c r="BC177" i="3"/>
  <c r="BJ115" i="25"/>
  <c r="BJ143" i="25" s="1"/>
  <c r="CO32" i="27"/>
  <c r="CO64" i="27"/>
  <c r="CO36" i="27"/>
  <c r="BB172" i="3"/>
  <c r="BB105" i="15" s="1"/>
  <c r="BB104" i="15"/>
  <c r="CN87" i="15"/>
  <c r="BI102" i="25"/>
  <c r="BI75" i="25"/>
  <c r="BI78" i="25" s="1"/>
  <c r="BI23" i="25"/>
  <c r="BI27" i="25"/>
  <c r="BI91" i="25"/>
  <c r="BI105" i="25" s="1"/>
  <c r="CO80" i="15"/>
  <c r="CO85" i="15" s="1"/>
  <c r="CO79" i="15"/>
  <c r="CO84" i="15" s="1"/>
  <c r="CO81" i="15"/>
  <c r="CO86" i="15" s="1"/>
  <c r="CP74" i="17"/>
  <c r="CP64" i="17"/>
  <c r="CP63" i="17"/>
  <c r="CP77" i="17"/>
  <c r="CP53" i="17"/>
  <c r="CP66" i="17"/>
  <c r="CP62" i="17"/>
  <c r="CP75" i="17"/>
  <c r="CP56" i="17"/>
  <c r="CP68" i="17"/>
  <c r="CP61" i="17"/>
  <c r="CP57" i="17"/>
  <c r="CP73" i="17"/>
  <c r="CP54" i="17"/>
  <c r="CP67" i="17"/>
  <c r="CP70" i="17"/>
  <c r="CP60" i="17"/>
  <c r="CP58" i="17"/>
  <c r="CP76" i="17"/>
  <c r="CP72" i="17"/>
  <c r="CP59" i="17"/>
  <c r="CP71" i="17"/>
  <c r="CP52" i="17"/>
  <c r="CP55" i="17"/>
  <c r="CP69" i="17"/>
  <c r="CP65" i="17"/>
  <c r="CP56" i="15"/>
  <c r="F129" i="15"/>
  <c r="D129" i="15"/>
  <c r="F127" i="15"/>
  <c r="D138" i="15"/>
  <c r="D135" i="15"/>
  <c r="D127" i="15"/>
  <c r="F135" i="15"/>
  <c r="F138" i="15"/>
  <c r="BJ146" i="25"/>
  <c r="BI28" i="3"/>
  <c r="BI21" i="25"/>
  <c r="BI65" i="25" s="1"/>
  <c r="CO78" i="17"/>
  <c r="CO80" i="17" s="1"/>
  <c r="BW223" i="3" l="1"/>
  <c r="BW198" i="3"/>
  <c r="BV75" i="27"/>
  <c r="BV76" i="27"/>
  <c r="BV109" i="27"/>
  <c r="BV108" i="27"/>
  <c r="BV110" i="27"/>
  <c r="BU105" i="3"/>
  <c r="BU212" i="3"/>
  <c r="BU267" i="3"/>
  <c r="BV104" i="3"/>
  <c r="BV265" i="3"/>
  <c r="BV211" i="3"/>
  <c r="BX246" i="3"/>
  <c r="BV77" i="27"/>
  <c r="BV304" i="3"/>
  <c r="BU63" i="15"/>
  <c r="BK110" i="25"/>
  <c r="BK111" i="25" s="1"/>
  <c r="CC164" i="25"/>
  <c r="CD159" i="25" s="1"/>
  <c r="CD161" i="25" s="1"/>
  <c r="CA35" i="25"/>
  <c r="CA49" i="3"/>
  <c r="CA76" i="3" s="1"/>
  <c r="CB198" i="25"/>
  <c r="CB199" i="25" s="1"/>
  <c r="CB54" i="25" s="1"/>
  <c r="CC195" i="25"/>
  <c r="CC197" i="25" s="1"/>
  <c r="CP64" i="27"/>
  <c r="CP32" i="27"/>
  <c r="CP36" i="27"/>
  <c r="BB113" i="15"/>
  <c r="BB114" i="15"/>
  <c r="BC179" i="3"/>
  <c r="BC168" i="3"/>
  <c r="BC170" i="3" s="1"/>
  <c r="BC180" i="3"/>
  <c r="CE112" i="21"/>
  <c r="CE144" i="21"/>
  <c r="CE146" i="21"/>
  <c r="CE145" i="21"/>
  <c r="CE113" i="21"/>
  <c r="CE111" i="21"/>
  <c r="L140" i="15"/>
  <c r="L141" i="15"/>
  <c r="L130" i="15"/>
  <c r="M130" i="15" s="1"/>
  <c r="L129" i="15"/>
  <c r="M129" i="15" s="1"/>
  <c r="L145" i="15"/>
  <c r="L139" i="15"/>
  <c r="L142" i="15"/>
  <c r="L143" i="15"/>
  <c r="L128" i="15"/>
  <c r="M128" i="15" s="1"/>
  <c r="L144" i="15"/>
  <c r="E129" i="15"/>
  <c r="BI34" i="25"/>
  <c r="BI48" i="3"/>
  <c r="BI25" i="25"/>
  <c r="E138" i="15"/>
  <c r="E132" i="15" s="1"/>
  <c r="CP78" i="17"/>
  <c r="CP80" i="17" s="1"/>
  <c r="CO87" i="15"/>
  <c r="I136" i="15"/>
  <c r="N129" i="15"/>
  <c r="N130" i="15"/>
  <c r="N128" i="15"/>
  <c r="K136" i="15"/>
  <c r="E135" i="15"/>
  <c r="W128" i="15"/>
  <c r="E127" i="15"/>
  <c r="CP76" i="15"/>
  <c r="CP57" i="15"/>
  <c r="BJ149" i="25"/>
  <c r="BJ150" i="25" s="1"/>
  <c r="BJ61" i="25" s="1"/>
  <c r="BK112" i="25"/>
  <c r="BI61" i="3"/>
  <c r="BI87" i="17"/>
  <c r="CD194" i="25" l="1"/>
  <c r="CD192" i="25"/>
  <c r="CD160" i="25"/>
  <c r="BV111" i="27"/>
  <c r="BV114" i="27" s="1"/>
  <c r="BV115" i="27" s="1"/>
  <c r="BV116" i="27" s="1"/>
  <c r="BV63" i="15"/>
  <c r="BV212" i="3"/>
  <c r="BV79" i="27"/>
  <c r="BW74" i="27" s="1"/>
  <c r="BW75" i="27" s="1"/>
  <c r="BY185" i="3" s="1"/>
  <c r="BY192" i="3" s="1"/>
  <c r="BV105" i="3"/>
  <c r="BV320" i="3"/>
  <c r="BV305" i="3"/>
  <c r="BV303" i="3" s="1"/>
  <c r="BW103" i="3"/>
  <c r="BW104" i="3" s="1"/>
  <c r="BU322" i="3"/>
  <c r="BU323" i="3" s="1"/>
  <c r="BU309" i="3"/>
  <c r="BV267" i="3"/>
  <c r="BX185" i="3"/>
  <c r="BX192" i="3" s="1"/>
  <c r="BW230" i="3"/>
  <c r="BW64" i="15"/>
  <c r="CD162" i="25"/>
  <c r="CD164" i="25" s="1"/>
  <c r="CE159" i="25" s="1"/>
  <c r="CD193" i="25"/>
  <c r="BK113" i="25"/>
  <c r="BK146" i="25" s="1"/>
  <c r="CC198" i="25"/>
  <c r="CC199" i="25" s="1"/>
  <c r="CC54" i="25" s="1"/>
  <c r="CC20" i="25" s="1"/>
  <c r="CC29" i="3" s="1"/>
  <c r="CD195" i="25"/>
  <c r="CB81" i="25"/>
  <c r="CB20" i="25"/>
  <c r="CB29" i="3" s="1"/>
  <c r="CE115" i="21"/>
  <c r="CF110" i="21" s="1"/>
  <c r="CF111" i="21" s="1"/>
  <c r="BD167" i="3"/>
  <c r="BC106" i="15"/>
  <c r="BC173" i="3"/>
  <c r="BC340" i="3" s="1"/>
  <c r="BC171" i="3"/>
  <c r="CE147" i="21"/>
  <c r="CE150" i="21" s="1"/>
  <c r="CE151" i="21" s="1"/>
  <c r="BI75" i="3"/>
  <c r="W129" i="15"/>
  <c r="X128" i="15"/>
  <c r="Y128" i="15" s="1"/>
  <c r="E142" i="15"/>
  <c r="BJ88" i="25"/>
  <c r="BJ19" i="25"/>
  <c r="BJ64" i="25"/>
  <c r="CP78" i="15"/>
  <c r="BK115" i="25"/>
  <c r="BI92" i="25"/>
  <c r="BI36" i="25"/>
  <c r="BI32" i="25"/>
  <c r="CE161" i="25" l="1"/>
  <c r="CE194" i="25"/>
  <c r="CE192" i="25"/>
  <c r="CE160" i="25"/>
  <c r="BY247" i="3"/>
  <c r="BY248" i="3" s="1"/>
  <c r="BV322" i="3"/>
  <c r="BV323" i="3" s="1"/>
  <c r="BV309" i="3"/>
  <c r="BW267" i="3"/>
  <c r="BW108" i="27"/>
  <c r="BW110" i="27"/>
  <c r="BW76" i="27"/>
  <c r="BW109" i="27"/>
  <c r="BW212" i="3"/>
  <c r="BW77" i="27"/>
  <c r="BX247" i="3"/>
  <c r="BX248" i="3" s="1"/>
  <c r="BX194" i="3"/>
  <c r="BY193" i="3"/>
  <c r="BW265" i="3"/>
  <c r="BW211" i="3"/>
  <c r="BW63" i="15"/>
  <c r="BW105" i="3"/>
  <c r="BW304" i="3"/>
  <c r="CE162" i="25"/>
  <c r="CE164" i="25" s="1"/>
  <c r="CF159" i="25" s="1"/>
  <c r="CE193" i="25"/>
  <c r="CF145" i="21"/>
  <c r="CF144" i="21"/>
  <c r="CF113" i="21"/>
  <c r="CF147" i="21" s="1"/>
  <c r="CF112" i="21"/>
  <c r="CF146" i="21"/>
  <c r="CB68" i="25"/>
  <c r="CB24" i="25"/>
  <c r="CB95" i="25"/>
  <c r="CD197" i="25"/>
  <c r="CD198" i="25" s="1"/>
  <c r="CD199" i="25" s="1"/>
  <c r="CD54" i="25" s="1"/>
  <c r="CC81" i="25"/>
  <c r="CE195" i="25"/>
  <c r="BC172" i="3"/>
  <c r="BC105" i="15" s="1"/>
  <c r="BC104" i="15"/>
  <c r="BD177" i="3"/>
  <c r="BL110" i="25"/>
  <c r="BK143" i="25"/>
  <c r="BK149" i="25" s="1"/>
  <c r="BK150" i="25" s="1"/>
  <c r="BK61" i="25" s="1"/>
  <c r="W130" i="15"/>
  <c r="X129" i="15"/>
  <c r="BJ21" i="25"/>
  <c r="BJ65" i="25" s="1"/>
  <c r="BJ28" i="3"/>
  <c r="BJ75" i="25"/>
  <c r="BJ78" i="25" s="1"/>
  <c r="BJ102" i="25"/>
  <c r="BJ23" i="25"/>
  <c r="BJ27" i="25"/>
  <c r="BJ91" i="25"/>
  <c r="BJ105" i="25" s="1"/>
  <c r="CP81" i="15"/>
  <c r="CP86" i="15" s="1"/>
  <c r="CP79" i="15"/>
  <c r="CP84" i="15" s="1"/>
  <c r="CP80" i="15"/>
  <c r="CP85" i="15" s="1"/>
  <c r="BW79" i="27" l="1"/>
  <c r="BX74" i="27" s="1"/>
  <c r="BX75" i="27" s="1"/>
  <c r="BZ185" i="3" s="1"/>
  <c r="BZ192" i="3" s="1"/>
  <c r="BZ247" i="3" s="1"/>
  <c r="BZ248" i="3" s="1"/>
  <c r="CF150" i="21"/>
  <c r="CF151" i="21" s="1"/>
  <c r="BW320" i="3"/>
  <c r="BW305" i="3"/>
  <c r="BW303" i="3" s="1"/>
  <c r="BX103" i="3"/>
  <c r="BX223" i="3"/>
  <c r="BX198" i="3"/>
  <c r="BX109" i="27"/>
  <c r="BX76" i="27"/>
  <c r="CF115" i="21"/>
  <c r="CG110" i="21" s="1"/>
  <c r="CG111" i="21" s="1"/>
  <c r="BY246" i="3"/>
  <c r="BZ193" i="3"/>
  <c r="BZ246" i="3" s="1"/>
  <c r="BW111" i="27"/>
  <c r="BW114" i="27" s="1"/>
  <c r="BW115" i="27" s="1"/>
  <c r="BW116" i="27" s="1"/>
  <c r="BX77" i="27"/>
  <c r="BW309" i="3"/>
  <c r="BW322" i="3"/>
  <c r="BY194" i="3"/>
  <c r="CG113" i="21"/>
  <c r="CD81" i="25"/>
  <c r="CD20" i="25"/>
  <c r="CD29" i="3" s="1"/>
  <c r="CF161" i="25"/>
  <c r="CF194" i="25"/>
  <c r="CF193" i="25"/>
  <c r="CF192" i="25"/>
  <c r="CF162" i="25"/>
  <c r="CB35" i="25"/>
  <c r="CB49" i="3"/>
  <c r="CB76" i="3" s="1"/>
  <c r="CF160" i="25"/>
  <c r="CE197" i="25"/>
  <c r="CE198" i="25" s="1"/>
  <c r="CE199" i="25" s="1"/>
  <c r="CE54" i="25" s="1"/>
  <c r="CC68" i="25"/>
  <c r="CC95" i="25"/>
  <c r="CC24" i="25"/>
  <c r="BD180" i="3"/>
  <c r="BD168" i="3"/>
  <c r="BD170" i="3" s="1"/>
  <c r="BD179" i="3"/>
  <c r="BC113" i="15"/>
  <c r="BC114" i="15"/>
  <c r="CG145" i="21"/>
  <c r="CG144" i="21"/>
  <c r="Z129" i="15"/>
  <c r="Y129" i="15"/>
  <c r="AH92" i="15"/>
  <c r="AI92" i="15"/>
  <c r="AJ92" i="15"/>
  <c r="AK92" i="15"/>
  <c r="AL92" i="15"/>
  <c r="AM92" i="15"/>
  <c r="AN92" i="15"/>
  <c r="AO92" i="15"/>
  <c r="AQ92" i="15"/>
  <c r="AP92" i="15"/>
  <c r="AT92" i="15"/>
  <c r="AR92" i="15"/>
  <c r="AV92" i="15"/>
  <c r="AS92" i="15"/>
  <c r="AU92" i="15"/>
  <c r="AW92" i="15"/>
  <c r="AX92" i="15"/>
  <c r="AY92" i="15"/>
  <c r="AZ92" i="15"/>
  <c r="BA92" i="15"/>
  <c r="BB92" i="15"/>
  <c r="BC92" i="15"/>
  <c r="BD92" i="15"/>
  <c r="BE92" i="15"/>
  <c r="BG92" i="15"/>
  <c r="BI92" i="15"/>
  <c r="BK92" i="15"/>
  <c r="BF92" i="15"/>
  <c r="BH92" i="15"/>
  <c r="BJ92" i="15"/>
  <c r="BM92" i="15"/>
  <c r="BN92" i="15"/>
  <c r="BL92" i="15"/>
  <c r="BP92" i="15"/>
  <c r="BO92" i="15"/>
  <c r="BQ92" i="15"/>
  <c r="BT92" i="15"/>
  <c r="BR92" i="15"/>
  <c r="BS92" i="15"/>
  <c r="BV92" i="15"/>
  <c r="BU92" i="15"/>
  <c r="BY92" i="15"/>
  <c r="BX92" i="15"/>
  <c r="BW92" i="15"/>
  <c r="CB92" i="15"/>
  <c r="CA92" i="15"/>
  <c r="BZ92" i="15"/>
  <c r="CE92" i="15"/>
  <c r="CF92" i="15"/>
  <c r="CD92" i="15"/>
  <c r="CC92" i="15"/>
  <c r="CG92" i="15"/>
  <c r="CI92" i="15"/>
  <c r="CH92" i="15"/>
  <c r="CJ92" i="15"/>
  <c r="CN92" i="15"/>
  <c r="CK92" i="15"/>
  <c r="CL92" i="15"/>
  <c r="CO92" i="15"/>
  <c r="CP92" i="15"/>
  <c r="CM92" i="15"/>
  <c r="W131" i="15"/>
  <c r="X130" i="15"/>
  <c r="AI91" i="15"/>
  <c r="AH91" i="15"/>
  <c r="AJ91" i="15"/>
  <c r="AK91" i="15"/>
  <c r="AL91" i="15"/>
  <c r="AN91" i="15"/>
  <c r="AM91" i="15"/>
  <c r="AP91" i="15"/>
  <c r="AO91" i="15"/>
  <c r="AR91" i="15"/>
  <c r="AV91" i="15"/>
  <c r="AQ91" i="15"/>
  <c r="AT91" i="15"/>
  <c r="AS91" i="15"/>
  <c r="AU91" i="15"/>
  <c r="AZ91" i="15"/>
  <c r="AW91" i="15"/>
  <c r="BB91" i="15"/>
  <c r="AX91" i="15"/>
  <c r="BD91" i="15"/>
  <c r="AY91" i="15"/>
  <c r="BA91" i="15"/>
  <c r="BC91" i="15"/>
  <c r="BE91" i="15"/>
  <c r="BF91" i="15"/>
  <c r="BI91" i="15"/>
  <c r="BG91" i="15"/>
  <c r="BH91" i="15"/>
  <c r="BJ91" i="15"/>
  <c r="BM91" i="15"/>
  <c r="BK91" i="15"/>
  <c r="BL91" i="15"/>
  <c r="BO91" i="15"/>
  <c r="BN91" i="15"/>
  <c r="BP91" i="15"/>
  <c r="BQ91" i="15"/>
  <c r="BR91" i="15"/>
  <c r="BT91" i="15"/>
  <c r="BV91" i="15"/>
  <c r="BS91" i="15"/>
  <c r="BU91" i="15"/>
  <c r="BX91" i="15"/>
  <c r="BY91" i="15"/>
  <c r="BW91" i="15"/>
  <c r="CA91" i="15"/>
  <c r="CB91" i="15"/>
  <c r="CC91" i="15"/>
  <c r="BZ91" i="15"/>
  <c r="CE91" i="15"/>
  <c r="CG91" i="15"/>
  <c r="CD91" i="15"/>
  <c r="CH91" i="15"/>
  <c r="CF91" i="15"/>
  <c r="CI91" i="15"/>
  <c r="CJ91" i="15"/>
  <c r="CN91" i="15"/>
  <c r="CL91" i="15"/>
  <c r="CK91" i="15"/>
  <c r="CP91" i="15"/>
  <c r="CO91" i="15"/>
  <c r="CM91" i="15"/>
  <c r="BJ61" i="3"/>
  <c r="BJ87" i="17"/>
  <c r="BK88" i="25"/>
  <c r="BK19" i="25"/>
  <c r="BK64" i="25"/>
  <c r="CP87" i="15"/>
  <c r="AH90" i="15"/>
  <c r="AJ90" i="15"/>
  <c r="AI90" i="15"/>
  <c r="AL90" i="15"/>
  <c r="AK90" i="15"/>
  <c r="AO90" i="15"/>
  <c r="AM90" i="15"/>
  <c r="AP90" i="15"/>
  <c r="AN90" i="15"/>
  <c r="AT90" i="15"/>
  <c r="AQ90" i="15"/>
  <c r="AR90" i="15"/>
  <c r="AU90" i="15"/>
  <c r="AS90" i="15"/>
  <c r="AV90" i="15"/>
  <c r="AY90" i="15"/>
  <c r="AW90" i="15"/>
  <c r="AX90" i="15"/>
  <c r="BB90" i="15"/>
  <c r="AZ90" i="15"/>
  <c r="BA90" i="15"/>
  <c r="BE90" i="15"/>
  <c r="BC90" i="15"/>
  <c r="BD90" i="15"/>
  <c r="BH90" i="15"/>
  <c r="BF90" i="15"/>
  <c r="BG90" i="15"/>
  <c r="BI90" i="15"/>
  <c r="BJ90" i="15"/>
  <c r="BN90" i="15"/>
  <c r="BK90" i="15"/>
  <c r="BL90" i="15"/>
  <c r="BM90" i="15"/>
  <c r="BQ90" i="15"/>
  <c r="BO90" i="15"/>
  <c r="BP90" i="15"/>
  <c r="BR90" i="15"/>
  <c r="BS90" i="15"/>
  <c r="BU90" i="15"/>
  <c r="BT90" i="15"/>
  <c r="BV90" i="15"/>
  <c r="BX90" i="15"/>
  <c r="BW90" i="15"/>
  <c r="BY90" i="15"/>
  <c r="BZ90" i="15"/>
  <c r="CA90" i="15"/>
  <c r="CB90" i="15"/>
  <c r="CC90" i="15"/>
  <c r="CE90" i="15"/>
  <c r="CD90" i="15"/>
  <c r="CF90" i="15"/>
  <c r="CG90" i="15"/>
  <c r="CJ90" i="15"/>
  <c r="CH90" i="15"/>
  <c r="CK90" i="15"/>
  <c r="CM90" i="15"/>
  <c r="CI90" i="15"/>
  <c r="CL90" i="15"/>
  <c r="CP90" i="15"/>
  <c r="CO90" i="15"/>
  <c r="CN90" i="15"/>
  <c r="BJ34" i="25"/>
  <c r="BJ25" i="25"/>
  <c r="BJ48" i="3"/>
  <c r="BL112" i="25"/>
  <c r="BL111" i="25"/>
  <c r="BL113" i="25"/>
  <c r="BX79" i="27" l="1"/>
  <c r="BY74" i="27" s="1"/>
  <c r="BX110" i="27"/>
  <c r="BX108" i="27"/>
  <c r="CA193" i="3"/>
  <c r="CA246" i="3" s="1"/>
  <c r="BY110" i="27"/>
  <c r="BY109" i="27"/>
  <c r="BY76" i="27"/>
  <c r="BY75" i="27"/>
  <c r="CA185" i="3" s="1"/>
  <c r="CA192" i="3" s="1"/>
  <c r="CA247" i="3" s="1"/>
  <c r="CA248" i="3" s="1"/>
  <c r="BY108" i="27"/>
  <c r="BY77" i="27"/>
  <c r="BX64" i="15"/>
  <c r="BX230" i="3"/>
  <c r="BX211" i="3"/>
  <c r="BX104" i="3"/>
  <c r="CG112" i="21"/>
  <c r="CG147" i="21" s="1"/>
  <c r="CG146" i="21"/>
  <c r="BY198" i="3"/>
  <c r="BY223" i="3"/>
  <c r="BW323" i="3"/>
  <c r="BX111" i="27"/>
  <c r="BX114" i="27" s="1"/>
  <c r="BZ194" i="3"/>
  <c r="BX265" i="3"/>
  <c r="BX304" i="3"/>
  <c r="CA194" i="3"/>
  <c r="CI93" i="15"/>
  <c r="BZ93" i="15"/>
  <c r="BM93" i="15"/>
  <c r="BH93" i="15"/>
  <c r="AN93" i="15"/>
  <c r="AH93" i="15"/>
  <c r="CL93" i="15"/>
  <c r="CD93" i="15"/>
  <c r="CA93" i="15"/>
  <c r="BF93" i="15"/>
  <c r="AY93" i="15"/>
  <c r="AO93" i="15"/>
  <c r="CE20" i="25"/>
  <c r="CE29" i="3" s="1"/>
  <c r="CE81" i="25"/>
  <c r="CF195" i="25"/>
  <c r="CF197" i="25" s="1"/>
  <c r="CC35" i="25"/>
  <c r="CC49" i="3"/>
  <c r="CC76" i="3" s="1"/>
  <c r="CF164" i="25"/>
  <c r="CG159" i="25" s="1"/>
  <c r="CF198" i="25"/>
  <c r="CF199" i="25" s="1"/>
  <c r="CF54" i="25" s="1"/>
  <c r="CD68" i="25"/>
  <c r="CD95" i="25"/>
  <c r="CD24" i="25"/>
  <c r="CG150" i="21"/>
  <c r="CG151" i="21" s="1"/>
  <c r="BR93" i="15"/>
  <c r="BO93" i="15"/>
  <c r="BJ93" i="15"/>
  <c r="AI93" i="15"/>
  <c r="BD173" i="3"/>
  <c r="BD340" i="3" s="1"/>
  <c r="BD106" i="15"/>
  <c r="BE167" i="3"/>
  <c r="BD171" i="3"/>
  <c r="CK93" i="15"/>
  <c r="CF93" i="15"/>
  <c r="CB93" i="15"/>
  <c r="BU93" i="15"/>
  <c r="BB93" i="15"/>
  <c r="AQ93" i="15"/>
  <c r="CH93" i="15"/>
  <c r="BX93" i="15"/>
  <c r="BS93" i="15"/>
  <c r="BQ93" i="15"/>
  <c r="BN93" i="15"/>
  <c r="BE93" i="15"/>
  <c r="AX93" i="15"/>
  <c r="AS93" i="15"/>
  <c r="AT93" i="15"/>
  <c r="AJ93" i="15"/>
  <c r="CO93" i="15"/>
  <c r="CM93" i="15"/>
  <c r="BT93" i="15"/>
  <c r="BL93" i="15"/>
  <c r="BI93" i="15"/>
  <c r="BD93" i="15"/>
  <c r="AZ93" i="15"/>
  <c r="AP93" i="15"/>
  <c r="AL93" i="15"/>
  <c r="CP93" i="15"/>
  <c r="BW93" i="15"/>
  <c r="BK93" i="15"/>
  <c r="BG93" i="15"/>
  <c r="BC93" i="15"/>
  <c r="AV93" i="15"/>
  <c r="AM93" i="15"/>
  <c r="CJ93" i="15"/>
  <c r="CE93" i="15"/>
  <c r="BA93" i="15"/>
  <c r="AW93" i="15"/>
  <c r="AU93" i="15"/>
  <c r="AK93" i="15"/>
  <c r="CN93" i="15"/>
  <c r="BV93" i="15"/>
  <c r="CG93" i="15"/>
  <c r="CC93" i="15"/>
  <c r="BY93" i="15"/>
  <c r="BP93" i="15"/>
  <c r="AR93" i="15"/>
  <c r="BJ36" i="25"/>
  <c r="BJ92" i="25"/>
  <c r="BJ32" i="25"/>
  <c r="BK21" i="25"/>
  <c r="BK65" i="25" s="1"/>
  <c r="BK28" i="3"/>
  <c r="BK102" i="25"/>
  <c r="BK75" i="25"/>
  <c r="BK78" i="25" s="1"/>
  <c r="BK23" i="25"/>
  <c r="BK27" i="25"/>
  <c r="BK91" i="25"/>
  <c r="BK105" i="25" s="1"/>
  <c r="Z130" i="15"/>
  <c r="Y130" i="15"/>
  <c r="BL115" i="25"/>
  <c r="BL146" i="25"/>
  <c r="BJ75" i="3"/>
  <c r="W132" i="15"/>
  <c r="X132" i="15" s="1"/>
  <c r="X131" i="15"/>
  <c r="BY79" i="27" l="1"/>
  <c r="BZ74" i="27" s="1"/>
  <c r="BZ110" i="27" s="1"/>
  <c r="CG115" i="21"/>
  <c r="CH110" i="21" s="1"/>
  <c r="CH146" i="21"/>
  <c r="BZ77" i="27"/>
  <c r="BZ108" i="27"/>
  <c r="BZ109" i="27"/>
  <c r="CB193" i="3"/>
  <c r="CB246" i="3" s="1"/>
  <c r="BX305" i="3"/>
  <c r="BX303" i="3" s="1"/>
  <c r="BX320" i="3"/>
  <c r="BY103" i="3"/>
  <c r="BY265" i="3" s="1"/>
  <c r="BY64" i="15"/>
  <c r="BY230" i="3"/>
  <c r="BX105" i="3"/>
  <c r="BX212" i="3"/>
  <c r="BX267" i="3"/>
  <c r="BZ76" i="27"/>
  <c r="BZ111" i="27" s="1"/>
  <c r="BZ75" i="27"/>
  <c r="CB185" i="3" s="1"/>
  <c r="CB192" i="3" s="1"/>
  <c r="BY111" i="27"/>
  <c r="BY114" i="27" s="1"/>
  <c r="BY115" i="27" s="1"/>
  <c r="BY116" i="27" s="1"/>
  <c r="BY304" i="3"/>
  <c r="BZ223" i="3"/>
  <c r="BZ198" i="3"/>
  <c r="BX63" i="15"/>
  <c r="BX115" i="27"/>
  <c r="BX116" i="27" s="1"/>
  <c r="CA223" i="3"/>
  <c r="CA198" i="3"/>
  <c r="CH112" i="21"/>
  <c r="CH111" i="21"/>
  <c r="CH144" i="21"/>
  <c r="BZ79" i="27"/>
  <c r="CA74" i="27" s="1"/>
  <c r="CA109" i="27" s="1"/>
  <c r="CB247" i="3"/>
  <c r="CB248" i="3" s="1"/>
  <c r="CD49" i="3"/>
  <c r="CD76" i="3" s="1"/>
  <c r="CD35" i="25"/>
  <c r="CG193" i="25"/>
  <c r="CG192" i="25"/>
  <c r="CG161" i="25"/>
  <c r="CG194" i="25"/>
  <c r="CG162" i="25"/>
  <c r="CE68" i="25"/>
  <c r="CE95" i="25"/>
  <c r="CE24" i="25"/>
  <c r="CF20" i="25"/>
  <c r="CF29" i="3" s="1"/>
  <c r="CF81" i="25"/>
  <c r="CG160" i="25"/>
  <c r="BE177" i="3"/>
  <c r="BD172" i="3"/>
  <c r="BD105" i="15" s="1"/>
  <c r="BD104" i="15"/>
  <c r="Z131" i="15"/>
  <c r="Y131" i="15"/>
  <c r="BK34" i="25"/>
  <c r="BK48" i="3"/>
  <c r="BK25" i="25"/>
  <c r="Z132" i="15"/>
  <c r="Y132" i="15"/>
  <c r="BM110" i="25"/>
  <c r="BL143" i="25"/>
  <c r="BL149" i="25" s="1"/>
  <c r="BL150" i="25" s="1"/>
  <c r="BL61" i="25" s="1"/>
  <c r="BK61" i="3"/>
  <c r="BK87" i="17"/>
  <c r="CH145" i="21" l="1"/>
  <c r="CH113" i="21"/>
  <c r="CH147" i="21" s="1"/>
  <c r="CH150" i="21" s="1"/>
  <c r="CH151" i="21" s="1"/>
  <c r="CB194" i="3"/>
  <c r="CC193" i="3"/>
  <c r="CC246" i="3" s="1"/>
  <c r="BZ114" i="27"/>
  <c r="BZ115" i="27" s="1"/>
  <c r="BZ116" i="27" s="1"/>
  <c r="BZ230" i="3"/>
  <c r="BZ64" i="15"/>
  <c r="BY305" i="3"/>
  <c r="BY303" i="3" s="1"/>
  <c r="BZ103" i="3"/>
  <c r="BY320" i="3"/>
  <c r="BZ265" i="3"/>
  <c r="BX322" i="3"/>
  <c r="BX323" i="3" s="1"/>
  <c r="BX309" i="3"/>
  <c r="BY104" i="3"/>
  <c r="BY267" i="3" s="1"/>
  <c r="BY211" i="3"/>
  <c r="CA230" i="3"/>
  <c r="CA64" i="15"/>
  <c r="CA75" i="27"/>
  <c r="CC185" i="3" s="1"/>
  <c r="CC192" i="3" s="1"/>
  <c r="CA110" i="27"/>
  <c r="CA76" i="27"/>
  <c r="CA108" i="27"/>
  <c r="CA77" i="27"/>
  <c r="CB223" i="3"/>
  <c r="CB198" i="3"/>
  <c r="CG195" i="25"/>
  <c r="CG197" i="25" s="1"/>
  <c r="CG198" i="25" s="1"/>
  <c r="CG199" i="25" s="1"/>
  <c r="CG54" i="25" s="1"/>
  <c r="CF95" i="25"/>
  <c r="CF68" i="25"/>
  <c r="CF24" i="25"/>
  <c r="CE35" i="25"/>
  <c r="CE49" i="3"/>
  <c r="CE76" i="3" s="1"/>
  <c r="CG164" i="25"/>
  <c r="CH159" i="25" s="1"/>
  <c r="BD113" i="15"/>
  <c r="BD114" i="15"/>
  <c r="BE168" i="3"/>
  <c r="BE170" i="3" s="1"/>
  <c r="BE180" i="3"/>
  <c r="BE179" i="3"/>
  <c r="BL88" i="25"/>
  <c r="BL19" i="25"/>
  <c r="BL64" i="25"/>
  <c r="BK32" i="25"/>
  <c r="BK92" i="25"/>
  <c r="BK36" i="25"/>
  <c r="BM112" i="25"/>
  <c r="BM111" i="25"/>
  <c r="BM113" i="25"/>
  <c r="BK75" i="3"/>
  <c r="BY105" i="3" l="1"/>
  <c r="CH115" i="21"/>
  <c r="CI110" i="21" s="1"/>
  <c r="BY63" i="15"/>
  <c r="BY322" i="3"/>
  <c r="BY323" i="3" s="1"/>
  <c r="BY309" i="3"/>
  <c r="CA103" i="3"/>
  <c r="BZ320" i="3"/>
  <c r="BZ305" i="3"/>
  <c r="BZ303" i="3" s="1"/>
  <c r="BZ211" i="3"/>
  <c r="BY212" i="3"/>
  <c r="BZ104" i="3"/>
  <c r="BZ304" i="3"/>
  <c r="CA79" i="27"/>
  <c r="CB74" i="27" s="1"/>
  <c r="CB109" i="27" s="1"/>
  <c r="CA111" i="27"/>
  <c r="CA114" i="27" s="1"/>
  <c r="CA115" i="27" s="1"/>
  <c r="CA116" i="27" s="1"/>
  <c r="CD193" i="3"/>
  <c r="CD246" i="3" s="1"/>
  <c r="CC194" i="3"/>
  <c r="CC247" i="3"/>
  <c r="CC248" i="3" s="1"/>
  <c r="CB64" i="15"/>
  <c r="CB230" i="3"/>
  <c r="CH161" i="25"/>
  <c r="CH194" i="25"/>
  <c r="CH193" i="25"/>
  <c r="CH192" i="25"/>
  <c r="CG20" i="25"/>
  <c r="CG29" i="3" s="1"/>
  <c r="CG81" i="25"/>
  <c r="CF49" i="3"/>
  <c r="CF76" i="3" s="1"/>
  <c r="CF35" i="25"/>
  <c r="CH162" i="25"/>
  <c r="CH160" i="25"/>
  <c r="BM115" i="25"/>
  <c r="BN110" i="25" s="1"/>
  <c r="BE173" i="3"/>
  <c r="BE340" i="3" s="1"/>
  <c r="BF167" i="3"/>
  <c r="BE106" i="15"/>
  <c r="BE171" i="3"/>
  <c r="BM146" i="25"/>
  <c r="BL28" i="3"/>
  <c r="BL21" i="25"/>
  <c r="BL65" i="25" s="1"/>
  <c r="BL75" i="25"/>
  <c r="BL78" i="25" s="1"/>
  <c r="BL102" i="25"/>
  <c r="BL23" i="25"/>
  <c r="BL91" i="25"/>
  <c r="BL105" i="25" s="1"/>
  <c r="BL27" i="25"/>
  <c r="CI111" i="21" l="1"/>
  <c r="CI145" i="21"/>
  <c r="CI112" i="21"/>
  <c r="CI144" i="21"/>
  <c r="CI146" i="21"/>
  <c r="CI113" i="21"/>
  <c r="CB108" i="27"/>
  <c r="CB110" i="27"/>
  <c r="CB76" i="27"/>
  <c r="CB77" i="27"/>
  <c r="CB75" i="27"/>
  <c r="CD185" i="3" s="1"/>
  <c r="CD192" i="3" s="1"/>
  <c r="BZ63" i="15"/>
  <c r="BZ212" i="3"/>
  <c r="CA104" i="3"/>
  <c r="BZ105" i="3"/>
  <c r="CA304" i="3"/>
  <c r="CA265" i="3"/>
  <c r="CA211" i="3"/>
  <c r="BZ267" i="3"/>
  <c r="BM143" i="25"/>
  <c r="CH164" i="25"/>
  <c r="CI159" i="25" s="1"/>
  <c r="CI193" i="25" s="1"/>
  <c r="BN111" i="25"/>
  <c r="BN113" i="25"/>
  <c r="CB111" i="27"/>
  <c r="CC198" i="3"/>
  <c r="CC223" i="3"/>
  <c r="CI160" i="25"/>
  <c r="CI161" i="25"/>
  <c r="CI192" i="25"/>
  <c r="CG24" i="25"/>
  <c r="CG68" i="25"/>
  <c r="CG95" i="25"/>
  <c r="CI162" i="25"/>
  <c r="CH195" i="25"/>
  <c r="CH197" i="25" s="1"/>
  <c r="BE104" i="15"/>
  <c r="BE172" i="3"/>
  <c r="BE105" i="15" s="1"/>
  <c r="BF177" i="3"/>
  <c r="BL25" i="25"/>
  <c r="BL34" i="25"/>
  <c r="BL48" i="3"/>
  <c r="BM149" i="25"/>
  <c r="BM150" i="25" s="1"/>
  <c r="BM61" i="25" s="1"/>
  <c r="BL61" i="3"/>
  <c r="BL87" i="17"/>
  <c r="BN112" i="25"/>
  <c r="CB79" i="27" l="1"/>
  <c r="CC74" i="27" s="1"/>
  <c r="CC77" i="27" s="1"/>
  <c r="CI147" i="21"/>
  <c r="CI150" i="21" s="1"/>
  <c r="CI151" i="21" s="1"/>
  <c r="CI115" i="21"/>
  <c r="CJ110" i="21" s="1"/>
  <c r="BZ322" i="3"/>
  <c r="BZ323" i="3" s="1"/>
  <c r="BZ309" i="3"/>
  <c r="CA267" i="3"/>
  <c r="CB103" i="3"/>
  <c r="CA305" i="3"/>
  <c r="CA303" i="3" s="1"/>
  <c r="CA320" i="3"/>
  <c r="BN146" i="25"/>
  <c r="CI194" i="25"/>
  <c r="CA212" i="3"/>
  <c r="CA63" i="15"/>
  <c r="CA105" i="3"/>
  <c r="CH198" i="25"/>
  <c r="CH199" i="25" s="1"/>
  <c r="CH54" i="25" s="1"/>
  <c r="CH81" i="25" s="1"/>
  <c r="CE193" i="3"/>
  <c r="CD194" i="3"/>
  <c r="CD247" i="3"/>
  <c r="CD248" i="3" s="1"/>
  <c r="CC64" i="15"/>
  <c r="CC230" i="3"/>
  <c r="CC108" i="27"/>
  <c r="CC109" i="27"/>
  <c r="CC75" i="27"/>
  <c r="CC76" i="27"/>
  <c r="CC111" i="27" s="1"/>
  <c r="CC110" i="27"/>
  <c r="CB114" i="27"/>
  <c r="CB115" i="27" s="1"/>
  <c r="CB116" i="27" s="1"/>
  <c r="CH20" i="25"/>
  <c r="CH29" i="3" s="1"/>
  <c r="CI164" i="25"/>
  <c r="CJ159" i="25" s="1"/>
  <c r="CG49" i="3"/>
  <c r="CG76" i="3" s="1"/>
  <c r="CG35" i="25"/>
  <c r="CI195" i="25"/>
  <c r="CJ160" i="25"/>
  <c r="BF179" i="3"/>
  <c r="BF180" i="3"/>
  <c r="BF168" i="3"/>
  <c r="BF170" i="3" s="1"/>
  <c r="BE114" i="15"/>
  <c r="BE113" i="15"/>
  <c r="BM88" i="25"/>
  <c r="BM19" i="25"/>
  <c r="BM64" i="25"/>
  <c r="BL32" i="25"/>
  <c r="BL36" i="25"/>
  <c r="BL92" i="25"/>
  <c r="BN115" i="25"/>
  <c r="BL75" i="3"/>
  <c r="CJ146" i="21" l="1"/>
  <c r="CJ111" i="21"/>
  <c r="CJ113" i="21"/>
  <c r="CJ147" i="21" s="1"/>
  <c r="CJ150" i="21" s="1"/>
  <c r="CJ151" i="21" s="1"/>
  <c r="CJ144" i="21"/>
  <c r="CJ145" i="21"/>
  <c r="CJ112" i="21"/>
  <c r="CB265" i="3"/>
  <c r="CB211" i="3"/>
  <c r="CB104" i="3"/>
  <c r="CB304" i="3"/>
  <c r="CB63" i="15"/>
  <c r="CA309" i="3"/>
  <c r="CA322" i="3"/>
  <c r="CA323" i="3" s="1"/>
  <c r="CC79" i="27"/>
  <c r="CD74" i="27" s="1"/>
  <c r="CD77" i="27" s="1"/>
  <c r="CC114" i="27"/>
  <c r="CE246" i="3"/>
  <c r="CE185" i="3"/>
  <c r="CE192" i="3" s="1"/>
  <c r="CF193" i="3" s="1"/>
  <c r="CD198" i="3"/>
  <c r="CD223" i="3"/>
  <c r="CI197" i="25"/>
  <c r="CJ161" i="25"/>
  <c r="CJ194" i="25"/>
  <c r="CJ193" i="25"/>
  <c r="CJ192" i="25"/>
  <c r="CH95" i="25"/>
  <c r="CH68" i="25"/>
  <c r="CH24" i="25"/>
  <c r="CJ162" i="25"/>
  <c r="BF173" i="3"/>
  <c r="BF340" i="3" s="1"/>
  <c r="BG167" i="3"/>
  <c r="BF106" i="15"/>
  <c r="BF171" i="3"/>
  <c r="BM102" i="25"/>
  <c r="BM75" i="25"/>
  <c r="BM78" i="25" s="1"/>
  <c r="BM23" i="25"/>
  <c r="BM27" i="25"/>
  <c r="BM91" i="25"/>
  <c r="BM105" i="25" s="1"/>
  <c r="BO110" i="25"/>
  <c r="BN143" i="25"/>
  <c r="BN149" i="25" s="1"/>
  <c r="BN150" i="25" s="1"/>
  <c r="BN61" i="25" s="1"/>
  <c r="BM21" i="25"/>
  <c r="BM65" i="25" s="1"/>
  <c r="BM28" i="3"/>
  <c r="CJ115" i="21" l="1"/>
  <c r="CK110" i="21" s="1"/>
  <c r="CD109" i="27"/>
  <c r="CC304" i="3"/>
  <c r="CB105" i="3"/>
  <c r="CB212" i="3"/>
  <c r="CB267" i="3"/>
  <c r="CC103" i="3"/>
  <c r="CC104" i="3" s="1"/>
  <c r="CB320" i="3"/>
  <c r="CB305" i="3"/>
  <c r="CB303" i="3" s="1"/>
  <c r="CC265" i="3"/>
  <c r="CD75" i="27"/>
  <c r="CF185" i="3" s="1"/>
  <c r="CF192" i="3" s="1"/>
  <c r="CF194" i="3" s="1"/>
  <c r="CD76" i="27"/>
  <c r="CD111" i="27" s="1"/>
  <c r="CD108" i="27"/>
  <c r="CD114" i="27" s="1"/>
  <c r="CD110" i="27"/>
  <c r="CD64" i="15"/>
  <c r="CD230" i="3"/>
  <c r="CE247" i="3"/>
  <c r="CE248" i="3" s="1"/>
  <c r="CE194" i="3"/>
  <c r="CF246" i="3"/>
  <c r="CC115" i="27"/>
  <c r="CC116" i="27" s="1"/>
  <c r="CJ195" i="25"/>
  <c r="CJ197" i="25" s="1"/>
  <c r="CH35" i="25"/>
  <c r="CH49" i="3"/>
  <c r="CH76" i="3" s="1"/>
  <c r="CJ164" i="25"/>
  <c r="CK159" i="25" s="1"/>
  <c r="CI198" i="25"/>
  <c r="CI199" i="25" s="1"/>
  <c r="CI54" i="25" s="1"/>
  <c r="BF172" i="3"/>
  <c r="BF105" i="15" s="1"/>
  <c r="BF104" i="15"/>
  <c r="BG177" i="3"/>
  <c r="BN88" i="25"/>
  <c r="BN19" i="25"/>
  <c r="BN64" i="25"/>
  <c r="BM61" i="3"/>
  <c r="BM87" i="17"/>
  <c r="BO112" i="25"/>
  <c r="BO113" i="25"/>
  <c r="BO111" i="25"/>
  <c r="BM25" i="25"/>
  <c r="BM34" i="25"/>
  <c r="BM48" i="3"/>
  <c r="CK113" i="21" l="1"/>
  <c r="CK112" i="21"/>
  <c r="CK147" i="21" s="1"/>
  <c r="CK111" i="21"/>
  <c r="CK115" i="21" s="1"/>
  <c r="CL110" i="21" s="1"/>
  <c r="CK144" i="21"/>
  <c r="CK146" i="21"/>
  <c r="CK145" i="21"/>
  <c r="CK150" i="21" s="1"/>
  <c r="CK151" i="21" s="1"/>
  <c r="CD103" i="3"/>
  <c r="CD104" i="3" s="1"/>
  <c r="CC320" i="3"/>
  <c r="CC305" i="3"/>
  <c r="CC303" i="3" s="1"/>
  <c r="CB322" i="3"/>
  <c r="CB323" i="3" s="1"/>
  <c r="CC267" i="3"/>
  <c r="CB309" i="3"/>
  <c r="CC212" i="3"/>
  <c r="CD304" i="3"/>
  <c r="CC63" i="15"/>
  <c r="CC211" i="3"/>
  <c r="CC105" i="3"/>
  <c r="CD265" i="3"/>
  <c r="CG193" i="3"/>
  <c r="CG246" i="3" s="1"/>
  <c r="CD79" i="27"/>
  <c r="CE74" i="27" s="1"/>
  <c r="CE75" i="27" s="1"/>
  <c r="CF247" i="3"/>
  <c r="CF248" i="3" s="1"/>
  <c r="CJ198" i="25"/>
  <c r="CJ199" i="25" s="1"/>
  <c r="CJ54" i="25" s="1"/>
  <c r="CD115" i="27"/>
  <c r="CD116" i="27" s="1"/>
  <c r="CE108" i="27"/>
  <c r="CF223" i="3"/>
  <c r="CF198" i="3"/>
  <c r="CE223" i="3"/>
  <c r="CE198" i="3"/>
  <c r="CI20" i="25"/>
  <c r="CI29" i="3" s="1"/>
  <c r="CI81" i="25"/>
  <c r="CK160" i="25"/>
  <c r="CK193" i="25"/>
  <c r="CK192" i="25"/>
  <c r="CK161" i="25"/>
  <c r="CK194" i="25"/>
  <c r="CK162" i="25"/>
  <c r="BF113" i="15"/>
  <c r="BF114" i="15"/>
  <c r="BG168" i="3"/>
  <c r="BG170" i="3" s="1"/>
  <c r="BG180" i="3"/>
  <c r="BG179" i="3"/>
  <c r="BO115" i="25"/>
  <c r="BP110" i="25" s="1"/>
  <c r="BN21" i="25"/>
  <c r="BN65" i="25" s="1"/>
  <c r="BN28" i="3"/>
  <c r="BM32" i="25"/>
  <c r="BM92" i="25"/>
  <c r="BM36" i="25"/>
  <c r="BO146" i="25"/>
  <c r="BN75" i="25"/>
  <c r="BN78" i="25" s="1"/>
  <c r="BN102" i="25"/>
  <c r="BN23" i="25"/>
  <c r="BN91" i="25"/>
  <c r="BN105" i="25" s="1"/>
  <c r="BN27" i="25"/>
  <c r="BM75" i="3"/>
  <c r="CL111" i="21" l="1"/>
  <c r="CL144" i="21"/>
  <c r="CL145" i="21"/>
  <c r="CL112" i="21"/>
  <c r="CL146" i="21"/>
  <c r="CL113" i="21"/>
  <c r="CE77" i="27"/>
  <c r="CE109" i="27"/>
  <c r="CJ81" i="25"/>
  <c r="CJ20" i="25"/>
  <c r="CJ29" i="3" s="1"/>
  <c r="CD305" i="3"/>
  <c r="CD303" i="3" s="1"/>
  <c r="CD320" i="3"/>
  <c r="CE103" i="3"/>
  <c r="CD105" i="3"/>
  <c r="CD212" i="3"/>
  <c r="CD267" i="3"/>
  <c r="CC322" i="3"/>
  <c r="CC323" i="3" s="1"/>
  <c r="CC309" i="3"/>
  <c r="CD211" i="3"/>
  <c r="CD63" i="15"/>
  <c r="CK164" i="25"/>
  <c r="CL159" i="25" s="1"/>
  <c r="CL193" i="25" s="1"/>
  <c r="CE110" i="27"/>
  <c r="CE76" i="27"/>
  <c r="CE79" i="27" s="1"/>
  <c r="CF74" i="27" s="1"/>
  <c r="CE64" i="15"/>
  <c r="CE230" i="3"/>
  <c r="CF64" i="15"/>
  <c r="CF230" i="3"/>
  <c r="CG185" i="3"/>
  <c r="CG192" i="3" s="1"/>
  <c r="CJ95" i="25"/>
  <c r="CJ24" i="25"/>
  <c r="CJ68" i="25"/>
  <c r="CI68" i="25"/>
  <c r="CI24" i="25"/>
  <c r="CI95" i="25"/>
  <c r="BO143" i="25"/>
  <c r="BO149" i="25" s="1"/>
  <c r="BO150" i="25" s="1"/>
  <c r="BO61" i="25" s="1"/>
  <c r="CK195" i="25"/>
  <c r="CK197" i="25" s="1"/>
  <c r="BP113" i="25"/>
  <c r="BP111" i="25"/>
  <c r="BG173" i="3"/>
  <c r="BG340" i="3" s="1"/>
  <c r="BH167" i="3"/>
  <c r="BG106" i="15"/>
  <c r="BG171" i="3"/>
  <c r="BN25" i="25"/>
  <c r="BN48" i="3"/>
  <c r="BN34" i="25"/>
  <c r="BN61" i="3"/>
  <c r="BN87" i="17"/>
  <c r="BP112" i="25"/>
  <c r="CL147" i="21" l="1"/>
  <c r="CL150" i="21" s="1"/>
  <c r="CL151" i="21" s="1"/>
  <c r="CL115" i="21"/>
  <c r="CM110" i="21" s="1"/>
  <c r="CL192" i="25"/>
  <c r="CE104" i="3"/>
  <c r="CE304" i="3"/>
  <c r="CE211" i="3"/>
  <c r="CL160" i="25"/>
  <c r="CL161" i="25"/>
  <c r="CL162" i="25"/>
  <c r="CD309" i="3"/>
  <c r="CD322" i="3"/>
  <c r="CD323" i="3" s="1"/>
  <c r="CE265" i="3"/>
  <c r="CF108" i="27"/>
  <c r="CF109" i="27"/>
  <c r="CF77" i="27"/>
  <c r="CF110" i="27"/>
  <c r="CF76" i="27"/>
  <c r="CF75" i="27"/>
  <c r="CL194" i="25"/>
  <c r="CE111" i="27"/>
  <c r="CE114" i="27" s="1"/>
  <c r="CE115" i="27" s="1"/>
  <c r="CE116" i="27" s="1"/>
  <c r="BP115" i="25"/>
  <c r="BQ110" i="25" s="1"/>
  <c r="CG247" i="3"/>
  <c r="CG248" i="3" s="1"/>
  <c r="CG194" i="3"/>
  <c r="CH193" i="3"/>
  <c r="CK198" i="25"/>
  <c r="CK199" i="25" s="1"/>
  <c r="CK54" i="25" s="1"/>
  <c r="CJ35" i="25"/>
  <c r="CJ49" i="3"/>
  <c r="CJ76" i="3" s="1"/>
  <c r="CI49" i="3"/>
  <c r="CI76" i="3" s="1"/>
  <c r="CI35" i="25"/>
  <c r="CL164" i="25"/>
  <c r="CM159" i="25" s="1"/>
  <c r="CM160" i="25" s="1"/>
  <c r="BG104" i="15"/>
  <c r="BG172" i="3"/>
  <c r="BG105" i="15" s="1"/>
  <c r="BH177" i="3"/>
  <c r="BP146" i="25"/>
  <c r="BN75" i="3"/>
  <c r="BO88" i="25"/>
  <c r="BO19" i="25"/>
  <c r="BO64" i="25"/>
  <c r="BN32" i="25"/>
  <c r="BN36" i="25"/>
  <c r="BN92" i="25"/>
  <c r="CM112" i="21" l="1"/>
  <c r="CM145" i="21"/>
  <c r="CM111" i="21"/>
  <c r="CM146" i="21"/>
  <c r="CM144" i="21"/>
  <c r="CF111" i="27"/>
  <c r="CF114" i="27" s="1"/>
  <c r="CM113" i="21"/>
  <c r="CF79" i="27"/>
  <c r="CG74" i="27" s="1"/>
  <c r="CH185" i="3"/>
  <c r="CH192" i="3" s="1"/>
  <c r="CF115" i="27"/>
  <c r="CF116" i="27" s="1"/>
  <c r="CE305" i="3"/>
  <c r="CE303" i="3" s="1"/>
  <c r="CF103" i="3"/>
  <c r="CE320" i="3"/>
  <c r="CL195" i="25"/>
  <c r="CL197" i="25" s="1"/>
  <c r="CL198" i="25" s="1"/>
  <c r="CL199" i="25" s="1"/>
  <c r="CL54" i="25" s="1"/>
  <c r="CL20" i="25" s="1"/>
  <c r="CL29" i="3" s="1"/>
  <c r="CE105" i="3"/>
  <c r="CE212" i="3"/>
  <c r="CE63" i="15"/>
  <c r="CE267" i="3"/>
  <c r="BP143" i="25"/>
  <c r="BP149" i="25" s="1"/>
  <c r="BP150" i="25" s="1"/>
  <c r="BP61" i="25" s="1"/>
  <c r="CH246" i="3"/>
  <c r="CI193" i="3"/>
  <c r="CG76" i="27"/>
  <c r="CG108" i="27"/>
  <c r="CG77" i="27"/>
  <c r="CG110" i="27"/>
  <c r="CG109" i="27"/>
  <c r="CG75" i="27"/>
  <c r="CI185" i="3" s="1"/>
  <c r="CI192" i="3" s="1"/>
  <c r="CI247" i="3" s="1"/>
  <c r="CI248" i="3" s="1"/>
  <c r="CG198" i="3"/>
  <c r="CG223" i="3"/>
  <c r="CH247" i="3"/>
  <c r="CH248" i="3" s="1"/>
  <c r="CH194" i="3"/>
  <c r="CM161" i="25"/>
  <c r="CM194" i="25"/>
  <c r="CM193" i="25"/>
  <c r="CM192" i="25"/>
  <c r="CM162" i="25"/>
  <c r="CK81" i="25"/>
  <c r="CK20" i="25"/>
  <c r="CK29" i="3" s="1"/>
  <c r="BH180" i="3"/>
  <c r="BH168" i="3"/>
  <c r="BH170" i="3" s="1"/>
  <c r="BH179" i="3"/>
  <c r="BG114" i="15"/>
  <c r="BG113" i="15"/>
  <c r="BQ112" i="25"/>
  <c r="BQ113" i="25"/>
  <c r="BQ111" i="25"/>
  <c r="BO28" i="3"/>
  <c r="BO21" i="25"/>
  <c r="BO65" i="25" s="1"/>
  <c r="BO102" i="25"/>
  <c r="BO75" i="25"/>
  <c r="BO78" i="25" s="1"/>
  <c r="BO23" i="25"/>
  <c r="BO27" i="25"/>
  <c r="BO91" i="25"/>
  <c r="BO105" i="25" s="1"/>
  <c r="CM147" i="21" l="1"/>
  <c r="CM150" i="21" s="1"/>
  <c r="CM151" i="21" s="1"/>
  <c r="CN113" i="21"/>
  <c r="CN111" i="21"/>
  <c r="CL81" i="25"/>
  <c r="CM115" i="21"/>
  <c r="CN110" i="21" s="1"/>
  <c r="CE309" i="3"/>
  <c r="CE322" i="3"/>
  <c r="CE323" i="3" s="1"/>
  <c r="CF265" i="3"/>
  <c r="CF104" i="3"/>
  <c r="CF211" i="3"/>
  <c r="CF304" i="3"/>
  <c r="BP88" i="25"/>
  <c r="BP23" i="25" s="1"/>
  <c r="BP19" i="25"/>
  <c r="BP21" i="25" s="1"/>
  <c r="CM164" i="25"/>
  <c r="CN159" i="25" s="1"/>
  <c r="CN194" i="25" s="1"/>
  <c r="CI194" i="3"/>
  <c r="CI198" i="3" s="1"/>
  <c r="CH198" i="3"/>
  <c r="CH223" i="3"/>
  <c r="CG64" i="15"/>
  <c r="CG230" i="3"/>
  <c r="CJ193" i="3"/>
  <c r="CI246" i="3"/>
  <c r="CG79" i="27"/>
  <c r="CH74" i="27" s="1"/>
  <c r="CH77" i="27" s="1"/>
  <c r="CG111" i="27"/>
  <c r="CG114" i="27" s="1"/>
  <c r="CL68" i="25"/>
  <c r="CL24" i="25"/>
  <c r="CL95" i="25"/>
  <c r="CN193" i="25"/>
  <c r="CM195" i="25"/>
  <c r="CM197" i="25" s="1"/>
  <c r="CK24" i="25"/>
  <c r="CK68" i="25"/>
  <c r="CK95" i="25"/>
  <c r="BQ115" i="25"/>
  <c r="BQ143" i="25" s="1"/>
  <c r="BP64" i="25"/>
  <c r="BH106" i="15"/>
  <c r="BH173" i="3"/>
  <c r="BH340" i="3" s="1"/>
  <c r="BI167" i="3"/>
  <c r="BH171" i="3"/>
  <c r="BQ146" i="25"/>
  <c r="BO61" i="3"/>
  <c r="BO87" i="17"/>
  <c r="BO25" i="25"/>
  <c r="BO34" i="25"/>
  <c r="BO48" i="3"/>
  <c r="BP102" i="25"/>
  <c r="BP27" i="25"/>
  <c r="CN145" i="21" l="1"/>
  <c r="CN144" i="21"/>
  <c r="CN112" i="21"/>
  <c r="CN147" i="21" s="1"/>
  <c r="CN150" i="21" s="1"/>
  <c r="CN151" i="21" s="1"/>
  <c r="CN146" i="21"/>
  <c r="CF212" i="3"/>
  <c r="CF105" i="3"/>
  <c r="CF267" i="3"/>
  <c r="CF63" i="15"/>
  <c r="CN161" i="25"/>
  <c r="CF320" i="3"/>
  <c r="CF305" i="3"/>
  <c r="CF303" i="3" s="1"/>
  <c r="CG103" i="3"/>
  <c r="CN162" i="25"/>
  <c r="CN160" i="25"/>
  <c r="CN192" i="25"/>
  <c r="BR110" i="25"/>
  <c r="BR111" i="25" s="1"/>
  <c r="BP28" i="3"/>
  <c r="CI223" i="3"/>
  <c r="CI230" i="3" s="1"/>
  <c r="BP91" i="25"/>
  <c r="BP105" i="25" s="1"/>
  <c r="CM198" i="25"/>
  <c r="CM199" i="25" s="1"/>
  <c r="CM54" i="25" s="1"/>
  <c r="CM81" i="25" s="1"/>
  <c r="BP75" i="25"/>
  <c r="BP78" i="25" s="1"/>
  <c r="BP65" i="25"/>
  <c r="CG115" i="27"/>
  <c r="CG116" i="27" s="1"/>
  <c r="CJ246" i="3"/>
  <c r="CH230" i="3"/>
  <c r="CH64" i="15"/>
  <c r="CH75" i="27"/>
  <c r="CH109" i="27"/>
  <c r="CH76" i="27"/>
  <c r="CH111" i="27" s="1"/>
  <c r="CH108" i="27"/>
  <c r="CH110" i="27"/>
  <c r="CL35" i="25"/>
  <c r="CL49" i="3"/>
  <c r="CL76" i="3" s="1"/>
  <c r="CK35" i="25"/>
  <c r="CK49" i="3"/>
  <c r="CK76" i="3" s="1"/>
  <c r="CN195" i="25"/>
  <c r="CN197" i="25" s="1"/>
  <c r="BH104" i="15"/>
  <c r="BH172" i="3"/>
  <c r="BH105" i="15" s="1"/>
  <c r="BI177" i="3"/>
  <c r="BP48" i="3"/>
  <c r="BP25" i="25"/>
  <c r="BP34" i="25"/>
  <c r="BO36" i="25"/>
  <c r="BO32" i="25"/>
  <c r="BO92" i="25"/>
  <c r="BQ149" i="25"/>
  <c r="BQ150" i="25" s="1"/>
  <c r="BQ61" i="25" s="1"/>
  <c r="BO75" i="3"/>
  <c r="BR112" i="25"/>
  <c r="BP61" i="3"/>
  <c r="BP87" i="17"/>
  <c r="CN115" i="21" l="1"/>
  <c r="CO110" i="21" s="1"/>
  <c r="CI64" i="15"/>
  <c r="CN164" i="25"/>
  <c r="CO159" i="25" s="1"/>
  <c r="CO193" i="25" s="1"/>
  <c r="CG211" i="3"/>
  <c r="CG265" i="3"/>
  <c r="CG104" i="3"/>
  <c r="CG212" i="3" s="1"/>
  <c r="CF309" i="3"/>
  <c r="CF322" i="3"/>
  <c r="CF323" i="3" s="1"/>
  <c r="CG304" i="3"/>
  <c r="CO192" i="25"/>
  <c r="CO162" i="25"/>
  <c r="BR113" i="25"/>
  <c r="BR115" i="25" s="1"/>
  <c r="BR143" i="25" s="1"/>
  <c r="CM20" i="25"/>
  <c r="CM29" i="3" s="1"/>
  <c r="CH114" i="27"/>
  <c r="CH115" i="27" s="1"/>
  <c r="CH116" i="27" s="1"/>
  <c r="CJ185" i="3"/>
  <c r="CJ192" i="3" s="1"/>
  <c r="CH79" i="27"/>
  <c r="CI74" i="27" s="1"/>
  <c r="CN198" i="25"/>
  <c r="CN199" i="25" s="1"/>
  <c r="CN54" i="25" s="1"/>
  <c r="CM95" i="25"/>
  <c r="CM24" i="25"/>
  <c r="CM68" i="25"/>
  <c r="BI168" i="3"/>
  <c r="BI170" i="3" s="1"/>
  <c r="BI180" i="3"/>
  <c r="BI179" i="3"/>
  <c r="BH114" i="15"/>
  <c r="BH113" i="15"/>
  <c r="BQ88" i="25"/>
  <c r="BQ19" i="25"/>
  <c r="BQ64" i="25"/>
  <c r="BP92" i="25"/>
  <c r="BP32" i="25"/>
  <c r="BP36" i="25"/>
  <c r="BP75" i="3"/>
  <c r="CO160" i="25" l="1"/>
  <c r="BR146" i="25"/>
  <c r="CO194" i="25"/>
  <c r="CO161" i="25"/>
  <c r="CO195" i="25" s="1"/>
  <c r="CO111" i="21"/>
  <c r="CO112" i="21"/>
  <c r="CO147" i="21" s="1"/>
  <c r="CO146" i="21"/>
  <c r="CO113" i="21"/>
  <c r="CO145" i="21"/>
  <c r="CO144" i="21"/>
  <c r="CO164" i="25"/>
  <c r="CP159" i="25" s="1"/>
  <c r="CP193" i="25" s="1"/>
  <c r="CG267" i="3"/>
  <c r="CG322" i="3" s="1"/>
  <c r="CG63" i="15"/>
  <c r="CG105" i="3"/>
  <c r="BR149" i="25"/>
  <c r="BR150" i="25" s="1"/>
  <c r="BR61" i="25" s="1"/>
  <c r="CP192" i="25"/>
  <c r="CP194" i="25"/>
  <c r="CG305" i="3"/>
  <c r="CG303" i="3" s="1"/>
  <c r="CH103" i="3"/>
  <c r="CG320" i="3"/>
  <c r="CP162" i="25"/>
  <c r="CP160" i="25"/>
  <c r="CP161" i="25"/>
  <c r="BS110" i="25"/>
  <c r="CJ194" i="3"/>
  <c r="CJ247" i="3"/>
  <c r="CJ248" i="3" s="1"/>
  <c r="CK193" i="3"/>
  <c r="CK246" i="3" s="1"/>
  <c r="CI108" i="27"/>
  <c r="CI76" i="27"/>
  <c r="CI75" i="27"/>
  <c r="CI109" i="27"/>
  <c r="CI110" i="27"/>
  <c r="CI77" i="27"/>
  <c r="CM49" i="3"/>
  <c r="CM76" i="3" s="1"/>
  <c r="CM35" i="25"/>
  <c r="CN81" i="25"/>
  <c r="CN20" i="25"/>
  <c r="CN29" i="3" s="1"/>
  <c r="BJ167" i="3"/>
  <c r="BI106" i="15"/>
  <c r="BI173" i="3"/>
  <c r="BI340" i="3" s="1"/>
  <c r="BI171" i="3"/>
  <c r="BQ102" i="25"/>
  <c r="BQ75" i="25"/>
  <c r="BQ78" i="25" s="1"/>
  <c r="BQ23" i="25"/>
  <c r="BQ91" i="25"/>
  <c r="BQ105" i="25" s="1"/>
  <c r="BQ27" i="25"/>
  <c r="BR88" i="25"/>
  <c r="BR19" i="25"/>
  <c r="BR64" i="25"/>
  <c r="BQ28" i="3"/>
  <c r="BQ21" i="25"/>
  <c r="BQ65" i="25" s="1"/>
  <c r="BS112" i="25"/>
  <c r="BS113" i="25"/>
  <c r="BS111" i="25"/>
  <c r="CO197" i="25" l="1"/>
  <c r="CO198" i="25"/>
  <c r="CO199" i="25" s="1"/>
  <c r="CO54" i="25" s="1"/>
  <c r="CO81" i="25" s="1"/>
  <c r="CP81" i="25" s="1"/>
  <c r="CP195" i="25"/>
  <c r="CO115" i="21"/>
  <c r="CP110" i="21" s="1"/>
  <c r="CO150" i="21"/>
  <c r="CO151" i="21" s="1"/>
  <c r="CG309" i="3"/>
  <c r="CH265" i="3"/>
  <c r="CH211" i="3"/>
  <c r="CH104" i="3"/>
  <c r="CH304" i="3"/>
  <c r="CH105" i="3"/>
  <c r="CG323" i="3"/>
  <c r="CP164" i="25"/>
  <c r="CP197" i="25"/>
  <c r="CP198" i="25" s="1"/>
  <c r="CP199" i="25" s="1"/>
  <c r="CP54" i="25" s="1"/>
  <c r="CP20" i="25" s="1"/>
  <c r="CP29" i="3" s="1"/>
  <c r="CI111" i="27"/>
  <c r="CI79" i="27"/>
  <c r="CJ74" i="27" s="1"/>
  <c r="CK185" i="3"/>
  <c r="CK192" i="3" s="1"/>
  <c r="CJ223" i="3"/>
  <c r="CJ198" i="3"/>
  <c r="CO20" i="25"/>
  <c r="CO29" i="3" s="1"/>
  <c r="CN24" i="25"/>
  <c r="CN95" i="25"/>
  <c r="CN68" i="25"/>
  <c r="BI104" i="15"/>
  <c r="BI172" i="3"/>
  <c r="BI105" i="15" s="1"/>
  <c r="BS115" i="25"/>
  <c r="BT110" i="25" s="1"/>
  <c r="BJ177" i="3"/>
  <c r="BQ48" i="3"/>
  <c r="BQ25" i="25"/>
  <c r="BQ34" i="25"/>
  <c r="BR21" i="25"/>
  <c r="BR65" i="25" s="1"/>
  <c r="BR28" i="3"/>
  <c r="BR75" i="25"/>
  <c r="BR78" i="25" s="1"/>
  <c r="BR102" i="25"/>
  <c r="BR23" i="25"/>
  <c r="BR91" i="25"/>
  <c r="BR105" i="25" s="1"/>
  <c r="BR27" i="25"/>
  <c r="BQ61" i="3"/>
  <c r="BQ87" i="17"/>
  <c r="BS146" i="25"/>
  <c r="CP113" i="21" l="1"/>
  <c r="CP144" i="21"/>
  <c r="CP145" i="21"/>
  <c r="CP150" i="21" s="1"/>
  <c r="CP151" i="21" s="1"/>
  <c r="CP112" i="21"/>
  <c r="CP147" i="21" s="1"/>
  <c r="CP146" i="21"/>
  <c r="CP111" i="21"/>
  <c r="CP115" i="21" s="1"/>
  <c r="CH267" i="3"/>
  <c r="CH212" i="3"/>
  <c r="CH63" i="15"/>
  <c r="CH305" i="3"/>
  <c r="CH303" i="3" s="1"/>
  <c r="CI103" i="3"/>
  <c r="CH320" i="3"/>
  <c r="BS143" i="25"/>
  <c r="BT111" i="25"/>
  <c r="BT113" i="25"/>
  <c r="CJ75" i="27"/>
  <c r="CJ76" i="27"/>
  <c r="CJ108" i="27"/>
  <c r="CJ110" i="27"/>
  <c r="CJ109" i="27"/>
  <c r="CJ77" i="27"/>
  <c r="CJ64" i="15"/>
  <c r="CJ230" i="3"/>
  <c r="CL193" i="3"/>
  <c r="CK194" i="3"/>
  <c r="CK247" i="3"/>
  <c r="CK248" i="3" s="1"/>
  <c r="CI114" i="27"/>
  <c r="CN49" i="3"/>
  <c r="CN76" i="3" s="1"/>
  <c r="CN35" i="25"/>
  <c r="CP68" i="25"/>
  <c r="CP24" i="25"/>
  <c r="CP95" i="25"/>
  <c r="CO24" i="25"/>
  <c r="CO95" i="25"/>
  <c r="CO68" i="25"/>
  <c r="BI114" i="15"/>
  <c r="BI113" i="15"/>
  <c r="BJ180" i="3"/>
  <c r="BJ168" i="3"/>
  <c r="BJ170" i="3" s="1"/>
  <c r="BJ179" i="3"/>
  <c r="BR61" i="3"/>
  <c r="BR87" i="17"/>
  <c r="BQ36" i="25"/>
  <c r="BQ92" i="25"/>
  <c r="BQ32" i="25"/>
  <c r="BQ75" i="3"/>
  <c r="BR48" i="3"/>
  <c r="BR34" i="25"/>
  <c r="BR25" i="25"/>
  <c r="BS149" i="25"/>
  <c r="BS150" i="25" s="1"/>
  <c r="BS61" i="25" s="1"/>
  <c r="BT112" i="25"/>
  <c r="CI211" i="3" l="1"/>
  <c r="CI104" i="3"/>
  <c r="CI265" i="3"/>
  <c r="CH309" i="3"/>
  <c r="CH322" i="3"/>
  <c r="CH323" i="3" s="1"/>
  <c r="CI105" i="3"/>
  <c r="CI304" i="3"/>
  <c r="BT115" i="25"/>
  <c r="CK198" i="3"/>
  <c r="CK223" i="3"/>
  <c r="CJ79" i="27"/>
  <c r="CK74" i="27" s="1"/>
  <c r="CJ111" i="27"/>
  <c r="CJ114" i="27" s="1"/>
  <c r="CJ115" i="27" s="1"/>
  <c r="CJ116" i="27" s="1"/>
  <c r="CI115" i="27"/>
  <c r="CI116" i="27" s="1"/>
  <c r="CL246" i="3"/>
  <c r="CL185" i="3"/>
  <c r="CL192" i="3" s="1"/>
  <c r="CO35" i="25"/>
  <c r="CO49" i="3"/>
  <c r="CO76" i="3" s="1"/>
  <c r="CP49" i="3"/>
  <c r="CP76" i="3" s="1"/>
  <c r="CP35" i="25"/>
  <c r="BJ106" i="15"/>
  <c r="BK167" i="3"/>
  <c r="BJ173" i="3"/>
  <c r="BJ340" i="3" s="1"/>
  <c r="BJ171" i="3"/>
  <c r="BT146" i="25"/>
  <c r="BS88" i="25"/>
  <c r="BS19" i="25"/>
  <c r="BS64" i="25"/>
  <c r="BR32" i="25"/>
  <c r="BR36" i="25"/>
  <c r="BR92" i="25"/>
  <c r="BU110" i="25"/>
  <c r="BT143" i="25"/>
  <c r="BR75" i="3"/>
  <c r="CI212" i="3" l="1"/>
  <c r="CI63" i="15"/>
  <c r="CI267" i="3"/>
  <c r="CI305" i="3"/>
  <c r="CI303" i="3" s="1"/>
  <c r="CI320" i="3"/>
  <c r="CJ103" i="3"/>
  <c r="BT149" i="25"/>
  <c r="BT150" i="25" s="1"/>
  <c r="BT61" i="25" s="1"/>
  <c r="BT88" i="25" s="1"/>
  <c r="CL247" i="3"/>
  <c r="CL248" i="3" s="1"/>
  <c r="CL194" i="3"/>
  <c r="CK108" i="27"/>
  <c r="CK76" i="27"/>
  <c r="CK110" i="27"/>
  <c r="CK109" i="27"/>
  <c r="CK64" i="15"/>
  <c r="CK230" i="3"/>
  <c r="CK75" i="27"/>
  <c r="CM185" i="3" s="1"/>
  <c r="CM192" i="3" s="1"/>
  <c r="CM193" i="3"/>
  <c r="CM246" i="3" s="1"/>
  <c r="CK77" i="27"/>
  <c r="BJ172" i="3"/>
  <c r="BJ105" i="15" s="1"/>
  <c r="BJ104" i="15"/>
  <c r="BK177" i="3"/>
  <c r="BT19" i="25"/>
  <c r="BT64" i="25"/>
  <c r="BU112" i="25"/>
  <c r="BU111" i="25"/>
  <c r="BU113" i="25"/>
  <c r="BS28" i="3"/>
  <c r="BS21" i="25"/>
  <c r="BS65" i="25" s="1"/>
  <c r="BS75" i="25"/>
  <c r="BS78" i="25" s="1"/>
  <c r="BS102" i="25"/>
  <c r="BS23" i="25"/>
  <c r="BS91" i="25"/>
  <c r="BS105" i="25" s="1"/>
  <c r="BS27" i="25"/>
  <c r="CJ211" i="3" l="1"/>
  <c r="CJ265" i="3"/>
  <c r="CJ104" i="3"/>
  <c r="CJ304" i="3"/>
  <c r="CI309" i="3"/>
  <c r="CI322" i="3"/>
  <c r="CI323" i="3" s="1"/>
  <c r="CK111" i="27"/>
  <c r="CK114" i="27" s="1"/>
  <c r="CL198" i="3"/>
  <c r="CL223" i="3"/>
  <c r="CN193" i="3"/>
  <c r="CN246" i="3" s="1"/>
  <c r="CM247" i="3"/>
  <c r="CM248" i="3" s="1"/>
  <c r="CM194" i="3"/>
  <c r="CK79" i="27"/>
  <c r="CL74" i="27" s="1"/>
  <c r="BJ114" i="15"/>
  <c r="BJ113" i="15"/>
  <c r="BK179" i="3"/>
  <c r="BK168" i="3"/>
  <c r="BK170" i="3" s="1"/>
  <c r="BK180" i="3"/>
  <c r="BU115" i="25"/>
  <c r="BU143" i="25" s="1"/>
  <c r="BS25" i="25"/>
  <c r="BS34" i="25"/>
  <c r="BS48" i="3"/>
  <c r="BT28" i="3"/>
  <c r="BT21" i="25"/>
  <c r="BT65" i="25" s="1"/>
  <c r="BS61" i="3"/>
  <c r="BS87" i="17"/>
  <c r="BU146" i="25"/>
  <c r="BT75" i="25"/>
  <c r="BT78" i="25" s="1"/>
  <c r="BT102" i="25"/>
  <c r="BT23" i="25"/>
  <c r="BT27" i="25"/>
  <c r="BT91" i="25"/>
  <c r="BT105" i="25" s="1"/>
  <c r="CJ305" i="3" l="1"/>
  <c r="CJ303" i="3" s="1"/>
  <c r="CK103" i="3"/>
  <c r="CJ320" i="3"/>
  <c r="BV110" i="25"/>
  <c r="BV113" i="25" s="1"/>
  <c r="CJ212" i="3"/>
  <c r="CJ267" i="3"/>
  <c r="CJ105" i="3"/>
  <c r="CJ63" i="15"/>
  <c r="CL75" i="27"/>
  <c r="CL108" i="27"/>
  <c r="CL110" i="27"/>
  <c r="CL109" i="27"/>
  <c r="CL76" i="27"/>
  <c r="CL64" i="15"/>
  <c r="CL230" i="3"/>
  <c r="CL77" i="27"/>
  <c r="CM223" i="3"/>
  <c r="CM198" i="3"/>
  <c r="CK115" i="27"/>
  <c r="CK116" i="27" s="1"/>
  <c r="BL167" i="3"/>
  <c r="BK106" i="15"/>
  <c r="BK173" i="3"/>
  <c r="BK340" i="3" s="1"/>
  <c r="BK171" i="3"/>
  <c r="BS92" i="25"/>
  <c r="BS36" i="25"/>
  <c r="BS32" i="25"/>
  <c r="BT61" i="3"/>
  <c r="BT87" i="17"/>
  <c r="BT25" i="25"/>
  <c r="BT48" i="3"/>
  <c r="BT34" i="25"/>
  <c r="BS75" i="3"/>
  <c r="BU149" i="25"/>
  <c r="BU150" i="25" s="1"/>
  <c r="BU61" i="25" s="1"/>
  <c r="BV112" i="25"/>
  <c r="BV146" i="25" s="1"/>
  <c r="BV111" i="25" l="1"/>
  <c r="CK104" i="3"/>
  <c r="CK105" i="3" s="1"/>
  <c r="CK211" i="3"/>
  <c r="CK63" i="15"/>
  <c r="CK304" i="3"/>
  <c r="CJ309" i="3"/>
  <c r="CJ322" i="3"/>
  <c r="CJ323" i="3" s="1"/>
  <c r="CK265" i="3"/>
  <c r="CL79" i="27"/>
  <c r="CM74" i="27" s="1"/>
  <c r="CM110" i="27" s="1"/>
  <c r="CM64" i="15"/>
  <c r="CM230" i="3"/>
  <c r="CL111" i="27"/>
  <c r="CL114" i="27" s="1"/>
  <c r="CN185" i="3"/>
  <c r="CN192" i="3" s="1"/>
  <c r="BK172" i="3"/>
  <c r="BK105" i="15" s="1"/>
  <c r="BK104" i="15"/>
  <c r="BL177" i="3"/>
  <c r="BV115" i="25"/>
  <c r="BV143" i="25" s="1"/>
  <c r="BV149" i="25" s="1"/>
  <c r="BV150" i="25" s="1"/>
  <c r="BV61" i="25" s="1"/>
  <c r="BU88" i="25"/>
  <c r="BU19" i="25"/>
  <c r="BU64" i="25"/>
  <c r="BT75" i="3"/>
  <c r="BT32" i="25"/>
  <c r="BT36" i="25"/>
  <c r="BT92" i="25"/>
  <c r="CM77" i="27" l="1"/>
  <c r="CK267" i="3"/>
  <c r="CK305" i="3"/>
  <c r="CK303" i="3" s="1"/>
  <c r="CL103" i="3"/>
  <c r="CK320" i="3"/>
  <c r="CK309" i="3"/>
  <c r="CK322" i="3"/>
  <c r="CK212" i="3"/>
  <c r="BW110" i="25"/>
  <c r="BW112" i="25" s="1"/>
  <c r="CM75" i="27"/>
  <c r="CO185" i="3" s="1"/>
  <c r="CO192" i="3" s="1"/>
  <c r="CM76" i="27"/>
  <c r="CM111" i="27" s="1"/>
  <c r="CM108" i="27"/>
  <c r="CM109" i="27"/>
  <c r="CL115" i="27"/>
  <c r="CL116" i="27" s="1"/>
  <c r="CO193" i="3"/>
  <c r="CN194" i="3"/>
  <c r="CN247" i="3"/>
  <c r="CN248" i="3" s="1"/>
  <c r="BK113" i="15"/>
  <c r="BK114" i="15"/>
  <c r="BL179" i="3"/>
  <c r="BL180" i="3"/>
  <c r="BL168" i="3"/>
  <c r="BL170" i="3" s="1"/>
  <c r="BV88" i="25"/>
  <c r="BV19" i="25"/>
  <c r="BV64" i="25"/>
  <c r="BU21" i="25"/>
  <c r="BU65" i="25" s="1"/>
  <c r="BU28" i="3"/>
  <c r="BU102" i="25"/>
  <c r="BU75" i="25"/>
  <c r="BU78" i="25" s="1"/>
  <c r="BU23" i="25"/>
  <c r="BU27" i="25"/>
  <c r="BU91" i="25"/>
  <c r="BU105" i="25" s="1"/>
  <c r="BW111" i="25" l="1"/>
  <c r="CL304" i="3"/>
  <c r="CL211" i="3"/>
  <c r="CL265" i="3"/>
  <c r="BW113" i="25"/>
  <c r="BW115" i="25" s="1"/>
  <c r="CL104" i="3"/>
  <c r="CK323" i="3"/>
  <c r="CM79" i="27"/>
  <c r="CN74" i="27" s="1"/>
  <c r="CN109" i="27" s="1"/>
  <c r="CM114" i="27"/>
  <c r="CM115" i="27" s="1"/>
  <c r="CM116" i="27" s="1"/>
  <c r="CO246" i="3"/>
  <c r="CP193" i="3"/>
  <c r="CP246" i="3" s="1"/>
  <c r="CN223" i="3"/>
  <c r="CN198" i="3"/>
  <c r="CO194" i="3"/>
  <c r="CO247" i="3"/>
  <c r="CO248" i="3" s="1"/>
  <c r="BL106" i="15"/>
  <c r="BM167" i="3"/>
  <c r="BL173" i="3"/>
  <c r="BL340" i="3" s="1"/>
  <c r="BL171" i="3"/>
  <c r="BW146" i="25"/>
  <c r="BU34" i="25"/>
  <c r="BU48" i="3"/>
  <c r="BU25" i="25"/>
  <c r="BV21" i="25"/>
  <c r="BV65" i="25" s="1"/>
  <c r="BV28" i="3"/>
  <c r="BV102" i="25"/>
  <c r="BV75" i="25"/>
  <c r="BV78" i="25" s="1"/>
  <c r="BV23" i="25"/>
  <c r="BV91" i="25"/>
  <c r="BV105" i="25" s="1"/>
  <c r="BV27" i="25"/>
  <c r="BU61" i="3"/>
  <c r="BU87" i="17"/>
  <c r="CN76" i="27" l="1"/>
  <c r="CN77" i="27"/>
  <c r="CN111" i="27" s="1"/>
  <c r="CN75" i="27"/>
  <c r="CN79" i="27" s="1"/>
  <c r="CO74" i="27" s="1"/>
  <c r="CO77" i="27" s="1"/>
  <c r="CM103" i="3"/>
  <c r="CM104" i="3" s="1"/>
  <c r="CL320" i="3"/>
  <c r="CL305" i="3"/>
  <c r="CL303" i="3" s="1"/>
  <c r="CL212" i="3"/>
  <c r="CL267" i="3"/>
  <c r="CL63" i="15"/>
  <c r="CL105" i="3"/>
  <c r="CM304" i="3"/>
  <c r="CN110" i="27"/>
  <c r="CN108" i="27"/>
  <c r="CN64" i="15"/>
  <c r="CN230" i="3"/>
  <c r="CO198" i="3"/>
  <c r="CO223" i="3"/>
  <c r="CP185" i="3"/>
  <c r="CP192" i="3" s="1"/>
  <c r="BL104" i="15"/>
  <c r="BL172" i="3"/>
  <c r="BL105" i="15" s="1"/>
  <c r="BM177" i="3"/>
  <c r="BX110" i="25"/>
  <c r="BW143" i="25"/>
  <c r="BW149" i="25" s="1"/>
  <c r="BW150" i="25" s="1"/>
  <c r="BW61" i="25" s="1"/>
  <c r="BU75" i="3"/>
  <c r="BV61" i="3"/>
  <c r="BV87" i="17"/>
  <c r="BU92" i="25"/>
  <c r="BU36" i="25"/>
  <c r="BU32" i="25"/>
  <c r="BV48" i="3"/>
  <c r="BV25" i="25"/>
  <c r="BV34" i="25"/>
  <c r="CM105" i="3" l="1"/>
  <c r="CM212" i="3"/>
  <c r="CL309" i="3"/>
  <c r="CL322" i="3"/>
  <c r="CL323" i="3" s="1"/>
  <c r="CM267" i="3"/>
  <c r="CM265" i="3"/>
  <c r="CM211" i="3"/>
  <c r="CM63" i="15"/>
  <c r="CN114" i="27"/>
  <c r="CN115" i="27" s="1"/>
  <c r="CN116" i="27" s="1"/>
  <c r="CO75" i="27"/>
  <c r="CO230" i="3"/>
  <c r="CO64" i="15"/>
  <c r="CO109" i="27"/>
  <c r="CO76" i="27"/>
  <c r="CO79" i="27" s="1"/>
  <c r="CP74" i="27" s="1"/>
  <c r="CO108" i="27"/>
  <c r="CO110" i="27"/>
  <c r="CP247" i="3"/>
  <c r="CP248" i="3" s="1"/>
  <c r="CP194" i="3"/>
  <c r="BM179" i="3"/>
  <c r="BM168" i="3"/>
  <c r="BM170" i="3" s="1"/>
  <c r="BM180" i="3"/>
  <c r="BL114" i="15"/>
  <c r="BL113" i="15"/>
  <c r="BW88" i="25"/>
  <c r="BW19" i="25"/>
  <c r="BW64" i="25"/>
  <c r="BV92" i="25"/>
  <c r="BV32" i="25"/>
  <c r="BV36" i="25"/>
  <c r="BX112" i="25"/>
  <c r="BX113" i="25"/>
  <c r="BX111" i="25"/>
  <c r="BV75" i="3"/>
  <c r="CN103" i="3" l="1"/>
  <c r="CN265" i="3" s="1"/>
  <c r="CM320" i="3"/>
  <c r="CM305" i="3"/>
  <c r="CM303" i="3" s="1"/>
  <c r="CM322" i="3"/>
  <c r="CM309" i="3"/>
  <c r="CP109" i="27"/>
  <c r="CP108" i="27"/>
  <c r="CP76" i="27"/>
  <c r="CP110" i="27"/>
  <c r="CP75" i="27"/>
  <c r="CP77" i="27"/>
  <c r="CO111" i="27"/>
  <c r="CO114" i="27" s="1"/>
  <c r="CP223" i="3"/>
  <c r="CP198" i="3"/>
  <c r="BN167" i="3"/>
  <c r="BM106" i="15"/>
  <c r="BM173" i="3"/>
  <c r="BM340" i="3" s="1"/>
  <c r="BM171" i="3"/>
  <c r="BX115" i="25"/>
  <c r="BY110" i="25" s="1"/>
  <c r="BY113" i="25" s="1"/>
  <c r="BW102" i="25"/>
  <c r="BW75" i="25"/>
  <c r="BW78" i="25" s="1"/>
  <c r="BW23" i="25"/>
  <c r="BW27" i="25"/>
  <c r="BW91" i="25"/>
  <c r="BW105" i="25" s="1"/>
  <c r="BX146" i="25"/>
  <c r="BW21" i="25"/>
  <c r="BW65" i="25" s="1"/>
  <c r="BW28" i="3"/>
  <c r="CN320" i="3" l="1"/>
  <c r="CN305" i="3"/>
  <c r="CN303" i="3" s="1"/>
  <c r="CO103" i="3"/>
  <c r="CM323" i="3"/>
  <c r="CN211" i="3"/>
  <c r="CN104" i="3"/>
  <c r="CN304" i="3"/>
  <c r="CO304" i="3" s="1"/>
  <c r="BX143" i="25"/>
  <c r="BX149" i="25" s="1"/>
  <c r="BX150" i="25" s="1"/>
  <c r="BX61" i="25" s="1"/>
  <c r="CP111" i="27"/>
  <c r="CP114" i="27" s="1"/>
  <c r="CP115" i="27" s="1"/>
  <c r="CP116" i="27" s="1"/>
  <c r="CP79" i="27"/>
  <c r="CP230" i="3"/>
  <c r="CP64" i="15"/>
  <c r="CO115" i="27"/>
  <c r="CO116" i="27" s="1"/>
  <c r="BM104" i="15"/>
  <c r="BM172" i="3"/>
  <c r="BM105" i="15" s="1"/>
  <c r="BN177" i="3"/>
  <c r="BY112" i="25"/>
  <c r="BY146" i="25" s="1"/>
  <c r="BY111" i="25"/>
  <c r="BW34" i="25"/>
  <c r="BW48" i="3"/>
  <c r="BW25" i="25"/>
  <c r="BW61" i="3"/>
  <c r="BW87" i="17"/>
  <c r="CN212" i="3" l="1"/>
  <c r="CN267" i="3"/>
  <c r="CO104" i="3"/>
  <c r="CN105" i="3"/>
  <c r="CN63" i="15"/>
  <c r="CO211" i="3"/>
  <c r="CO265" i="3"/>
  <c r="BN180" i="3"/>
  <c r="BN168" i="3"/>
  <c r="BN170" i="3" s="1"/>
  <c r="BN179" i="3"/>
  <c r="BM113" i="15"/>
  <c r="BM114" i="15"/>
  <c r="BW75" i="3"/>
  <c r="BY115" i="25"/>
  <c r="BW92" i="25"/>
  <c r="BW36" i="25"/>
  <c r="BW32" i="25"/>
  <c r="BX88" i="25"/>
  <c r="BX19" i="25"/>
  <c r="BX64" i="25"/>
  <c r="CN309" i="3" l="1"/>
  <c r="CN322" i="3"/>
  <c r="CN323" i="3" s="1"/>
  <c r="CO267" i="3"/>
  <c r="CO305" i="3"/>
  <c r="CO303" i="3" s="1"/>
  <c r="CO320" i="3"/>
  <c r="CP103" i="3"/>
  <c r="CO63" i="15"/>
  <c r="CO212" i="3"/>
  <c r="CO105" i="3"/>
  <c r="BN173" i="3"/>
  <c r="BN340" i="3" s="1"/>
  <c r="BO167" i="3"/>
  <c r="BN106" i="15"/>
  <c r="BN171" i="3"/>
  <c r="BX75" i="25"/>
  <c r="BX78" i="25" s="1"/>
  <c r="BX102" i="25"/>
  <c r="BX23" i="25"/>
  <c r="BX27" i="25"/>
  <c r="BX91" i="25"/>
  <c r="BX105" i="25" s="1"/>
  <c r="BZ110" i="25"/>
  <c r="BY143" i="25"/>
  <c r="BY149" i="25" s="1"/>
  <c r="BY150" i="25" s="1"/>
  <c r="BY61" i="25" s="1"/>
  <c r="BX21" i="25"/>
  <c r="BX65" i="25" s="1"/>
  <c r="BX28" i="3"/>
  <c r="CP265" i="3" l="1"/>
  <c r="CP104" i="3"/>
  <c r="CP211" i="3"/>
  <c r="CP304" i="3"/>
  <c r="CO322" i="3"/>
  <c r="CO323" i="3" s="1"/>
  <c r="CO309" i="3"/>
  <c r="BN104" i="15"/>
  <c r="BN172" i="3"/>
  <c r="BN105" i="15" s="1"/>
  <c r="BO177" i="3"/>
  <c r="BX61" i="3"/>
  <c r="BX87" i="17"/>
  <c r="BY88" i="25"/>
  <c r="BY19" i="25"/>
  <c r="BY64" i="25"/>
  <c r="BZ112" i="25"/>
  <c r="BZ113" i="25"/>
  <c r="BZ111" i="25"/>
  <c r="BX34" i="25"/>
  <c r="BX25" i="25"/>
  <c r="BX48" i="3"/>
  <c r="CP212" i="3" l="1"/>
  <c r="CP267" i="3"/>
  <c r="CP63" i="15"/>
  <c r="CP105" i="3"/>
  <c r="CP305" i="3"/>
  <c r="CP303" i="3" s="1"/>
  <c r="CP320" i="3"/>
  <c r="BO179" i="3"/>
  <c r="BO168" i="3"/>
  <c r="BO170" i="3" s="1"/>
  <c r="BO180" i="3"/>
  <c r="BN114" i="15"/>
  <c r="BN113" i="15"/>
  <c r="BZ115" i="25"/>
  <c r="BZ146" i="25"/>
  <c r="BY28" i="3"/>
  <c r="BY21" i="25"/>
  <c r="BY65" i="25" s="1"/>
  <c r="BX75" i="3"/>
  <c r="BX32" i="25"/>
  <c r="BX36" i="25"/>
  <c r="BX92" i="25"/>
  <c r="BY102" i="25"/>
  <c r="BY75" i="25"/>
  <c r="BY78" i="25" s="1"/>
  <c r="BY23" i="25"/>
  <c r="BY91" i="25"/>
  <c r="BY105" i="25" s="1"/>
  <c r="BY27" i="25"/>
  <c r="CP309" i="3" l="1"/>
  <c r="CP322" i="3"/>
  <c r="CP323" i="3" s="1"/>
  <c r="BO106" i="15"/>
  <c r="BP167" i="3"/>
  <c r="BO173" i="3"/>
  <c r="BO340" i="3" s="1"/>
  <c r="BO171" i="3"/>
  <c r="BY48" i="3"/>
  <c r="BY25" i="25"/>
  <c r="BY34" i="25"/>
  <c r="BY61" i="3"/>
  <c r="BY87" i="17"/>
  <c r="CA110" i="25"/>
  <c r="BZ143" i="25"/>
  <c r="BZ149" i="25" s="1"/>
  <c r="BZ150" i="25" s="1"/>
  <c r="BZ61" i="25" s="1"/>
  <c r="BO104" i="15" l="1"/>
  <c r="BO172" i="3"/>
  <c r="BO105" i="15" s="1"/>
  <c r="BP177" i="3"/>
  <c r="CA112" i="25"/>
  <c r="CA111" i="25"/>
  <c r="CA113" i="25"/>
  <c r="BY32" i="25"/>
  <c r="BY92" i="25"/>
  <c r="BY36" i="25"/>
  <c r="BZ88" i="25"/>
  <c r="BZ19" i="25"/>
  <c r="BZ64" i="25"/>
  <c r="BY75" i="3"/>
  <c r="BP179" i="3" l="1"/>
  <c r="BP180" i="3"/>
  <c r="BP168" i="3"/>
  <c r="BP170" i="3" s="1"/>
  <c r="BO114" i="15"/>
  <c r="BO113" i="15"/>
  <c r="CA115" i="25"/>
  <c r="CB110" i="25" s="1"/>
  <c r="BZ75" i="25"/>
  <c r="BZ78" i="25" s="1"/>
  <c r="BZ102" i="25"/>
  <c r="BZ23" i="25"/>
  <c r="BZ27" i="25"/>
  <c r="BZ91" i="25"/>
  <c r="BZ105" i="25" s="1"/>
  <c r="CA146" i="25"/>
  <c r="BZ21" i="25"/>
  <c r="BZ65" i="25" s="1"/>
  <c r="BZ28" i="3"/>
  <c r="CA143" i="25" l="1"/>
  <c r="CA149" i="25" s="1"/>
  <c r="CA150" i="25" s="1"/>
  <c r="CA61" i="25" s="1"/>
  <c r="CB113" i="25"/>
  <c r="CB111" i="25"/>
  <c r="BP106" i="15"/>
  <c r="BQ167" i="3"/>
  <c r="BP173" i="3"/>
  <c r="BP340" i="3" s="1"/>
  <c r="BP171" i="3"/>
  <c r="BZ61" i="3"/>
  <c r="BZ87" i="17"/>
  <c r="BZ48" i="3"/>
  <c r="BZ34" i="25"/>
  <c r="BZ25" i="25"/>
  <c r="CB112" i="25"/>
  <c r="CB115" i="25" l="1"/>
  <c r="CB143" i="25" s="1"/>
  <c r="BP104" i="15"/>
  <c r="BP172" i="3"/>
  <c r="BP105" i="15" s="1"/>
  <c r="BQ177" i="3"/>
  <c r="CC110" i="25"/>
  <c r="CB146" i="25"/>
  <c r="BZ75" i="3"/>
  <c r="BZ92" i="25"/>
  <c r="BZ32" i="25"/>
  <c r="BZ36" i="25"/>
  <c r="CA88" i="25"/>
  <c r="CA19" i="25"/>
  <c r="CA64" i="25"/>
  <c r="BQ180" i="3" l="1"/>
  <c r="BQ179" i="3"/>
  <c r="BQ168" i="3"/>
  <c r="BQ170" i="3" s="1"/>
  <c r="BP114" i="15"/>
  <c r="BP113" i="15"/>
  <c r="CA102" i="25"/>
  <c r="CA75" i="25"/>
  <c r="CA78" i="25" s="1"/>
  <c r="CA23" i="25"/>
  <c r="CA27" i="25"/>
  <c r="CA91" i="25"/>
  <c r="CA105" i="25" s="1"/>
  <c r="CA21" i="25"/>
  <c r="CA65" i="25" s="1"/>
  <c r="CA28" i="3"/>
  <c r="CB149" i="25"/>
  <c r="CB150" i="25" s="1"/>
  <c r="CB61" i="25" s="1"/>
  <c r="CC112" i="25"/>
  <c r="CC111" i="25"/>
  <c r="CC113" i="25"/>
  <c r="BQ173" i="3" l="1"/>
  <c r="BQ340" i="3" s="1"/>
  <c r="BQ106" i="15"/>
  <c r="BR167" i="3"/>
  <c r="BQ171" i="3"/>
  <c r="CB88" i="25"/>
  <c r="CB19" i="25"/>
  <c r="CB64" i="25"/>
  <c r="CA61" i="3"/>
  <c r="CA87" i="17"/>
  <c r="CC115" i="25"/>
  <c r="CC146" i="25"/>
  <c r="CA34" i="25"/>
  <c r="CA48" i="3"/>
  <c r="CA25" i="25"/>
  <c r="BQ104" i="15" l="1"/>
  <c r="BQ172" i="3"/>
  <c r="BQ105" i="15" s="1"/>
  <c r="BR177" i="3"/>
  <c r="CA75" i="3"/>
  <c r="CA92" i="25"/>
  <c r="CA36" i="25"/>
  <c r="CA32" i="25"/>
  <c r="CB28" i="3"/>
  <c r="CB21" i="25"/>
  <c r="CB65" i="25" s="1"/>
  <c r="CD110" i="25"/>
  <c r="CC143" i="25"/>
  <c r="CC149" i="25" s="1"/>
  <c r="CC150" i="25" s="1"/>
  <c r="CC61" i="25" s="1"/>
  <c r="CB75" i="25"/>
  <c r="CB78" i="25" s="1"/>
  <c r="CB102" i="25"/>
  <c r="CB23" i="25"/>
  <c r="CB27" i="25"/>
  <c r="CB91" i="25"/>
  <c r="CB105" i="25" s="1"/>
  <c r="BR180" i="3" l="1"/>
  <c r="BR168" i="3"/>
  <c r="BR170" i="3" s="1"/>
  <c r="BR179" i="3"/>
  <c r="BQ113" i="15"/>
  <c r="BQ114" i="15"/>
  <c r="CD112" i="25"/>
  <c r="CD111" i="25"/>
  <c r="CD113" i="25"/>
  <c r="CB25" i="25"/>
  <c r="CB34" i="25"/>
  <c r="CB48" i="3"/>
  <c r="CB61" i="3"/>
  <c r="CB87" i="17"/>
  <c r="CC88" i="25"/>
  <c r="CC19" i="25"/>
  <c r="CC64" i="25"/>
  <c r="CD115" i="25" l="1"/>
  <c r="CE110" i="25" s="1"/>
  <c r="CE111" i="25" s="1"/>
  <c r="BS167" i="3"/>
  <c r="BR173" i="3"/>
  <c r="BR340" i="3" s="1"/>
  <c r="BR106" i="15"/>
  <c r="BR171" i="3"/>
  <c r="CC28" i="3"/>
  <c r="CC21" i="25"/>
  <c r="CC65" i="25" s="1"/>
  <c r="CC102" i="25"/>
  <c r="CC75" i="25"/>
  <c r="CC78" i="25" s="1"/>
  <c r="CC23" i="25"/>
  <c r="CC91" i="25"/>
  <c r="CC105" i="25" s="1"/>
  <c r="CC27" i="25"/>
  <c r="CB32" i="25"/>
  <c r="CB36" i="25"/>
  <c r="CB92" i="25"/>
  <c r="CB75" i="3"/>
  <c r="CD146" i="25"/>
  <c r="CD143" i="25" l="1"/>
  <c r="CD149" i="25" s="1"/>
  <c r="CD150" i="25" s="1"/>
  <c r="CD61" i="25" s="1"/>
  <c r="CE113" i="25"/>
  <c r="BR104" i="15"/>
  <c r="BR172" i="3"/>
  <c r="BR105" i="15" s="1"/>
  <c r="BS177" i="3"/>
  <c r="CC61" i="3"/>
  <c r="CC87" i="17"/>
  <c r="CE112" i="25"/>
  <c r="CC34" i="25"/>
  <c r="CC48" i="3"/>
  <c r="CC25" i="25"/>
  <c r="CE115" i="25" l="1"/>
  <c r="CF110" i="25" s="1"/>
  <c r="BS168" i="3"/>
  <c r="BS170" i="3" s="1"/>
  <c r="BS180" i="3"/>
  <c r="BS179" i="3"/>
  <c r="BR114" i="15"/>
  <c r="BR113" i="15"/>
  <c r="CC32" i="25"/>
  <c r="CC92" i="25"/>
  <c r="CC36" i="25"/>
  <c r="CE146" i="25"/>
  <c r="CD88" i="25"/>
  <c r="CD19" i="25"/>
  <c r="CD64" i="25"/>
  <c r="CC75" i="3"/>
  <c r="CE143" i="25" l="1"/>
  <c r="CE149" i="25" s="1"/>
  <c r="CE150" i="25" s="1"/>
  <c r="CE61" i="25" s="1"/>
  <c r="BS173" i="3"/>
  <c r="BS340" i="3" s="1"/>
  <c r="BT167" i="3"/>
  <c r="BS106" i="15"/>
  <c r="BS171" i="3"/>
  <c r="CD21" i="25"/>
  <c r="CD65" i="25" s="1"/>
  <c r="CD28" i="3"/>
  <c r="CD75" i="25"/>
  <c r="CD78" i="25" s="1"/>
  <c r="CD102" i="25"/>
  <c r="CD23" i="25"/>
  <c r="CD91" i="25"/>
  <c r="CD105" i="25" s="1"/>
  <c r="CD27" i="25"/>
  <c r="CF112" i="25"/>
  <c r="CF111" i="25"/>
  <c r="CF113" i="25"/>
  <c r="CF115" i="25" l="1"/>
  <c r="CG110" i="25" s="1"/>
  <c r="BS104" i="15"/>
  <c r="BS172" i="3"/>
  <c r="BS105" i="15" s="1"/>
  <c r="BT177" i="3"/>
  <c r="CF146" i="25"/>
  <c r="CD25" i="25"/>
  <c r="CD48" i="3"/>
  <c r="CD34" i="25"/>
  <c r="CE88" i="25"/>
  <c r="CE19" i="25"/>
  <c r="CE64" i="25"/>
  <c r="CD61" i="3"/>
  <c r="CD87" i="17"/>
  <c r="CF143" i="25" l="1"/>
  <c r="CG113" i="25"/>
  <c r="CG111" i="25"/>
  <c r="BT179" i="3"/>
  <c r="BT180" i="3"/>
  <c r="BT168" i="3"/>
  <c r="BT170" i="3" s="1"/>
  <c r="BS114" i="15"/>
  <c r="BS113" i="15"/>
  <c r="CD75" i="3"/>
  <c r="CE21" i="25"/>
  <c r="CE65" i="25" s="1"/>
  <c r="CE28" i="3"/>
  <c r="CD36" i="25"/>
  <c r="CD92" i="25"/>
  <c r="CD32" i="25"/>
  <c r="CF149" i="25"/>
  <c r="CF150" i="25" s="1"/>
  <c r="CF61" i="25" s="1"/>
  <c r="CE102" i="25"/>
  <c r="CE75" i="25"/>
  <c r="CE78" i="25" s="1"/>
  <c r="CE23" i="25"/>
  <c r="CE27" i="25"/>
  <c r="CE91" i="25"/>
  <c r="CE105" i="25" s="1"/>
  <c r="CG112" i="25"/>
  <c r="CG146" i="25" l="1"/>
  <c r="BT173" i="3"/>
  <c r="BT340" i="3" s="1"/>
  <c r="BT106" i="15"/>
  <c r="BU167" i="3"/>
  <c r="BT171" i="3"/>
  <c r="CE48" i="3"/>
  <c r="CE25" i="25"/>
  <c r="CE34" i="25"/>
  <c r="CG115" i="25"/>
  <c r="CF88" i="25"/>
  <c r="CF19" i="25"/>
  <c r="CF64" i="25"/>
  <c r="CE61" i="3"/>
  <c r="CE87" i="17"/>
  <c r="BT172" i="3" l="1"/>
  <c r="BT105" i="15" s="1"/>
  <c r="BT104" i="15"/>
  <c r="BU177" i="3"/>
  <c r="CF28" i="3"/>
  <c r="CF21" i="25"/>
  <c r="CF65" i="25" s="1"/>
  <c r="CH110" i="25"/>
  <c r="CG143" i="25"/>
  <c r="CG149" i="25" s="1"/>
  <c r="CG150" i="25" s="1"/>
  <c r="CG61" i="25" s="1"/>
  <c r="CE36" i="25"/>
  <c r="CE32" i="25"/>
  <c r="CE92" i="25"/>
  <c r="CF75" i="25"/>
  <c r="CF78" i="25" s="1"/>
  <c r="CF102" i="25"/>
  <c r="CF23" i="25"/>
  <c r="CF27" i="25"/>
  <c r="CF91" i="25"/>
  <c r="CF105" i="25" s="1"/>
  <c r="CE75" i="3"/>
  <c r="BT113" i="15" l="1"/>
  <c r="BT114" i="15"/>
  <c r="BU179" i="3"/>
  <c r="BU168" i="3"/>
  <c r="BU170" i="3" s="1"/>
  <c r="BU180" i="3"/>
  <c r="CF61" i="3"/>
  <c r="CF87" i="17"/>
  <c r="CH112" i="25"/>
  <c r="CH111" i="25"/>
  <c r="CH113" i="25"/>
  <c r="CF34" i="25"/>
  <c r="CF48" i="3"/>
  <c r="CF25" i="25"/>
  <c r="CG88" i="25"/>
  <c r="CG19" i="25"/>
  <c r="CG64" i="25"/>
  <c r="BV167" i="3" l="1"/>
  <c r="BU106" i="15"/>
  <c r="BU173" i="3"/>
  <c r="BU340" i="3" s="1"/>
  <c r="BU171" i="3"/>
  <c r="CH115" i="25"/>
  <c r="CI110" i="25" s="1"/>
  <c r="CG102" i="25"/>
  <c r="CG75" i="25"/>
  <c r="CG78" i="25" s="1"/>
  <c r="CG23" i="25"/>
  <c r="CG91" i="25"/>
  <c r="CG105" i="25" s="1"/>
  <c r="CG27" i="25"/>
  <c r="CF92" i="25"/>
  <c r="CF32" i="25"/>
  <c r="CF36" i="25"/>
  <c r="CF75" i="3"/>
  <c r="CH146" i="25"/>
  <c r="CG21" i="25"/>
  <c r="CG65" i="25" s="1"/>
  <c r="CG28" i="3"/>
  <c r="CH143" i="25" l="1"/>
  <c r="CH149" i="25" s="1"/>
  <c r="CH150" i="25" s="1"/>
  <c r="CH61" i="25" s="1"/>
  <c r="CI113" i="25"/>
  <c r="CI111" i="25"/>
  <c r="BU172" i="3"/>
  <c r="BU105" i="15" s="1"/>
  <c r="BU104" i="15"/>
  <c r="BV177" i="3"/>
  <c r="CG61" i="3"/>
  <c r="CG87" i="17"/>
  <c r="CG34" i="25"/>
  <c r="CG48" i="3"/>
  <c r="CG25" i="25"/>
  <c r="CI112" i="25"/>
  <c r="CI115" i="25" l="1"/>
  <c r="CI143" i="25" s="1"/>
  <c r="BU114" i="15"/>
  <c r="BU113" i="15"/>
  <c r="BV168" i="3"/>
  <c r="BV170" i="3" s="1"/>
  <c r="BV179" i="3"/>
  <c r="BV180" i="3"/>
  <c r="CI146" i="25"/>
  <c r="CG36" i="25"/>
  <c r="CG32" i="25"/>
  <c r="CG92" i="25"/>
  <c r="CG75" i="3"/>
  <c r="CH88" i="25"/>
  <c r="CH19" i="25"/>
  <c r="CH64" i="25"/>
  <c r="CJ110" i="25" l="1"/>
  <c r="CI149" i="25"/>
  <c r="CI150" i="25" s="1"/>
  <c r="CI61" i="25" s="1"/>
  <c r="CI88" i="25" s="1"/>
  <c r="BV106" i="15"/>
  <c r="BV173" i="3"/>
  <c r="BV340" i="3" s="1"/>
  <c r="BW167" i="3"/>
  <c r="BV171" i="3"/>
  <c r="CH28" i="3"/>
  <c r="CH23" i="3" s="1"/>
  <c r="CH21" i="25"/>
  <c r="CH65" i="25" s="1"/>
  <c r="CH75" i="25"/>
  <c r="CH78" i="25" s="1"/>
  <c r="CH102" i="25"/>
  <c r="CH23" i="25"/>
  <c r="CH91" i="25"/>
  <c r="CH105" i="25" s="1"/>
  <c r="CH27" i="25"/>
  <c r="CI19" i="25"/>
  <c r="CJ112" i="25"/>
  <c r="CJ113" i="25"/>
  <c r="CJ111" i="25"/>
  <c r="CI64" i="25" l="1"/>
  <c r="BV104" i="15"/>
  <c r="BV172" i="3"/>
  <c r="BV105" i="15" s="1"/>
  <c r="CJ115" i="25"/>
  <c r="CK110" i="25" s="1"/>
  <c r="BW177" i="3"/>
  <c r="CH61" i="3"/>
  <c r="CH87" i="17"/>
  <c r="CI21" i="25"/>
  <c r="CI28" i="3"/>
  <c r="CI23" i="3" s="1"/>
  <c r="CH39" i="3"/>
  <c r="CH87" i="3"/>
  <c r="CH90" i="3" s="1"/>
  <c r="CH327" i="3" s="1"/>
  <c r="CJ146" i="25"/>
  <c r="CI102" i="25"/>
  <c r="CI75" i="25"/>
  <c r="CI78" i="25" s="1"/>
  <c r="CI23" i="25"/>
  <c r="CI91" i="25"/>
  <c r="CI105" i="25" s="1"/>
  <c r="CI27" i="25"/>
  <c r="CH34" i="25"/>
  <c r="CH48" i="3"/>
  <c r="CH25" i="25"/>
  <c r="CI65" i="25" l="1"/>
  <c r="CJ143" i="25"/>
  <c r="CJ149" i="25" s="1"/>
  <c r="CJ150" i="25" s="1"/>
  <c r="CJ61" i="25" s="1"/>
  <c r="CK113" i="25"/>
  <c r="CK111" i="25"/>
  <c r="BW168" i="3"/>
  <c r="BW170" i="3" s="1"/>
  <c r="BW180" i="3"/>
  <c r="BW179" i="3"/>
  <c r="BV113" i="15"/>
  <c r="BV114" i="15"/>
  <c r="CH75" i="3"/>
  <c r="CH43" i="3"/>
  <c r="CI61" i="3"/>
  <c r="CI87" i="17"/>
  <c r="CI39" i="3"/>
  <c r="CI87" i="3"/>
  <c r="CI90" i="3" s="1"/>
  <c r="CI327" i="3" s="1"/>
  <c r="CH32" i="25"/>
  <c r="CH36" i="25"/>
  <c r="CH92" i="25"/>
  <c r="CI34" i="25"/>
  <c r="CI48" i="3"/>
  <c r="CI25" i="25"/>
  <c r="CK112" i="25"/>
  <c r="CK146" i="25" l="1"/>
  <c r="BW106" i="15"/>
  <c r="BX167" i="3"/>
  <c r="BW173" i="3"/>
  <c r="BW340" i="3" s="1"/>
  <c r="BW171" i="3"/>
  <c r="CK115" i="25"/>
  <c r="CL110" i="25" s="1"/>
  <c r="CI32" i="25"/>
  <c r="CI92" i="25"/>
  <c r="CI36" i="25"/>
  <c r="CI75" i="3"/>
  <c r="CI43" i="3"/>
  <c r="CJ88" i="25"/>
  <c r="CJ19" i="25"/>
  <c r="CJ64" i="25"/>
  <c r="CH66" i="3"/>
  <c r="CH70" i="3"/>
  <c r="CH54" i="3"/>
  <c r="CH94" i="17" s="1"/>
  <c r="CK143" i="25" l="1"/>
  <c r="CK149" i="25" s="1"/>
  <c r="CK150" i="25" s="1"/>
  <c r="CK61" i="25" s="1"/>
  <c r="CK19" i="25" s="1"/>
  <c r="CH56" i="3"/>
  <c r="CH95" i="17" s="1"/>
  <c r="BW104" i="15"/>
  <c r="BW172" i="3"/>
  <c r="BW105" i="15" s="1"/>
  <c r="BX177" i="3"/>
  <c r="CI66" i="3"/>
  <c r="CI54" i="3"/>
  <c r="CI94" i="17" s="1"/>
  <c r="CI70" i="3"/>
  <c r="CJ102" i="25"/>
  <c r="CJ75" i="25"/>
  <c r="CJ78" i="25" s="1"/>
  <c r="CJ23" i="25"/>
  <c r="CJ91" i="25"/>
  <c r="CJ105" i="25" s="1"/>
  <c r="CJ27" i="25"/>
  <c r="CH86" i="17"/>
  <c r="CH106" i="17" s="1"/>
  <c r="CJ21" i="25"/>
  <c r="CJ65" i="25" s="1"/>
  <c r="CJ28" i="3"/>
  <c r="CJ23" i="3" s="1"/>
  <c r="CL112" i="25"/>
  <c r="CL111" i="25"/>
  <c r="CL113" i="25"/>
  <c r="CK88" i="25" l="1"/>
  <c r="CK23" i="25" s="1"/>
  <c r="CH59" i="3"/>
  <c r="CH101" i="3" s="1"/>
  <c r="CH109" i="3" s="1"/>
  <c r="CH110" i="3" s="1"/>
  <c r="CK64" i="25"/>
  <c r="CH97" i="3"/>
  <c r="CH214" i="3" s="1"/>
  <c r="CH82" i="3"/>
  <c r="BX180" i="3"/>
  <c r="BX168" i="3"/>
  <c r="BX170" i="3" s="1"/>
  <c r="BX179" i="3"/>
  <c r="BW114" i="15"/>
  <c r="BW113" i="15"/>
  <c r="CI56" i="3"/>
  <c r="CI59" i="3" s="1"/>
  <c r="CJ61" i="3"/>
  <c r="CJ87" i="17"/>
  <c r="CK75" i="25"/>
  <c r="CK78" i="25" s="1"/>
  <c r="CK27" i="25"/>
  <c r="CJ39" i="3"/>
  <c r="CJ87" i="3"/>
  <c r="CJ90" i="3" s="1"/>
  <c r="CJ327" i="3" s="1"/>
  <c r="CI86" i="17"/>
  <c r="CI106" i="17" s="1"/>
  <c r="CL115" i="25"/>
  <c r="CL146" i="25"/>
  <c r="CH98" i="17"/>
  <c r="CH100" i="17"/>
  <c r="CH103" i="17"/>
  <c r="CH104" i="17"/>
  <c r="CH105" i="17"/>
  <c r="CH102" i="17"/>
  <c r="CH101" i="17"/>
  <c r="CH99" i="17"/>
  <c r="CJ25" i="25"/>
  <c r="CJ48" i="3"/>
  <c r="CJ34" i="25"/>
  <c r="CK28" i="3"/>
  <c r="CK23" i="3" s="1"/>
  <c r="CK21" i="25"/>
  <c r="CK91" i="25" l="1"/>
  <c r="CK105" i="25" s="1"/>
  <c r="CK102" i="25"/>
  <c r="CH83" i="3"/>
  <c r="CK65" i="25"/>
  <c r="CI95" i="17"/>
  <c r="CH95" i="3"/>
  <c r="CH96" i="3" s="1"/>
  <c r="CH33" i="17"/>
  <c r="CH98" i="3"/>
  <c r="CH98" i="15"/>
  <c r="CI97" i="3"/>
  <c r="CI214" i="3" s="1"/>
  <c r="CI82" i="3"/>
  <c r="CH107" i="3"/>
  <c r="CH315" i="3" s="1"/>
  <c r="CH317" i="3" s="1"/>
  <c r="CH25" i="17"/>
  <c r="CH102" i="3"/>
  <c r="BX106" i="15"/>
  <c r="BX173" i="3"/>
  <c r="BX340" i="3" s="1"/>
  <c r="BY167" i="3"/>
  <c r="BX171" i="3"/>
  <c r="CJ75" i="3"/>
  <c r="CJ43" i="3"/>
  <c r="CM110" i="25"/>
  <c r="CL143" i="25"/>
  <c r="CL149" i="25" s="1"/>
  <c r="CL150" i="25" s="1"/>
  <c r="CL61" i="25" s="1"/>
  <c r="CI101" i="3"/>
  <c r="CI109" i="3" s="1"/>
  <c r="CI110" i="3" s="1"/>
  <c r="CI83" i="3"/>
  <c r="CK34" i="25"/>
  <c r="CK48" i="3"/>
  <c r="CK25" i="25"/>
  <c r="CJ32" i="25"/>
  <c r="CJ36" i="25"/>
  <c r="CJ92" i="25"/>
  <c r="CK39" i="3"/>
  <c r="CK87" i="3"/>
  <c r="CK90" i="3" s="1"/>
  <c r="CK327" i="3" s="1"/>
  <c r="CI98" i="17"/>
  <c r="CI100" i="17"/>
  <c r="CI103" i="17"/>
  <c r="CI104" i="17"/>
  <c r="CI105" i="17"/>
  <c r="CI102" i="17"/>
  <c r="CI101" i="17"/>
  <c r="CI99" i="17"/>
  <c r="CK61" i="3"/>
  <c r="CK87" i="17"/>
  <c r="CI95" i="3" l="1"/>
  <c r="CI96" i="3" s="1"/>
  <c r="CI107" i="3"/>
  <c r="CI315" i="3" s="1"/>
  <c r="CI317" i="3" s="1"/>
  <c r="CI102" i="3"/>
  <c r="CI98" i="15"/>
  <c r="CI25" i="17"/>
  <c r="CI33" i="17"/>
  <c r="CI98" i="3"/>
  <c r="CH32" i="17"/>
  <c r="CH60" i="15"/>
  <c r="CH108" i="3"/>
  <c r="BX104" i="15"/>
  <c r="BX172" i="3"/>
  <c r="BX105" i="15" s="1"/>
  <c r="BY177" i="3"/>
  <c r="CL88" i="25"/>
  <c r="CL19" i="25"/>
  <c r="CL64" i="25"/>
  <c r="CK92" i="25"/>
  <c r="CK36" i="25"/>
  <c r="CK32" i="25"/>
  <c r="CM112" i="25"/>
  <c r="CM113" i="25"/>
  <c r="CM111" i="25"/>
  <c r="CK75" i="3"/>
  <c r="CK43" i="3"/>
  <c r="CJ66" i="3"/>
  <c r="CJ70" i="3"/>
  <c r="CJ54" i="3"/>
  <c r="CJ94" i="17" s="1"/>
  <c r="CH325" i="3"/>
  <c r="CH326" i="3"/>
  <c r="CI108" i="3" l="1"/>
  <c r="CI60" i="15"/>
  <c r="CI32" i="17"/>
  <c r="BY179" i="3"/>
  <c r="BY168" i="3"/>
  <c r="BY170" i="3" s="1"/>
  <c r="BY180" i="3"/>
  <c r="BX114" i="15"/>
  <c r="BX113" i="15"/>
  <c r="CM115" i="25"/>
  <c r="CN110" i="25" s="1"/>
  <c r="CM146" i="25"/>
  <c r="CK66" i="3"/>
  <c r="CK70" i="3"/>
  <c r="CK54" i="3"/>
  <c r="CK94" i="17" s="1"/>
  <c r="CI325" i="3"/>
  <c r="CI326" i="3"/>
  <c r="CL21" i="25"/>
  <c r="CL65" i="25" s="1"/>
  <c r="CL28" i="3"/>
  <c r="CL23" i="3" s="1"/>
  <c r="CJ86" i="17"/>
  <c r="CJ56" i="3"/>
  <c r="CL75" i="25"/>
  <c r="CL78" i="25" s="1"/>
  <c r="CL102" i="25"/>
  <c r="CL23" i="25"/>
  <c r="CL91" i="25"/>
  <c r="CL105" i="25" s="1"/>
  <c r="CL27" i="25"/>
  <c r="CM143" i="25" l="1"/>
  <c r="CN113" i="25"/>
  <c r="CN111" i="25"/>
  <c r="BZ167" i="3"/>
  <c r="BY173" i="3"/>
  <c r="BY340" i="3" s="1"/>
  <c r="BY106" i="15"/>
  <c r="BY171" i="3"/>
  <c r="CK56" i="3"/>
  <c r="CK82" i="3" s="1"/>
  <c r="CJ98" i="17"/>
  <c r="CJ100" i="17"/>
  <c r="CJ103" i="17"/>
  <c r="CJ104" i="17"/>
  <c r="CJ105" i="17"/>
  <c r="CJ102" i="17"/>
  <c r="CJ101" i="17"/>
  <c r="CJ99" i="17"/>
  <c r="CJ106" i="17"/>
  <c r="CL25" i="25"/>
  <c r="CL34" i="25"/>
  <c r="CL48" i="3"/>
  <c r="CJ97" i="3"/>
  <c r="CJ95" i="17"/>
  <c r="CJ82" i="3"/>
  <c r="CJ59" i="3"/>
  <c r="CL39" i="3"/>
  <c r="CL87" i="3"/>
  <c r="CL90" i="3" s="1"/>
  <c r="CL327" i="3" s="1"/>
  <c r="CM149" i="25"/>
  <c r="CM150" i="25" s="1"/>
  <c r="CM61" i="25" s="1"/>
  <c r="CL61" i="3"/>
  <c r="CL87" i="17"/>
  <c r="CK86" i="17"/>
  <c r="CN112" i="25"/>
  <c r="CK95" i="17" l="1"/>
  <c r="CK59" i="3"/>
  <c r="CK83" i="3" s="1"/>
  <c r="CK97" i="3"/>
  <c r="CK214" i="3" s="1"/>
  <c r="CN146" i="25"/>
  <c r="BY172" i="3"/>
  <c r="BY105" i="15" s="1"/>
  <c r="BY104" i="15"/>
  <c r="BZ177" i="3"/>
  <c r="CK98" i="17"/>
  <c r="CK100" i="17"/>
  <c r="CK103" i="17"/>
  <c r="CK104" i="17"/>
  <c r="CK102" i="17"/>
  <c r="CK105" i="17"/>
  <c r="CK101" i="17"/>
  <c r="CK99" i="17"/>
  <c r="CK106" i="17"/>
  <c r="CM88" i="25"/>
  <c r="CM19" i="25"/>
  <c r="CM64" i="25"/>
  <c r="CL92" i="25"/>
  <c r="CL32" i="25"/>
  <c r="CL36" i="25"/>
  <c r="CN115" i="25"/>
  <c r="CJ214" i="3"/>
  <c r="CJ98" i="15"/>
  <c r="CJ102" i="3"/>
  <c r="CJ98" i="3"/>
  <c r="CJ33" i="17"/>
  <c r="CJ95" i="3"/>
  <c r="CJ96" i="3" s="1"/>
  <c r="CJ25" i="17"/>
  <c r="CJ107" i="3"/>
  <c r="CJ101" i="3"/>
  <c r="CJ109" i="3" s="1"/>
  <c r="CJ110" i="3" s="1"/>
  <c r="CJ83" i="3"/>
  <c r="CL75" i="3"/>
  <c r="CL43" i="3"/>
  <c r="CK101" i="3" l="1"/>
  <c r="CK109" i="3" s="1"/>
  <c r="CK110" i="3" s="1"/>
  <c r="CK107" i="3"/>
  <c r="CK60" i="15" s="1"/>
  <c r="CK102" i="3"/>
  <c r="CK25" i="17"/>
  <c r="CK98" i="15"/>
  <c r="CK98" i="3"/>
  <c r="CK33" i="17"/>
  <c r="CK95" i="3"/>
  <c r="CK96" i="3" s="1"/>
  <c r="BY114" i="15"/>
  <c r="BY113" i="15"/>
  <c r="BZ179" i="3"/>
  <c r="BZ180" i="3"/>
  <c r="BZ168" i="3"/>
  <c r="BZ170" i="3" s="1"/>
  <c r="CM102" i="25"/>
  <c r="CM75" i="25"/>
  <c r="CM78" i="25" s="1"/>
  <c r="CM23" i="25"/>
  <c r="CM27" i="25"/>
  <c r="CM91" i="25"/>
  <c r="CM105" i="25" s="1"/>
  <c r="CJ32" i="17"/>
  <c r="CJ108" i="3"/>
  <c r="CJ315" i="3"/>
  <c r="CJ317" i="3" s="1"/>
  <c r="CJ60" i="15"/>
  <c r="CL66" i="3"/>
  <c r="CL70" i="3"/>
  <c r="CL54" i="3"/>
  <c r="CL94" i="17" s="1"/>
  <c r="CO110" i="25"/>
  <c r="CN143" i="25"/>
  <c r="CN149" i="25" s="1"/>
  <c r="CN150" i="25" s="1"/>
  <c r="CN61" i="25" s="1"/>
  <c r="CM21" i="25"/>
  <c r="CM65" i="25" s="1"/>
  <c r="CM28" i="3"/>
  <c r="CM23" i="3" s="1"/>
  <c r="CK108" i="3" l="1"/>
  <c r="CK32" i="17"/>
  <c r="CK315" i="3"/>
  <c r="CK317" i="3" s="1"/>
  <c r="CK326" i="3" s="1"/>
  <c r="BZ173" i="3"/>
  <c r="BZ340" i="3" s="1"/>
  <c r="CA167" i="3"/>
  <c r="BZ106" i="15"/>
  <c r="BZ171" i="3"/>
  <c r="CM34" i="25"/>
  <c r="CM48" i="3"/>
  <c r="CM25" i="25"/>
  <c r="CN88" i="25"/>
  <c r="CN19" i="25"/>
  <c r="CN64" i="25"/>
  <c r="CL86" i="17"/>
  <c r="CO112" i="25"/>
  <c r="CO111" i="25"/>
  <c r="CO113" i="25"/>
  <c r="CM87" i="3"/>
  <c r="CM90" i="3" s="1"/>
  <c r="CM327" i="3" s="1"/>
  <c r="CM39" i="3"/>
  <c r="CL56" i="3"/>
  <c r="CJ325" i="3"/>
  <c r="CJ326" i="3"/>
  <c r="CM61" i="3"/>
  <c r="CM87" i="17"/>
  <c r="CK325" i="3" l="1"/>
  <c r="BZ172" i="3"/>
  <c r="BZ105" i="15" s="1"/>
  <c r="BZ104" i="15"/>
  <c r="CA177" i="3"/>
  <c r="CL98" i="17"/>
  <c r="CL100" i="17"/>
  <c r="CL103" i="17"/>
  <c r="CL104" i="17"/>
  <c r="CL102" i="17"/>
  <c r="CL105" i="17"/>
  <c r="CL101" i="17"/>
  <c r="CL99" i="17"/>
  <c r="CN102" i="25"/>
  <c r="CN75" i="25"/>
  <c r="CN78" i="25" s="1"/>
  <c r="CN23" i="25"/>
  <c r="CN91" i="25"/>
  <c r="CN105" i="25" s="1"/>
  <c r="CN27" i="25"/>
  <c r="CM75" i="3"/>
  <c r="CM43" i="3"/>
  <c r="CL95" i="17"/>
  <c r="CL82" i="3"/>
  <c r="CL97" i="3"/>
  <c r="CL59" i="3"/>
  <c r="CL106" i="17"/>
  <c r="CO115" i="25"/>
  <c r="CO146" i="25"/>
  <c r="CN21" i="25"/>
  <c r="CN65" i="25" s="1"/>
  <c r="CN28" i="3"/>
  <c r="CN23" i="3" s="1"/>
  <c r="CM92" i="25"/>
  <c r="CM36" i="25"/>
  <c r="CM32" i="25"/>
  <c r="BZ113" i="15" l="1"/>
  <c r="BZ114" i="15"/>
  <c r="CA179" i="3"/>
  <c r="CA168" i="3"/>
  <c r="CA170" i="3" s="1"/>
  <c r="CA180" i="3"/>
  <c r="CN39" i="3"/>
  <c r="CN87" i="3"/>
  <c r="CN90" i="3" s="1"/>
  <c r="CN327" i="3" s="1"/>
  <c r="CL83" i="3"/>
  <c r="CL101" i="3"/>
  <c r="CL109" i="3" s="1"/>
  <c r="CL110" i="3" s="1"/>
  <c r="CM70" i="3"/>
  <c r="CM54" i="3"/>
  <c r="CM94" i="17" s="1"/>
  <c r="CM66" i="3"/>
  <c r="CN25" i="25"/>
  <c r="CN48" i="3"/>
  <c r="CN34" i="25"/>
  <c r="CL98" i="15"/>
  <c r="CL98" i="3"/>
  <c r="CL102" i="3"/>
  <c r="CL33" i="17"/>
  <c r="CL214" i="3"/>
  <c r="CL25" i="17"/>
  <c r="CL95" i="3"/>
  <c r="CL96" i="3" s="1"/>
  <c r="CL107" i="3"/>
  <c r="CN61" i="3"/>
  <c r="CN87" i="17"/>
  <c r="CP110" i="25"/>
  <c r="CO143" i="25"/>
  <c r="CO149" i="25" s="1"/>
  <c r="CO150" i="25" s="1"/>
  <c r="CO61" i="25" s="1"/>
  <c r="CA106" i="15" l="1"/>
  <c r="CA173" i="3"/>
  <c r="CA340" i="3" s="1"/>
  <c r="CB167" i="3"/>
  <c r="CA171" i="3"/>
  <c r="CO88" i="25"/>
  <c r="CO19" i="25"/>
  <c r="CO64" i="25"/>
  <c r="CP112" i="25"/>
  <c r="CP113" i="25"/>
  <c r="CP111" i="25"/>
  <c r="CM86" i="17"/>
  <c r="CN75" i="3"/>
  <c r="CN43" i="3"/>
  <c r="CM56" i="3"/>
  <c r="CL32" i="17"/>
  <c r="CL108" i="3"/>
  <c r="CL60" i="15"/>
  <c r="CL315" i="3"/>
  <c r="CL317" i="3" s="1"/>
  <c r="CN92" i="25"/>
  <c r="CN32" i="25"/>
  <c r="CN36" i="25"/>
  <c r="CA104" i="15" l="1"/>
  <c r="CA172" i="3"/>
  <c r="CA105" i="15" s="1"/>
  <c r="CB177" i="3"/>
  <c r="CP115" i="25"/>
  <c r="CP143" i="25" s="1"/>
  <c r="CP146" i="25"/>
  <c r="CM59" i="3"/>
  <c r="CM95" i="17"/>
  <c r="CM82" i="3"/>
  <c r="CM97" i="3"/>
  <c r="CN66" i="3"/>
  <c r="CN70" i="3"/>
  <c r="CN54" i="3"/>
  <c r="CN94" i="17" s="1"/>
  <c r="CM98" i="17"/>
  <c r="CM100" i="17"/>
  <c r="CM103" i="17"/>
  <c r="CM104" i="17"/>
  <c r="CM105" i="17"/>
  <c r="CM102" i="17"/>
  <c r="CM101" i="17"/>
  <c r="CM99" i="17"/>
  <c r="CO21" i="25"/>
  <c r="CO65" i="25" s="1"/>
  <c r="CO28" i="3"/>
  <c r="CO23" i="3" s="1"/>
  <c r="CL325" i="3"/>
  <c r="CL326" i="3"/>
  <c r="CM106" i="17"/>
  <c r="CO102" i="25"/>
  <c r="CO75" i="25"/>
  <c r="CO78" i="25" s="1"/>
  <c r="CO23" i="25"/>
  <c r="CO27" i="25"/>
  <c r="CO91" i="25"/>
  <c r="CO105" i="25" s="1"/>
  <c r="CP149" i="25" l="1"/>
  <c r="CP150" i="25" s="1"/>
  <c r="CP61" i="25" s="1"/>
  <c r="CP64" i="25" s="1"/>
  <c r="CN56" i="3"/>
  <c r="CN97" i="3" s="1"/>
  <c r="CB180" i="3"/>
  <c r="CB168" i="3"/>
  <c r="CB170" i="3" s="1"/>
  <c r="CB179" i="3"/>
  <c r="CA114" i="15"/>
  <c r="CA113" i="15"/>
  <c r="CO39" i="3"/>
  <c r="CO87" i="3"/>
  <c r="CO90" i="3" s="1"/>
  <c r="CO327" i="3" s="1"/>
  <c r="CO34" i="25"/>
  <c r="CO48" i="3"/>
  <c r="CO25" i="25"/>
  <c r="CM83" i="3"/>
  <c r="CM101" i="3"/>
  <c r="CM109" i="3" s="1"/>
  <c r="CM110" i="3" s="1"/>
  <c r="CM33" i="17"/>
  <c r="CM102" i="3"/>
  <c r="CM25" i="17"/>
  <c r="CM98" i="3"/>
  <c r="CM95" i="3"/>
  <c r="CM96" i="3" s="1"/>
  <c r="CM214" i="3"/>
  <c r="CM98" i="15"/>
  <c r="CM107" i="3"/>
  <c r="CO61" i="3"/>
  <c r="CO87" i="17"/>
  <c r="CN86" i="17"/>
  <c r="CP19" i="25" l="1"/>
  <c r="CP88" i="25"/>
  <c r="CN82" i="3"/>
  <c r="CN95" i="17"/>
  <c r="CN59" i="3"/>
  <c r="CN83" i="3" s="1"/>
  <c r="CC167" i="3"/>
  <c r="CB106" i="15"/>
  <c r="CB173" i="3"/>
  <c r="CB340" i="3" s="1"/>
  <c r="CB171" i="3"/>
  <c r="CO75" i="3"/>
  <c r="CO43" i="3"/>
  <c r="CN95" i="3"/>
  <c r="CN96" i="3" s="1"/>
  <c r="CN214" i="3"/>
  <c r="CN98" i="15"/>
  <c r="CN33" i="17"/>
  <c r="CN102" i="3"/>
  <c r="CN25" i="17"/>
  <c r="CN98" i="3"/>
  <c r="CN107" i="3"/>
  <c r="CN98" i="17"/>
  <c r="CN100" i="17"/>
  <c r="CN103" i="17"/>
  <c r="CN104" i="17"/>
  <c r="CN105" i="17"/>
  <c r="CN102" i="17"/>
  <c r="CN101" i="17"/>
  <c r="CN99" i="17"/>
  <c r="CN106" i="17"/>
  <c r="CM108" i="3"/>
  <c r="CM60" i="15"/>
  <c r="CM32" i="17"/>
  <c r="CM315" i="3"/>
  <c r="CM317" i="3" s="1"/>
  <c r="CO32" i="25"/>
  <c r="CO92" i="25"/>
  <c r="CO36" i="25"/>
  <c r="CN101" i="3" l="1"/>
  <c r="CN109" i="3" s="1"/>
  <c r="CN110" i="3" s="1"/>
  <c r="CP102" i="25"/>
  <c r="CP27" i="25"/>
  <c r="CP75" i="25"/>
  <c r="CP78" i="25" s="1"/>
  <c r="CP23" i="25"/>
  <c r="CP91" i="25"/>
  <c r="CP105" i="25" s="1"/>
  <c r="CP28" i="3"/>
  <c r="CP23" i="3" s="1"/>
  <c r="CP21" i="25"/>
  <c r="CP65" i="25" s="1"/>
  <c r="CB172" i="3"/>
  <c r="CB105" i="15" s="1"/>
  <c r="CB104" i="15"/>
  <c r="CC177" i="3"/>
  <c r="CM326" i="3"/>
  <c r="CM325" i="3"/>
  <c r="CN315" i="3"/>
  <c r="CN317" i="3" s="1"/>
  <c r="CN60" i="15"/>
  <c r="CN108" i="3"/>
  <c r="CN32" i="17"/>
  <c r="CO70" i="3"/>
  <c r="CO66" i="3"/>
  <c r="CO54" i="3"/>
  <c r="CO94" i="17" s="1"/>
  <c r="CP39" i="3" l="1"/>
  <c r="CP87" i="3"/>
  <c r="CP90" i="3" s="1"/>
  <c r="CP327" i="3" s="1"/>
  <c r="CP34" i="25"/>
  <c r="CP25" i="25"/>
  <c r="CP48" i="3"/>
  <c r="CP61" i="3"/>
  <c r="CP87" i="17"/>
  <c r="CB114" i="15"/>
  <c r="CB113" i="15"/>
  <c r="CC168" i="3"/>
  <c r="CC170" i="3" s="1"/>
  <c r="CC180" i="3"/>
  <c r="CC179" i="3"/>
  <c r="CN326" i="3"/>
  <c r="CN325" i="3"/>
  <c r="CO56" i="3"/>
  <c r="CO86" i="17"/>
  <c r="CP92" i="25" l="1"/>
  <c r="CP36" i="25"/>
  <c r="CP32" i="25"/>
  <c r="CP75" i="3"/>
  <c r="CP43" i="3"/>
  <c r="CD167" i="3"/>
  <c r="CC106" i="15"/>
  <c r="CC173" i="3"/>
  <c r="CC340" i="3" s="1"/>
  <c r="CC171" i="3"/>
  <c r="CO98" i="17"/>
  <c r="CO100" i="17"/>
  <c r="CO103" i="17"/>
  <c r="CO104" i="17"/>
  <c r="CO102" i="17"/>
  <c r="CO105" i="17"/>
  <c r="CO101" i="17"/>
  <c r="CO99" i="17"/>
  <c r="CO106" i="17"/>
  <c r="CO95" i="17"/>
  <c r="CO82" i="3"/>
  <c r="CO97" i="3"/>
  <c r="CO59" i="3"/>
  <c r="CP66" i="3" l="1"/>
  <c r="CP54" i="3"/>
  <c r="CP70" i="3"/>
  <c r="CC172" i="3"/>
  <c r="CC105" i="15" s="1"/>
  <c r="CC104" i="15"/>
  <c r="CD177" i="3"/>
  <c r="CO25" i="17"/>
  <c r="CO98" i="3"/>
  <c r="CO95" i="3"/>
  <c r="CO96" i="3" s="1"/>
  <c r="CO98" i="15"/>
  <c r="CO33" i="17"/>
  <c r="CO214" i="3"/>
  <c r="CO102" i="3"/>
  <c r="CO107" i="3"/>
  <c r="CO101" i="3"/>
  <c r="CO109" i="3" s="1"/>
  <c r="CO110" i="3" s="1"/>
  <c r="CO83" i="3"/>
  <c r="CP94" i="17" l="1"/>
  <c r="CP56" i="3"/>
  <c r="CC113" i="15"/>
  <c r="CC114" i="15"/>
  <c r="CD168" i="3"/>
  <c r="CD170" i="3" s="1"/>
  <c r="CD179" i="3"/>
  <c r="CD180" i="3"/>
  <c r="CO60" i="15"/>
  <c r="CO108" i="3"/>
  <c r="CO32" i="17"/>
  <c r="CO315" i="3"/>
  <c r="CO317" i="3" s="1"/>
  <c r="CP82" i="3" l="1"/>
  <c r="CP59" i="3"/>
  <c r="CP97" i="3"/>
  <c r="CP95" i="17"/>
  <c r="CP86" i="17"/>
  <c r="CP106" i="17" s="1"/>
  <c r="CD106" i="15"/>
  <c r="CD173" i="3"/>
  <c r="CD340" i="3" s="1"/>
  <c r="CE167" i="3"/>
  <c r="CD171" i="3"/>
  <c r="CO325" i="3"/>
  <c r="CO326" i="3"/>
  <c r="CP101" i="3" l="1"/>
  <c r="CP109" i="3" s="1"/>
  <c r="CP110" i="3" s="1"/>
  <c r="CP83" i="3"/>
  <c r="CP100" i="17"/>
  <c r="CP104" i="17"/>
  <c r="CP105" i="17"/>
  <c r="CP99" i="17"/>
  <c r="CP98" i="17"/>
  <c r="CP103" i="17"/>
  <c r="CP102" i="17"/>
  <c r="CP101" i="17"/>
  <c r="CP33" i="17"/>
  <c r="CP25" i="17"/>
  <c r="CP102" i="3"/>
  <c r="CP214" i="3"/>
  <c r="CP95" i="3"/>
  <c r="CP96" i="3" s="1"/>
  <c r="CP98" i="3"/>
  <c r="CP98" i="15"/>
  <c r="CP107" i="3"/>
  <c r="CD172" i="3"/>
  <c r="CD105" i="15" s="1"/>
  <c r="CD104" i="15"/>
  <c r="CE177" i="3"/>
  <c r="CP315" i="3" l="1"/>
  <c r="CP317" i="3" s="1"/>
  <c r="CP108" i="3"/>
  <c r="CP32" i="17"/>
  <c r="CP60" i="15"/>
  <c r="CD114" i="15"/>
  <c r="CD113" i="15"/>
  <c r="CE180" i="3"/>
  <c r="CE179" i="3"/>
  <c r="CE168" i="3"/>
  <c r="CE170" i="3" s="1"/>
  <c r="CP326" i="3" l="1"/>
  <c r="CP325" i="3"/>
  <c r="CE106" i="15"/>
  <c r="CE173" i="3"/>
  <c r="CE340" i="3" s="1"/>
  <c r="CF167" i="3"/>
  <c r="CE171" i="3"/>
  <c r="CE104" i="15" l="1"/>
  <c r="CE172" i="3"/>
  <c r="CE105" i="15" s="1"/>
  <c r="CF177" i="3"/>
  <c r="CF180" i="3" l="1"/>
  <c r="CF168" i="3"/>
  <c r="CF170" i="3" s="1"/>
  <c r="CF179" i="3"/>
  <c r="CE113" i="15"/>
  <c r="CE114" i="15"/>
  <c r="CF106" i="15" l="1"/>
  <c r="CG167" i="3"/>
  <c r="CF173" i="3"/>
  <c r="CF340" i="3" s="1"/>
  <c r="CF171" i="3"/>
  <c r="CF104" i="15" l="1"/>
  <c r="CF172" i="3"/>
  <c r="CF105" i="15" s="1"/>
  <c r="CG177" i="3"/>
  <c r="CG179" i="3" l="1"/>
  <c r="CG168" i="3"/>
  <c r="CG170" i="3" s="1"/>
  <c r="CG180" i="3"/>
  <c r="CF113" i="15"/>
  <c r="CF114" i="15"/>
  <c r="CG173" i="3" l="1"/>
  <c r="CG340" i="3" s="1"/>
  <c r="CH167" i="3"/>
  <c r="CG106" i="15"/>
  <c r="CG171" i="3"/>
  <c r="CG104" i="15" l="1"/>
  <c r="CG172" i="3"/>
  <c r="CG105" i="15" s="1"/>
  <c r="CH177" i="3"/>
  <c r="CH180" i="3" l="1"/>
  <c r="CH168" i="3"/>
  <c r="CH170" i="3" s="1"/>
  <c r="CH179" i="3"/>
  <c r="CG114" i="15"/>
  <c r="CG113" i="15"/>
  <c r="CH173" i="3" l="1"/>
  <c r="CH340" i="3" s="1"/>
  <c r="CH106" i="15"/>
  <c r="CI167" i="3"/>
  <c r="CH171" i="3"/>
  <c r="CH104" i="15" l="1"/>
  <c r="CH172" i="3"/>
  <c r="CH105" i="15" s="1"/>
  <c r="CI177" i="3"/>
  <c r="CI180" i="3" l="1"/>
  <c r="CI179" i="3"/>
  <c r="CI168" i="3"/>
  <c r="CI170" i="3" s="1"/>
  <c r="CH113" i="15"/>
  <c r="CH114" i="15"/>
  <c r="CI173" i="3" l="1"/>
  <c r="CI340" i="3" s="1"/>
  <c r="CJ167" i="3"/>
  <c r="CI106" i="15"/>
  <c r="CI171" i="3"/>
  <c r="CI104" i="15" l="1"/>
  <c r="CI172" i="3"/>
  <c r="CI105" i="15" s="1"/>
  <c r="CJ177" i="3"/>
  <c r="CJ179" i="3" l="1"/>
  <c r="CJ180" i="3"/>
  <c r="CJ168" i="3"/>
  <c r="CJ170" i="3" s="1"/>
  <c r="CI114" i="15"/>
  <c r="CI113" i="15"/>
  <c r="CK167" i="3" l="1"/>
  <c r="CJ173" i="3"/>
  <c r="CJ340" i="3" s="1"/>
  <c r="CJ106" i="15"/>
  <c r="CJ171" i="3"/>
  <c r="CJ172" i="3" l="1"/>
  <c r="CJ105" i="15" s="1"/>
  <c r="CJ104" i="15"/>
  <c r="CK177" i="3"/>
  <c r="CJ114" i="15" l="1"/>
  <c r="CJ113" i="15"/>
  <c r="CK180" i="3"/>
  <c r="CK179" i="3"/>
  <c r="CK168" i="3"/>
  <c r="CK170" i="3" s="1"/>
  <c r="CK106" i="15" l="1"/>
  <c r="CK173" i="3"/>
  <c r="CK340" i="3" s="1"/>
  <c r="CL167" i="3"/>
  <c r="CK171" i="3"/>
  <c r="CK104" i="15" l="1"/>
  <c r="CK172" i="3"/>
  <c r="CK105" i="15" s="1"/>
  <c r="CL177" i="3"/>
  <c r="CL179" i="3" l="1"/>
  <c r="CL180" i="3"/>
  <c r="CL168" i="3"/>
  <c r="CL170" i="3" s="1"/>
  <c r="CK113" i="15"/>
  <c r="CK114" i="15"/>
  <c r="CL106" i="15" l="1"/>
  <c r="CL173" i="3"/>
  <c r="CL340" i="3" s="1"/>
  <c r="CM167" i="3"/>
  <c r="CL171" i="3"/>
  <c r="CL172" i="3" l="1"/>
  <c r="CL105" i="15" s="1"/>
  <c r="CL104" i="15"/>
  <c r="CM177" i="3"/>
  <c r="CM168" i="3" l="1"/>
  <c r="CM170" i="3" s="1"/>
  <c r="CM180" i="3"/>
  <c r="CM179" i="3"/>
  <c r="CL114" i="15"/>
  <c r="CL113" i="15"/>
  <c r="CN167" i="3" l="1"/>
  <c r="CM173" i="3"/>
  <c r="CM340" i="3" s="1"/>
  <c r="CM106" i="15"/>
  <c r="CM171" i="3"/>
  <c r="CM104" i="15" l="1"/>
  <c r="CM172" i="3"/>
  <c r="CM105" i="15" s="1"/>
  <c r="CN177" i="3"/>
  <c r="CN180" i="3" l="1"/>
  <c r="CN168" i="3"/>
  <c r="CN170" i="3" s="1"/>
  <c r="CN179" i="3"/>
  <c r="CM114" i="15"/>
  <c r="CM113" i="15"/>
  <c r="CO167" i="3" l="1"/>
  <c r="CN106" i="15"/>
  <c r="CN173" i="3"/>
  <c r="CN340" i="3" s="1"/>
  <c r="CN171" i="3"/>
  <c r="CN172" i="3" l="1"/>
  <c r="CN105" i="15" s="1"/>
  <c r="CN104" i="15"/>
  <c r="CO177" i="3"/>
  <c r="CN113" i="15" l="1"/>
  <c r="CN114" i="15"/>
  <c r="CO179" i="3"/>
  <c r="CO168" i="3"/>
  <c r="CO170" i="3" s="1"/>
  <c r="CO180" i="3"/>
  <c r="CP167" i="3" l="1"/>
  <c r="CO106" i="15"/>
  <c r="CO173" i="3"/>
  <c r="CO340" i="3" s="1"/>
  <c r="CO171" i="3"/>
  <c r="CO172" i="3" l="1"/>
  <c r="CO105" i="15" s="1"/>
  <c r="CO104" i="15"/>
  <c r="CP177" i="3"/>
  <c r="CO114" i="15" l="1"/>
  <c r="CO113" i="15"/>
  <c r="CP180" i="3"/>
  <c r="CP168" i="3"/>
  <c r="CP170" i="3" s="1"/>
  <c r="CP179" i="3"/>
  <c r="CP173" i="3" l="1"/>
  <c r="CP340" i="3" s="1"/>
  <c r="CP106" i="15"/>
  <c r="CP171" i="3"/>
  <c r="CP172" i="3" l="1"/>
  <c r="CP105" i="15" s="1"/>
  <c r="CP104" i="15"/>
  <c r="CP113" i="15" l="1"/>
  <c r="CP114" i="15"/>
  <c r="DP98" i="3" l="1"/>
  <c r="DP95" i="3"/>
  <c r="DP96" i="3" l="1"/>
  <c r="DQ96" i="3" s="1"/>
  <c r="DQ97" i="3" s="1"/>
  <c r="DQ107" i="3" s="1"/>
  <c r="DQ98" i="3" l="1"/>
  <c r="DQ101" i="3"/>
  <c r="DQ109" i="3" s="1"/>
  <c r="DQ110" i="3" s="1"/>
  <c r="DP113" i="3"/>
  <c r="DQ112" i="3"/>
  <c r="DQ113" i="3" s="1"/>
  <c r="DQ108" i="3"/>
  <c r="DQ116" i="3" l="1"/>
  <c r="DQ117" i="3" s="1"/>
  <c r="DQ114" i="3"/>
  <c r="DQ118" i="3" s="1"/>
  <c r="DQ121" i="3" s="1"/>
  <c r="DQ123" i="3" s="1"/>
  <c r="DP116" i="3"/>
  <c r="DP122" i="3" s="1"/>
  <c r="DP126" i="3" s="1"/>
  <c r="DP133" i="3" s="1"/>
  <c r="DP114" i="3"/>
  <c r="DP128" i="3" l="1"/>
  <c r="DP210" i="3"/>
  <c r="DP135" i="3"/>
  <c r="DP121" i="3"/>
  <c r="DP123" i="3" s="1"/>
  <c r="DP120" i="3"/>
  <c r="DQ122" i="3"/>
  <c r="DQ126" i="3" s="1"/>
  <c r="DP132" i="3"/>
  <c r="DP134" i="3"/>
  <c r="DP141" i="3" s="1"/>
  <c r="DP131" i="3"/>
  <c r="DQ128" i="3" l="1"/>
  <c r="DP213" i="3"/>
  <c r="DQ213" i="3" s="1"/>
  <c r="DQ210" i="3"/>
  <c r="DQ131" i="3"/>
  <c r="DQ132" i="3"/>
  <c r="DQ133" i="3"/>
  <c r="DQ135" i="3" s="1"/>
  <c r="DQ134" i="3"/>
  <c r="DQ141" i="3" s="1"/>
  <c r="AB49" i="21" l="1"/>
  <c r="AB75" i="21" s="1"/>
  <c r="AB80" i="21" s="1"/>
  <c r="AB22" i="21" s="1"/>
  <c r="AB44" i="3" s="1"/>
  <c r="AB43" i="3" s="1"/>
  <c r="AB66" i="3" s="1"/>
  <c r="AB88" i="21" l="1"/>
  <c r="AB81" i="21"/>
  <c r="AB101" i="21"/>
  <c r="AB25" i="21"/>
  <c r="AB106" i="21"/>
  <c r="AC49" i="21"/>
  <c r="AB54" i="21"/>
  <c r="AB54" i="3"/>
  <c r="AB94" i="17" s="1"/>
  <c r="AB89" i="17" l="1"/>
  <c r="AB86" i="17" s="1"/>
  <c r="AB63" i="3"/>
  <c r="AB28" i="21"/>
  <c r="AB56" i="3"/>
  <c r="AB59" i="3" s="1"/>
  <c r="AB21" i="21"/>
  <c r="AB93" i="21"/>
  <c r="AB67" i="21"/>
  <c r="AC75" i="21"/>
  <c r="AD49" i="21"/>
  <c r="AC54" i="21"/>
  <c r="AC21" i="21" s="1"/>
  <c r="AB95" i="17" l="1"/>
  <c r="AB97" i="3"/>
  <c r="AB214" i="3" s="1"/>
  <c r="AC24" i="3"/>
  <c r="AC23" i="3" s="1"/>
  <c r="AC55" i="21"/>
  <c r="AD75" i="21"/>
  <c r="AE49" i="21"/>
  <c r="AD54" i="21"/>
  <c r="AD21" i="21" s="1"/>
  <c r="AB24" i="3"/>
  <c r="AB29" i="21"/>
  <c r="AB55" i="21"/>
  <c r="AC80" i="21"/>
  <c r="AC25" i="21"/>
  <c r="AC101" i="21"/>
  <c r="AC88" i="21"/>
  <c r="AB99" i="17"/>
  <c r="AB104" i="17"/>
  <c r="AB105" i="17"/>
  <c r="AB102" i="17"/>
  <c r="AB98" i="17"/>
  <c r="AB100" i="17"/>
  <c r="AB103" i="17"/>
  <c r="AB101" i="17"/>
  <c r="AB106" i="17"/>
  <c r="AB101" i="3"/>
  <c r="AB109" i="3" s="1"/>
  <c r="AB25" i="17" l="1"/>
  <c r="AB98" i="15"/>
  <c r="AB107" i="3"/>
  <c r="AB315" i="3" s="1"/>
  <c r="AB317" i="3" s="1"/>
  <c r="AB33" i="17"/>
  <c r="AE75" i="21"/>
  <c r="AE54" i="21"/>
  <c r="AE21" i="21" s="1"/>
  <c r="AF49" i="21"/>
  <c r="AD80" i="21"/>
  <c r="AD88" i="21"/>
  <c r="AD25" i="21"/>
  <c r="AD101" i="21"/>
  <c r="AC89" i="17"/>
  <c r="AC63" i="3"/>
  <c r="AB23" i="3"/>
  <c r="AB71" i="3"/>
  <c r="AC22" i="21"/>
  <c r="AC93" i="21"/>
  <c r="AC106" i="21"/>
  <c r="AC67" i="21"/>
  <c r="AD24" i="3"/>
  <c r="AD23" i="3" s="1"/>
  <c r="AD55" i="21"/>
  <c r="AC87" i="3"/>
  <c r="AC90" i="3" s="1"/>
  <c r="AC327" i="3" s="1"/>
  <c r="AC39" i="3"/>
  <c r="AB139" i="3"/>
  <c r="AB32" i="17" l="1"/>
  <c r="AB60" i="15"/>
  <c r="AD22" i="21"/>
  <c r="AD93" i="21"/>
  <c r="AD67" i="21"/>
  <c r="AD106" i="21"/>
  <c r="AB87" i="3"/>
  <c r="AB90" i="3" s="1"/>
  <c r="AB39" i="3"/>
  <c r="AB70" i="3"/>
  <c r="AF75" i="21"/>
  <c r="AF54" i="21"/>
  <c r="AF21" i="21" s="1"/>
  <c r="AG49" i="21"/>
  <c r="AD89" i="17"/>
  <c r="AD63" i="3"/>
  <c r="AE24" i="3"/>
  <c r="AE23" i="3" s="1"/>
  <c r="AE55" i="21"/>
  <c r="AD87" i="3"/>
  <c r="AD90" i="3" s="1"/>
  <c r="AD327" i="3" s="1"/>
  <c r="AD39" i="3"/>
  <c r="AC44" i="3"/>
  <c r="AC29" i="21"/>
  <c r="AC28" i="21"/>
  <c r="AC81" i="21"/>
  <c r="AE80" i="21"/>
  <c r="AE101" i="21"/>
  <c r="AE25" i="21"/>
  <c r="AE88" i="21"/>
  <c r="AB326" i="3"/>
  <c r="AB325" i="3"/>
  <c r="AB138" i="3"/>
  <c r="AB137" i="3" s="1"/>
  <c r="AB234" i="3" s="1"/>
  <c r="AB232" i="3" s="1"/>
  <c r="AB103" i="15"/>
  <c r="AF80" i="21" l="1"/>
  <c r="AF25" i="21"/>
  <c r="AF101" i="21"/>
  <c r="AF88" i="21"/>
  <c r="AE22" i="21"/>
  <c r="AE93" i="21"/>
  <c r="AE67" i="21"/>
  <c r="AE106" i="21"/>
  <c r="AG75" i="21"/>
  <c r="AH49" i="21"/>
  <c r="AG54" i="21"/>
  <c r="AG21" i="21" s="1"/>
  <c r="AB82" i="3"/>
  <c r="AB83" i="3"/>
  <c r="AE89" i="17"/>
  <c r="AE63" i="3"/>
  <c r="AC43" i="3"/>
  <c r="AC71" i="3"/>
  <c r="AE87" i="3"/>
  <c r="AE90" i="3" s="1"/>
  <c r="AE327" i="3" s="1"/>
  <c r="AE39" i="3"/>
  <c r="AF24" i="3"/>
  <c r="AF23" i="3" s="1"/>
  <c r="AF55" i="21"/>
  <c r="AB327" i="3"/>
  <c r="AB95" i="3"/>
  <c r="AB96" i="3" s="1"/>
  <c r="AB102" i="3"/>
  <c r="AB98" i="3"/>
  <c r="AB108" i="3"/>
  <c r="AB308" i="3" s="1"/>
  <c r="AB110" i="3"/>
  <c r="AD44" i="3"/>
  <c r="AD29" i="21"/>
  <c r="AD28" i="21"/>
  <c r="AD81" i="21"/>
  <c r="AB279" i="3"/>
  <c r="AB237" i="3"/>
  <c r="AG24" i="3" l="1"/>
  <c r="AG23" i="3" s="1"/>
  <c r="AG55" i="21"/>
  <c r="AC307" i="3"/>
  <c r="AH75" i="21"/>
  <c r="AH54" i="21"/>
  <c r="AH21" i="21" s="1"/>
  <c r="AG80" i="21"/>
  <c r="AG101" i="21"/>
  <c r="AG25" i="21"/>
  <c r="AG88" i="21"/>
  <c r="AF89" i="17"/>
  <c r="AF63" i="3"/>
  <c r="AD43" i="3"/>
  <c r="AD71" i="3"/>
  <c r="AF87" i="3"/>
  <c r="AF90" i="3" s="1"/>
  <c r="AF327" i="3" s="1"/>
  <c r="AF39" i="3"/>
  <c r="AC66" i="3"/>
  <c r="AC70" i="3"/>
  <c r="AC54" i="3"/>
  <c r="AC94" i="17" s="1"/>
  <c r="AE44" i="3"/>
  <c r="AE29" i="21"/>
  <c r="AE81" i="21"/>
  <c r="AE28" i="21"/>
  <c r="AF22" i="21"/>
  <c r="AF93" i="21"/>
  <c r="AF67" i="21"/>
  <c r="AF106" i="21"/>
  <c r="AB10" i="17"/>
  <c r="AB11" i="17" s="1"/>
  <c r="AB295" i="3"/>
  <c r="AC56" i="3" l="1"/>
  <c r="AC97" i="3" s="1"/>
  <c r="AH24" i="3"/>
  <c r="AH23" i="3" s="1"/>
  <c r="AH55" i="21"/>
  <c r="AF44" i="3"/>
  <c r="AF81" i="21"/>
  <c r="AF29" i="21"/>
  <c r="AF28" i="21"/>
  <c r="AE43" i="3"/>
  <c r="AE71" i="3"/>
  <c r="AD66" i="3"/>
  <c r="AD70" i="3"/>
  <c r="AD54" i="3"/>
  <c r="AD94" i="17" s="1"/>
  <c r="AG89" i="17"/>
  <c r="AG63" i="3"/>
  <c r="AH80" i="21"/>
  <c r="AH25" i="21"/>
  <c r="AH101" i="21"/>
  <c r="AH88" i="21"/>
  <c r="D49" i="21" s="1"/>
  <c r="AI49" i="21" s="1"/>
  <c r="AC86" i="17"/>
  <c r="AG22" i="21"/>
  <c r="AG106" i="21"/>
  <c r="AG93" i="21"/>
  <c r="AG67" i="21"/>
  <c r="AG87" i="3"/>
  <c r="AG90" i="3" s="1"/>
  <c r="AG327" i="3" s="1"/>
  <c r="AG39" i="3"/>
  <c r="AB16" i="17"/>
  <c r="AB160" i="3" s="1"/>
  <c r="AB161" i="3" s="1"/>
  <c r="AB112" i="3" s="1"/>
  <c r="AB19" i="17"/>
  <c r="AB158" i="3" s="1"/>
  <c r="AB162" i="3" s="1"/>
  <c r="AC59" i="3" l="1"/>
  <c r="AC95" i="17"/>
  <c r="AC82" i="3"/>
  <c r="AC102" i="17"/>
  <c r="AC100" i="17"/>
  <c r="AC103" i="17"/>
  <c r="AC104" i="17"/>
  <c r="AC98" i="17"/>
  <c r="AC105" i="17"/>
  <c r="AC99" i="17"/>
  <c r="AC101" i="17"/>
  <c r="AH89" i="17"/>
  <c r="AH63" i="3"/>
  <c r="AD86" i="17"/>
  <c r="AD106" i="17" s="1"/>
  <c r="AC106" i="17"/>
  <c r="AC25" i="17"/>
  <c r="AC33" i="17"/>
  <c r="AC98" i="3"/>
  <c r="AC98" i="15"/>
  <c r="AC107" i="3"/>
  <c r="AC102" i="3"/>
  <c r="AC214" i="3"/>
  <c r="AC95" i="3"/>
  <c r="AC96" i="3" s="1"/>
  <c r="AH22" i="21"/>
  <c r="AH67" i="21"/>
  <c r="AH93" i="21"/>
  <c r="AH106" i="21"/>
  <c r="AD56" i="3"/>
  <c r="AE66" i="3"/>
  <c r="AE70" i="3"/>
  <c r="AE54" i="3"/>
  <c r="AE94" i="17" s="1"/>
  <c r="AF43" i="3"/>
  <c r="AF71" i="3"/>
  <c r="AG44" i="3"/>
  <c r="AG29" i="21"/>
  <c r="AG28" i="21"/>
  <c r="AG81" i="21"/>
  <c r="AC83" i="3"/>
  <c r="AC101" i="3"/>
  <c r="AC109" i="3" s="1"/>
  <c r="AC110" i="3" s="1"/>
  <c r="AI75" i="21"/>
  <c r="AJ49" i="21"/>
  <c r="AI54" i="21"/>
  <c r="AI21" i="21" s="1"/>
  <c r="AH87" i="3"/>
  <c r="AH90" i="3" s="1"/>
  <c r="AH327" i="3" s="1"/>
  <c r="AH39" i="3"/>
  <c r="AB218" i="3"/>
  <c r="AB113" i="3"/>
  <c r="AB26" i="17"/>
  <c r="AB27" i="17" s="1"/>
  <c r="AB155" i="3"/>
  <c r="AE56" i="3" l="1"/>
  <c r="AE59" i="3" s="1"/>
  <c r="AJ54" i="21"/>
  <c r="AJ21" i="21" s="1"/>
  <c r="AJ75" i="21"/>
  <c r="AK49" i="21"/>
  <c r="AI88" i="21"/>
  <c r="AI80" i="21"/>
  <c r="AI101" i="21"/>
  <c r="AI25" i="21"/>
  <c r="AF70" i="3"/>
  <c r="AF66" i="3"/>
  <c r="AF54" i="3"/>
  <c r="AF94" i="17" s="1"/>
  <c r="AD99" i="17"/>
  <c r="AD100" i="17"/>
  <c r="AD104" i="17"/>
  <c r="AD105" i="17"/>
  <c r="AD102" i="17"/>
  <c r="AD98" i="17"/>
  <c r="AD103" i="17"/>
  <c r="AD101" i="17"/>
  <c r="AE86" i="17"/>
  <c r="AE106" i="17" s="1"/>
  <c r="AD97" i="3"/>
  <c r="AD82" i="3"/>
  <c r="AD95" i="17"/>
  <c r="AD59" i="3"/>
  <c r="AH44" i="3"/>
  <c r="AH29" i="21"/>
  <c r="AH28" i="21"/>
  <c r="AH81" i="21"/>
  <c r="AC108" i="3"/>
  <c r="AC308" i="3" s="1"/>
  <c r="AC315" i="3"/>
  <c r="AC317" i="3" s="1"/>
  <c r="AC32" i="17"/>
  <c r="AC60" i="15"/>
  <c r="AI55" i="21"/>
  <c r="AI24" i="3"/>
  <c r="AI23" i="3" s="1"/>
  <c r="AG43" i="3"/>
  <c r="AG71" i="3"/>
  <c r="AE95" i="17"/>
  <c r="AB39" i="17"/>
  <c r="AB116" i="3"/>
  <c r="AB34" i="17"/>
  <c r="AB41" i="17" s="1"/>
  <c r="AB114" i="3"/>
  <c r="AE82" i="3" l="1"/>
  <c r="AE97" i="3"/>
  <c r="AE95" i="3" s="1"/>
  <c r="AE96" i="3" s="1"/>
  <c r="AE25" i="17"/>
  <c r="AG70" i="3"/>
  <c r="AG66" i="3"/>
  <c r="AG54" i="3"/>
  <c r="AG94" i="17" s="1"/>
  <c r="AE101" i="3"/>
  <c r="AE109" i="3" s="1"/>
  <c r="AE110" i="3" s="1"/>
  <c r="AE83" i="3"/>
  <c r="AI87" i="3"/>
  <c r="AI90" i="3" s="1"/>
  <c r="AI327" i="3" s="1"/>
  <c r="AI39" i="3"/>
  <c r="AC326" i="3"/>
  <c r="AC325" i="3"/>
  <c r="AF86" i="17"/>
  <c r="AF106" i="17" s="1"/>
  <c r="AI63" i="3"/>
  <c r="AI89" i="17"/>
  <c r="AK75" i="21"/>
  <c r="AL49" i="21"/>
  <c r="AK54" i="21"/>
  <c r="AK21" i="21" s="1"/>
  <c r="AD307" i="3"/>
  <c r="AH43" i="3"/>
  <c r="AH71" i="3"/>
  <c r="AD25" i="17"/>
  <c r="AD98" i="3"/>
  <c r="AD95" i="3"/>
  <c r="AD96" i="3" s="1"/>
  <c r="AD102" i="3"/>
  <c r="AD107" i="3"/>
  <c r="AD33" i="17"/>
  <c r="AD214" i="3"/>
  <c r="AD98" i="15"/>
  <c r="AF56" i="3"/>
  <c r="AJ88" i="21"/>
  <c r="AJ25" i="21"/>
  <c r="AJ80" i="21"/>
  <c r="AJ101" i="21"/>
  <c r="AD83" i="3"/>
  <c r="AD101" i="3"/>
  <c r="AD109" i="3" s="1"/>
  <c r="AD110" i="3" s="1"/>
  <c r="AE100" i="17"/>
  <c r="AE102" i="17"/>
  <c r="AE103" i="17"/>
  <c r="AE105" i="17"/>
  <c r="AE99" i="17"/>
  <c r="AE98" i="17"/>
  <c r="AE104" i="17"/>
  <c r="AE101" i="17"/>
  <c r="AI106" i="21"/>
  <c r="AI67" i="21"/>
  <c r="AI22" i="21"/>
  <c r="AI93" i="21"/>
  <c r="AJ24" i="3"/>
  <c r="AJ23" i="3" s="1"/>
  <c r="AJ55" i="21"/>
  <c r="AB118" i="3"/>
  <c r="AB121" i="3" s="1"/>
  <c r="AB117" i="3"/>
  <c r="AB215" i="3" s="1"/>
  <c r="AB40" i="17"/>
  <c r="AE102" i="3" l="1"/>
  <c r="AE33" i="17"/>
  <c r="AE98" i="3"/>
  <c r="AE107" i="3"/>
  <c r="AE32" i="17" s="1"/>
  <c r="AE98" i="15"/>
  <c r="AE214" i="3"/>
  <c r="AG56" i="3"/>
  <c r="AG95" i="17" s="1"/>
  <c r="AB122" i="3"/>
  <c r="AB290" i="3" s="1"/>
  <c r="AJ63" i="3"/>
  <c r="AJ89" i="17"/>
  <c r="AH66" i="3"/>
  <c r="AH70" i="3"/>
  <c r="AH54" i="3"/>
  <c r="AH94" i="17" s="1"/>
  <c r="AL75" i="21"/>
  <c r="AL54" i="21"/>
  <c r="AL21" i="21" s="1"/>
  <c r="AM49" i="21"/>
  <c r="AG86" i="17"/>
  <c r="AG106" i="17" s="1"/>
  <c r="AK88" i="21"/>
  <c r="AK101" i="21"/>
  <c r="AK80" i="21"/>
  <c r="AK25" i="21"/>
  <c r="AF95" i="17"/>
  <c r="AF59" i="3"/>
  <c r="AF97" i="3"/>
  <c r="AF82" i="3"/>
  <c r="AD108" i="3"/>
  <c r="AD308" i="3" s="1"/>
  <c r="AD32" i="17"/>
  <c r="AD315" i="3"/>
  <c r="AD317" i="3" s="1"/>
  <c r="AD60" i="15"/>
  <c r="AI28" i="21"/>
  <c r="AI29" i="21"/>
  <c r="AI81" i="21"/>
  <c r="AI44" i="3"/>
  <c r="AF102" i="17"/>
  <c r="AF105" i="17"/>
  <c r="AF99" i="17"/>
  <c r="AF98" i="17"/>
  <c r="AF104" i="17"/>
  <c r="AF100" i="17"/>
  <c r="AF103" i="17"/>
  <c r="AF101" i="17"/>
  <c r="AJ87" i="3"/>
  <c r="AJ90" i="3" s="1"/>
  <c r="AJ327" i="3" s="1"/>
  <c r="AJ39" i="3"/>
  <c r="AJ67" i="21"/>
  <c r="AJ93" i="21"/>
  <c r="AJ106" i="21"/>
  <c r="AJ22" i="21"/>
  <c r="AK24" i="3"/>
  <c r="AK23" i="3" s="1"/>
  <c r="AK55" i="21"/>
  <c r="AE108" i="3"/>
  <c r="AE315" i="3"/>
  <c r="AE317" i="3" s="1"/>
  <c r="AB216" i="3"/>
  <c r="AB221" i="3" s="1"/>
  <c r="AB127" i="3"/>
  <c r="AB123" i="3" s="1"/>
  <c r="AE60" i="15" l="1"/>
  <c r="AG97" i="3"/>
  <c r="AG98" i="3" s="1"/>
  <c r="AG59" i="3"/>
  <c r="AG101" i="3" s="1"/>
  <c r="AG109" i="3" s="1"/>
  <c r="AG110" i="3" s="1"/>
  <c r="AG82" i="3"/>
  <c r="AH56" i="3"/>
  <c r="AH82" i="3" s="1"/>
  <c r="AB128" i="3"/>
  <c r="AB61" i="15"/>
  <c r="AB62" i="15" s="1"/>
  <c r="AB66" i="15" s="1"/>
  <c r="AC139" i="3"/>
  <c r="AC138" i="3" s="1"/>
  <c r="AC137" i="3" s="1"/>
  <c r="AC234" i="3" s="1"/>
  <c r="AE325" i="3"/>
  <c r="AE326" i="3"/>
  <c r="AK87" i="3"/>
  <c r="AK90" i="3" s="1"/>
  <c r="AK327" i="3" s="1"/>
  <c r="AK39" i="3"/>
  <c r="AE308" i="3"/>
  <c r="AE307" i="3"/>
  <c r="AL24" i="3"/>
  <c r="AL23" i="3" s="1"/>
  <c r="AL55" i="21"/>
  <c r="AK63" i="3"/>
  <c r="AK89" i="17"/>
  <c r="AD326" i="3"/>
  <c r="AD325" i="3"/>
  <c r="AF25" i="17"/>
  <c r="AF95" i="3"/>
  <c r="AF96" i="3" s="1"/>
  <c r="AF98" i="15"/>
  <c r="AF98" i="3"/>
  <c r="AF107" i="3"/>
  <c r="AF102" i="3"/>
  <c r="AF214" i="3"/>
  <c r="AF33" i="17"/>
  <c r="AG102" i="3"/>
  <c r="AG98" i="15"/>
  <c r="AG95" i="3"/>
  <c r="AG96" i="3" s="1"/>
  <c r="AG25" i="17"/>
  <c r="AK67" i="21"/>
  <c r="AK93" i="21"/>
  <c r="AK22" i="21"/>
  <c r="AK106" i="21"/>
  <c r="AH59" i="3"/>
  <c r="AJ29" i="21"/>
  <c r="AJ81" i="21"/>
  <c r="AJ44" i="3"/>
  <c r="AJ28" i="21"/>
  <c r="AG101" i="17"/>
  <c r="AG99" i="17"/>
  <c r="AG100" i="17"/>
  <c r="AG105" i="17"/>
  <c r="AG104" i="17"/>
  <c r="AG98" i="17"/>
  <c r="AG102" i="17"/>
  <c r="AG103" i="17"/>
  <c r="AL80" i="21"/>
  <c r="AL101" i="21"/>
  <c r="AL25" i="21"/>
  <c r="AL88" i="21"/>
  <c r="AI71" i="3"/>
  <c r="AI43" i="3"/>
  <c r="AF101" i="3"/>
  <c r="AF109" i="3" s="1"/>
  <c r="AF110" i="3" s="1"/>
  <c r="AF83" i="3"/>
  <c r="AG83" i="3"/>
  <c r="AM54" i="21"/>
  <c r="AM21" i="21" s="1"/>
  <c r="AM75" i="21"/>
  <c r="AN49" i="21"/>
  <c r="AH86" i="17"/>
  <c r="AH106" i="17" s="1"/>
  <c r="AC331" i="3"/>
  <c r="AB292" i="3"/>
  <c r="AB337" i="3"/>
  <c r="AB338" i="3" s="1"/>
  <c r="AB332" i="3"/>
  <c r="AB333" i="3" s="1"/>
  <c r="AB239" i="3"/>
  <c r="AB245" i="3"/>
  <c r="AB100" i="15"/>
  <c r="AB147" i="3"/>
  <c r="AB149" i="3" s="1"/>
  <c r="AB150" i="3" s="1"/>
  <c r="AB151" i="3" s="1"/>
  <c r="AB75" i="15" s="1"/>
  <c r="AB126" i="3"/>
  <c r="AB204" i="3"/>
  <c r="AB205" i="3" s="1"/>
  <c r="AC202" i="3" s="1"/>
  <c r="AB281" i="3"/>
  <c r="AB206" i="3"/>
  <c r="AB143" i="3" s="1"/>
  <c r="AG214" i="3" l="1"/>
  <c r="AG107" i="3"/>
  <c r="AG32" i="17" s="1"/>
  <c r="AG33" i="17"/>
  <c r="AH95" i="17"/>
  <c r="AC103" i="15"/>
  <c r="AH97" i="3"/>
  <c r="AH33" i="17" s="1"/>
  <c r="AH103" i="17"/>
  <c r="AH102" i="17"/>
  <c r="AH105" i="17"/>
  <c r="AH99" i="17"/>
  <c r="AH98" i="17"/>
  <c r="AH104" i="17"/>
  <c r="AH100" i="17"/>
  <c r="AH101" i="17"/>
  <c r="AI54" i="3"/>
  <c r="AI94" i="17" s="1"/>
  <c r="AI70" i="3"/>
  <c r="AI66" i="3"/>
  <c r="AH214" i="3"/>
  <c r="AL106" i="21"/>
  <c r="AL67" i="21"/>
  <c r="AL22" i="21"/>
  <c r="AL93" i="21"/>
  <c r="AL39" i="3"/>
  <c r="AL87" i="3"/>
  <c r="AL90" i="3" s="1"/>
  <c r="AL327" i="3" s="1"/>
  <c r="AM101" i="21"/>
  <c r="AM88" i="21"/>
  <c r="AM80" i="21"/>
  <c r="AM25" i="21"/>
  <c r="AN75" i="21"/>
  <c r="AO49" i="21"/>
  <c r="AN54" i="21"/>
  <c r="AN21" i="21" s="1"/>
  <c r="AK29" i="21"/>
  <c r="AK28" i="21"/>
  <c r="AK81" i="21"/>
  <c r="AK44" i="3"/>
  <c r="AM24" i="3"/>
  <c r="AM23" i="3" s="1"/>
  <c r="AM55" i="21"/>
  <c r="AL89" i="17"/>
  <c r="AL63" i="3"/>
  <c r="AJ71" i="3"/>
  <c r="AJ43" i="3"/>
  <c r="AH101" i="3"/>
  <c r="AH109" i="3" s="1"/>
  <c r="AH110" i="3" s="1"/>
  <c r="AH83" i="3"/>
  <c r="AG108" i="3"/>
  <c r="AG315" i="3"/>
  <c r="AG317" i="3" s="1"/>
  <c r="AF108" i="3"/>
  <c r="AF308" i="3" s="1"/>
  <c r="AF32" i="17"/>
  <c r="AF315" i="3"/>
  <c r="AF317" i="3" s="1"/>
  <c r="AF60" i="15"/>
  <c r="AF307" i="3"/>
  <c r="AB255" i="3"/>
  <c r="AB242" i="3"/>
  <c r="AB284" i="3"/>
  <c r="AB133" i="3"/>
  <c r="AB132" i="3"/>
  <c r="AB134" i="3"/>
  <c r="AB339" i="3"/>
  <c r="AB341" i="3" s="1"/>
  <c r="AB131" i="3"/>
  <c r="AB210" i="3"/>
  <c r="AB213" i="3" s="1"/>
  <c r="AB35" i="17"/>
  <c r="AB250" i="3"/>
  <c r="AB244" i="3"/>
  <c r="AG60" i="15" l="1"/>
  <c r="AH25" i="17"/>
  <c r="AH102" i="3"/>
  <c r="AH107" i="3"/>
  <c r="AH60" i="15" s="1"/>
  <c r="AH98" i="15"/>
  <c r="AH95" i="3"/>
  <c r="AH96" i="3" s="1"/>
  <c r="AH98" i="3"/>
  <c r="AI56" i="3"/>
  <c r="AI95" i="17" s="1"/>
  <c r="AG308" i="3"/>
  <c r="AG307" i="3"/>
  <c r="AK43" i="3"/>
  <c r="AK71" i="3"/>
  <c r="AL44" i="3"/>
  <c r="AL29" i="21"/>
  <c r="AL81" i="21"/>
  <c r="AL28" i="21"/>
  <c r="AM87" i="3"/>
  <c r="AM90" i="3" s="1"/>
  <c r="AM327" i="3" s="1"/>
  <c r="AM39" i="3"/>
  <c r="AN24" i="3"/>
  <c r="AN23" i="3" s="1"/>
  <c r="AN55" i="21"/>
  <c r="AF325" i="3"/>
  <c r="AF326" i="3"/>
  <c r="AG325" i="3"/>
  <c r="AG326" i="3"/>
  <c r="AO54" i="21"/>
  <c r="AO21" i="21" s="1"/>
  <c r="AO75" i="21"/>
  <c r="AP49" i="21"/>
  <c r="AM63" i="3"/>
  <c r="AM89" i="17"/>
  <c r="AJ70" i="3"/>
  <c r="AJ66" i="3"/>
  <c r="AJ54" i="3"/>
  <c r="AJ94" i="17" s="1"/>
  <c r="AN88" i="21"/>
  <c r="AN80" i="21"/>
  <c r="AN25" i="21"/>
  <c r="AN101" i="21"/>
  <c r="AM67" i="21"/>
  <c r="AM93" i="21"/>
  <c r="AM22" i="21"/>
  <c r="AM106" i="21"/>
  <c r="AI86" i="17"/>
  <c r="AI106" i="17" s="1"/>
  <c r="AC240" i="3"/>
  <c r="AB243" i="3"/>
  <c r="AC232" i="3"/>
  <c r="AC111" i="3"/>
  <c r="AB294" i="3"/>
  <c r="AB296" i="3" s="1"/>
  <c r="AB12" i="17"/>
  <c r="AB13" i="17" s="1"/>
  <c r="AB260" i="3"/>
  <c r="AB298" i="3" s="1"/>
  <c r="AB43" i="17" s="1"/>
  <c r="AB74" i="15"/>
  <c r="AB76" i="15" s="1"/>
  <c r="AB101" i="15"/>
  <c r="AB135" i="3"/>
  <c r="AB141" i="3"/>
  <c r="AH315" i="3" l="1"/>
  <c r="AH317" i="3" s="1"/>
  <c r="AH32" i="17"/>
  <c r="AI97" i="3"/>
  <c r="AI102" i="3" s="1"/>
  <c r="AH108" i="3"/>
  <c r="AH308" i="3" s="1"/>
  <c r="AI59" i="3"/>
  <c r="AI82" i="3"/>
  <c r="AJ56" i="3"/>
  <c r="AJ97" i="3" s="1"/>
  <c r="AO88" i="21"/>
  <c r="AO80" i="21"/>
  <c r="AO25" i="21"/>
  <c r="AO101" i="21"/>
  <c r="AH325" i="3"/>
  <c r="AH326" i="3"/>
  <c r="AO24" i="3"/>
  <c r="AO23" i="3" s="1"/>
  <c r="AO55" i="21"/>
  <c r="AM81" i="21"/>
  <c r="AM28" i="21"/>
  <c r="AM29" i="21"/>
  <c r="AM44" i="3"/>
  <c r="AN63" i="3"/>
  <c r="AN89" i="17"/>
  <c r="AJ86" i="17"/>
  <c r="AJ106" i="17" s="1"/>
  <c r="AI214" i="3"/>
  <c r="AJ95" i="17"/>
  <c r="AN39" i="3"/>
  <c r="AN87" i="3"/>
  <c r="AN90" i="3" s="1"/>
  <c r="AN327" i="3" s="1"/>
  <c r="AK66" i="3"/>
  <c r="AK70" i="3"/>
  <c r="AK54" i="3"/>
  <c r="AK94" i="17" s="1"/>
  <c r="AI98" i="17"/>
  <c r="AI103" i="17"/>
  <c r="AI102" i="17"/>
  <c r="AI104" i="17"/>
  <c r="AI105" i="17"/>
  <c r="AI100" i="17"/>
  <c r="AI99" i="17"/>
  <c r="AI101" i="17"/>
  <c r="AN67" i="21"/>
  <c r="AN93" i="21"/>
  <c r="AN22" i="21"/>
  <c r="AN106" i="21"/>
  <c r="AI101" i="3"/>
  <c r="AI109" i="3" s="1"/>
  <c r="AI110" i="3" s="1"/>
  <c r="AI83" i="3"/>
  <c r="AQ49" i="21"/>
  <c r="AP54" i="21"/>
  <c r="AP21" i="21" s="1"/>
  <c r="AP75" i="21"/>
  <c r="AL43" i="3"/>
  <c r="AL71" i="3"/>
  <c r="AH307" i="3"/>
  <c r="AB78" i="15"/>
  <c r="AB14" i="17"/>
  <c r="AB42" i="17"/>
  <c r="AC237" i="3"/>
  <c r="AC279" i="3"/>
  <c r="AB99" i="15"/>
  <c r="AB297" i="3"/>
  <c r="AC263" i="3"/>
  <c r="AB286" i="3"/>
  <c r="AB293" i="3" s="1"/>
  <c r="AI98" i="15" l="1"/>
  <c r="AI95" i="3"/>
  <c r="AI96" i="3" s="1"/>
  <c r="AI33" i="17"/>
  <c r="AI25" i="17"/>
  <c r="AI98" i="3"/>
  <c r="AI107" i="3"/>
  <c r="AI32" i="17" s="1"/>
  <c r="AJ59" i="3"/>
  <c r="AJ83" i="3" s="1"/>
  <c r="AJ82" i="3"/>
  <c r="AI307" i="3"/>
  <c r="AP24" i="3"/>
  <c r="AP23" i="3" s="1"/>
  <c r="AP55" i="21"/>
  <c r="AK86" i="17"/>
  <c r="AJ214" i="3"/>
  <c r="AJ98" i="3"/>
  <c r="AJ102" i="3"/>
  <c r="AJ25" i="17"/>
  <c r="AJ33" i="17"/>
  <c r="AJ95" i="3"/>
  <c r="AJ96" i="3" s="1"/>
  <c r="AJ107" i="3"/>
  <c r="AJ98" i="15"/>
  <c r="AJ104" i="17"/>
  <c r="AJ102" i="17"/>
  <c r="AJ105" i="17"/>
  <c r="AJ100" i="17"/>
  <c r="AJ103" i="17"/>
  <c r="AJ98" i="17"/>
  <c r="AJ99" i="17"/>
  <c r="AJ101" i="17"/>
  <c r="AM43" i="3"/>
  <c r="AM71" i="3"/>
  <c r="AQ54" i="21"/>
  <c r="AQ21" i="21" s="1"/>
  <c r="AQ75" i="21"/>
  <c r="AR49" i="21"/>
  <c r="AO87" i="3"/>
  <c r="AO90" i="3" s="1"/>
  <c r="AO327" i="3" s="1"/>
  <c r="AO39" i="3"/>
  <c r="AL70" i="3"/>
  <c r="AL66" i="3"/>
  <c r="AL54" i="3"/>
  <c r="AL94" i="17" s="1"/>
  <c r="AJ101" i="3"/>
  <c r="AJ109" i="3" s="1"/>
  <c r="AJ110" i="3" s="1"/>
  <c r="AO93" i="21"/>
  <c r="AO22" i="21"/>
  <c r="AO67" i="21"/>
  <c r="AO106" i="21"/>
  <c r="AN29" i="21"/>
  <c r="AN81" i="21"/>
  <c r="AN44" i="3"/>
  <c r="AN28" i="21"/>
  <c r="AO89" i="17"/>
  <c r="AO63" i="3"/>
  <c r="AP25" i="21"/>
  <c r="AP88" i="21"/>
  <c r="AP101" i="21"/>
  <c r="AP80" i="21"/>
  <c r="AK56" i="3"/>
  <c r="AC10" i="17"/>
  <c r="AC11" i="17" s="1"/>
  <c r="AC295" i="3"/>
  <c r="AC269" i="3"/>
  <c r="AB80" i="15"/>
  <c r="AB85" i="15" s="1"/>
  <c r="AB81" i="15"/>
  <c r="AB86" i="15" s="1"/>
  <c r="AB79" i="15"/>
  <c r="AB84" i="15" s="1"/>
  <c r="AI108" i="3" l="1"/>
  <c r="AI308" i="3" s="1"/>
  <c r="AJ307" i="3" s="1"/>
  <c r="AI315" i="3"/>
  <c r="AI317" i="3" s="1"/>
  <c r="AI326" i="3" s="1"/>
  <c r="AI60" i="15"/>
  <c r="AL56" i="3"/>
  <c r="AL59" i="3" s="1"/>
  <c r="AK95" i="17"/>
  <c r="AK59" i="3"/>
  <c r="AK97" i="3"/>
  <c r="AK82" i="3"/>
  <c r="AP63" i="3"/>
  <c r="AP89" i="17"/>
  <c r="AN43" i="3"/>
  <c r="AN71" i="3"/>
  <c r="AP106" i="21"/>
  <c r="AP93" i="21"/>
  <c r="AP22" i="21"/>
  <c r="AP67" i="21"/>
  <c r="AO81" i="21"/>
  <c r="AO29" i="21"/>
  <c r="AO28" i="21"/>
  <c r="AO44" i="3"/>
  <c r="AM54" i="3"/>
  <c r="AM94" i="17" s="1"/>
  <c r="AM70" i="3"/>
  <c r="AM66" i="3"/>
  <c r="AQ25" i="21"/>
  <c r="AQ80" i="21"/>
  <c r="AQ88" i="21"/>
  <c r="AQ101" i="21"/>
  <c r="AK98" i="17"/>
  <c r="AK102" i="17"/>
  <c r="AK100" i="17"/>
  <c r="AK103" i="17"/>
  <c r="AK105" i="17"/>
  <c r="AK104" i="17"/>
  <c r="AK99" i="17"/>
  <c r="AK101" i="17"/>
  <c r="AS49" i="21"/>
  <c r="AR75" i="21"/>
  <c r="AR54" i="21"/>
  <c r="AR21" i="21" s="1"/>
  <c r="AP87" i="3"/>
  <c r="AP90" i="3" s="1"/>
  <c r="AP327" i="3" s="1"/>
  <c r="AP39" i="3"/>
  <c r="AL86" i="17"/>
  <c r="AQ55" i="21"/>
  <c r="AQ24" i="3"/>
  <c r="AQ23" i="3" s="1"/>
  <c r="AJ315" i="3"/>
  <c r="AJ317" i="3" s="1"/>
  <c r="AJ32" i="17"/>
  <c r="AJ60" i="15"/>
  <c r="AJ108" i="3"/>
  <c r="AK106" i="17"/>
  <c r="AB87" i="15"/>
  <c r="AC16" i="17"/>
  <c r="AC160" i="3" s="1"/>
  <c r="AC161" i="3" s="1"/>
  <c r="AC112" i="3" s="1"/>
  <c r="AC19" i="17"/>
  <c r="AC158" i="3" s="1"/>
  <c r="AC162" i="3" s="1"/>
  <c r="AI325" i="3" l="1"/>
  <c r="AJ308" i="3"/>
  <c r="AL95" i="17"/>
  <c r="AL97" i="3"/>
  <c r="AL98" i="3" s="1"/>
  <c r="AL82" i="3"/>
  <c r="AK307" i="3"/>
  <c r="AR24" i="3"/>
  <c r="AR23" i="3" s="1"/>
  <c r="AR55" i="21"/>
  <c r="AJ325" i="3"/>
  <c r="AJ326" i="3"/>
  <c r="AK101" i="3"/>
  <c r="AK109" i="3" s="1"/>
  <c r="AK110" i="3" s="1"/>
  <c r="AK83" i="3"/>
  <c r="AL105" i="17"/>
  <c r="AL99" i="17"/>
  <c r="AL98" i="17"/>
  <c r="AL103" i="17"/>
  <c r="AL100" i="17"/>
  <c r="AL102" i="17"/>
  <c r="AL104" i="17"/>
  <c r="AL101" i="17"/>
  <c r="AL83" i="3"/>
  <c r="AL101" i="3"/>
  <c r="AL109" i="3" s="1"/>
  <c r="AL110" i="3" s="1"/>
  <c r="AL106" i="17"/>
  <c r="AR25" i="21"/>
  <c r="AR88" i="21"/>
  <c r="AR80" i="21"/>
  <c r="AR101" i="21"/>
  <c r="AQ93" i="21"/>
  <c r="AQ67" i="21"/>
  <c r="AQ106" i="21"/>
  <c r="AQ22" i="21"/>
  <c r="AM56" i="3"/>
  <c r="AO43" i="3"/>
  <c r="AO71" i="3"/>
  <c r="AL214" i="3"/>
  <c r="AM86" i="17"/>
  <c r="AQ87" i="3"/>
  <c r="AQ90" i="3" s="1"/>
  <c r="AQ327" i="3" s="1"/>
  <c r="AQ39" i="3"/>
  <c r="AS75" i="21"/>
  <c r="AT49" i="21"/>
  <c r="AS54" i="21"/>
  <c r="AS21" i="21" s="1"/>
  <c r="AQ89" i="17"/>
  <c r="AQ63" i="3"/>
  <c r="AP29" i="21"/>
  <c r="AP44" i="3"/>
  <c r="AP28" i="21"/>
  <c r="AP81" i="21"/>
  <c r="AN66" i="3"/>
  <c r="AN54" i="3"/>
  <c r="AN94" i="17" s="1"/>
  <c r="AN70" i="3"/>
  <c r="AK33" i="17"/>
  <c r="AK102" i="3"/>
  <c r="AK95" i="3"/>
  <c r="AK96" i="3" s="1"/>
  <c r="AK25" i="17"/>
  <c r="AK98" i="15"/>
  <c r="AK107" i="3"/>
  <c r="AK214" i="3"/>
  <c r="AK98" i="3"/>
  <c r="AC218" i="3"/>
  <c r="AC26" i="17"/>
  <c r="AC27" i="17" s="1"/>
  <c r="AC155" i="3"/>
  <c r="AC113" i="3"/>
  <c r="AL25" i="17" l="1"/>
  <c r="AL95" i="3"/>
  <c r="AL96" i="3" s="1"/>
  <c r="AL102" i="3"/>
  <c r="AL98" i="15"/>
  <c r="AL33" i="17"/>
  <c r="AL107" i="3"/>
  <c r="AL108" i="3" s="1"/>
  <c r="AN56" i="3"/>
  <c r="AN95" i="17" s="1"/>
  <c r="AN86" i="17"/>
  <c r="AR106" i="21"/>
  <c r="AR22" i="21"/>
  <c r="AR93" i="21"/>
  <c r="AR67" i="21"/>
  <c r="AK108" i="3"/>
  <c r="AK308" i="3" s="1"/>
  <c r="AK32" i="17"/>
  <c r="AK60" i="15"/>
  <c r="AK315" i="3"/>
  <c r="AK317" i="3" s="1"/>
  <c r="AP71" i="3"/>
  <c r="AP43" i="3"/>
  <c r="AO54" i="3"/>
  <c r="AO94" i="17" s="1"/>
  <c r="AO66" i="3"/>
  <c r="AO70" i="3"/>
  <c r="AR39" i="3"/>
  <c r="AR87" i="3"/>
  <c r="AR90" i="3" s="1"/>
  <c r="AR327" i="3" s="1"/>
  <c r="AU49" i="21"/>
  <c r="AT75" i="21"/>
  <c r="AT54" i="21"/>
  <c r="AT21" i="21" s="1"/>
  <c r="AM102" i="17"/>
  <c r="AM99" i="17"/>
  <c r="AM105" i="17"/>
  <c r="AM104" i="17"/>
  <c r="AM98" i="17"/>
  <c r="AM103" i="17"/>
  <c r="AM100" i="17"/>
  <c r="AM101" i="17"/>
  <c r="AM95" i="17"/>
  <c r="AM82" i="3"/>
  <c r="AM59" i="3"/>
  <c r="AM97" i="3"/>
  <c r="AR89" i="17"/>
  <c r="AR63" i="3"/>
  <c r="AS24" i="3"/>
  <c r="AS23" i="3" s="1"/>
  <c r="AS55" i="21"/>
  <c r="AS88" i="21"/>
  <c r="AS80" i="21"/>
  <c r="AS101" i="21"/>
  <c r="AS25" i="21"/>
  <c r="AM106" i="17"/>
  <c r="AQ28" i="21"/>
  <c r="AQ29" i="21"/>
  <c r="AQ81" i="21"/>
  <c r="AQ44" i="3"/>
  <c r="AC39" i="17"/>
  <c r="AC116" i="3"/>
  <c r="AC34" i="17"/>
  <c r="AC41" i="17" s="1"/>
  <c r="AC114" i="3"/>
  <c r="AL315" i="3" l="1"/>
  <c r="AL317" i="3" s="1"/>
  <c r="AL32" i="17"/>
  <c r="AL60" i="15"/>
  <c r="AN82" i="3"/>
  <c r="AN59" i="3"/>
  <c r="AN83" i="3" s="1"/>
  <c r="AN97" i="3"/>
  <c r="AN33" i="17" s="1"/>
  <c r="AM33" i="17"/>
  <c r="AM98" i="15"/>
  <c r="AM107" i="3"/>
  <c r="AM25" i="17"/>
  <c r="AM95" i="3"/>
  <c r="AM96" i="3" s="1"/>
  <c r="AM214" i="3"/>
  <c r="AM102" i="3"/>
  <c r="AM98" i="3"/>
  <c r="AQ71" i="3"/>
  <c r="AQ43" i="3"/>
  <c r="AK326" i="3"/>
  <c r="AK325" i="3"/>
  <c r="AL326" i="3"/>
  <c r="AL325" i="3"/>
  <c r="AO86" i="17"/>
  <c r="AS87" i="3"/>
  <c r="AS90" i="3" s="1"/>
  <c r="AS327" i="3" s="1"/>
  <c r="AS39" i="3"/>
  <c r="AM101" i="3"/>
  <c r="AM109" i="3" s="1"/>
  <c r="AM110" i="3" s="1"/>
  <c r="AM83" i="3"/>
  <c r="AT25" i="21"/>
  <c r="AT80" i="21"/>
  <c r="AT101" i="21"/>
  <c r="AT88" i="21"/>
  <c r="AO56" i="3"/>
  <c r="AP54" i="3"/>
  <c r="AP94" i="17" s="1"/>
  <c r="AP66" i="3"/>
  <c r="AP70" i="3"/>
  <c r="AR29" i="21"/>
  <c r="AR81" i="21"/>
  <c r="AR28" i="21"/>
  <c r="AR44" i="3"/>
  <c r="AN99" i="17"/>
  <c r="AN104" i="17"/>
  <c r="AN103" i="17"/>
  <c r="AN100" i="17"/>
  <c r="AN105" i="17"/>
  <c r="AN102" i="17"/>
  <c r="AN98" i="17"/>
  <c r="AN101" i="17"/>
  <c r="AS89" i="17"/>
  <c r="AS63" i="3"/>
  <c r="AT24" i="3"/>
  <c r="AT23" i="3" s="1"/>
  <c r="AT55" i="21"/>
  <c r="AS93" i="21"/>
  <c r="AS106" i="21"/>
  <c r="AS67" i="21"/>
  <c r="AS22" i="21"/>
  <c r="AU75" i="21"/>
  <c r="AU54" i="21"/>
  <c r="AU21" i="21" s="1"/>
  <c r="AV49" i="21"/>
  <c r="AN25" i="17"/>
  <c r="AN107" i="3"/>
  <c r="AN98" i="15"/>
  <c r="AN214" i="3"/>
  <c r="AN102" i="3"/>
  <c r="AN98" i="3"/>
  <c r="AL308" i="3"/>
  <c r="AL307" i="3"/>
  <c r="AN106" i="17"/>
  <c r="AC117" i="3"/>
  <c r="AC215" i="3" s="1"/>
  <c r="AC118" i="3"/>
  <c r="AC121" i="3" s="1"/>
  <c r="AC40" i="17"/>
  <c r="AN95" i="3" l="1"/>
  <c r="AN96" i="3" s="1"/>
  <c r="AP56" i="3"/>
  <c r="AP95" i="17" s="1"/>
  <c r="AN101" i="3"/>
  <c r="AN109" i="3" s="1"/>
  <c r="AN110" i="3" s="1"/>
  <c r="AV75" i="21"/>
  <c r="AV54" i="21"/>
  <c r="AV21" i="21" s="1"/>
  <c r="AW49" i="21"/>
  <c r="AT39" i="3"/>
  <c r="AT87" i="3"/>
  <c r="AT90" i="3" s="1"/>
  <c r="AT327" i="3" s="1"/>
  <c r="AP86" i="17"/>
  <c r="AT67" i="21"/>
  <c r="AT93" i="21"/>
  <c r="AT22" i="21"/>
  <c r="AT106" i="21"/>
  <c r="AN108" i="3"/>
  <c r="AN315" i="3"/>
  <c r="AN317" i="3" s="1"/>
  <c r="AN32" i="17"/>
  <c r="AN60" i="15"/>
  <c r="AT63" i="3"/>
  <c r="AT89" i="17"/>
  <c r="AM108" i="3"/>
  <c r="AM308" i="3" s="1"/>
  <c r="AM32" i="17"/>
  <c r="AM315" i="3"/>
  <c r="AM317" i="3" s="1"/>
  <c r="AM60" i="15"/>
  <c r="AU88" i="21"/>
  <c r="AU80" i="21"/>
  <c r="AU101" i="21"/>
  <c r="AU25" i="21"/>
  <c r="AO104" i="17"/>
  <c r="AO105" i="17"/>
  <c r="AO102" i="17"/>
  <c r="AO103" i="17"/>
  <c r="AO99" i="17"/>
  <c r="AO98" i="17"/>
  <c r="AO100" i="17"/>
  <c r="AO101" i="17"/>
  <c r="AQ54" i="3"/>
  <c r="AQ94" i="17" s="1"/>
  <c r="AQ70" i="3"/>
  <c r="AQ66" i="3"/>
  <c r="AU55" i="21"/>
  <c r="AU24" i="3"/>
  <c r="AU23" i="3" s="1"/>
  <c r="AP97" i="3"/>
  <c r="AO82" i="3"/>
  <c r="AO97" i="3"/>
  <c r="AO95" i="17"/>
  <c r="AO59" i="3"/>
  <c r="AM307" i="3"/>
  <c r="AS29" i="21"/>
  <c r="AS28" i="21"/>
  <c r="AS81" i="21"/>
  <c r="AS44" i="3"/>
  <c r="AR71" i="3"/>
  <c r="AR43" i="3"/>
  <c r="AO106" i="17"/>
  <c r="AC127" i="3"/>
  <c r="AC122" i="3"/>
  <c r="AC216" i="3"/>
  <c r="AD139" i="3" s="1"/>
  <c r="AP59" i="3" l="1"/>
  <c r="AP82" i="3"/>
  <c r="AQ56" i="3"/>
  <c r="AQ95" i="17" s="1"/>
  <c r="AC221" i="3"/>
  <c r="AC245" i="3" s="1"/>
  <c r="AP214" i="3"/>
  <c r="AP98" i="15"/>
  <c r="AP33" i="17"/>
  <c r="AP95" i="3"/>
  <c r="AP96" i="3" s="1"/>
  <c r="AP25" i="17"/>
  <c r="AP102" i="3"/>
  <c r="AP107" i="3"/>
  <c r="AP98" i="3"/>
  <c r="AQ86" i="17"/>
  <c r="AM325" i="3"/>
  <c r="AM326" i="3"/>
  <c r="AN308" i="3"/>
  <c r="AN307" i="3"/>
  <c r="AO33" i="17"/>
  <c r="AO98" i="3"/>
  <c r="AO214" i="3"/>
  <c r="AO98" i="15"/>
  <c r="AO107" i="3"/>
  <c r="AO25" i="17"/>
  <c r="AO95" i="3"/>
  <c r="AO96" i="3" s="1"/>
  <c r="AO102" i="3"/>
  <c r="AQ59" i="3"/>
  <c r="AU67" i="21"/>
  <c r="AU106" i="21"/>
  <c r="AU93" i="21"/>
  <c r="AU22" i="21"/>
  <c r="AP103" i="17"/>
  <c r="AP99" i="17"/>
  <c r="AP104" i="17"/>
  <c r="AP100" i="17"/>
  <c r="AP102" i="17"/>
  <c r="AP105" i="17"/>
  <c r="AP98" i="17"/>
  <c r="AP101" i="17"/>
  <c r="AW75" i="21"/>
  <c r="AW54" i="21"/>
  <c r="AW21" i="21" s="1"/>
  <c r="AX49" i="21"/>
  <c r="AT81" i="21"/>
  <c r="AT44" i="3"/>
  <c r="AT29" i="21"/>
  <c r="AT28" i="21"/>
  <c r="AP106" i="17"/>
  <c r="AV55" i="21"/>
  <c r="AV24" i="3"/>
  <c r="AV23" i="3" s="1"/>
  <c r="AS43" i="3"/>
  <c r="AS71" i="3"/>
  <c r="AP101" i="3"/>
  <c r="AP109" i="3" s="1"/>
  <c r="AP110" i="3" s="1"/>
  <c r="AP83" i="3"/>
  <c r="AR54" i="3"/>
  <c r="AR94" i="17" s="1"/>
  <c r="AR66" i="3"/>
  <c r="AR70" i="3"/>
  <c r="AO83" i="3"/>
  <c r="AO101" i="3"/>
  <c r="AO109" i="3" s="1"/>
  <c r="AO110" i="3" s="1"/>
  <c r="AU39" i="3"/>
  <c r="AU87" i="3"/>
  <c r="AU90" i="3" s="1"/>
  <c r="AU327" i="3" s="1"/>
  <c r="AU89" i="17"/>
  <c r="AU63" i="3"/>
  <c r="AN326" i="3"/>
  <c r="AN325" i="3"/>
  <c r="AV101" i="21"/>
  <c r="AV25" i="21"/>
  <c r="AV80" i="21"/>
  <c r="AV88" i="21"/>
  <c r="AC204" i="3"/>
  <c r="AC205" i="3" s="1"/>
  <c r="AD202" i="3" s="1"/>
  <c r="AC206" i="3"/>
  <c r="AC143" i="3" s="1"/>
  <c r="AC281" i="3"/>
  <c r="AD138" i="3"/>
  <c r="AD103" i="15"/>
  <c r="AC126" i="3"/>
  <c r="AC128" i="3"/>
  <c r="AC290" i="3"/>
  <c r="AC61" i="15"/>
  <c r="AC62" i="15" s="1"/>
  <c r="AC66" i="15" s="1"/>
  <c r="AC123" i="3"/>
  <c r="AC239" i="3" l="1"/>
  <c r="AQ82" i="3"/>
  <c r="AQ97" i="3"/>
  <c r="AQ102" i="3" s="1"/>
  <c r="AC147" i="3"/>
  <c r="AC149" i="3" s="1"/>
  <c r="AC150" i="3" s="1"/>
  <c r="AC151" i="3" s="1"/>
  <c r="AC75" i="15" s="1"/>
  <c r="AC100" i="15"/>
  <c r="AR56" i="3"/>
  <c r="AR82" i="3" s="1"/>
  <c r="AV89" i="17"/>
  <c r="AV63" i="3"/>
  <c r="AV87" i="3"/>
  <c r="AV90" i="3" s="1"/>
  <c r="AV327" i="3" s="1"/>
  <c r="AV39" i="3"/>
  <c r="AW24" i="3"/>
  <c r="AW23" i="3" s="1"/>
  <c r="AW55" i="21"/>
  <c r="AQ101" i="3"/>
  <c r="AQ109" i="3" s="1"/>
  <c r="AQ110" i="3" s="1"/>
  <c r="AQ83" i="3"/>
  <c r="AT43" i="3"/>
  <c r="AT71" i="3"/>
  <c r="AO32" i="17"/>
  <c r="AO60" i="15"/>
  <c r="AO108" i="3"/>
  <c r="AO308" i="3" s="1"/>
  <c r="AO315" i="3"/>
  <c r="AO317" i="3" s="1"/>
  <c r="AU29" i="21"/>
  <c r="AU81" i="21"/>
  <c r="AU28" i="21"/>
  <c r="AU44" i="3"/>
  <c r="AQ100" i="17"/>
  <c r="AQ105" i="17"/>
  <c r="AQ98" i="17"/>
  <c r="AQ103" i="17"/>
  <c r="AQ102" i="17"/>
  <c r="AQ99" i="17"/>
  <c r="AQ104" i="17"/>
  <c r="AQ101" i="17"/>
  <c r="AW80" i="21"/>
  <c r="AW88" i="21"/>
  <c r="AW101" i="21"/>
  <c r="AW25" i="21"/>
  <c r="AP32" i="17"/>
  <c r="AP108" i="3"/>
  <c r="AP60" i="15"/>
  <c r="AP315" i="3"/>
  <c r="AP317" i="3" s="1"/>
  <c r="AV22" i="21"/>
  <c r="AV93" i="21"/>
  <c r="AV106" i="21"/>
  <c r="AV67" i="21"/>
  <c r="AR86" i="17"/>
  <c r="AS54" i="3"/>
  <c r="AS94" i="17" s="1"/>
  <c r="AS70" i="3"/>
  <c r="AS66" i="3"/>
  <c r="AX75" i="21"/>
  <c r="AY49" i="21"/>
  <c r="AX54" i="21"/>
  <c r="AX21" i="21" s="1"/>
  <c r="AQ107" i="3"/>
  <c r="AQ98" i="15"/>
  <c r="AQ214" i="3"/>
  <c r="AQ33" i="17"/>
  <c r="AO307" i="3"/>
  <c r="AQ106" i="17"/>
  <c r="AD331" i="3"/>
  <c r="AC292" i="3"/>
  <c r="AC337" i="3"/>
  <c r="AC338" i="3" s="1"/>
  <c r="AC332" i="3"/>
  <c r="AC333" i="3" s="1"/>
  <c r="AC284" i="3"/>
  <c r="AC250" i="3"/>
  <c r="AC244" i="3"/>
  <c r="AC133" i="3"/>
  <c r="AC339" i="3"/>
  <c r="AC210" i="3"/>
  <c r="AC213" i="3" s="1"/>
  <c r="AC134" i="3"/>
  <c r="AC132" i="3"/>
  <c r="AC131" i="3"/>
  <c r="AC242" i="3"/>
  <c r="AC255" i="3"/>
  <c r="AD137" i="3"/>
  <c r="AD234" i="3" s="1"/>
  <c r="AQ98" i="3" l="1"/>
  <c r="AQ95" i="3"/>
  <c r="AQ96" i="3" s="1"/>
  <c r="AQ25" i="17"/>
  <c r="AR97" i="3"/>
  <c r="AR102" i="3" s="1"/>
  <c r="AR59" i="3"/>
  <c r="AR83" i="3" s="1"/>
  <c r="AR95" i="17"/>
  <c r="AV81" i="21"/>
  <c r="AV28" i="21"/>
  <c r="AV29" i="21"/>
  <c r="AV44" i="3"/>
  <c r="AY54" i="21"/>
  <c r="AY21" i="21" s="1"/>
  <c r="AY75" i="21"/>
  <c r="AZ49" i="21"/>
  <c r="AR214" i="3"/>
  <c r="AP307" i="3"/>
  <c r="AP308" i="3"/>
  <c r="AS86" i="17"/>
  <c r="AS106" i="17" s="1"/>
  <c r="AW22" i="21"/>
  <c r="AW106" i="21"/>
  <c r="AW67" i="21"/>
  <c r="AW93" i="21"/>
  <c r="AQ60" i="15"/>
  <c r="AQ32" i="17"/>
  <c r="AQ108" i="3"/>
  <c r="AQ315" i="3"/>
  <c r="AQ317" i="3" s="1"/>
  <c r="AS56" i="3"/>
  <c r="AR99" i="17"/>
  <c r="AR105" i="17"/>
  <c r="AR104" i="17"/>
  <c r="AR103" i="17"/>
  <c r="AR100" i="17"/>
  <c r="AR98" i="17"/>
  <c r="AR102" i="17"/>
  <c r="AR101" i="17"/>
  <c r="AP326" i="3"/>
  <c r="AP325" i="3"/>
  <c r="AW89" i="17"/>
  <c r="AW63" i="3"/>
  <c r="AU43" i="3"/>
  <c r="AU71" i="3"/>
  <c r="AO326" i="3"/>
  <c r="AO325" i="3"/>
  <c r="AX101" i="21"/>
  <c r="AX80" i="21"/>
  <c r="AX88" i="21"/>
  <c r="AX25" i="21"/>
  <c r="AX55" i="21"/>
  <c r="AX24" i="3"/>
  <c r="AX23" i="3" s="1"/>
  <c r="AR106" i="17"/>
  <c r="AT54" i="3"/>
  <c r="AT94" i="17" s="1"/>
  <c r="AT70" i="3"/>
  <c r="AT66" i="3"/>
  <c r="AW87" i="3"/>
  <c r="AW90" i="3" s="1"/>
  <c r="AW327" i="3" s="1"/>
  <c r="AW39" i="3"/>
  <c r="AR101" i="3"/>
  <c r="AR109" i="3" s="1"/>
  <c r="AR110" i="3" s="1"/>
  <c r="AC74" i="15"/>
  <c r="AC76" i="15" s="1"/>
  <c r="AC101" i="15"/>
  <c r="AC35" i="17"/>
  <c r="AD232" i="3"/>
  <c r="AD111" i="3"/>
  <c r="AC294" i="3"/>
  <c r="AC296" i="3" s="1"/>
  <c r="AC12" i="17"/>
  <c r="AC13" i="17" s="1"/>
  <c r="AC260" i="3"/>
  <c r="AC298" i="3" s="1"/>
  <c r="AC43" i="17" s="1"/>
  <c r="AC135" i="3"/>
  <c r="AC141" i="3"/>
  <c r="AD240" i="3"/>
  <c r="AC243" i="3"/>
  <c r="AC341" i="3"/>
  <c r="AR98" i="3" l="1"/>
  <c r="AR25" i="17"/>
  <c r="AR98" i="15"/>
  <c r="AR95" i="3"/>
  <c r="AR96" i="3" s="1"/>
  <c r="AR107" i="3"/>
  <c r="AR60" i="15" s="1"/>
  <c r="AR33" i="17"/>
  <c r="AT56" i="3"/>
  <c r="AT82" i="3" s="1"/>
  <c r="AT86" i="17"/>
  <c r="AX89" i="17"/>
  <c r="AX63" i="3"/>
  <c r="AS95" i="17"/>
  <c r="AS82" i="3"/>
  <c r="AS59" i="3"/>
  <c r="AS97" i="3"/>
  <c r="AW44" i="3"/>
  <c r="AW28" i="21"/>
  <c r="AW29" i="21"/>
  <c r="AW81" i="21"/>
  <c r="AR108" i="3"/>
  <c r="AR315" i="3"/>
  <c r="AR317" i="3" s="1"/>
  <c r="AR32" i="17"/>
  <c r="AV43" i="3"/>
  <c r="AV71" i="3"/>
  <c r="AT97" i="3"/>
  <c r="AQ326" i="3"/>
  <c r="AQ325" i="3"/>
  <c r="BA49" i="21"/>
  <c r="AZ75" i="21"/>
  <c r="AZ54" i="21"/>
  <c r="AZ21" i="21" s="1"/>
  <c r="AC286" i="3"/>
  <c r="AC293" i="3" s="1"/>
  <c r="AX87" i="3"/>
  <c r="AX90" i="3" s="1"/>
  <c r="AX327" i="3" s="1"/>
  <c r="AX39" i="3"/>
  <c r="AX93" i="21"/>
  <c r="AX106" i="21"/>
  <c r="AX22" i="21"/>
  <c r="AX67" i="21"/>
  <c r="AY80" i="21"/>
  <c r="AY25" i="21"/>
  <c r="AY101" i="21"/>
  <c r="AY88" i="21"/>
  <c r="AS98" i="17"/>
  <c r="AS104" i="17"/>
  <c r="AS100" i="17"/>
  <c r="AS105" i="17"/>
  <c r="AS103" i="17"/>
  <c r="AS99" i="17"/>
  <c r="AS102" i="17"/>
  <c r="AS101" i="17"/>
  <c r="AU70" i="3"/>
  <c r="AU66" i="3"/>
  <c r="AU54" i="3"/>
  <c r="AU94" i="17" s="1"/>
  <c r="AQ308" i="3"/>
  <c r="AQ307" i="3"/>
  <c r="AY55" i="21"/>
  <c r="AY24" i="3"/>
  <c r="AY23" i="3" s="1"/>
  <c r="AD263" i="3"/>
  <c r="AC14" i="17"/>
  <c r="AC42" i="17"/>
  <c r="AD237" i="3"/>
  <c r="AD279" i="3"/>
  <c r="AC297" i="3"/>
  <c r="AC99" i="15"/>
  <c r="AC78" i="15"/>
  <c r="AT95" i="17" l="1"/>
  <c r="AT59" i="3"/>
  <c r="AT101" i="3" s="1"/>
  <c r="AT109" i="3" s="1"/>
  <c r="AT110" i="3" s="1"/>
  <c r="AU86" i="17"/>
  <c r="AU106" i="17" s="1"/>
  <c r="AY22" i="21"/>
  <c r="AY67" i="21"/>
  <c r="AY106" i="21"/>
  <c r="AY93" i="21"/>
  <c r="AY87" i="3"/>
  <c r="AY90" i="3" s="1"/>
  <c r="AY327" i="3" s="1"/>
  <c r="AY39" i="3"/>
  <c r="AU56" i="3"/>
  <c r="AY89" i="17"/>
  <c r="AY63" i="3"/>
  <c r="AS214" i="3"/>
  <c r="AS98" i="15"/>
  <c r="AS25" i="17"/>
  <c r="AS33" i="17"/>
  <c r="AS102" i="3"/>
  <c r="AS98" i="3"/>
  <c r="AS107" i="3"/>
  <c r="AS95" i="3"/>
  <c r="AS96" i="3" s="1"/>
  <c r="AZ24" i="3"/>
  <c r="AZ23" i="3" s="1"/>
  <c r="AZ55" i="21"/>
  <c r="AS101" i="3"/>
  <c r="AS109" i="3" s="1"/>
  <c r="AS110" i="3" s="1"/>
  <c r="AS83" i="3"/>
  <c r="AZ25" i="21"/>
  <c r="AZ80" i="21"/>
  <c r="AZ88" i="21"/>
  <c r="AZ101" i="21"/>
  <c r="AT33" i="17"/>
  <c r="AT98" i="3"/>
  <c r="AT107" i="3"/>
  <c r="AT95" i="3"/>
  <c r="AT96" i="3" s="1"/>
  <c r="AT98" i="15"/>
  <c r="AT25" i="17"/>
  <c r="AT102" i="3"/>
  <c r="AT214" i="3"/>
  <c r="AT98" i="17"/>
  <c r="AT100" i="17"/>
  <c r="AT104" i="17"/>
  <c r="AT99" i="17"/>
  <c r="AT103" i="17"/>
  <c r="AT102" i="17"/>
  <c r="AT105" i="17"/>
  <c r="AT101" i="17"/>
  <c r="AR326" i="3"/>
  <c r="AR325" i="3"/>
  <c r="AR307" i="3"/>
  <c r="AR308" i="3"/>
  <c r="AX29" i="21"/>
  <c r="AX81" i="21"/>
  <c r="AX44" i="3"/>
  <c r="AX28" i="21"/>
  <c r="BB49" i="21"/>
  <c r="BA54" i="21"/>
  <c r="BA21" i="21" s="1"/>
  <c r="BA75" i="21"/>
  <c r="AV66" i="3"/>
  <c r="AV70" i="3"/>
  <c r="AV54" i="3"/>
  <c r="AV94" i="17" s="1"/>
  <c r="AW71" i="3"/>
  <c r="AW43" i="3"/>
  <c r="AT106" i="17"/>
  <c r="AC81" i="15"/>
  <c r="AC86" i="15" s="1"/>
  <c r="AC79" i="15"/>
  <c r="AC84" i="15" s="1"/>
  <c r="AC80" i="15"/>
  <c r="AC85" i="15" s="1"/>
  <c r="AD10" i="17"/>
  <c r="AD11" i="17" s="1"/>
  <c r="AD295" i="3"/>
  <c r="AD269" i="3"/>
  <c r="AT83" i="3" l="1"/>
  <c r="AV56" i="3"/>
  <c r="AV97" i="3" s="1"/>
  <c r="AW66" i="3"/>
  <c r="AW54" i="3"/>
  <c r="AW94" i="17" s="1"/>
  <c r="AW70" i="3"/>
  <c r="BB54" i="21"/>
  <c r="BB21" i="21" s="1"/>
  <c r="BC49" i="21"/>
  <c r="BB75" i="21"/>
  <c r="AZ63" i="3"/>
  <c r="AZ89" i="17"/>
  <c r="AZ87" i="3"/>
  <c r="AZ90" i="3" s="1"/>
  <c r="AZ327" i="3" s="1"/>
  <c r="AZ39" i="3"/>
  <c r="AY44" i="3"/>
  <c r="AY81" i="21"/>
  <c r="AY29" i="21"/>
  <c r="AY28" i="21"/>
  <c r="AS307" i="3"/>
  <c r="AV86" i="17"/>
  <c r="BA25" i="21"/>
  <c r="BA80" i="21"/>
  <c r="BA88" i="21"/>
  <c r="BA101" i="21"/>
  <c r="AX43" i="3"/>
  <c r="AX71" i="3"/>
  <c r="AT32" i="17"/>
  <c r="AT315" i="3"/>
  <c r="AT317" i="3" s="1"/>
  <c r="AT60" i="15"/>
  <c r="AT108" i="3"/>
  <c r="AS108" i="3"/>
  <c r="AS308" i="3" s="1"/>
  <c r="AS315" i="3"/>
  <c r="AS317" i="3" s="1"/>
  <c r="AS32" i="17"/>
  <c r="AS60" i="15"/>
  <c r="AU99" i="17"/>
  <c r="AU104" i="17"/>
  <c r="AU98" i="17"/>
  <c r="AU100" i="17"/>
  <c r="AU103" i="17"/>
  <c r="AU102" i="17"/>
  <c r="AU105" i="17"/>
  <c r="AU101" i="17"/>
  <c r="BA55" i="21"/>
  <c r="BA24" i="3"/>
  <c r="BA23" i="3" s="1"/>
  <c r="AZ67" i="21"/>
  <c r="AZ93" i="21"/>
  <c r="AZ22" i="21"/>
  <c r="AZ106" i="21"/>
  <c r="AU82" i="3"/>
  <c r="AU97" i="3"/>
  <c r="AU95" i="17"/>
  <c r="AU59" i="3"/>
  <c r="AD16" i="17"/>
  <c r="AD160" i="3" s="1"/>
  <c r="AD161" i="3" s="1"/>
  <c r="AD112" i="3" s="1"/>
  <c r="AD19" i="17"/>
  <c r="AD158" i="3" s="1"/>
  <c r="AD162" i="3" s="1"/>
  <c r="AC87" i="15"/>
  <c r="AV95" i="17" l="1"/>
  <c r="AV59" i="3"/>
  <c r="AV101" i="3" s="1"/>
  <c r="AV109" i="3" s="1"/>
  <c r="AV110" i="3" s="1"/>
  <c r="AV82" i="3"/>
  <c r="AW56" i="3"/>
  <c r="AW82" i="3" s="1"/>
  <c r="AT308" i="3"/>
  <c r="AT307" i="3"/>
  <c r="AZ44" i="3"/>
  <c r="AZ81" i="21"/>
  <c r="AZ29" i="21"/>
  <c r="AZ28" i="21"/>
  <c r="AX70" i="3"/>
  <c r="AX66" i="3"/>
  <c r="AX54" i="3"/>
  <c r="AX94" i="17" s="1"/>
  <c r="BA63" i="3"/>
  <c r="BA89" i="17"/>
  <c r="AY43" i="3"/>
  <c r="AY71" i="3"/>
  <c r="AW95" i="17"/>
  <c r="AU101" i="3"/>
  <c r="AU109" i="3" s="1"/>
  <c r="AU110" i="3" s="1"/>
  <c r="AU83" i="3"/>
  <c r="AU107" i="3"/>
  <c r="AU95" i="3"/>
  <c r="AU96" i="3" s="1"/>
  <c r="AU214" i="3"/>
  <c r="AU102" i="3"/>
  <c r="AU98" i="15"/>
  <c r="AU33" i="17"/>
  <c r="AU98" i="3"/>
  <c r="AU25" i="17"/>
  <c r="AS326" i="3"/>
  <c r="AS325" i="3"/>
  <c r="AT326" i="3"/>
  <c r="AT325" i="3"/>
  <c r="AV98" i="17"/>
  <c r="AV100" i="17"/>
  <c r="AV105" i="17"/>
  <c r="AV99" i="17"/>
  <c r="AV104" i="17"/>
  <c r="AV103" i="17"/>
  <c r="AV102" i="17"/>
  <c r="AV101" i="17"/>
  <c r="BB88" i="21"/>
  <c r="BB101" i="21"/>
  <c r="BB80" i="21"/>
  <c r="BB25" i="21"/>
  <c r="AV106" i="17"/>
  <c r="AV33" i="17"/>
  <c r="AV98" i="3"/>
  <c r="AV25" i="17"/>
  <c r="AV102" i="3"/>
  <c r="AV214" i="3"/>
  <c r="AV107" i="3"/>
  <c r="AV95" i="3"/>
  <c r="AV96" i="3" s="1"/>
  <c r="AV98" i="15"/>
  <c r="BD49" i="21"/>
  <c r="BC54" i="21"/>
  <c r="BC21" i="21" s="1"/>
  <c r="BC75" i="21"/>
  <c r="AW86" i="17"/>
  <c r="BA87" i="3"/>
  <c r="BA90" i="3" s="1"/>
  <c r="BA327" i="3" s="1"/>
  <c r="BA39" i="3"/>
  <c r="BA106" i="21"/>
  <c r="BA67" i="21"/>
  <c r="BA93" i="21"/>
  <c r="BA22" i="21"/>
  <c r="BB24" i="3"/>
  <c r="BB23" i="3" s="1"/>
  <c r="BB55" i="21"/>
  <c r="AD218" i="3"/>
  <c r="AD26" i="17"/>
  <c r="AD27" i="17" s="1"/>
  <c r="AD155" i="3"/>
  <c r="AD113" i="3"/>
  <c r="AW59" i="3" l="1"/>
  <c r="AW101" i="3" s="1"/>
  <c r="AW109" i="3" s="1"/>
  <c r="AW110" i="3" s="1"/>
  <c r="AW97" i="3"/>
  <c r="AW107" i="3" s="1"/>
  <c r="AV83" i="3"/>
  <c r="AV315" i="3"/>
  <c r="AV317" i="3" s="1"/>
  <c r="AV32" i="17"/>
  <c r="AV60" i="15"/>
  <c r="AV108" i="3"/>
  <c r="AW105" i="17"/>
  <c r="AW100" i="17"/>
  <c r="AW103" i="17"/>
  <c r="AW98" i="17"/>
  <c r="AW99" i="17"/>
  <c r="AW102" i="17"/>
  <c r="AW104" i="17"/>
  <c r="AW101" i="17"/>
  <c r="BE49" i="21"/>
  <c r="BD54" i="21"/>
  <c r="BD21" i="21" s="1"/>
  <c r="BD75" i="21"/>
  <c r="AW83" i="3"/>
  <c r="BB87" i="3"/>
  <c r="BB90" i="3" s="1"/>
  <c r="BB327" i="3" s="1"/>
  <c r="BB39" i="3"/>
  <c r="BB93" i="21"/>
  <c r="BB67" i="21"/>
  <c r="BB106" i="21"/>
  <c r="BB22" i="21"/>
  <c r="AW106" i="17"/>
  <c r="AU60" i="15"/>
  <c r="AU32" i="17"/>
  <c r="AU108" i="3"/>
  <c r="AU308" i="3" s="1"/>
  <c r="AU315" i="3"/>
  <c r="AU317" i="3" s="1"/>
  <c r="AY70" i="3"/>
  <c r="AY54" i="3"/>
  <c r="AY94" i="17" s="1"/>
  <c r="AY66" i="3"/>
  <c r="AZ71" i="3"/>
  <c r="AZ43" i="3"/>
  <c r="BA44" i="3"/>
  <c r="BA28" i="21"/>
  <c r="BA81" i="21"/>
  <c r="BA29" i="21"/>
  <c r="BC88" i="21"/>
  <c r="BC80" i="21"/>
  <c r="BC101" i="21"/>
  <c r="BC25" i="21"/>
  <c r="BC63" i="3" s="1"/>
  <c r="BB89" i="17"/>
  <c r="BB63" i="3"/>
  <c r="AW98" i="15"/>
  <c r="AX56" i="3"/>
  <c r="BC24" i="3"/>
  <c r="BC23" i="3" s="1"/>
  <c r="BC55" i="21"/>
  <c r="AX86" i="17"/>
  <c r="AU307" i="3"/>
  <c r="AD39" i="17"/>
  <c r="AD116" i="3"/>
  <c r="AD34" i="17"/>
  <c r="AD41" i="17" s="1"/>
  <c r="AD114" i="3"/>
  <c r="AW98" i="3" l="1"/>
  <c r="AW33" i="17"/>
  <c r="AW102" i="3"/>
  <c r="AW214" i="3"/>
  <c r="AW25" i="17"/>
  <c r="AW95" i="3"/>
  <c r="AW96" i="3" s="1"/>
  <c r="AV307" i="3"/>
  <c r="AV308" i="3"/>
  <c r="BC87" i="3"/>
  <c r="BC90" i="3" s="1"/>
  <c r="BC327" i="3" s="1"/>
  <c r="BC39" i="3"/>
  <c r="BC89" i="17"/>
  <c r="AZ54" i="3"/>
  <c r="AZ94" i="17" s="1"/>
  <c r="AZ66" i="3"/>
  <c r="AZ70" i="3"/>
  <c r="AX102" i="17"/>
  <c r="AX105" i="17"/>
  <c r="AX98" i="17"/>
  <c r="AX100" i="17"/>
  <c r="AX104" i="17"/>
  <c r="AX103" i="17"/>
  <c r="AX99" i="17"/>
  <c r="AX101" i="17"/>
  <c r="AX95" i="17"/>
  <c r="AX59" i="3"/>
  <c r="AX82" i="3"/>
  <c r="AX97" i="3"/>
  <c r="AY56" i="3"/>
  <c r="BD80" i="21"/>
  <c r="BD25" i="21"/>
  <c r="BD88" i="21"/>
  <c r="BD101" i="21"/>
  <c r="AY86" i="17"/>
  <c r="AX106" i="17"/>
  <c r="BC106" i="21"/>
  <c r="BC67" i="21"/>
  <c r="BC93" i="21"/>
  <c r="BC22" i="21"/>
  <c r="AU326" i="3"/>
  <c r="AU325" i="3"/>
  <c r="BD24" i="3"/>
  <c r="BD23" i="3" s="1"/>
  <c r="BD55" i="21"/>
  <c r="AW315" i="3"/>
  <c r="AW317" i="3" s="1"/>
  <c r="AW108" i="3"/>
  <c r="AW60" i="15"/>
  <c r="AW32" i="17"/>
  <c r="BA43" i="3"/>
  <c r="BA71" i="3"/>
  <c r="BB29" i="21"/>
  <c r="BB44" i="3"/>
  <c r="BB81" i="21"/>
  <c r="BB28" i="21"/>
  <c r="BF49" i="21"/>
  <c r="BE54" i="21"/>
  <c r="BE21" i="21" s="1"/>
  <c r="BE75" i="21"/>
  <c r="AV326" i="3"/>
  <c r="AV325" i="3"/>
  <c r="AD40" i="17"/>
  <c r="AD118" i="3"/>
  <c r="AD121" i="3" s="1"/>
  <c r="AD117" i="3"/>
  <c r="AD215" i="3" s="1"/>
  <c r="BE88" i="21" l="1"/>
  <c r="BE101" i="21"/>
  <c r="BE80" i="21"/>
  <c r="BE25" i="21"/>
  <c r="AW326" i="3"/>
  <c r="AW325" i="3"/>
  <c r="AY95" i="17"/>
  <c r="AY59" i="3"/>
  <c r="AY82" i="3"/>
  <c r="AY97" i="3"/>
  <c r="BE24" i="3"/>
  <c r="BE23" i="3" s="1"/>
  <c r="BE55" i="21"/>
  <c r="BB71" i="3"/>
  <c r="BB43" i="3"/>
  <c r="BC44" i="3"/>
  <c r="BC29" i="21"/>
  <c r="BC81" i="21"/>
  <c r="BC28" i="21"/>
  <c r="AX214" i="3"/>
  <c r="AX98" i="15"/>
  <c r="AX95" i="3"/>
  <c r="AX96" i="3" s="1"/>
  <c r="AX25" i="17"/>
  <c r="AX98" i="3"/>
  <c r="AX107" i="3"/>
  <c r="AX102" i="3"/>
  <c r="AX33" i="17"/>
  <c r="AZ56" i="3"/>
  <c r="BA54" i="3"/>
  <c r="BA94" i="17" s="1"/>
  <c r="BA70" i="3"/>
  <c r="BA66" i="3"/>
  <c r="BG49" i="21"/>
  <c r="BF75" i="21"/>
  <c r="BF54" i="21"/>
  <c r="BF21" i="21" s="1"/>
  <c r="BD87" i="3"/>
  <c r="BD90" i="3" s="1"/>
  <c r="BD327" i="3" s="1"/>
  <c r="BD39" i="3"/>
  <c r="AY99" i="17"/>
  <c r="AY105" i="17"/>
  <c r="AY104" i="17"/>
  <c r="AY100" i="17"/>
  <c r="AY103" i="17"/>
  <c r="AY102" i="17"/>
  <c r="AY98" i="17"/>
  <c r="AY101" i="17"/>
  <c r="BD89" i="17"/>
  <c r="BD63" i="3"/>
  <c r="AY106" i="17"/>
  <c r="BD106" i="21"/>
  <c r="BD67" i="21"/>
  <c r="BD22" i="21"/>
  <c r="BD93" i="21"/>
  <c r="AX101" i="3"/>
  <c r="AX109" i="3" s="1"/>
  <c r="AX110" i="3" s="1"/>
  <c r="AX83" i="3"/>
  <c r="AW307" i="3"/>
  <c r="AW308" i="3"/>
  <c r="AZ86" i="17"/>
  <c r="AD127" i="3"/>
  <c r="AD123" i="3" s="1"/>
  <c r="AD122" i="3"/>
  <c r="AD216" i="3"/>
  <c r="AD61" i="15" s="1"/>
  <c r="AD62" i="15" s="1"/>
  <c r="AD66" i="15" s="1"/>
  <c r="AE139" i="3" l="1"/>
  <c r="AE138" i="3" s="1"/>
  <c r="AE137" i="3" s="1"/>
  <c r="AE234" i="3" s="1"/>
  <c r="BD29" i="21"/>
  <c r="BD28" i="21"/>
  <c r="BD44" i="3"/>
  <c r="BD81" i="21"/>
  <c r="BG54" i="21"/>
  <c r="BG21" i="21" s="1"/>
  <c r="BH49" i="21"/>
  <c r="BG75" i="21"/>
  <c r="BA86" i="17"/>
  <c r="BA106" i="17" s="1"/>
  <c r="AX32" i="17"/>
  <c r="AX315" i="3"/>
  <c r="AX317" i="3" s="1"/>
  <c r="AX108" i="3"/>
  <c r="AX60" i="15"/>
  <c r="AY101" i="3"/>
  <c r="AY109" i="3" s="1"/>
  <c r="AY110" i="3" s="1"/>
  <c r="AY83" i="3"/>
  <c r="BE89" i="17"/>
  <c r="BE63" i="3"/>
  <c r="AZ100" i="17"/>
  <c r="AZ105" i="17"/>
  <c r="AZ103" i="17"/>
  <c r="AZ99" i="17"/>
  <c r="AZ102" i="17"/>
  <c r="AZ104" i="17"/>
  <c r="AZ98" i="17"/>
  <c r="AZ101" i="17"/>
  <c r="BA56" i="3"/>
  <c r="AZ82" i="3"/>
  <c r="AZ59" i="3"/>
  <c r="AZ97" i="3"/>
  <c r="AZ95" i="17"/>
  <c r="BC43" i="3"/>
  <c r="BC71" i="3"/>
  <c r="BE87" i="3"/>
  <c r="BE90" i="3" s="1"/>
  <c r="BE327" i="3" s="1"/>
  <c r="BE39" i="3"/>
  <c r="BE67" i="21"/>
  <c r="BE22" i="21"/>
  <c r="BE106" i="21"/>
  <c r="BE93" i="21"/>
  <c r="AX307" i="3"/>
  <c r="AX308" i="3"/>
  <c r="AZ106" i="17"/>
  <c r="BF55" i="21"/>
  <c r="BF24" i="3"/>
  <c r="BF23" i="3" s="1"/>
  <c r="BB70" i="3"/>
  <c r="BB54" i="3"/>
  <c r="BB94" i="17" s="1"/>
  <c r="BB66" i="3"/>
  <c r="AY214" i="3"/>
  <c r="AY95" i="3"/>
  <c r="AY96" i="3" s="1"/>
  <c r="AY33" i="17"/>
  <c r="AY98" i="3"/>
  <c r="AY107" i="3"/>
  <c r="AY98" i="15"/>
  <c r="AY25" i="17"/>
  <c r="AY102" i="3"/>
  <c r="BF80" i="21"/>
  <c r="BF25" i="21"/>
  <c r="BF88" i="21"/>
  <c r="BF101" i="21"/>
  <c r="AD204" i="3"/>
  <c r="AD205" i="3" s="1"/>
  <c r="AE202" i="3" s="1"/>
  <c r="AD206" i="3"/>
  <c r="AD143" i="3" s="1"/>
  <c r="AD281" i="3"/>
  <c r="AD221" i="3"/>
  <c r="AD128" i="3"/>
  <c r="AD126" i="3"/>
  <c r="AD290" i="3"/>
  <c r="AE103" i="15" l="1"/>
  <c r="BB86" i="17"/>
  <c r="BB106" i="17" s="1"/>
  <c r="AY315" i="3"/>
  <c r="AY317" i="3" s="1"/>
  <c r="AY60" i="15"/>
  <c r="AY32" i="17"/>
  <c r="AY108" i="3"/>
  <c r="AY308" i="3" s="1"/>
  <c r="AY307" i="3"/>
  <c r="BE81" i="21"/>
  <c r="BE29" i="21"/>
  <c r="BE28" i="21"/>
  <c r="BE44" i="3"/>
  <c r="AZ101" i="3"/>
  <c r="AZ109" i="3" s="1"/>
  <c r="AZ110" i="3" s="1"/>
  <c r="AZ83" i="3"/>
  <c r="BF63" i="3"/>
  <c r="BF89" i="17"/>
  <c r="BB56" i="3"/>
  <c r="BF39" i="3"/>
  <c r="BF87" i="3"/>
  <c r="BF90" i="3" s="1"/>
  <c r="BF327" i="3" s="1"/>
  <c r="BC54" i="3"/>
  <c r="BC94" i="17" s="1"/>
  <c r="BC66" i="3"/>
  <c r="BC70" i="3"/>
  <c r="AX325" i="3"/>
  <c r="AX326" i="3"/>
  <c r="BG25" i="21"/>
  <c r="BG88" i="21"/>
  <c r="BG80" i="21"/>
  <c r="BG101" i="21"/>
  <c r="BD71" i="3"/>
  <c r="BD43" i="3"/>
  <c r="BF67" i="21"/>
  <c r="BF22" i="21"/>
  <c r="BF93" i="21"/>
  <c r="BF106" i="21"/>
  <c r="BA97" i="3"/>
  <c r="BA82" i="3"/>
  <c r="BA95" i="17"/>
  <c r="BA59" i="3"/>
  <c r="BI49" i="21"/>
  <c r="BH75" i="21"/>
  <c r="BH54" i="21"/>
  <c r="BH21" i="21" s="1"/>
  <c r="AZ33" i="17"/>
  <c r="AZ95" i="3"/>
  <c r="AZ96" i="3" s="1"/>
  <c r="AZ214" i="3"/>
  <c r="AZ98" i="3"/>
  <c r="AZ107" i="3"/>
  <c r="AZ98" i="15"/>
  <c r="AZ25" i="17"/>
  <c r="AZ102" i="3"/>
  <c r="BA102" i="17"/>
  <c r="BA98" i="17"/>
  <c r="BA105" i="17"/>
  <c r="BA103" i="17"/>
  <c r="BA99" i="17"/>
  <c r="BA104" i="17"/>
  <c r="BA100" i="17"/>
  <c r="BA101" i="17"/>
  <c r="BG24" i="3"/>
  <c r="BG23" i="3" s="1"/>
  <c r="BG55" i="21"/>
  <c r="AE331" i="3"/>
  <c r="AD337" i="3"/>
  <c r="AD338" i="3" s="1"/>
  <c r="AD332" i="3"/>
  <c r="AD333" i="3" s="1"/>
  <c r="AD292" i="3"/>
  <c r="AD239" i="3"/>
  <c r="AD245" i="3"/>
  <c r="AD147" i="3"/>
  <c r="AD149" i="3" s="1"/>
  <c r="AD150" i="3" s="1"/>
  <c r="AD151" i="3" s="1"/>
  <c r="AD75" i="15" s="1"/>
  <c r="AD100" i="15"/>
  <c r="AD339" i="3"/>
  <c r="AD134" i="3"/>
  <c r="AD210" i="3"/>
  <c r="AD213" i="3" s="1"/>
  <c r="AD133" i="3"/>
  <c r="AD131" i="3"/>
  <c r="AD132" i="3"/>
  <c r="AD284" i="3"/>
  <c r="AD341" i="3" l="1"/>
  <c r="BC56" i="3"/>
  <c r="BC59" i="3" s="1"/>
  <c r="BH55" i="21"/>
  <c r="BH24" i="3"/>
  <c r="BH23" i="3" s="1"/>
  <c r="BG63" i="3"/>
  <c r="BG89" i="17"/>
  <c r="BE43" i="3"/>
  <c r="BE71" i="3"/>
  <c r="AZ108" i="3"/>
  <c r="AZ308" i="3" s="1"/>
  <c r="AZ32" i="17"/>
  <c r="AZ315" i="3"/>
  <c r="AZ317" i="3" s="1"/>
  <c r="AZ60" i="15"/>
  <c r="BH80" i="21"/>
  <c r="BH25" i="21"/>
  <c r="BH88" i="21"/>
  <c r="BH101" i="21"/>
  <c r="BF44" i="3"/>
  <c r="BF81" i="21"/>
  <c r="BF29" i="21"/>
  <c r="BF28" i="21"/>
  <c r="BB59" i="3"/>
  <c r="BB97" i="3"/>
  <c r="BB82" i="3"/>
  <c r="BB95" i="17"/>
  <c r="AZ307" i="3"/>
  <c r="AY325" i="3"/>
  <c r="AY326" i="3"/>
  <c r="BA101" i="3"/>
  <c r="BA109" i="3" s="1"/>
  <c r="BA110" i="3" s="1"/>
  <c r="BA83" i="3"/>
  <c r="BI75" i="21"/>
  <c r="BI54" i="21"/>
  <c r="BI21" i="21" s="1"/>
  <c r="BJ49" i="21"/>
  <c r="BA33" i="17"/>
  <c r="BA98" i="3"/>
  <c r="BA25" i="17"/>
  <c r="BA102" i="3"/>
  <c r="BA107" i="3"/>
  <c r="BA98" i="15"/>
  <c r="BA214" i="3"/>
  <c r="BA95" i="3"/>
  <c r="BA96" i="3" s="1"/>
  <c r="BG22" i="21"/>
  <c r="BG67" i="21"/>
  <c r="BG93" i="21"/>
  <c r="BG106" i="21"/>
  <c r="BC86" i="17"/>
  <c r="BC106" i="17" s="1"/>
  <c r="BB102" i="17"/>
  <c r="BB100" i="17"/>
  <c r="BB103" i="17"/>
  <c r="BB105" i="17"/>
  <c r="BB98" i="17"/>
  <c r="BB99" i="17"/>
  <c r="BB104" i="17"/>
  <c r="BB101" i="17"/>
  <c r="BG87" i="3"/>
  <c r="BG90" i="3" s="1"/>
  <c r="BG327" i="3" s="1"/>
  <c r="BG39" i="3"/>
  <c r="BD54" i="3"/>
  <c r="BD94" i="17" s="1"/>
  <c r="BD66" i="3"/>
  <c r="BD70" i="3"/>
  <c r="AD242" i="3"/>
  <c r="AD255" i="3"/>
  <c r="AD250" i="3"/>
  <c r="AD244" i="3"/>
  <c r="AD35" i="17"/>
  <c r="AD135" i="3"/>
  <c r="AD141" i="3"/>
  <c r="BC82" i="3" l="1"/>
  <c r="BC97" i="3"/>
  <c r="BC98" i="3" s="1"/>
  <c r="BC95" i="17"/>
  <c r="BG81" i="21"/>
  <c r="BG29" i="21"/>
  <c r="BG44" i="3"/>
  <c r="BG28" i="21"/>
  <c r="BA60" i="15"/>
  <c r="BA108" i="3"/>
  <c r="BA308" i="3" s="1"/>
  <c r="BA32" i="17"/>
  <c r="BA315" i="3"/>
  <c r="BA317" i="3" s="1"/>
  <c r="BA307" i="3"/>
  <c r="BB214" i="3"/>
  <c r="BB98" i="3"/>
  <c r="BB98" i="15"/>
  <c r="BB33" i="17"/>
  <c r="BB102" i="3"/>
  <c r="BB25" i="17"/>
  <c r="BB95" i="3"/>
  <c r="BB96" i="3" s="1"/>
  <c r="BB107" i="3"/>
  <c r="BH89" i="17"/>
  <c r="BH63" i="3"/>
  <c r="BC104" i="17"/>
  <c r="BC100" i="17"/>
  <c r="BC98" i="17"/>
  <c r="BC105" i="17"/>
  <c r="BC103" i="17"/>
  <c r="BC102" i="17"/>
  <c r="BC99" i="17"/>
  <c r="BC101" i="17"/>
  <c r="BC83" i="3"/>
  <c r="BC101" i="3"/>
  <c r="BC109" i="3" s="1"/>
  <c r="BC110" i="3" s="1"/>
  <c r="BD86" i="17"/>
  <c r="BD106" i="17" s="1"/>
  <c r="BK49" i="21"/>
  <c r="BJ75" i="21"/>
  <c r="BJ54" i="21"/>
  <c r="BJ21" i="21" s="1"/>
  <c r="BB83" i="3"/>
  <c r="BB101" i="3"/>
  <c r="BB109" i="3" s="1"/>
  <c r="BB110" i="3" s="1"/>
  <c r="BF43" i="3"/>
  <c r="BF71" i="3"/>
  <c r="BH106" i="21"/>
  <c r="BH93" i="21"/>
  <c r="BH67" i="21"/>
  <c r="BH22" i="21"/>
  <c r="BD56" i="3"/>
  <c r="BI24" i="3"/>
  <c r="BI23" i="3" s="1"/>
  <c r="BI55" i="21"/>
  <c r="BH87" i="3"/>
  <c r="BH90" i="3" s="1"/>
  <c r="BH327" i="3" s="1"/>
  <c r="BH39" i="3"/>
  <c r="BI88" i="21"/>
  <c r="BI101" i="21"/>
  <c r="BI80" i="21"/>
  <c r="BI25" i="21"/>
  <c r="AZ326" i="3"/>
  <c r="AZ325" i="3"/>
  <c r="BE70" i="3"/>
  <c r="BE54" i="3"/>
  <c r="BE94" i="17" s="1"/>
  <c r="BE66" i="3"/>
  <c r="AE232" i="3"/>
  <c r="AE111" i="3"/>
  <c r="AD294" i="3"/>
  <c r="AD296" i="3" s="1"/>
  <c r="AD12" i="17"/>
  <c r="AD13" i="17" s="1"/>
  <c r="AD260" i="3"/>
  <c r="AD74" i="15"/>
  <c r="AD76" i="15" s="1"/>
  <c r="AD101" i="15"/>
  <c r="AE240" i="3"/>
  <c r="AD243" i="3"/>
  <c r="BC107" i="3" l="1"/>
  <c r="BC98" i="15"/>
  <c r="BC95" i="3"/>
  <c r="BC96" i="3" s="1"/>
  <c r="BC214" i="3"/>
  <c r="BC102" i="3"/>
  <c r="BC25" i="17"/>
  <c r="BC33" i="17"/>
  <c r="BE56" i="3"/>
  <c r="BF54" i="3"/>
  <c r="BF94" i="17" s="1"/>
  <c r="BF66" i="3"/>
  <c r="BF70" i="3"/>
  <c r="BJ25" i="21"/>
  <c r="BJ80" i="21"/>
  <c r="BJ101" i="21"/>
  <c r="BJ88" i="21"/>
  <c r="BA325" i="3"/>
  <c r="BA326" i="3"/>
  <c r="BI39" i="3"/>
  <c r="BI87" i="3"/>
  <c r="BI90" i="3" s="1"/>
  <c r="BI327" i="3" s="1"/>
  <c r="BC108" i="3"/>
  <c r="BC315" i="3"/>
  <c r="BC317" i="3" s="1"/>
  <c r="BC32" i="17"/>
  <c r="BC60" i="15"/>
  <c r="BK75" i="21"/>
  <c r="BK54" i="21"/>
  <c r="BK21" i="21" s="1"/>
  <c r="BL49" i="21"/>
  <c r="BG71" i="3"/>
  <c r="BG43" i="3"/>
  <c r="BE86" i="17"/>
  <c r="BE106" i="17" s="1"/>
  <c r="BI63" i="3"/>
  <c r="BI89" i="17"/>
  <c r="BD95" i="17"/>
  <c r="BD59" i="3"/>
  <c r="BD82" i="3"/>
  <c r="BD97" i="3"/>
  <c r="BD103" i="17"/>
  <c r="BD99" i="17"/>
  <c r="BD104" i="17"/>
  <c r="BD100" i="17"/>
  <c r="BD102" i="17"/>
  <c r="BD98" i="17"/>
  <c r="BD105" i="17"/>
  <c r="BD101" i="17"/>
  <c r="BB108" i="3"/>
  <c r="BB308" i="3" s="1"/>
  <c r="BB315" i="3"/>
  <c r="BB317" i="3" s="1"/>
  <c r="BB32" i="17"/>
  <c r="BB60" i="15"/>
  <c r="BI106" i="21"/>
  <c r="BI22" i="21"/>
  <c r="BI67" i="21"/>
  <c r="BI93" i="21"/>
  <c r="BH29" i="21"/>
  <c r="BH44" i="3"/>
  <c r="BH81" i="21"/>
  <c r="BH28" i="21"/>
  <c r="BJ24" i="3"/>
  <c r="BJ23" i="3" s="1"/>
  <c r="BJ55" i="21"/>
  <c r="BB307" i="3"/>
  <c r="AE237" i="3"/>
  <c r="AE279" i="3"/>
  <c r="AD297" i="3"/>
  <c r="AD99" i="15"/>
  <c r="AD78" i="15"/>
  <c r="AE263" i="3"/>
  <c r="AD14" i="17"/>
  <c r="AD42" i="17"/>
  <c r="AD298" i="3"/>
  <c r="AD43" i="17" s="1"/>
  <c r="AD286" i="3"/>
  <c r="AD293" i="3" s="1"/>
  <c r="BF56" i="3" l="1"/>
  <c r="BF95" i="17" s="1"/>
  <c r="BC308" i="3"/>
  <c r="BC307" i="3"/>
  <c r="BJ87" i="3"/>
  <c r="BJ90" i="3" s="1"/>
  <c r="BJ327" i="3" s="1"/>
  <c r="BJ39" i="3"/>
  <c r="BD98" i="3"/>
  <c r="BD33" i="17"/>
  <c r="BD95" i="3"/>
  <c r="BD96" i="3" s="1"/>
  <c r="BD107" i="3"/>
  <c r="BD98" i="15"/>
  <c r="BD214" i="3"/>
  <c r="BD102" i="3"/>
  <c r="BD25" i="17"/>
  <c r="BG54" i="3"/>
  <c r="BG94" i="17" s="1"/>
  <c r="BG66" i="3"/>
  <c r="BG70" i="3"/>
  <c r="BL75" i="21"/>
  <c r="BL54" i="21"/>
  <c r="BL21" i="21" s="1"/>
  <c r="BM49" i="21"/>
  <c r="BK24" i="3"/>
  <c r="BK23" i="3" s="1"/>
  <c r="BK55" i="21"/>
  <c r="BC325" i="3"/>
  <c r="BC326" i="3"/>
  <c r="BJ93" i="21"/>
  <c r="BJ106" i="21"/>
  <c r="BJ67" i="21"/>
  <c r="BJ22" i="21"/>
  <c r="BF82" i="3"/>
  <c r="BH43" i="3"/>
  <c r="BH71" i="3"/>
  <c r="BI81" i="21"/>
  <c r="BI29" i="21"/>
  <c r="BI44" i="3"/>
  <c r="BI28" i="21"/>
  <c r="BB325" i="3"/>
  <c r="BB326" i="3"/>
  <c r="BD101" i="3"/>
  <c r="BD109" i="3" s="1"/>
  <c r="BD110" i="3" s="1"/>
  <c r="BD83" i="3"/>
  <c r="BE98" i="17"/>
  <c r="BE100" i="17"/>
  <c r="BE99" i="17"/>
  <c r="BE104" i="17"/>
  <c r="BE105" i="17"/>
  <c r="BE103" i="17"/>
  <c r="BE102" i="17"/>
  <c r="BE101" i="17"/>
  <c r="BK101" i="21"/>
  <c r="BK25" i="21"/>
  <c r="BK80" i="21"/>
  <c r="BK88" i="21"/>
  <c r="BJ89" i="17"/>
  <c r="BJ63" i="3"/>
  <c r="BF86" i="17"/>
  <c r="BE59" i="3"/>
  <c r="BE97" i="3"/>
  <c r="BE82" i="3"/>
  <c r="BE95" i="17"/>
  <c r="AE269" i="3"/>
  <c r="AD79" i="15"/>
  <c r="AD84" i="15" s="1"/>
  <c r="AD80" i="15"/>
  <c r="AD85" i="15" s="1"/>
  <c r="AD81" i="15"/>
  <c r="AD86" i="15" s="1"/>
  <c r="AE10" i="17"/>
  <c r="AE11" i="17" s="1"/>
  <c r="AE295" i="3"/>
  <c r="BF59" i="3" l="1"/>
  <c r="BF83" i="3" s="1"/>
  <c r="BF97" i="3"/>
  <c r="BF98" i="15" s="1"/>
  <c r="BE83" i="3"/>
  <c r="BE101" i="3"/>
  <c r="BE109" i="3" s="1"/>
  <c r="BE110" i="3" s="1"/>
  <c r="BL55" i="21"/>
  <c r="BL24" i="3"/>
  <c r="BL23" i="3" s="1"/>
  <c r="BG56" i="3"/>
  <c r="BD32" i="17"/>
  <c r="BD315" i="3"/>
  <c r="BD317" i="3" s="1"/>
  <c r="BD60" i="15"/>
  <c r="BD108" i="3"/>
  <c r="BK63" i="3"/>
  <c r="BK89" i="17"/>
  <c r="BF102" i="17"/>
  <c r="BF104" i="17"/>
  <c r="BF103" i="17"/>
  <c r="BF98" i="17"/>
  <c r="BF99" i="17"/>
  <c r="BF105" i="17"/>
  <c r="BF100" i="17"/>
  <c r="BF101" i="17"/>
  <c r="BL80" i="21"/>
  <c r="BL25" i="21"/>
  <c r="BL88" i="21"/>
  <c r="BL101" i="21"/>
  <c r="BG86" i="17"/>
  <c r="BE98" i="15"/>
  <c r="BE214" i="3"/>
  <c r="BE95" i="3"/>
  <c r="BE96" i="3" s="1"/>
  <c r="BE107" i="3"/>
  <c r="BE25" i="17"/>
  <c r="BE102" i="3"/>
  <c r="BE33" i="17"/>
  <c r="BE98" i="3"/>
  <c r="BF106" i="17"/>
  <c r="BK93" i="21"/>
  <c r="BK22" i="21"/>
  <c r="BK106" i="21"/>
  <c r="BK67" i="21"/>
  <c r="BI43" i="3"/>
  <c r="BI71" i="3"/>
  <c r="BH54" i="3"/>
  <c r="BH94" i="17" s="1"/>
  <c r="BH86" i="17" s="1"/>
  <c r="BH66" i="3"/>
  <c r="BH70" i="3"/>
  <c r="BF101" i="3"/>
  <c r="BF109" i="3" s="1"/>
  <c r="BF110" i="3" s="1"/>
  <c r="BK87" i="3"/>
  <c r="BK90" i="3" s="1"/>
  <c r="BK327" i="3" s="1"/>
  <c r="BK39" i="3"/>
  <c r="BF95" i="3"/>
  <c r="BF96" i="3" s="1"/>
  <c r="BJ29" i="21"/>
  <c r="BJ81" i="21"/>
  <c r="BJ28" i="21"/>
  <c r="BJ44" i="3"/>
  <c r="BM54" i="21"/>
  <c r="BM21" i="21" s="1"/>
  <c r="BN49" i="21"/>
  <c r="BM75" i="21"/>
  <c r="BD308" i="3"/>
  <c r="BD307" i="3"/>
  <c r="AE16" i="17"/>
  <c r="AE160" i="3" s="1"/>
  <c r="AE161" i="3" s="1"/>
  <c r="AE112" i="3" s="1"/>
  <c r="AE19" i="17"/>
  <c r="AE158" i="3" s="1"/>
  <c r="AE162" i="3" s="1"/>
  <c r="AD87" i="15"/>
  <c r="BF25" i="17" l="1"/>
  <c r="BF98" i="3"/>
  <c r="BF107" i="3"/>
  <c r="BF315" i="3" s="1"/>
  <c r="BF317" i="3" s="1"/>
  <c r="BF102" i="3"/>
  <c r="BF214" i="3"/>
  <c r="BF33" i="17"/>
  <c r="BO49" i="21"/>
  <c r="BN75" i="21"/>
  <c r="BN54" i="21"/>
  <c r="BN21" i="21" s="1"/>
  <c r="BM24" i="3"/>
  <c r="BM23" i="3" s="1"/>
  <c r="BM55" i="21"/>
  <c r="BH106" i="17"/>
  <c r="BH99" i="17"/>
  <c r="BH100" i="17"/>
  <c r="BH104" i="17"/>
  <c r="BH102" i="17"/>
  <c r="BH103" i="17"/>
  <c r="BH98" i="17"/>
  <c r="BH105" i="17"/>
  <c r="BH101" i="17"/>
  <c r="BE60" i="15"/>
  <c r="BE108" i="3"/>
  <c r="BE308" i="3" s="1"/>
  <c r="BE315" i="3"/>
  <c r="BE317" i="3" s="1"/>
  <c r="BE32" i="17"/>
  <c r="BG102" i="17"/>
  <c r="BG98" i="17"/>
  <c r="BG99" i="17"/>
  <c r="BG105" i="17"/>
  <c r="BG104" i="17"/>
  <c r="BG103" i="17"/>
  <c r="BG100" i="17"/>
  <c r="BG101" i="17"/>
  <c r="BL89" i="17"/>
  <c r="BL63" i="3"/>
  <c r="BG95" i="17"/>
  <c r="BG59" i="3"/>
  <c r="BG82" i="3"/>
  <c r="BG97" i="3"/>
  <c r="BE307" i="3"/>
  <c r="BJ71" i="3"/>
  <c r="BJ43" i="3"/>
  <c r="BH56" i="3"/>
  <c r="BK28" i="21"/>
  <c r="BK44" i="3"/>
  <c r="BK81" i="21"/>
  <c r="BK29" i="21"/>
  <c r="BG106" i="17"/>
  <c r="BL67" i="21"/>
  <c r="BL93" i="21"/>
  <c r="BL22" i="21"/>
  <c r="BL106" i="21"/>
  <c r="BL87" i="3"/>
  <c r="BL90" i="3" s="1"/>
  <c r="BL327" i="3" s="1"/>
  <c r="BL39" i="3"/>
  <c r="BM88" i="21"/>
  <c r="BM25" i="21"/>
  <c r="BM80" i="21"/>
  <c r="BM101" i="21"/>
  <c r="BI54" i="3"/>
  <c r="BI94" i="17" s="1"/>
  <c r="BI66" i="3"/>
  <c r="BI70" i="3"/>
  <c r="BD325" i="3"/>
  <c r="BD326" i="3"/>
  <c r="AE218" i="3"/>
  <c r="AE26" i="17"/>
  <c r="AE27" i="17" s="1"/>
  <c r="AE155" i="3"/>
  <c r="AE113" i="3"/>
  <c r="BF60" i="15" l="1"/>
  <c r="BF32" i="17"/>
  <c r="BF108" i="3"/>
  <c r="BF308" i="3" s="1"/>
  <c r="BI56" i="3"/>
  <c r="BJ70" i="3"/>
  <c r="BJ66" i="3"/>
  <c r="BJ54" i="3"/>
  <c r="BJ94" i="17" s="1"/>
  <c r="BG214" i="3"/>
  <c r="BG102" i="3"/>
  <c r="BG98" i="3"/>
  <c r="BG107" i="3"/>
  <c r="BG33" i="17"/>
  <c r="BG25" i="17"/>
  <c r="BG98" i="15"/>
  <c r="BG95" i="3"/>
  <c r="BG96" i="3" s="1"/>
  <c r="BF325" i="3"/>
  <c r="BF326" i="3"/>
  <c r="BM87" i="3"/>
  <c r="BM90" i="3" s="1"/>
  <c r="BM327" i="3" s="1"/>
  <c r="BM39" i="3"/>
  <c r="BH59" i="3"/>
  <c r="BH95" i="17"/>
  <c r="BH82" i="3"/>
  <c r="BH97" i="3"/>
  <c r="BM106" i="21"/>
  <c r="BM67" i="21"/>
  <c r="BM93" i="21"/>
  <c r="BM22" i="21"/>
  <c r="BK71" i="3"/>
  <c r="BK43" i="3"/>
  <c r="BN24" i="3"/>
  <c r="BN23" i="3" s="1"/>
  <c r="BN55" i="21"/>
  <c r="BL81" i="21"/>
  <c r="BL28" i="21"/>
  <c r="BL44" i="3"/>
  <c r="BL29" i="21"/>
  <c r="BM63" i="3"/>
  <c r="BM89" i="17"/>
  <c r="BG83" i="3"/>
  <c r="BG101" i="3"/>
  <c r="BG109" i="3" s="1"/>
  <c r="BG110" i="3" s="1"/>
  <c r="BN25" i="21"/>
  <c r="BN88" i="21"/>
  <c r="BN101" i="21"/>
  <c r="BN80" i="21"/>
  <c r="BI86" i="17"/>
  <c r="BI106" i="17" s="1"/>
  <c r="BF307" i="3"/>
  <c r="BE326" i="3"/>
  <c r="BE325" i="3"/>
  <c r="BO54" i="21"/>
  <c r="BO21" i="21" s="1"/>
  <c r="BO75" i="21"/>
  <c r="BP49" i="21"/>
  <c r="AE39" i="17"/>
  <c r="AE116" i="3"/>
  <c r="AE34" i="17"/>
  <c r="AE41" i="17" s="1"/>
  <c r="AE114" i="3"/>
  <c r="BP54" i="21" l="1"/>
  <c r="BP21" i="21" s="1"/>
  <c r="BQ49" i="21"/>
  <c r="BP75" i="21"/>
  <c r="BN89" i="17"/>
  <c r="BN63" i="3"/>
  <c r="BI104" i="17"/>
  <c r="BI102" i="17"/>
  <c r="BI103" i="17"/>
  <c r="BI100" i="17"/>
  <c r="BI98" i="17"/>
  <c r="BI99" i="17"/>
  <c r="BI105" i="17"/>
  <c r="BI101" i="17"/>
  <c r="BH33" i="17"/>
  <c r="BH98" i="15"/>
  <c r="BH25" i="17"/>
  <c r="BH107" i="3"/>
  <c r="BH95" i="3"/>
  <c r="BH96" i="3" s="1"/>
  <c r="BH102" i="3"/>
  <c r="BH214" i="3"/>
  <c r="BH98" i="3"/>
  <c r="BO101" i="21"/>
  <c r="BO88" i="21"/>
  <c r="BO80" i="21"/>
  <c r="BO25" i="21"/>
  <c r="BN67" i="21"/>
  <c r="BN93" i="21"/>
  <c r="BN106" i="21"/>
  <c r="BN22" i="21"/>
  <c r="BK70" i="3"/>
  <c r="BK66" i="3"/>
  <c r="BK54" i="3"/>
  <c r="BK94" i="17" s="1"/>
  <c r="BJ56" i="3"/>
  <c r="BM81" i="21"/>
  <c r="BM44" i="3"/>
  <c r="BM29" i="21"/>
  <c r="BM28" i="21"/>
  <c r="BO24" i="3"/>
  <c r="BO23" i="3" s="1"/>
  <c r="BO55" i="21"/>
  <c r="BG307" i="3"/>
  <c r="BL71" i="3"/>
  <c r="BL43" i="3"/>
  <c r="BN39" i="3"/>
  <c r="BN87" i="3"/>
  <c r="BN90" i="3" s="1"/>
  <c r="BN327" i="3" s="1"/>
  <c r="BH101" i="3"/>
  <c r="BH109" i="3" s="1"/>
  <c r="BH110" i="3" s="1"/>
  <c r="BH83" i="3"/>
  <c r="BG32" i="17"/>
  <c r="BG108" i="3"/>
  <c r="BG308" i="3" s="1"/>
  <c r="BG315" i="3"/>
  <c r="BG317" i="3" s="1"/>
  <c r="BG60" i="15"/>
  <c r="BJ86" i="17"/>
  <c r="BJ106" i="17" s="1"/>
  <c r="BI82" i="3"/>
  <c r="BI95" i="17"/>
  <c r="BI97" i="3"/>
  <c r="BI59" i="3"/>
  <c r="AE117" i="3"/>
  <c r="AE215" i="3" s="1"/>
  <c r="AE40" i="17"/>
  <c r="AE118" i="3"/>
  <c r="AE122" i="3" s="1"/>
  <c r="BK56" i="3" l="1"/>
  <c r="BK97" i="3" s="1"/>
  <c r="BG325" i="3"/>
  <c r="BG326" i="3"/>
  <c r="BI101" i="3"/>
  <c r="BI109" i="3" s="1"/>
  <c r="BI110" i="3" s="1"/>
  <c r="BI83" i="3"/>
  <c r="BJ105" i="17"/>
  <c r="BJ102" i="17"/>
  <c r="BJ104" i="17"/>
  <c r="BJ98" i="17"/>
  <c r="BJ103" i="17"/>
  <c r="BJ100" i="17"/>
  <c r="BJ99" i="17"/>
  <c r="BJ101" i="17"/>
  <c r="BJ95" i="17"/>
  <c r="BJ97" i="3"/>
  <c r="BJ59" i="3"/>
  <c r="BJ82" i="3"/>
  <c r="BR49" i="21"/>
  <c r="BQ75" i="21"/>
  <c r="BQ54" i="21"/>
  <c r="BQ21" i="21" s="1"/>
  <c r="BI98" i="3"/>
  <c r="BI214" i="3"/>
  <c r="BI102" i="3"/>
  <c r="BI107" i="3"/>
  <c r="BI25" i="17"/>
  <c r="BI95" i="3"/>
  <c r="BI96" i="3" s="1"/>
  <c r="BI98" i="15"/>
  <c r="BI33" i="17"/>
  <c r="BH307" i="3"/>
  <c r="BK82" i="3"/>
  <c r="BN28" i="21"/>
  <c r="BN29" i="21"/>
  <c r="BN81" i="21"/>
  <c r="BN44" i="3"/>
  <c r="BO63" i="3"/>
  <c r="BO89" i="17"/>
  <c r="BH315" i="3"/>
  <c r="BH317" i="3" s="1"/>
  <c r="BH108" i="3"/>
  <c r="BH308" i="3" s="1"/>
  <c r="BH32" i="17"/>
  <c r="BH60" i="15"/>
  <c r="BP24" i="3"/>
  <c r="BP23" i="3" s="1"/>
  <c r="BP55" i="21"/>
  <c r="BO87" i="3"/>
  <c r="BO90" i="3" s="1"/>
  <c r="BO327" i="3" s="1"/>
  <c r="BO39" i="3"/>
  <c r="BL66" i="3"/>
  <c r="BL70" i="3"/>
  <c r="BL54" i="3"/>
  <c r="BL94" i="17" s="1"/>
  <c r="BM43" i="3"/>
  <c r="BM71" i="3"/>
  <c r="BK86" i="17"/>
  <c r="BK106" i="17" s="1"/>
  <c r="BO67" i="21"/>
  <c r="BO93" i="21"/>
  <c r="BO106" i="21"/>
  <c r="BO22" i="21"/>
  <c r="BP101" i="21"/>
  <c r="BP88" i="21"/>
  <c r="BP80" i="21"/>
  <c r="BP25" i="21"/>
  <c r="AE290" i="3"/>
  <c r="AE216" i="3"/>
  <c r="AE61" i="15" s="1"/>
  <c r="AE62" i="15" s="1"/>
  <c r="AE66" i="15" s="1"/>
  <c r="AE121" i="3"/>
  <c r="BK95" i="17" l="1"/>
  <c r="BK59" i="3"/>
  <c r="BK101" i="3" s="1"/>
  <c r="BK109" i="3" s="1"/>
  <c r="BK110" i="3" s="1"/>
  <c r="AE221" i="3"/>
  <c r="AE245" i="3" s="1"/>
  <c r="BI307" i="3"/>
  <c r="BL86" i="17"/>
  <c r="BK25" i="17"/>
  <c r="BK98" i="3"/>
  <c r="BK102" i="3"/>
  <c r="BK107" i="3"/>
  <c r="BK98" i="15"/>
  <c r="BK214" i="3"/>
  <c r="BK95" i="3"/>
  <c r="BK96" i="3" s="1"/>
  <c r="BK33" i="17"/>
  <c r="BQ88" i="21"/>
  <c r="BQ101" i="21"/>
  <c r="BQ80" i="21"/>
  <c r="BQ25" i="21"/>
  <c r="BP93" i="21"/>
  <c r="BP22" i="21"/>
  <c r="BP106" i="21"/>
  <c r="BP67" i="21"/>
  <c r="BM70" i="3"/>
  <c r="BM66" i="3"/>
  <c r="BM54" i="3"/>
  <c r="BM94" i="17" s="1"/>
  <c r="BP39" i="3"/>
  <c r="BP87" i="3"/>
  <c r="BP90" i="3" s="1"/>
  <c r="BP327" i="3" s="1"/>
  <c r="BH326" i="3"/>
  <c r="BH325" i="3"/>
  <c r="BO44" i="3"/>
  <c r="BO29" i="21"/>
  <c r="BO81" i="21"/>
  <c r="BO28" i="21"/>
  <c r="BK103" i="17"/>
  <c r="BK105" i="17"/>
  <c r="BK102" i="17"/>
  <c r="BK104" i="17"/>
  <c r="BK99" i="17"/>
  <c r="BK100" i="17"/>
  <c r="BK98" i="17"/>
  <c r="BK101" i="17"/>
  <c r="BL56" i="3"/>
  <c r="BK83" i="3"/>
  <c r="BI32" i="17"/>
  <c r="BI60" i="15"/>
  <c r="BI315" i="3"/>
  <c r="BI317" i="3" s="1"/>
  <c r="BI108" i="3"/>
  <c r="BI308" i="3" s="1"/>
  <c r="BQ55" i="21"/>
  <c r="BQ24" i="3"/>
  <c r="BQ23" i="3" s="1"/>
  <c r="BJ101" i="3"/>
  <c r="BJ109" i="3" s="1"/>
  <c r="BJ110" i="3" s="1"/>
  <c r="BJ83" i="3"/>
  <c r="BJ107" i="3"/>
  <c r="BJ98" i="3"/>
  <c r="BJ98" i="15"/>
  <c r="BJ102" i="3"/>
  <c r="BJ214" i="3"/>
  <c r="BJ95" i="3"/>
  <c r="BJ96" i="3" s="1"/>
  <c r="BJ33" i="17"/>
  <c r="BJ25" i="17"/>
  <c r="BP63" i="3"/>
  <c r="BP89" i="17"/>
  <c r="BN43" i="3"/>
  <c r="BN71" i="3"/>
  <c r="BR54" i="21"/>
  <c r="BR21" i="21" s="1"/>
  <c r="BR75" i="21"/>
  <c r="BS49" i="21"/>
  <c r="AE239" i="3"/>
  <c r="AE127" i="3"/>
  <c r="AE123" i="3" s="1"/>
  <c r="AE204" i="3"/>
  <c r="AE205" i="3" s="1"/>
  <c r="AF202" i="3" s="1"/>
  <c r="AE206" i="3"/>
  <c r="AE143" i="3" s="1"/>
  <c r="AE281" i="3"/>
  <c r="AE292" i="3"/>
  <c r="AE332" i="3"/>
  <c r="AE333" i="3" s="1"/>
  <c r="AF331" i="3"/>
  <c r="AE337" i="3"/>
  <c r="AE338" i="3" s="1"/>
  <c r="AF139" i="3"/>
  <c r="AE100" i="15" l="1"/>
  <c r="AE147" i="3"/>
  <c r="AE149" i="3" s="1"/>
  <c r="AE150" i="3" s="1"/>
  <c r="AE151" i="3" s="1"/>
  <c r="AE75" i="15" s="1"/>
  <c r="BM56" i="3"/>
  <c r="BM95" i="17" s="1"/>
  <c r="BJ307" i="3"/>
  <c r="BT49" i="21"/>
  <c r="BS75" i="21"/>
  <c r="BS54" i="21"/>
  <c r="BS21" i="21" s="1"/>
  <c r="BN54" i="3"/>
  <c r="BN94" i="17" s="1"/>
  <c r="BN86" i="17" s="1"/>
  <c r="BN66" i="3"/>
  <c r="BN70" i="3"/>
  <c r="BI325" i="3"/>
  <c r="BI326" i="3"/>
  <c r="BQ63" i="3"/>
  <c r="BQ89" i="17"/>
  <c r="BK108" i="3"/>
  <c r="BK60" i="15"/>
  <c r="BK315" i="3"/>
  <c r="BK317" i="3" s="1"/>
  <c r="BK32" i="17"/>
  <c r="BL99" i="17"/>
  <c r="BL100" i="17"/>
  <c r="BL105" i="17"/>
  <c r="BL102" i="17"/>
  <c r="BL104" i="17"/>
  <c r="BL98" i="17"/>
  <c r="BL103" i="17"/>
  <c r="BL101" i="17"/>
  <c r="BR25" i="21"/>
  <c r="BR80" i="21"/>
  <c r="BR88" i="21"/>
  <c r="BR101" i="21"/>
  <c r="BQ87" i="3"/>
  <c r="BQ90" i="3" s="1"/>
  <c r="BQ327" i="3" s="1"/>
  <c r="BQ39" i="3"/>
  <c r="BM86" i="17"/>
  <c r="BM106" i="17" s="1"/>
  <c r="BQ106" i="21"/>
  <c r="BQ93" i="21"/>
  <c r="BQ22" i="21"/>
  <c r="BQ67" i="21"/>
  <c r="BL106" i="17"/>
  <c r="BR24" i="3"/>
  <c r="BR23" i="3" s="1"/>
  <c r="BR55" i="21"/>
  <c r="BP44" i="3"/>
  <c r="BP81" i="21"/>
  <c r="BP29" i="21"/>
  <c r="BP28" i="21"/>
  <c r="BJ315" i="3"/>
  <c r="BJ317" i="3" s="1"/>
  <c r="BJ108" i="3"/>
  <c r="BJ308" i="3" s="1"/>
  <c r="BJ32" i="17"/>
  <c r="BJ60" i="15"/>
  <c r="BL95" i="17"/>
  <c r="BL97" i="3"/>
  <c r="BL82" i="3"/>
  <c r="BL59" i="3"/>
  <c r="BO43" i="3"/>
  <c r="BO71" i="3"/>
  <c r="AF138" i="3"/>
  <c r="AF137" i="3" s="1"/>
  <c r="AF234" i="3" s="1"/>
  <c r="AF103" i="15"/>
  <c r="AE35" i="17"/>
  <c r="AE284" i="3"/>
  <c r="AE126" i="3"/>
  <c r="AE128" i="3"/>
  <c r="AE250" i="3"/>
  <c r="AE244" i="3"/>
  <c r="AE242" i="3"/>
  <c r="AE255" i="3"/>
  <c r="BM97" i="3" l="1"/>
  <c r="BM98" i="3" s="1"/>
  <c r="BM82" i="3"/>
  <c r="BM59" i="3"/>
  <c r="BM101" i="3" s="1"/>
  <c r="BM109" i="3" s="1"/>
  <c r="BM110" i="3" s="1"/>
  <c r="BK308" i="3"/>
  <c r="BK307" i="3"/>
  <c r="BQ44" i="3"/>
  <c r="BQ28" i="21"/>
  <c r="BQ29" i="21"/>
  <c r="BQ81" i="21"/>
  <c r="BL214" i="3"/>
  <c r="BL98" i="15"/>
  <c r="BL107" i="3"/>
  <c r="BL33" i="17"/>
  <c r="BL95" i="3"/>
  <c r="BL96" i="3" s="1"/>
  <c r="BL25" i="17"/>
  <c r="BL98" i="3"/>
  <c r="BL102" i="3"/>
  <c r="BK326" i="3"/>
  <c r="BK325" i="3"/>
  <c r="BS80" i="21"/>
  <c r="BS88" i="21"/>
  <c r="BS101" i="21"/>
  <c r="BS25" i="21"/>
  <c r="BL83" i="3"/>
  <c r="BL101" i="3"/>
  <c r="BL109" i="3" s="1"/>
  <c r="BL110" i="3" s="1"/>
  <c r="BO66" i="3"/>
  <c r="BO70" i="3"/>
  <c r="BO54" i="3"/>
  <c r="BO94" i="17" s="1"/>
  <c r="BJ325" i="3"/>
  <c r="BJ326" i="3"/>
  <c r="BP71" i="3"/>
  <c r="BP43" i="3"/>
  <c r="BM99" i="17"/>
  <c r="BM103" i="17"/>
  <c r="BM100" i="17"/>
  <c r="BM98" i="17"/>
  <c r="BM104" i="17"/>
  <c r="BM105" i="17"/>
  <c r="BM102" i="17"/>
  <c r="BM101" i="17"/>
  <c r="BR22" i="21"/>
  <c r="BR67" i="21"/>
  <c r="BR93" i="21"/>
  <c r="BR106" i="21"/>
  <c r="BM214" i="3"/>
  <c r="BM98" i="15"/>
  <c r="BN56" i="3"/>
  <c r="BT75" i="21"/>
  <c r="BT54" i="21"/>
  <c r="BT21" i="21" s="1"/>
  <c r="BU49" i="21"/>
  <c r="BN106" i="17"/>
  <c r="BN102" i="17"/>
  <c r="BN100" i="17"/>
  <c r="BN104" i="17"/>
  <c r="BN98" i="17"/>
  <c r="BN103" i="17"/>
  <c r="BN105" i="17"/>
  <c r="BN99" i="17"/>
  <c r="BN101" i="17"/>
  <c r="BR89" i="17"/>
  <c r="BR63" i="3"/>
  <c r="BR87" i="3"/>
  <c r="BR90" i="3" s="1"/>
  <c r="BR327" i="3" s="1"/>
  <c r="BR39" i="3"/>
  <c r="BS55" i="21"/>
  <c r="BS24" i="3"/>
  <c r="BS23" i="3" s="1"/>
  <c r="AF232" i="3"/>
  <c r="AF111" i="3"/>
  <c r="AE294" i="3"/>
  <c r="AE296" i="3" s="1"/>
  <c r="AE12" i="17"/>
  <c r="AE13" i="17" s="1"/>
  <c r="AE260" i="3"/>
  <c r="AE298" i="3" s="1"/>
  <c r="AE43" i="17" s="1"/>
  <c r="AF240" i="3"/>
  <c r="AE243" i="3"/>
  <c r="AE74" i="15"/>
  <c r="AE76" i="15" s="1"/>
  <c r="AE101" i="15"/>
  <c r="AE132" i="3"/>
  <c r="AE133" i="3"/>
  <c r="AE339" i="3"/>
  <c r="AE341" i="3" s="1"/>
  <c r="AE131" i="3"/>
  <c r="AE210" i="3"/>
  <c r="AE213" i="3" s="1"/>
  <c r="AE134" i="3"/>
  <c r="BM107" i="3" l="1"/>
  <c r="BM108" i="3" s="1"/>
  <c r="BM95" i="3"/>
  <c r="BM96" i="3" s="1"/>
  <c r="BM25" i="17"/>
  <c r="BM102" i="3"/>
  <c r="BM33" i="17"/>
  <c r="BM83" i="3"/>
  <c r="BO56" i="3"/>
  <c r="BO95" i="17" s="1"/>
  <c r="BT80" i="21"/>
  <c r="BT25" i="21"/>
  <c r="BT88" i="21"/>
  <c r="BT101" i="21"/>
  <c r="BS89" i="17"/>
  <c r="BS63" i="3"/>
  <c r="AE286" i="3"/>
  <c r="AE293" i="3" s="1"/>
  <c r="BN95" i="17"/>
  <c r="BN82" i="3"/>
  <c r="BN97" i="3"/>
  <c r="BN59" i="3"/>
  <c r="BR28" i="21"/>
  <c r="BR81" i="21"/>
  <c r="BR29" i="21"/>
  <c r="BR44" i="3"/>
  <c r="BQ43" i="3"/>
  <c r="BQ71" i="3"/>
  <c r="BM60" i="15"/>
  <c r="BP66" i="3"/>
  <c r="BP70" i="3"/>
  <c r="BP54" i="3"/>
  <c r="BP94" i="17" s="1"/>
  <c r="BO59" i="3"/>
  <c r="BU75" i="21"/>
  <c r="BU54" i="21"/>
  <c r="BU21" i="21" s="1"/>
  <c r="BV49" i="21"/>
  <c r="BS39" i="3"/>
  <c r="BS87" i="3"/>
  <c r="BS90" i="3" s="1"/>
  <c r="BS327" i="3" s="1"/>
  <c r="BT24" i="3"/>
  <c r="BT23" i="3" s="1"/>
  <c r="BT55" i="21"/>
  <c r="BO86" i="17"/>
  <c r="BS67" i="21"/>
  <c r="BS106" i="21"/>
  <c r="BS93" i="21"/>
  <c r="BS22" i="21"/>
  <c r="BL108" i="3"/>
  <c r="BL308" i="3" s="1"/>
  <c r="BL315" i="3"/>
  <c r="BL317" i="3" s="1"/>
  <c r="BL60" i="15"/>
  <c r="BL32" i="17"/>
  <c r="BL307" i="3"/>
  <c r="AE78" i="15"/>
  <c r="AE297" i="3"/>
  <c r="AE99" i="15"/>
  <c r="AE135" i="3"/>
  <c r="AE141" i="3"/>
  <c r="AF263" i="3"/>
  <c r="AE14" i="17"/>
  <c r="AE42" i="17"/>
  <c r="AF237" i="3"/>
  <c r="AF279" i="3"/>
  <c r="BO97" i="3" l="1"/>
  <c r="BO82" i="3"/>
  <c r="BM32" i="17"/>
  <c r="BM315" i="3"/>
  <c r="BM317" i="3" s="1"/>
  <c r="BM325" i="3" s="1"/>
  <c r="BL326" i="3"/>
  <c r="BL325" i="3"/>
  <c r="BO101" i="3"/>
  <c r="BO109" i="3" s="1"/>
  <c r="BO110" i="3" s="1"/>
  <c r="BO83" i="3"/>
  <c r="BS29" i="21"/>
  <c r="BS81" i="21"/>
  <c r="BS28" i="21"/>
  <c r="BS44" i="3"/>
  <c r="BO98" i="17"/>
  <c r="BO104" i="17"/>
  <c r="BO105" i="17"/>
  <c r="BO100" i="17"/>
  <c r="BO99" i="17"/>
  <c r="BO103" i="17"/>
  <c r="BO102" i="17"/>
  <c r="BO101" i="17"/>
  <c r="BU25" i="21"/>
  <c r="BU80" i="21"/>
  <c r="BU88" i="21"/>
  <c r="BU101" i="21"/>
  <c r="BN214" i="3"/>
  <c r="BN98" i="15"/>
  <c r="BN98" i="3"/>
  <c r="BN107" i="3"/>
  <c r="BN102" i="3"/>
  <c r="BN33" i="17"/>
  <c r="BN95" i="3"/>
  <c r="BN96" i="3" s="1"/>
  <c r="BN25" i="17"/>
  <c r="BT89" i="17"/>
  <c r="BT63" i="3"/>
  <c r="BO106" i="17"/>
  <c r="BO107" i="3"/>
  <c r="BO95" i="3"/>
  <c r="BO96" i="3" s="1"/>
  <c r="BO33" i="17"/>
  <c r="BO98" i="15"/>
  <c r="BO214" i="3"/>
  <c r="BO25" i="17"/>
  <c r="BO102" i="3"/>
  <c r="BO98" i="3"/>
  <c r="BP86" i="17"/>
  <c r="BP106" i="17" s="1"/>
  <c r="BT93" i="21"/>
  <c r="BT106" i="21"/>
  <c r="BT22" i="21"/>
  <c r="BT67" i="21"/>
  <c r="BM308" i="3"/>
  <c r="BM307" i="3"/>
  <c r="BM326" i="3"/>
  <c r="BQ66" i="3"/>
  <c r="BQ70" i="3"/>
  <c r="BQ54" i="3"/>
  <c r="BQ94" i="17" s="1"/>
  <c r="BV54" i="21"/>
  <c r="BV21" i="21" s="1"/>
  <c r="BW49" i="21"/>
  <c r="BV75" i="21"/>
  <c r="BT87" i="3"/>
  <c r="BT90" i="3" s="1"/>
  <c r="BT327" i="3" s="1"/>
  <c r="BT39" i="3"/>
  <c r="BU55" i="21"/>
  <c r="BU24" i="3"/>
  <c r="BU23" i="3" s="1"/>
  <c r="BP56" i="3"/>
  <c r="BR71" i="3"/>
  <c r="BR43" i="3"/>
  <c r="BN101" i="3"/>
  <c r="BN109" i="3" s="1"/>
  <c r="BN110" i="3" s="1"/>
  <c r="BN83" i="3"/>
  <c r="AF269" i="3"/>
  <c r="AF10" i="17"/>
  <c r="AF11" i="17" s="1"/>
  <c r="AF295" i="3"/>
  <c r="AE79" i="15"/>
  <c r="AE84" i="15" s="1"/>
  <c r="AE81" i="15"/>
  <c r="AE86" i="15" s="1"/>
  <c r="AE80" i="15"/>
  <c r="AE85" i="15" s="1"/>
  <c r="BV24" i="3" l="1"/>
  <c r="BV23" i="3" s="1"/>
  <c r="BV55" i="21"/>
  <c r="BN307" i="3"/>
  <c r="BO60" i="15"/>
  <c r="BO108" i="3"/>
  <c r="BO315" i="3"/>
  <c r="BO317" i="3" s="1"/>
  <c r="BO32" i="17"/>
  <c r="BN32" i="17"/>
  <c r="BN60" i="15"/>
  <c r="BN315" i="3"/>
  <c r="BN317" i="3" s="1"/>
  <c r="BN108" i="3"/>
  <c r="BN308" i="3" s="1"/>
  <c r="BS71" i="3"/>
  <c r="BS43" i="3"/>
  <c r="BV80" i="21"/>
  <c r="BV101" i="21"/>
  <c r="BV88" i="21"/>
  <c r="BV25" i="21"/>
  <c r="BT44" i="3"/>
  <c r="BT29" i="21"/>
  <c r="BT28" i="21"/>
  <c r="BT81" i="21"/>
  <c r="BP95" i="17"/>
  <c r="BP97" i="3"/>
  <c r="BP82" i="3"/>
  <c r="BP59" i="3"/>
  <c r="BQ56" i="3"/>
  <c r="BU39" i="3"/>
  <c r="BU87" i="3"/>
  <c r="BU90" i="3" s="1"/>
  <c r="BU327" i="3" s="1"/>
  <c r="BU106" i="21"/>
  <c r="BU67" i="21"/>
  <c r="BU93" i="21"/>
  <c r="BU22" i="21"/>
  <c r="BQ86" i="17"/>
  <c r="BQ106" i="17" s="1"/>
  <c r="BR66" i="3"/>
  <c r="BR70" i="3"/>
  <c r="BR54" i="3"/>
  <c r="BR94" i="17" s="1"/>
  <c r="BX49" i="21"/>
  <c r="BW75" i="21"/>
  <c r="BW54" i="21"/>
  <c r="BW21" i="21" s="1"/>
  <c r="BP103" i="17"/>
  <c r="BP100" i="17"/>
  <c r="BP105" i="17"/>
  <c r="BP98" i="17"/>
  <c r="BP102" i="17"/>
  <c r="BP104" i="17"/>
  <c r="BP99" i="17"/>
  <c r="BP101" i="17"/>
  <c r="BU63" i="3"/>
  <c r="BU89" i="17"/>
  <c r="AE87" i="15"/>
  <c r="AF16" i="17"/>
  <c r="AF160" i="3" s="1"/>
  <c r="AF161" i="3" s="1"/>
  <c r="AF112" i="3" s="1"/>
  <c r="AF19" i="17"/>
  <c r="AF158" i="3" s="1"/>
  <c r="AF162" i="3" s="1"/>
  <c r="BO307" i="3" l="1"/>
  <c r="BO308" i="3"/>
  <c r="BW55" i="21"/>
  <c r="BW24" i="3"/>
  <c r="BW23" i="3" s="1"/>
  <c r="BS70" i="3"/>
  <c r="BS54" i="3"/>
  <c r="BS94" i="17" s="1"/>
  <c r="BS86" i="17" s="1"/>
  <c r="BS66" i="3"/>
  <c r="BY49" i="21"/>
  <c r="BX75" i="21"/>
  <c r="BX54" i="21"/>
  <c r="BX21" i="21" s="1"/>
  <c r="BP33" i="17"/>
  <c r="BP98" i="3"/>
  <c r="BP98" i="15"/>
  <c r="BP25" i="17"/>
  <c r="BP95" i="3"/>
  <c r="BP96" i="3" s="1"/>
  <c r="BP107" i="3"/>
  <c r="BP102" i="3"/>
  <c r="BP214" i="3"/>
  <c r="BR56" i="3"/>
  <c r="BQ102" i="17"/>
  <c r="BQ98" i="17"/>
  <c r="BQ100" i="17"/>
  <c r="BQ104" i="17"/>
  <c r="BQ99" i="17"/>
  <c r="BQ105" i="17"/>
  <c r="BQ103" i="17"/>
  <c r="BQ101" i="17"/>
  <c r="BQ95" i="17"/>
  <c r="BQ97" i="3"/>
  <c r="BQ82" i="3"/>
  <c r="BQ59" i="3"/>
  <c r="BT71" i="3"/>
  <c r="BT43" i="3"/>
  <c r="BV22" i="21"/>
  <c r="BV67" i="21"/>
  <c r="BV93" i="21"/>
  <c r="BV106" i="21"/>
  <c r="BN325" i="3"/>
  <c r="BN326" i="3"/>
  <c r="BO326" i="3"/>
  <c r="BO325" i="3"/>
  <c r="BV63" i="3"/>
  <c r="BV89" i="17"/>
  <c r="BR86" i="17"/>
  <c r="BR106" i="17" s="1"/>
  <c r="BP101" i="3"/>
  <c r="BP109" i="3" s="1"/>
  <c r="BP110" i="3" s="1"/>
  <c r="BP83" i="3"/>
  <c r="BW101" i="21"/>
  <c r="BW25" i="21"/>
  <c r="BW88" i="21"/>
  <c r="BW80" i="21"/>
  <c r="BU44" i="3"/>
  <c r="BU29" i="21"/>
  <c r="BU28" i="21"/>
  <c r="BU81" i="21"/>
  <c r="BV87" i="3"/>
  <c r="BV90" i="3" s="1"/>
  <c r="BV327" i="3" s="1"/>
  <c r="BV39" i="3"/>
  <c r="AF218" i="3"/>
  <c r="AF26" i="17"/>
  <c r="AF27" i="17" s="1"/>
  <c r="AF155" i="3"/>
  <c r="AF113" i="3"/>
  <c r="BW89" i="17" l="1"/>
  <c r="BW63" i="3"/>
  <c r="BR102" i="17"/>
  <c r="BR103" i="17"/>
  <c r="BR104" i="17"/>
  <c r="BR100" i="17"/>
  <c r="BR99" i="17"/>
  <c r="BR105" i="17"/>
  <c r="BR98" i="17"/>
  <c r="BR101" i="17"/>
  <c r="BT54" i="3"/>
  <c r="BT94" i="17" s="1"/>
  <c r="BT70" i="3"/>
  <c r="BT66" i="3"/>
  <c r="BQ107" i="3"/>
  <c r="BQ98" i="3"/>
  <c r="BQ214" i="3"/>
  <c r="BQ25" i="17"/>
  <c r="BQ102" i="3"/>
  <c r="BQ98" i="15"/>
  <c r="BQ33" i="17"/>
  <c r="BQ95" i="3"/>
  <c r="BQ96" i="3" s="1"/>
  <c r="BX80" i="21"/>
  <c r="BX88" i="21"/>
  <c r="BX25" i="21"/>
  <c r="BX101" i="21"/>
  <c r="BS106" i="17"/>
  <c r="BS102" i="17"/>
  <c r="BS103" i="17"/>
  <c r="BS105" i="17"/>
  <c r="BS100" i="17"/>
  <c r="BS98" i="17"/>
  <c r="BS99" i="17"/>
  <c r="BS104" i="17"/>
  <c r="BS101" i="17"/>
  <c r="BW93" i="21"/>
  <c r="BW106" i="21"/>
  <c r="BW22" i="21"/>
  <c r="BW67" i="21"/>
  <c r="BU43" i="3"/>
  <c r="BU71" i="3"/>
  <c r="BP108" i="3"/>
  <c r="BP308" i="3" s="1"/>
  <c r="BP315" i="3"/>
  <c r="BP317" i="3" s="1"/>
  <c r="BP60" i="15"/>
  <c r="BP32" i="17"/>
  <c r="BY54" i="21"/>
  <c r="BY21" i="21" s="1"/>
  <c r="BZ49" i="21"/>
  <c r="BY75" i="21"/>
  <c r="BR95" i="17"/>
  <c r="BR97" i="3"/>
  <c r="BR59" i="3"/>
  <c r="BR82" i="3"/>
  <c r="BW87" i="3"/>
  <c r="BW90" i="3" s="1"/>
  <c r="BW327" i="3" s="1"/>
  <c r="BW39" i="3"/>
  <c r="BP307" i="3"/>
  <c r="BQ83" i="3"/>
  <c r="BQ101" i="3"/>
  <c r="BQ109" i="3" s="1"/>
  <c r="BQ110" i="3" s="1"/>
  <c r="BV81" i="21"/>
  <c r="BV28" i="21"/>
  <c r="BV44" i="3"/>
  <c r="BV29" i="21"/>
  <c r="BX55" i="21"/>
  <c r="BX24" i="3"/>
  <c r="BX23" i="3" s="1"/>
  <c r="BS56" i="3"/>
  <c r="AF116" i="3"/>
  <c r="AF34" i="17"/>
  <c r="AF41" i="17" s="1"/>
  <c r="AF114" i="3"/>
  <c r="AF39" i="17"/>
  <c r="BT56" i="3" l="1"/>
  <c r="BT59" i="3" s="1"/>
  <c r="AF40" i="17"/>
  <c r="BQ307" i="3"/>
  <c r="BY80" i="21"/>
  <c r="BY25" i="21"/>
  <c r="BY88" i="21"/>
  <c r="BY101" i="21"/>
  <c r="BU66" i="3"/>
  <c r="BU54" i="3"/>
  <c r="BU94" i="17" s="1"/>
  <c r="BU70" i="3"/>
  <c r="BR107" i="3"/>
  <c r="BR95" i="3"/>
  <c r="BR96" i="3" s="1"/>
  <c r="BR98" i="15"/>
  <c r="BR33" i="17"/>
  <c r="BR102" i="3"/>
  <c r="BR214" i="3"/>
  <c r="BR25" i="17"/>
  <c r="BR98" i="3"/>
  <c r="BS59" i="3"/>
  <c r="BS97" i="3"/>
  <c r="BS82" i="3"/>
  <c r="BS95" i="17"/>
  <c r="BV43" i="3"/>
  <c r="BV71" i="3"/>
  <c r="BR83" i="3"/>
  <c r="BR101" i="3"/>
  <c r="BR109" i="3" s="1"/>
  <c r="BR110" i="3" s="1"/>
  <c r="CA49" i="21"/>
  <c r="BZ54" i="21"/>
  <c r="BZ21" i="21" s="1"/>
  <c r="BZ75" i="21"/>
  <c r="BP325" i="3"/>
  <c r="BP326" i="3"/>
  <c r="BX22" i="21"/>
  <c r="BX67" i="21"/>
  <c r="BX93" i="21"/>
  <c r="BX106" i="21"/>
  <c r="BQ108" i="3"/>
  <c r="BQ308" i="3" s="1"/>
  <c r="BQ315" i="3"/>
  <c r="BQ317" i="3" s="1"/>
  <c r="BQ60" i="15"/>
  <c r="BQ32" i="17"/>
  <c r="BT86" i="17"/>
  <c r="BT106" i="17" s="1"/>
  <c r="BX87" i="3"/>
  <c r="BX90" i="3" s="1"/>
  <c r="BX327" i="3" s="1"/>
  <c r="BX39" i="3"/>
  <c r="BY55" i="21"/>
  <c r="BY24" i="3"/>
  <c r="BY23" i="3" s="1"/>
  <c r="BW29" i="21"/>
  <c r="BW28" i="21"/>
  <c r="BW44" i="3"/>
  <c r="BW81" i="21"/>
  <c r="BX63" i="3"/>
  <c r="BX89" i="17"/>
  <c r="AF118" i="3"/>
  <c r="AF121" i="3" s="1"/>
  <c r="AF117" i="3"/>
  <c r="AF215" i="3" s="1"/>
  <c r="BT82" i="3" l="1"/>
  <c r="BT95" i="17"/>
  <c r="BT97" i="3"/>
  <c r="BT25" i="17" s="1"/>
  <c r="AF122" i="3"/>
  <c r="BU56" i="3"/>
  <c r="BU97" i="3" s="1"/>
  <c r="BW71" i="3"/>
  <c r="BW43" i="3"/>
  <c r="BX44" i="3"/>
  <c r="BX29" i="21"/>
  <c r="BX81" i="21"/>
  <c r="BX28" i="21"/>
  <c r="BZ24" i="3"/>
  <c r="BZ23" i="3" s="1"/>
  <c r="BZ55" i="21"/>
  <c r="BS107" i="3"/>
  <c r="BS98" i="3"/>
  <c r="BS214" i="3"/>
  <c r="BS33" i="17"/>
  <c r="BS102" i="3"/>
  <c r="BS25" i="17"/>
  <c r="BS95" i="3"/>
  <c r="BS96" i="3" s="1"/>
  <c r="BS98" i="15"/>
  <c r="BY89" i="17"/>
  <c r="BY63" i="3"/>
  <c r="CA75" i="21"/>
  <c r="CA54" i="21"/>
  <c r="CA21" i="21" s="1"/>
  <c r="CB49" i="21"/>
  <c r="BV66" i="3"/>
  <c r="BV54" i="3"/>
  <c r="BV94" i="17" s="1"/>
  <c r="BV70" i="3"/>
  <c r="BS83" i="3"/>
  <c r="BS101" i="3"/>
  <c r="BS109" i="3" s="1"/>
  <c r="BS110" i="3" s="1"/>
  <c r="BR60" i="15"/>
  <c r="BR315" i="3"/>
  <c r="BR317" i="3" s="1"/>
  <c r="BR32" i="17"/>
  <c r="BR108" i="3"/>
  <c r="BR308" i="3" s="1"/>
  <c r="BT101" i="3"/>
  <c r="BT109" i="3" s="1"/>
  <c r="BT110" i="3" s="1"/>
  <c r="BT83" i="3"/>
  <c r="BY22" i="21"/>
  <c r="BY106" i="21"/>
  <c r="BY67" i="21"/>
  <c r="BY93" i="21"/>
  <c r="BR307" i="3"/>
  <c r="BY39" i="3"/>
  <c r="BY87" i="3"/>
  <c r="BY90" i="3" s="1"/>
  <c r="BY327" i="3" s="1"/>
  <c r="BT99" i="17"/>
  <c r="BT105" i="17"/>
  <c r="BT98" i="17"/>
  <c r="BT103" i="17"/>
  <c r="BT104" i="17"/>
  <c r="BT102" i="17"/>
  <c r="BT100" i="17"/>
  <c r="BT101" i="17"/>
  <c r="BQ326" i="3"/>
  <c r="BQ325" i="3"/>
  <c r="BZ25" i="21"/>
  <c r="BZ101" i="21"/>
  <c r="BZ80" i="21"/>
  <c r="BZ88" i="21"/>
  <c r="BU86" i="17"/>
  <c r="BU106" i="17" s="1"/>
  <c r="AF290" i="3"/>
  <c r="AF216" i="3"/>
  <c r="AF61" i="15" s="1"/>
  <c r="AF62" i="15" s="1"/>
  <c r="AF66" i="15" s="1"/>
  <c r="AF127" i="3"/>
  <c r="AF128" i="3" s="1"/>
  <c r="BT98" i="15" l="1"/>
  <c r="BT107" i="3"/>
  <c r="BT108" i="3" s="1"/>
  <c r="BT95" i="3"/>
  <c r="BT96" i="3" s="1"/>
  <c r="BT33" i="17"/>
  <c r="BU82" i="3"/>
  <c r="BT98" i="3"/>
  <c r="BT214" i="3"/>
  <c r="BT102" i="3"/>
  <c r="BU59" i="3"/>
  <c r="BU83" i="3" s="1"/>
  <c r="BU95" i="17"/>
  <c r="AG139" i="3"/>
  <c r="AG103" i="15" s="1"/>
  <c r="BV86" i="17"/>
  <c r="BU101" i="3"/>
  <c r="BU109" i="3" s="1"/>
  <c r="BU110" i="3" s="1"/>
  <c r="BZ93" i="21"/>
  <c r="BZ22" i="21"/>
  <c r="BZ67" i="21"/>
  <c r="BZ106" i="21"/>
  <c r="BS307" i="3"/>
  <c r="BY81" i="21"/>
  <c r="BY29" i="21"/>
  <c r="BY28" i="21"/>
  <c r="BY44" i="3"/>
  <c r="BV56" i="3"/>
  <c r="CA55" i="21"/>
  <c r="CA24" i="3"/>
  <c r="CA23" i="3" s="1"/>
  <c r="BU98" i="17"/>
  <c r="BU99" i="17"/>
  <c r="BU100" i="17"/>
  <c r="BU105" i="17"/>
  <c r="BU104" i="17"/>
  <c r="BU102" i="17"/>
  <c r="BU103" i="17"/>
  <c r="BU101" i="17"/>
  <c r="BR326" i="3"/>
  <c r="BR325" i="3"/>
  <c r="CB54" i="21"/>
  <c r="CB21" i="21" s="1"/>
  <c r="CC49" i="21"/>
  <c r="CB75" i="21"/>
  <c r="BU25" i="17"/>
  <c r="BU98" i="3"/>
  <c r="BU107" i="3"/>
  <c r="BU214" i="3"/>
  <c r="BU102" i="3"/>
  <c r="BU98" i="15"/>
  <c r="BU33" i="17"/>
  <c r="BU95" i="3"/>
  <c r="BU96" i="3" s="1"/>
  <c r="BZ39" i="3"/>
  <c r="BZ87" i="3"/>
  <c r="BZ90" i="3" s="1"/>
  <c r="BZ327" i="3" s="1"/>
  <c r="BX43" i="3"/>
  <c r="BX71" i="3"/>
  <c r="BW66" i="3"/>
  <c r="BW54" i="3"/>
  <c r="BW94" i="17" s="1"/>
  <c r="BW70" i="3"/>
  <c r="BZ63" i="3"/>
  <c r="BZ89" i="17"/>
  <c r="BT315" i="3"/>
  <c r="BT317" i="3" s="1"/>
  <c r="CA88" i="21"/>
  <c r="CA80" i="21"/>
  <c r="CA25" i="21"/>
  <c r="CA101" i="21"/>
  <c r="BS315" i="3"/>
  <c r="BS317" i="3" s="1"/>
  <c r="BS60" i="15"/>
  <c r="BS108" i="3"/>
  <c r="BS308" i="3" s="1"/>
  <c r="BS32" i="17"/>
  <c r="AF221" i="3"/>
  <c r="AG331" i="3"/>
  <c r="AF332" i="3"/>
  <c r="AF333" i="3" s="1"/>
  <c r="AF337" i="3"/>
  <c r="AF338" i="3" s="1"/>
  <c r="AF292" i="3"/>
  <c r="AF123" i="3"/>
  <c r="AF204" i="3"/>
  <c r="AF205" i="3" s="1"/>
  <c r="AG202" i="3" s="1"/>
  <c r="AF206" i="3"/>
  <c r="AF143" i="3" s="1"/>
  <c r="AF281" i="3"/>
  <c r="AF126" i="3"/>
  <c r="BT60" i="15" l="1"/>
  <c r="BT32" i="17"/>
  <c r="AG138" i="3"/>
  <c r="AG137" i="3" s="1"/>
  <c r="AG234" i="3" s="1"/>
  <c r="BW56" i="3"/>
  <c r="BW59" i="3" s="1"/>
  <c r="BT307" i="3"/>
  <c r="BT308" i="3"/>
  <c r="CB24" i="3"/>
  <c r="CB23" i="3" s="1"/>
  <c r="CB55" i="21"/>
  <c r="BS325" i="3"/>
  <c r="BS326" i="3"/>
  <c r="CA63" i="3"/>
  <c r="CA89" i="17"/>
  <c r="BT326" i="3"/>
  <c r="BT325" i="3"/>
  <c r="BV95" i="17"/>
  <c r="BV82" i="3"/>
  <c r="BV59" i="3"/>
  <c r="BV97" i="3"/>
  <c r="CB88" i="21"/>
  <c r="CB80" i="21"/>
  <c r="CB25" i="21"/>
  <c r="CB101" i="21"/>
  <c r="BZ29" i="21"/>
  <c r="BZ28" i="21"/>
  <c r="BZ44" i="3"/>
  <c r="BZ81" i="21"/>
  <c r="BV105" i="17"/>
  <c r="BV102" i="17"/>
  <c r="BV98" i="17"/>
  <c r="BV103" i="17"/>
  <c r="BV99" i="17"/>
  <c r="BV104" i="17"/>
  <c r="BV100" i="17"/>
  <c r="BV101" i="17"/>
  <c r="CA22" i="21"/>
  <c r="CA93" i="21"/>
  <c r="CA106" i="21"/>
  <c r="CA67" i="21"/>
  <c r="BY71" i="3"/>
  <c r="BY43" i="3"/>
  <c r="BW86" i="17"/>
  <c r="BW106" i="17" s="1"/>
  <c r="BX54" i="3"/>
  <c r="BX94" i="17" s="1"/>
  <c r="BX70" i="3"/>
  <c r="BX66" i="3"/>
  <c r="BU60" i="15"/>
  <c r="BU315" i="3"/>
  <c r="BU317" i="3" s="1"/>
  <c r="BU32" i="17"/>
  <c r="BU108" i="3"/>
  <c r="CC54" i="21"/>
  <c r="CC21" i="21" s="1"/>
  <c r="CD49" i="21"/>
  <c r="CC75" i="21"/>
  <c r="CA87" i="3"/>
  <c r="CA90" i="3" s="1"/>
  <c r="CA327" i="3" s="1"/>
  <c r="CA39" i="3"/>
  <c r="BV106" i="17"/>
  <c r="AF284" i="3"/>
  <c r="AF239" i="3"/>
  <c r="AF245" i="3"/>
  <c r="AF100" i="15"/>
  <c r="AF147" i="3"/>
  <c r="AF149" i="3" s="1"/>
  <c r="AF150" i="3" s="1"/>
  <c r="AF151" i="3" s="1"/>
  <c r="AF75" i="15" s="1"/>
  <c r="AF339" i="3"/>
  <c r="AF341" i="3" s="1"/>
  <c r="AF131" i="3"/>
  <c r="AF133" i="3"/>
  <c r="AF210" i="3"/>
  <c r="AF213" i="3" s="1"/>
  <c r="AF134" i="3"/>
  <c r="AF132" i="3"/>
  <c r="AF35" i="17"/>
  <c r="BW82" i="3" l="1"/>
  <c r="BW95" i="17"/>
  <c r="BW97" i="3"/>
  <c r="BW98" i="15" s="1"/>
  <c r="BX56" i="3"/>
  <c r="BX95" i="17" s="1"/>
  <c r="CE49" i="21"/>
  <c r="CD54" i="21"/>
  <c r="CD21" i="21" s="1"/>
  <c r="CD75" i="21"/>
  <c r="BY66" i="3"/>
  <c r="BY70" i="3"/>
  <c r="BY54" i="3"/>
  <c r="BY94" i="17" s="1"/>
  <c r="BW99" i="17"/>
  <c r="BW104" i="17"/>
  <c r="BW103" i="17"/>
  <c r="BW102" i="17"/>
  <c r="BW100" i="17"/>
  <c r="BW105" i="17"/>
  <c r="BW98" i="17"/>
  <c r="BW101" i="17"/>
  <c r="BV33" i="17"/>
  <c r="BV98" i="15"/>
  <c r="BV102" i="3"/>
  <c r="BV214" i="3"/>
  <c r="BV95" i="3"/>
  <c r="BV96" i="3" s="1"/>
  <c r="BV25" i="17"/>
  <c r="BV98" i="3"/>
  <c r="BV107" i="3"/>
  <c r="BW107" i="3"/>
  <c r="BW98" i="3"/>
  <c r="BU325" i="3"/>
  <c r="BU326" i="3"/>
  <c r="CC80" i="21"/>
  <c r="CC101" i="21"/>
  <c r="CC25" i="21"/>
  <c r="CC88" i="21"/>
  <c r="BZ43" i="3"/>
  <c r="BZ71" i="3"/>
  <c r="CB89" i="17"/>
  <c r="CB63" i="3"/>
  <c r="BV101" i="3"/>
  <c r="BV109" i="3" s="1"/>
  <c r="BV110" i="3" s="1"/>
  <c r="BV83" i="3"/>
  <c r="BW101" i="3"/>
  <c r="BW109" i="3" s="1"/>
  <c r="BW110" i="3" s="1"/>
  <c r="BW83" i="3"/>
  <c r="BU308" i="3"/>
  <c r="BU307" i="3"/>
  <c r="CB22" i="21"/>
  <c r="CB93" i="21"/>
  <c r="CB106" i="21"/>
  <c r="CB67" i="21"/>
  <c r="CC55" i="21"/>
  <c r="CC24" i="3"/>
  <c r="CC23" i="3" s="1"/>
  <c r="BX86" i="17"/>
  <c r="BX106" i="17" s="1"/>
  <c r="CA29" i="21"/>
  <c r="CA44" i="3"/>
  <c r="CA28" i="21"/>
  <c r="CA81" i="21"/>
  <c r="CB39" i="3"/>
  <c r="CB87" i="3"/>
  <c r="CB90" i="3" s="1"/>
  <c r="CB327" i="3" s="1"/>
  <c r="AF242" i="3"/>
  <c r="AF255" i="3"/>
  <c r="AF250" i="3"/>
  <c r="AF244" i="3"/>
  <c r="AF135" i="3"/>
  <c r="AF141" i="3"/>
  <c r="BW25" i="17" l="1"/>
  <c r="BW102" i="3"/>
  <c r="BW214" i="3"/>
  <c r="BW33" i="17"/>
  <c r="BW95" i="3"/>
  <c r="BW96" i="3" s="1"/>
  <c r="BX82" i="3"/>
  <c r="BX97" i="3"/>
  <c r="BX33" i="17" s="1"/>
  <c r="BX59" i="3"/>
  <c r="BX83" i="3" s="1"/>
  <c r="BV307" i="3"/>
  <c r="CC89" i="17"/>
  <c r="CC63" i="3"/>
  <c r="BW60" i="15"/>
  <c r="BW315" i="3"/>
  <c r="BW317" i="3" s="1"/>
  <c r="BW108" i="3"/>
  <c r="BW32" i="17"/>
  <c r="BX101" i="3"/>
  <c r="BX109" i="3" s="1"/>
  <c r="BX110" i="3" s="1"/>
  <c r="BY56" i="3"/>
  <c r="CA43" i="3"/>
  <c r="CA71" i="3"/>
  <c r="CC87" i="3"/>
  <c r="CC90" i="3" s="1"/>
  <c r="CC327" i="3" s="1"/>
  <c r="CC39" i="3"/>
  <c r="BV60" i="15"/>
  <c r="BV315" i="3"/>
  <c r="BV317" i="3" s="1"/>
  <c r="BV108" i="3"/>
  <c r="BV308" i="3" s="1"/>
  <c r="BV32" i="17"/>
  <c r="BY86" i="17"/>
  <c r="BY106" i="17" s="1"/>
  <c r="CD88" i="21"/>
  <c r="CD25" i="21"/>
  <c r="CD101" i="21"/>
  <c r="CD80" i="21"/>
  <c r="CB29" i="21"/>
  <c r="CB28" i="21"/>
  <c r="CB44" i="3"/>
  <c r="CB81" i="21"/>
  <c r="BZ66" i="3"/>
  <c r="BZ54" i="3"/>
  <c r="BZ94" i="17" s="1"/>
  <c r="BZ70" i="3"/>
  <c r="CC22" i="21"/>
  <c r="CC93" i="21"/>
  <c r="CC67" i="21"/>
  <c r="CC106" i="21"/>
  <c r="BX98" i="3"/>
  <c r="BX98" i="15"/>
  <c r="BX214" i="3"/>
  <c r="BX25" i="17"/>
  <c r="CD55" i="21"/>
  <c r="CD24" i="3"/>
  <c r="CD23" i="3" s="1"/>
  <c r="BX99" i="17"/>
  <c r="BX104" i="17"/>
  <c r="BX102" i="17"/>
  <c r="BX100" i="17"/>
  <c r="BX105" i="17"/>
  <c r="BX98" i="17"/>
  <c r="BX103" i="17"/>
  <c r="BX101" i="17"/>
  <c r="CE75" i="21"/>
  <c r="CF49" i="21"/>
  <c r="CE54" i="21"/>
  <c r="CE21" i="21" s="1"/>
  <c r="AF74" i="15"/>
  <c r="AF76" i="15" s="1"/>
  <c r="AF101" i="15"/>
  <c r="AG240" i="3"/>
  <c r="AF243" i="3"/>
  <c r="AG232" i="3"/>
  <c r="AG111" i="3"/>
  <c r="AF294" i="3"/>
  <c r="AF296" i="3" s="1"/>
  <c r="AF12" i="17"/>
  <c r="AF13" i="17" s="1"/>
  <c r="AF260" i="3"/>
  <c r="BX95" i="3" l="1"/>
  <c r="BX96" i="3" s="1"/>
  <c r="BX107" i="3"/>
  <c r="BX315" i="3" s="1"/>
  <c r="BX317" i="3" s="1"/>
  <c r="BX102" i="3"/>
  <c r="BW308" i="3"/>
  <c r="BW307" i="3"/>
  <c r="CB71" i="3"/>
  <c r="CB43" i="3"/>
  <c r="CE24" i="3"/>
  <c r="CE23" i="3" s="1"/>
  <c r="CE55" i="21"/>
  <c r="BX32" i="17"/>
  <c r="CC29" i="21"/>
  <c r="CC81" i="21"/>
  <c r="CC44" i="3"/>
  <c r="CC28" i="21"/>
  <c r="BW326" i="3"/>
  <c r="BW325" i="3"/>
  <c r="CF54" i="21"/>
  <c r="CF21" i="21" s="1"/>
  <c r="CG49" i="21"/>
  <c r="CF75" i="21"/>
  <c r="BZ56" i="3"/>
  <c r="CD93" i="21"/>
  <c r="CD22" i="21"/>
  <c r="CD106" i="21"/>
  <c r="CD67" i="21"/>
  <c r="BY99" i="17"/>
  <c r="BY105" i="17"/>
  <c r="BY104" i="17"/>
  <c r="BY102" i="17"/>
  <c r="BY98" i="17"/>
  <c r="BY103" i="17"/>
  <c r="BY100" i="17"/>
  <c r="BY101" i="17"/>
  <c r="BV325" i="3"/>
  <c r="BV326" i="3"/>
  <c r="CA54" i="3"/>
  <c r="CA94" i="17" s="1"/>
  <c r="CA66" i="3"/>
  <c r="CA70" i="3"/>
  <c r="CE101" i="21"/>
  <c r="CE80" i="21"/>
  <c r="CE25" i="21"/>
  <c r="CE88" i="21"/>
  <c r="CD87" i="3"/>
  <c r="CD90" i="3" s="1"/>
  <c r="CD327" i="3" s="1"/>
  <c r="CD39" i="3"/>
  <c r="BZ86" i="17"/>
  <c r="CD63" i="3"/>
  <c r="CD89" i="17"/>
  <c r="BY95" i="17"/>
  <c r="BY59" i="3"/>
  <c r="BY97" i="3"/>
  <c r="BY82" i="3"/>
  <c r="AF78" i="15"/>
  <c r="AG263" i="3"/>
  <c r="AF298" i="3"/>
  <c r="AF43" i="17" s="1"/>
  <c r="AF286" i="3"/>
  <c r="AF293" i="3" s="1"/>
  <c r="AF99" i="15"/>
  <c r="AF297" i="3"/>
  <c r="AF14" i="17"/>
  <c r="AF42" i="17"/>
  <c r="AG237" i="3"/>
  <c r="AG279" i="3"/>
  <c r="BX60" i="15" l="1"/>
  <c r="BX108" i="3"/>
  <c r="BX308" i="3" s="1"/>
  <c r="CA56" i="3"/>
  <c r="CA97" i="3" s="1"/>
  <c r="BX325" i="3"/>
  <c r="BX326" i="3"/>
  <c r="CE67" i="21"/>
  <c r="CE106" i="21"/>
  <c r="CE93" i="21"/>
  <c r="CE22" i="21"/>
  <c r="BZ82" i="3"/>
  <c r="BZ59" i="3"/>
  <c r="BZ95" i="17"/>
  <c r="BZ97" i="3"/>
  <c r="CB54" i="3"/>
  <c r="CB94" i="17" s="1"/>
  <c r="CB86" i="17" s="1"/>
  <c r="CB66" i="3"/>
  <c r="CB70" i="3"/>
  <c r="BY107" i="3"/>
  <c r="BY95" i="3"/>
  <c r="BY96" i="3" s="1"/>
  <c r="BY214" i="3"/>
  <c r="BY33" i="17"/>
  <c r="BY98" i="3"/>
  <c r="BY25" i="17"/>
  <c r="BY102" i="3"/>
  <c r="BY98" i="15"/>
  <c r="CA86" i="17"/>
  <c r="CF80" i="21"/>
  <c r="CF101" i="21"/>
  <c r="CF88" i="21"/>
  <c r="CF25" i="21"/>
  <c r="BZ104" i="17"/>
  <c r="BZ103" i="17"/>
  <c r="BZ105" i="17"/>
  <c r="BZ102" i="17"/>
  <c r="BZ100" i="17"/>
  <c r="BZ98" i="17"/>
  <c r="BZ99" i="17"/>
  <c r="BZ101" i="17"/>
  <c r="CG54" i="21"/>
  <c r="CG21" i="21" s="1"/>
  <c r="CG75" i="21"/>
  <c r="BY101" i="3"/>
  <c r="BY109" i="3" s="1"/>
  <c r="BY110" i="3" s="1"/>
  <c r="BY83" i="3"/>
  <c r="CD44" i="3"/>
  <c r="CD29" i="21"/>
  <c r="CD81" i="21"/>
  <c r="CD28" i="21"/>
  <c r="BZ106" i="17"/>
  <c r="CE89" i="17"/>
  <c r="CE63" i="3"/>
  <c r="CF24" i="3"/>
  <c r="CF23" i="3" s="1"/>
  <c r="CF55" i="21"/>
  <c r="CC43" i="3"/>
  <c r="CC71" i="3"/>
  <c r="CE39" i="3"/>
  <c r="CE87" i="3"/>
  <c r="CE90" i="3" s="1"/>
  <c r="CE327" i="3" s="1"/>
  <c r="BX307" i="3"/>
  <c r="AG10" i="17"/>
  <c r="AG11" i="17" s="1"/>
  <c r="AH279" i="3"/>
  <c r="AG295" i="3"/>
  <c r="AF80" i="15"/>
  <c r="AF85" i="15" s="1"/>
  <c r="AF81" i="15"/>
  <c r="AF86" i="15" s="1"/>
  <c r="AF79" i="15"/>
  <c r="AF84" i="15" s="1"/>
  <c r="AG269" i="3"/>
  <c r="CA82" i="3" l="1"/>
  <c r="CA95" i="17"/>
  <c r="CA59" i="3"/>
  <c r="CA101" i="3" s="1"/>
  <c r="CA109" i="3" s="1"/>
  <c r="CA110" i="3" s="1"/>
  <c r="CB56" i="3"/>
  <c r="CB59" i="3" s="1"/>
  <c r="CF89" i="17"/>
  <c r="CF63" i="3"/>
  <c r="CC66" i="3"/>
  <c r="CC54" i="3"/>
  <c r="CC94" i="17" s="1"/>
  <c r="CC70" i="3"/>
  <c r="CG25" i="21"/>
  <c r="CG101" i="21"/>
  <c r="CG88" i="21"/>
  <c r="CG80" i="21"/>
  <c r="CH101" i="21"/>
  <c r="BZ25" i="17"/>
  <c r="BZ95" i="3"/>
  <c r="BZ96" i="3" s="1"/>
  <c r="BZ102" i="3"/>
  <c r="BZ214" i="3"/>
  <c r="BZ98" i="15"/>
  <c r="BZ33" i="17"/>
  <c r="BZ98" i="3"/>
  <c r="BZ107" i="3"/>
  <c r="CE29" i="21"/>
  <c r="CE81" i="21"/>
  <c r="CE28" i="21"/>
  <c r="CE44" i="3"/>
  <c r="CF39" i="3"/>
  <c r="CF87" i="3"/>
  <c r="CF90" i="3" s="1"/>
  <c r="CF327" i="3" s="1"/>
  <c r="CA103" i="17"/>
  <c r="CA105" i="17"/>
  <c r="CA99" i="17"/>
  <c r="CA104" i="17"/>
  <c r="CA100" i="17"/>
  <c r="CA98" i="17"/>
  <c r="CA102" i="17"/>
  <c r="CA101" i="17"/>
  <c r="CD43" i="3"/>
  <c r="CD71" i="3"/>
  <c r="CG24" i="3"/>
  <c r="CG23" i="3" s="1"/>
  <c r="CG55" i="21"/>
  <c r="CF106" i="21"/>
  <c r="CF22" i="21"/>
  <c r="CF67" i="21"/>
  <c r="CF93" i="21"/>
  <c r="CA33" i="17"/>
  <c r="CA98" i="15"/>
  <c r="CA107" i="3"/>
  <c r="CA98" i="3"/>
  <c r="CA95" i="3"/>
  <c r="CA96" i="3" s="1"/>
  <c r="CA214" i="3"/>
  <c r="CA102" i="3"/>
  <c r="CA25" i="17"/>
  <c r="CB97" i="3"/>
  <c r="BZ83" i="3"/>
  <c r="BZ101" i="3"/>
  <c r="BZ109" i="3" s="1"/>
  <c r="BZ110" i="3" s="1"/>
  <c r="BY307" i="3"/>
  <c r="CA106" i="17"/>
  <c r="BY32" i="17"/>
  <c r="BY60" i="15"/>
  <c r="BY108" i="3"/>
  <c r="BY308" i="3" s="1"/>
  <c r="BY315" i="3"/>
  <c r="BY317" i="3" s="1"/>
  <c r="CB106" i="17"/>
  <c r="CB99" i="17"/>
  <c r="CB105" i="17"/>
  <c r="CB102" i="17"/>
  <c r="CB98" i="17"/>
  <c r="CB100" i="17"/>
  <c r="CB104" i="17"/>
  <c r="CB103" i="17"/>
  <c r="CB101" i="17"/>
  <c r="CA83" i="3"/>
  <c r="AH10" i="17"/>
  <c r="AH11" i="17" s="1"/>
  <c r="AH295" i="3"/>
  <c r="AG16" i="17"/>
  <c r="AG160" i="3" s="1"/>
  <c r="AG161" i="3" s="1"/>
  <c r="AG112" i="3" s="1"/>
  <c r="AG19" i="17"/>
  <c r="AG158" i="3" s="1"/>
  <c r="AG162" i="3" s="1"/>
  <c r="AF87" i="15"/>
  <c r="CB95" i="17" l="1"/>
  <c r="CB82" i="3"/>
  <c r="BZ307" i="3"/>
  <c r="CA108" i="3"/>
  <c r="CA32" i="17"/>
  <c r="CA60" i="15"/>
  <c r="CA315" i="3"/>
  <c r="CA317" i="3" s="1"/>
  <c r="BY326" i="3"/>
  <c r="BY325" i="3"/>
  <c r="CD70" i="3"/>
  <c r="CD66" i="3"/>
  <c r="CD54" i="3"/>
  <c r="CD94" i="17" s="1"/>
  <c r="CH106" i="21"/>
  <c r="CG22" i="21"/>
  <c r="CG67" i="21"/>
  <c r="CG106" i="21"/>
  <c r="CG93" i="21"/>
  <c r="CC86" i="17"/>
  <c r="CC106" i="17" s="1"/>
  <c r="CB33" i="17"/>
  <c r="CB102" i="3"/>
  <c r="CB25" i="17"/>
  <c r="CB107" i="3"/>
  <c r="CB98" i="15"/>
  <c r="CB95" i="3"/>
  <c r="CB96" i="3" s="1"/>
  <c r="CB214" i="3"/>
  <c r="CB98" i="3"/>
  <c r="CG39" i="3"/>
  <c r="CG87" i="3"/>
  <c r="CG90" i="3" s="1"/>
  <c r="CG327" i="3" s="1"/>
  <c r="CB83" i="3"/>
  <c r="CB101" i="3"/>
  <c r="CB109" i="3" s="1"/>
  <c r="CB110" i="3" s="1"/>
  <c r="CF29" i="21"/>
  <c r="CF28" i="21"/>
  <c r="CF81" i="21"/>
  <c r="CF44" i="3"/>
  <c r="CE71" i="3"/>
  <c r="CE43" i="3"/>
  <c r="BZ108" i="3"/>
  <c r="BZ308" i="3" s="1"/>
  <c r="BZ32" i="17"/>
  <c r="BZ315" i="3"/>
  <c r="BZ317" i="3" s="1"/>
  <c r="BZ60" i="15"/>
  <c r="CG63" i="3"/>
  <c r="CG89" i="17"/>
  <c r="CC56" i="3"/>
  <c r="AG218" i="3"/>
  <c r="AG155" i="3"/>
  <c r="AG26" i="17"/>
  <c r="AG27" i="17" s="1"/>
  <c r="AG113" i="3"/>
  <c r="AH16" i="17"/>
  <c r="AH160" i="3" s="1"/>
  <c r="AH161" i="3" s="1"/>
  <c r="AH112" i="3" s="1"/>
  <c r="AH19" i="17"/>
  <c r="AH158" i="3" s="1"/>
  <c r="AH162" i="3" s="1"/>
  <c r="CA307" i="3" l="1"/>
  <c r="CA308" i="3"/>
  <c r="CG44" i="3"/>
  <c r="CG28" i="21"/>
  <c r="CG29" i="21"/>
  <c r="CG81" i="21"/>
  <c r="CC97" i="3"/>
  <c r="CC95" i="17"/>
  <c r="CC82" i="3"/>
  <c r="CC59" i="3"/>
  <c r="BZ326" i="3"/>
  <c r="BZ325" i="3"/>
  <c r="CD86" i="17"/>
  <c r="CF71" i="3"/>
  <c r="CF43" i="3"/>
  <c r="CB60" i="15"/>
  <c r="CB108" i="3"/>
  <c r="CB315" i="3"/>
  <c r="CB317" i="3" s="1"/>
  <c r="CB32" i="17"/>
  <c r="CC103" i="17"/>
  <c r="CC104" i="17"/>
  <c r="CC105" i="17"/>
  <c r="CC102" i="17"/>
  <c r="CC100" i="17"/>
  <c r="CC99" i="17"/>
  <c r="CC98" i="17"/>
  <c r="CC101" i="17"/>
  <c r="CA326" i="3"/>
  <c r="CA325" i="3"/>
  <c r="CE66" i="3"/>
  <c r="CE70" i="3"/>
  <c r="CE54" i="3"/>
  <c r="CE94" i="17" s="1"/>
  <c r="CE86" i="17" s="1"/>
  <c r="CD56" i="3"/>
  <c r="AG39" i="17"/>
  <c r="AH218" i="3"/>
  <c r="AH155" i="3"/>
  <c r="AH26" i="17"/>
  <c r="AH27" i="17" s="1"/>
  <c r="AG116" i="3"/>
  <c r="AG34" i="17"/>
  <c r="AG41" i="17" s="1"/>
  <c r="AG114" i="3"/>
  <c r="CE56" i="3" l="1"/>
  <c r="CE95" i="17" s="1"/>
  <c r="CF70" i="3"/>
  <c r="CF66" i="3"/>
  <c r="CF54" i="3"/>
  <c r="CF94" i="17" s="1"/>
  <c r="AG40" i="17"/>
  <c r="CE106" i="17"/>
  <c r="CE105" i="17"/>
  <c r="CE104" i="17"/>
  <c r="CE102" i="17"/>
  <c r="CE98" i="17"/>
  <c r="CE103" i="17"/>
  <c r="CE99" i="17"/>
  <c r="CE100" i="17"/>
  <c r="CE101" i="17"/>
  <c r="CC33" i="17"/>
  <c r="CC98" i="15"/>
  <c r="CC98" i="3"/>
  <c r="CC214" i="3"/>
  <c r="CC25" i="17"/>
  <c r="CC102" i="3"/>
  <c r="CC107" i="3"/>
  <c r="CC95" i="3"/>
  <c r="CC96" i="3" s="1"/>
  <c r="CG43" i="3"/>
  <c r="CG71" i="3"/>
  <c r="CD102" i="17"/>
  <c r="CD98" i="17"/>
  <c r="CD105" i="17"/>
  <c r="CD104" i="17"/>
  <c r="CD103" i="17"/>
  <c r="CD99" i="17"/>
  <c r="CD100" i="17"/>
  <c r="CD101" i="17"/>
  <c r="CC83" i="3"/>
  <c r="CC101" i="3"/>
  <c r="CC109" i="3" s="1"/>
  <c r="CC110" i="3" s="1"/>
  <c r="CB307" i="3"/>
  <c r="CB308" i="3"/>
  <c r="CD97" i="3"/>
  <c r="CD82" i="3"/>
  <c r="CD95" i="17"/>
  <c r="CD59" i="3"/>
  <c r="CB325" i="3"/>
  <c r="CB326" i="3"/>
  <c r="CD106" i="17"/>
  <c r="AG117" i="3"/>
  <c r="AG215" i="3" s="1"/>
  <c r="AH39" i="17"/>
  <c r="AG118" i="3"/>
  <c r="AG122" i="3" s="1"/>
  <c r="CE97" i="3" l="1"/>
  <c r="CE33" i="17" s="1"/>
  <c r="CE82" i="3"/>
  <c r="CE59" i="3"/>
  <c r="CE101" i="3" s="1"/>
  <c r="CE109" i="3" s="1"/>
  <c r="CE110" i="3" s="1"/>
  <c r="AG121" i="3"/>
  <c r="CD83" i="3"/>
  <c r="CD101" i="3"/>
  <c r="CD109" i="3" s="1"/>
  <c r="CD110" i="3" s="1"/>
  <c r="CC307" i="3"/>
  <c r="CF86" i="17"/>
  <c r="CF106" i="17" s="1"/>
  <c r="CG66" i="3"/>
  <c r="CG54" i="3"/>
  <c r="CG94" i="17" s="1"/>
  <c r="CG70" i="3"/>
  <c r="CD25" i="17"/>
  <c r="CD95" i="3"/>
  <c r="CD96" i="3" s="1"/>
  <c r="CD107" i="3"/>
  <c r="CD214" i="3"/>
  <c r="CD98" i="3"/>
  <c r="CD98" i="15"/>
  <c r="CD33" i="17"/>
  <c r="CD102" i="3"/>
  <c r="CC32" i="17"/>
  <c r="CC315" i="3"/>
  <c r="CC317" i="3" s="1"/>
  <c r="CC60" i="15"/>
  <c r="CC108" i="3"/>
  <c r="CC308" i="3" s="1"/>
  <c r="CE95" i="3"/>
  <c r="CE96" i="3" s="1"/>
  <c r="CF56" i="3"/>
  <c r="AG127" i="3"/>
  <c r="AG123" i="3" s="1"/>
  <c r="AG290" i="3"/>
  <c r="AG216" i="3"/>
  <c r="AG61" i="15" s="1"/>
  <c r="AG62" i="15" s="1"/>
  <c r="AG66" i="15" s="1"/>
  <c r="CE98" i="3" l="1"/>
  <c r="CE98" i="15"/>
  <c r="CE214" i="3"/>
  <c r="CE25" i="17"/>
  <c r="CE102" i="3"/>
  <c r="CE107" i="3"/>
  <c r="CE108" i="3" s="1"/>
  <c r="CE83" i="3"/>
  <c r="CD307" i="3"/>
  <c r="CD60" i="15"/>
  <c r="CD108" i="3"/>
  <c r="CD308" i="3" s="1"/>
  <c r="CD32" i="17"/>
  <c r="CD315" i="3"/>
  <c r="CD317" i="3" s="1"/>
  <c r="CC325" i="3"/>
  <c r="CC326" i="3"/>
  <c r="CG86" i="17"/>
  <c r="CF95" i="17"/>
  <c r="CF97" i="3"/>
  <c r="CF59" i="3"/>
  <c r="CF82" i="3"/>
  <c r="CG56" i="3"/>
  <c r="CF99" i="17"/>
  <c r="CF100" i="17"/>
  <c r="CF102" i="17"/>
  <c r="CF98" i="17"/>
  <c r="CF105" i="17"/>
  <c r="CF103" i="17"/>
  <c r="CF104" i="17"/>
  <c r="CF101" i="17"/>
  <c r="AG204" i="3"/>
  <c r="AG205" i="3" s="1"/>
  <c r="AH202" i="3" s="1"/>
  <c r="AG206" i="3"/>
  <c r="AG143" i="3" s="1"/>
  <c r="AG281" i="3"/>
  <c r="AH331" i="3"/>
  <c r="AG292" i="3"/>
  <c r="AG337" i="3"/>
  <c r="AG338" i="3" s="1"/>
  <c r="AG332" i="3"/>
  <c r="AG333" i="3" s="1"/>
  <c r="AH139" i="3"/>
  <c r="AG128" i="3"/>
  <c r="AG221" i="3"/>
  <c r="AG126" i="3"/>
  <c r="CE60" i="15" l="1"/>
  <c r="CE315" i="3"/>
  <c r="CE317" i="3" s="1"/>
  <c r="CE326" i="3" s="1"/>
  <c r="CE32" i="17"/>
  <c r="CE308" i="3"/>
  <c r="CE307" i="3"/>
  <c r="CF33" i="17"/>
  <c r="CF98" i="15"/>
  <c r="CF95" i="3"/>
  <c r="CF96" i="3" s="1"/>
  <c r="CF107" i="3"/>
  <c r="CF102" i="3"/>
  <c r="CF214" i="3"/>
  <c r="CF98" i="3"/>
  <c r="CF25" i="17"/>
  <c r="CE325" i="3"/>
  <c r="CG97" i="3"/>
  <c r="CG82" i="3"/>
  <c r="CG95" i="17"/>
  <c r="CG59" i="3"/>
  <c r="CG98" i="17"/>
  <c r="CG104" i="17"/>
  <c r="CG102" i="17"/>
  <c r="CG103" i="17"/>
  <c r="CG105" i="17"/>
  <c r="CG99" i="17"/>
  <c r="CG100" i="17"/>
  <c r="CG101" i="17"/>
  <c r="CD325" i="3"/>
  <c r="CD326" i="3"/>
  <c r="CF83" i="3"/>
  <c r="CF101" i="3"/>
  <c r="CF109" i="3" s="1"/>
  <c r="CF110" i="3" s="1"/>
  <c r="CG106" i="17"/>
  <c r="AG35" i="17"/>
  <c r="AH138" i="3"/>
  <c r="AH103" i="15"/>
  <c r="AG210" i="3"/>
  <c r="AG213" i="3" s="1"/>
  <c r="AG339" i="3"/>
  <c r="AG341" i="3" s="1"/>
  <c r="AG134" i="3"/>
  <c r="AG132" i="3"/>
  <c r="AG133" i="3"/>
  <c r="AG131" i="3"/>
  <c r="AG239" i="3"/>
  <c r="AG245" i="3"/>
  <c r="AG100" i="15"/>
  <c r="AG147" i="3"/>
  <c r="AG149" i="3" s="1"/>
  <c r="AG150" i="3" s="1"/>
  <c r="AG151" i="3" s="1"/>
  <c r="AG75" i="15" s="1"/>
  <c r="AG284" i="3"/>
  <c r="CG83" i="3" l="1"/>
  <c r="CG101" i="3"/>
  <c r="CG109" i="3" s="1"/>
  <c r="CG110" i="3" s="1"/>
  <c r="CF60" i="15"/>
  <c r="CF108" i="3"/>
  <c r="CF308" i="3" s="1"/>
  <c r="CF32" i="17"/>
  <c r="CF315" i="3"/>
  <c r="CF317" i="3" s="1"/>
  <c r="CG33" i="17"/>
  <c r="CG95" i="3"/>
  <c r="CG96" i="3" s="1"/>
  <c r="CG25" i="17"/>
  <c r="CG107" i="3"/>
  <c r="CG98" i="3"/>
  <c r="CG102" i="3"/>
  <c r="CG214" i="3"/>
  <c r="CG98" i="15"/>
  <c r="CF307" i="3"/>
  <c r="AG135" i="3"/>
  <c r="AG141" i="3"/>
  <c r="AG250" i="3"/>
  <c r="AG244" i="3"/>
  <c r="AH137" i="3"/>
  <c r="AH234" i="3" s="1"/>
  <c r="AH237" i="3" s="1"/>
  <c r="AG242" i="3"/>
  <c r="AG255" i="3"/>
  <c r="CF325" i="3" l="1"/>
  <c r="CF326" i="3"/>
  <c r="CG307" i="3"/>
  <c r="CG32" i="17"/>
  <c r="CG60" i="15"/>
  <c r="CG108" i="3"/>
  <c r="CG308" i="3" s="1"/>
  <c r="CG315" i="3"/>
  <c r="CG317" i="3" s="1"/>
  <c r="AH240" i="3"/>
  <c r="AG243" i="3"/>
  <c r="AH111" i="3"/>
  <c r="AG294" i="3"/>
  <c r="AG296" i="3" s="1"/>
  <c r="AG12" i="17"/>
  <c r="AG13" i="17" s="1"/>
  <c r="AG260" i="3"/>
  <c r="AG74" i="15"/>
  <c r="AG76" i="15" s="1"/>
  <c r="AG101" i="15"/>
  <c r="CH308" i="3" l="1"/>
  <c r="CH307" i="3"/>
  <c r="CG325" i="3"/>
  <c r="CG326" i="3"/>
  <c r="AG78" i="15"/>
  <c r="G71" i="15"/>
  <c r="B125" i="15" s="1"/>
  <c r="AH113" i="3"/>
  <c r="AH263" i="3"/>
  <c r="AG298" i="3"/>
  <c r="AG43" i="17" s="1"/>
  <c r="AG286" i="3"/>
  <c r="AG293" i="3" s="1"/>
  <c r="AG14" i="17"/>
  <c r="AG42" i="17"/>
  <c r="AG99" i="15"/>
  <c r="AG297" i="3"/>
  <c r="CI308" i="3" l="1"/>
  <c r="CI307" i="3"/>
  <c r="AG81" i="15"/>
  <c r="AG86" i="15" s="1"/>
  <c r="AG79" i="15"/>
  <c r="AG84" i="15" s="1"/>
  <c r="AG80" i="15"/>
  <c r="AG85" i="15" s="1"/>
  <c r="AH269" i="3"/>
  <c r="AH116" i="3"/>
  <c r="AH34" i="17"/>
  <c r="AH114" i="3"/>
  <c r="CJ308" i="3" l="1"/>
  <c r="CJ307" i="3"/>
  <c r="AH41" i="17"/>
  <c r="AH40" i="17"/>
  <c r="AG90" i="15"/>
  <c r="AG87" i="15"/>
  <c r="AB90" i="15"/>
  <c r="AF90" i="15"/>
  <c r="Y90" i="15"/>
  <c r="X90" i="15"/>
  <c r="AA90" i="15"/>
  <c r="AE90" i="15"/>
  <c r="Z90" i="15"/>
  <c r="AC90" i="15"/>
  <c r="AD90" i="15"/>
  <c r="AG92" i="15"/>
  <c r="AD92" i="15"/>
  <c r="X92" i="15"/>
  <c r="AF92" i="15"/>
  <c r="Y92" i="15"/>
  <c r="AE92" i="15"/>
  <c r="AB92" i="15"/>
  <c r="AA92" i="15"/>
  <c r="Z92" i="15"/>
  <c r="AC92" i="15"/>
  <c r="AH118" i="3"/>
  <c r="AH121" i="3" s="1"/>
  <c r="AG91" i="15"/>
  <c r="AA91" i="15"/>
  <c r="AE91" i="15"/>
  <c r="AF91" i="15"/>
  <c r="X91" i="15"/>
  <c r="AB91" i="15"/>
  <c r="Z91" i="15"/>
  <c r="AD91" i="15"/>
  <c r="Y91" i="15"/>
  <c r="AC91" i="15"/>
  <c r="AH117" i="3"/>
  <c r="AH215" i="3" s="1"/>
  <c r="AE93" i="15" l="1"/>
  <c r="AH122" i="3"/>
  <c r="AH290" i="3" s="1"/>
  <c r="CK308" i="3"/>
  <c r="CK307" i="3"/>
  <c r="Y93" i="15"/>
  <c r="F125" i="15" s="1"/>
  <c r="AH127" i="3"/>
  <c r="AH123" i="3" s="1"/>
  <c r="AF93" i="15"/>
  <c r="AD93" i="15"/>
  <c r="AC93" i="15"/>
  <c r="X93" i="15"/>
  <c r="D125" i="15" s="1"/>
  <c r="Z93" i="15"/>
  <c r="AG93" i="15"/>
  <c r="AH216" i="3"/>
  <c r="AH61" i="15" s="1"/>
  <c r="AH62" i="15" s="1"/>
  <c r="AH66" i="15" s="1"/>
  <c r="AA93" i="15"/>
  <c r="AB93" i="15"/>
  <c r="AH126" i="3" l="1"/>
  <c r="AH339" i="3" s="1"/>
  <c r="AI139" i="3"/>
  <c r="AI103" i="15" s="1"/>
  <c r="AH221" i="3"/>
  <c r="AH147" i="3" s="1"/>
  <c r="AH149" i="3" s="1"/>
  <c r="AH150" i="3" s="1"/>
  <c r="AH151" i="3" s="1"/>
  <c r="AH75" i="15" s="1"/>
  <c r="CL308" i="3"/>
  <c r="CL307" i="3"/>
  <c r="AH128" i="3"/>
  <c r="E125" i="15"/>
  <c r="AH204" i="3"/>
  <c r="AH205" i="3" s="1"/>
  <c r="AI202" i="3" s="1"/>
  <c r="AH206" i="3"/>
  <c r="AH143" i="3" s="1"/>
  <c r="AH281" i="3"/>
  <c r="AH292" i="3"/>
  <c r="AH332" i="3"/>
  <c r="AH333" i="3" s="1"/>
  <c r="AI331" i="3"/>
  <c r="AH337" i="3"/>
  <c r="AH338" i="3" s="1"/>
  <c r="AH134" i="3"/>
  <c r="AH132" i="3" l="1"/>
  <c r="AH210" i="3"/>
  <c r="AH213" i="3" s="1"/>
  <c r="AH131" i="3"/>
  <c r="AH133" i="3"/>
  <c r="AH135" i="3" s="1"/>
  <c r="AI138" i="3"/>
  <c r="AI137" i="3" s="1"/>
  <c r="AI234" i="3" s="1"/>
  <c r="AH245" i="3"/>
  <c r="AH244" i="3" s="1"/>
  <c r="AH239" i="3"/>
  <c r="AH242" i="3" s="1"/>
  <c r="AH100" i="15"/>
  <c r="CM308" i="3"/>
  <c r="CM307" i="3"/>
  <c r="AH284" i="3"/>
  <c r="AH35" i="17"/>
  <c r="AH341" i="3"/>
  <c r="AH141" i="3" l="1"/>
  <c r="AH250" i="3"/>
  <c r="AH101" i="15" s="1"/>
  <c r="AH255" i="3"/>
  <c r="AI111" i="3" s="1"/>
  <c r="CN308" i="3"/>
  <c r="CN307" i="3"/>
  <c r="AI240" i="3"/>
  <c r="AI232" i="3"/>
  <c r="AH294" i="3" l="1"/>
  <c r="AH296" i="3" s="1"/>
  <c r="AH297" i="3" s="1"/>
  <c r="AH243" i="3"/>
  <c r="AH12" i="17"/>
  <c r="AH13" i="17" s="1"/>
  <c r="AH14" i="17" s="1"/>
  <c r="AH74" i="15"/>
  <c r="AH260" i="3"/>
  <c r="AH298" i="3" s="1"/>
  <c r="AH43" i="17" s="1"/>
  <c r="CO308" i="3"/>
  <c r="CO307" i="3"/>
  <c r="AI237" i="3"/>
  <c r="AI279" i="3"/>
  <c r="AI263" i="3"/>
  <c r="AH99" i="15"/>
  <c r="AH42" i="17" l="1"/>
  <c r="AH286" i="3"/>
  <c r="AH293" i="3" s="1"/>
  <c r="CP308" i="3"/>
  <c r="CP307" i="3"/>
  <c r="AI269" i="3"/>
  <c r="AI10" i="17"/>
  <c r="AI11" i="17" s="1"/>
  <c r="AI295" i="3"/>
  <c r="AI16" i="17" l="1"/>
  <c r="AI160" i="3" s="1"/>
  <c r="AI161" i="3" s="1"/>
  <c r="AI112" i="3" s="1"/>
  <c r="AI19" i="17"/>
  <c r="AI158" i="3" s="1"/>
  <c r="AI162" i="3" s="1"/>
  <c r="AI218" i="3" l="1"/>
  <c r="AI26" i="17"/>
  <c r="AI27" i="17" s="1"/>
  <c r="AI155" i="3"/>
  <c r="AI113" i="3"/>
  <c r="AI39" i="17" l="1"/>
  <c r="AI116" i="3"/>
  <c r="AI34" i="17"/>
  <c r="AI41" i="17" s="1"/>
  <c r="AI114" i="3"/>
  <c r="AI40" i="17" l="1"/>
  <c r="AI117" i="3"/>
  <c r="AI215" i="3" s="1"/>
  <c r="AI118" i="3"/>
  <c r="AI121" i="3" s="1"/>
  <c r="AI127" i="3" l="1"/>
  <c r="AI122" i="3"/>
  <c r="AI216" i="3"/>
  <c r="AI204" i="3" l="1"/>
  <c r="AI205" i="3" s="1"/>
  <c r="AJ202" i="3" s="1"/>
  <c r="AI206" i="3"/>
  <c r="AI143" i="3" s="1"/>
  <c r="AI281" i="3"/>
  <c r="AI128" i="3"/>
  <c r="AI126" i="3"/>
  <c r="AI290" i="3"/>
  <c r="AI221" i="3"/>
  <c r="AI61" i="15"/>
  <c r="AI62" i="15" s="1"/>
  <c r="AI66" i="15" s="1"/>
  <c r="AJ139" i="3"/>
  <c r="AI123" i="3"/>
  <c r="AI284" i="3" l="1"/>
  <c r="AJ138" i="3"/>
  <c r="AJ103" i="15"/>
  <c r="AI337" i="3"/>
  <c r="AI338" i="3" s="1"/>
  <c r="AI292" i="3"/>
  <c r="AJ331" i="3"/>
  <c r="AI332" i="3"/>
  <c r="AI333" i="3" s="1"/>
  <c r="AI131" i="3"/>
  <c r="AI134" i="3"/>
  <c r="AI133" i="3"/>
  <c r="AI210" i="3"/>
  <c r="AI213" i="3" s="1"/>
  <c r="AI339" i="3"/>
  <c r="AI132" i="3"/>
  <c r="AI239" i="3"/>
  <c r="AI147" i="3"/>
  <c r="AI149" i="3" s="1"/>
  <c r="AI150" i="3" s="1"/>
  <c r="AI151" i="3" s="1"/>
  <c r="AI75" i="15" s="1"/>
  <c r="AI245" i="3"/>
  <c r="AI100" i="15"/>
  <c r="AI242" i="3" l="1"/>
  <c r="AI255" i="3"/>
  <c r="AI341" i="3"/>
  <c r="AI244" i="3"/>
  <c r="AI250" i="3"/>
  <c r="AI135" i="3"/>
  <c r="AI141" i="3"/>
  <c r="AJ137" i="3"/>
  <c r="AJ234" i="3" s="1"/>
  <c r="AI35" i="17"/>
  <c r="AJ232" i="3" l="1"/>
  <c r="AJ111" i="3"/>
  <c r="AI294" i="3"/>
  <c r="AI296" i="3" s="1"/>
  <c r="AI12" i="17"/>
  <c r="AI13" i="17" s="1"/>
  <c r="AI260" i="3"/>
  <c r="AI74" i="15"/>
  <c r="AI101" i="15"/>
  <c r="AJ240" i="3"/>
  <c r="AI243" i="3"/>
  <c r="AJ263" i="3" l="1"/>
  <c r="AI298" i="3"/>
  <c r="AI43" i="17" s="1"/>
  <c r="AI286" i="3"/>
  <c r="AI293" i="3" s="1"/>
  <c r="AI14" i="17"/>
  <c r="AI42" i="17"/>
  <c r="AJ237" i="3"/>
  <c r="AJ279" i="3"/>
  <c r="AI297" i="3"/>
  <c r="AI99" i="15"/>
  <c r="AJ269" i="3" l="1"/>
  <c r="AK279" i="3"/>
  <c r="AJ10" i="17"/>
  <c r="AJ11" i="17" s="1"/>
  <c r="AJ295" i="3"/>
  <c r="AK10" i="17" l="1"/>
  <c r="AK11" i="17" s="1"/>
  <c r="AL279" i="3"/>
  <c r="AK295" i="3"/>
  <c r="AJ16" i="17"/>
  <c r="AJ160" i="3" s="1"/>
  <c r="AJ161" i="3" s="1"/>
  <c r="AJ112" i="3" s="1"/>
  <c r="AJ19" i="17"/>
  <c r="AJ158" i="3" s="1"/>
  <c r="AJ162" i="3" s="1"/>
  <c r="AJ218" i="3" l="1"/>
  <c r="AJ26" i="17"/>
  <c r="AJ27" i="17" s="1"/>
  <c r="AJ155" i="3"/>
  <c r="AJ113" i="3"/>
  <c r="AL10" i="17"/>
  <c r="AL11" i="17" s="1"/>
  <c r="AM279" i="3"/>
  <c r="AL295" i="3"/>
  <c r="AK16" i="17"/>
  <c r="AK160" i="3" s="1"/>
  <c r="AK161" i="3" s="1"/>
  <c r="AK112" i="3" s="1"/>
  <c r="AK19" i="17"/>
  <c r="AK158" i="3" s="1"/>
  <c r="AK162" i="3" s="1"/>
  <c r="AL16" i="17" l="1"/>
  <c r="AL160" i="3" s="1"/>
  <c r="AL161" i="3" s="1"/>
  <c r="AL112" i="3" s="1"/>
  <c r="AL19" i="17"/>
  <c r="AL158" i="3" s="1"/>
  <c r="AL162" i="3" s="1"/>
  <c r="AM10" i="17"/>
  <c r="AM11" i="17" s="1"/>
  <c r="AN279" i="3"/>
  <c r="AM295" i="3"/>
  <c r="AJ116" i="3"/>
  <c r="AJ34" i="17"/>
  <c r="AJ41" i="17" s="1"/>
  <c r="AJ114" i="3"/>
  <c r="AK218" i="3"/>
  <c r="AK26" i="17"/>
  <c r="AK27" i="17" s="1"/>
  <c r="AK155" i="3"/>
  <c r="AJ39" i="17"/>
  <c r="AJ40" i="17" l="1"/>
  <c r="AK39" i="17"/>
  <c r="AJ117" i="3"/>
  <c r="AJ215" i="3" s="1"/>
  <c r="AM16" i="17"/>
  <c r="AM160" i="3" s="1"/>
  <c r="AM161" i="3" s="1"/>
  <c r="AM112" i="3" s="1"/>
  <c r="AM19" i="17"/>
  <c r="AM158" i="3" s="1"/>
  <c r="AM162" i="3" s="1"/>
  <c r="AJ118" i="3"/>
  <c r="AJ121" i="3" s="1"/>
  <c r="AN10" i="17"/>
  <c r="AN11" i="17" s="1"/>
  <c r="AN295" i="3"/>
  <c r="AL218" i="3"/>
  <c r="AL26" i="17"/>
  <c r="AL27" i="17" s="1"/>
  <c r="AL155" i="3"/>
  <c r="AJ127" i="3" l="1"/>
  <c r="AN16" i="17"/>
  <c r="AN160" i="3" s="1"/>
  <c r="AN161" i="3" s="1"/>
  <c r="AN112" i="3" s="1"/>
  <c r="AN19" i="17"/>
  <c r="AN158" i="3" s="1"/>
  <c r="AN162" i="3" s="1"/>
  <c r="AJ122" i="3"/>
  <c r="AJ216" i="3"/>
  <c r="AJ221" i="3" s="1"/>
  <c r="AL39" i="17"/>
  <c r="AM218" i="3"/>
  <c r="AM155" i="3"/>
  <c r="AM26" i="17"/>
  <c r="AM27" i="17" s="1"/>
  <c r="AJ61" i="15" l="1"/>
  <c r="AJ62" i="15" s="1"/>
  <c r="AJ66" i="15" s="1"/>
  <c r="AJ239" i="3"/>
  <c r="AJ147" i="3"/>
  <c r="AJ149" i="3" s="1"/>
  <c r="AJ150" i="3" s="1"/>
  <c r="AJ151" i="3" s="1"/>
  <c r="AJ75" i="15" s="1"/>
  <c r="AJ245" i="3"/>
  <c r="AJ100" i="15"/>
  <c r="AJ204" i="3"/>
  <c r="AJ205" i="3" s="1"/>
  <c r="AK202" i="3" s="1"/>
  <c r="AJ206" i="3"/>
  <c r="AJ143" i="3" s="1"/>
  <c r="AJ281" i="3"/>
  <c r="AJ128" i="3"/>
  <c r="AJ126" i="3"/>
  <c r="AJ290" i="3"/>
  <c r="AN218" i="3"/>
  <c r="AN26" i="17"/>
  <c r="AN27" i="17" s="1"/>
  <c r="AN155" i="3"/>
  <c r="AM39" i="17"/>
  <c r="AK139" i="3"/>
  <c r="AJ123" i="3"/>
  <c r="AJ332" i="3" l="1"/>
  <c r="AJ333" i="3" s="1"/>
  <c r="AK331" i="3"/>
  <c r="AJ292" i="3"/>
  <c r="AJ337" i="3"/>
  <c r="AJ338" i="3" s="1"/>
  <c r="AJ250" i="3"/>
  <c r="AJ244" i="3"/>
  <c r="AN39" i="17"/>
  <c r="AJ210" i="3"/>
  <c r="AJ213" i="3" s="1"/>
  <c r="AJ133" i="3"/>
  <c r="AJ339" i="3"/>
  <c r="AJ132" i="3"/>
  <c r="AJ134" i="3"/>
  <c r="AJ131" i="3"/>
  <c r="AJ284" i="3"/>
  <c r="AK138" i="3"/>
  <c r="AK137" i="3" s="1"/>
  <c r="AK234" i="3" s="1"/>
  <c r="AK237" i="3" s="1"/>
  <c r="AK103" i="15"/>
  <c r="AJ242" i="3"/>
  <c r="AJ255" i="3"/>
  <c r="AJ135" i="3" l="1"/>
  <c r="AJ141" i="3"/>
  <c r="AK111" i="3"/>
  <c r="AJ294" i="3"/>
  <c r="AJ296" i="3" s="1"/>
  <c r="AJ12" i="17"/>
  <c r="AJ13" i="17" s="1"/>
  <c r="AJ260" i="3"/>
  <c r="AJ298" i="3" s="1"/>
  <c r="AJ43" i="17" s="1"/>
  <c r="AK240" i="3"/>
  <c r="AJ243" i="3"/>
  <c r="AJ35" i="17"/>
  <c r="AJ101" i="15"/>
  <c r="AJ74" i="15"/>
  <c r="AJ286" i="3"/>
  <c r="AJ293" i="3" s="1"/>
  <c r="AJ341" i="3"/>
  <c r="AK113" i="3" l="1"/>
  <c r="AK263" i="3"/>
  <c r="AJ14" i="17"/>
  <c r="AJ42" i="17"/>
  <c r="AJ297" i="3"/>
  <c r="AJ99" i="15"/>
  <c r="AK269" i="3" l="1"/>
  <c r="AK116" i="3"/>
  <c r="AK34" i="17"/>
  <c r="AK114" i="3"/>
  <c r="AK41" i="17" l="1"/>
  <c r="AK40" i="17"/>
  <c r="AK117" i="3"/>
  <c r="AK215" i="3" s="1"/>
  <c r="AK118" i="3"/>
  <c r="AK122" i="3" s="1"/>
  <c r="AK121" i="3" l="1"/>
  <c r="AK290" i="3"/>
  <c r="AK216" i="3"/>
  <c r="AK61" i="15" s="1"/>
  <c r="AK62" i="15" s="1"/>
  <c r="AK66" i="15" s="1"/>
  <c r="AK127" i="3" l="1"/>
  <c r="AK126" i="3" s="1"/>
  <c r="AK339" i="3" s="1"/>
  <c r="AK204" i="3"/>
  <c r="AK205" i="3" s="1"/>
  <c r="AL202" i="3" s="1"/>
  <c r="AK206" i="3"/>
  <c r="AK143" i="3" s="1"/>
  <c r="AK281" i="3"/>
  <c r="AL139" i="3"/>
  <c r="AK337" i="3"/>
  <c r="AK338" i="3" s="1"/>
  <c r="AK292" i="3"/>
  <c r="AL331" i="3"/>
  <c r="AK332" i="3"/>
  <c r="AK333" i="3" s="1"/>
  <c r="AK221" i="3"/>
  <c r="AK128" i="3" l="1"/>
  <c r="AK134" i="3"/>
  <c r="AK210" i="3"/>
  <c r="AK213" i="3" s="1"/>
  <c r="AK131" i="3"/>
  <c r="AK132" i="3"/>
  <c r="AK133" i="3"/>
  <c r="AK135" i="3" s="1"/>
  <c r="AK123" i="3"/>
  <c r="AK239" i="3"/>
  <c r="AK100" i="15"/>
  <c r="AK245" i="3"/>
  <c r="AK147" i="3"/>
  <c r="AK149" i="3" s="1"/>
  <c r="AK150" i="3" s="1"/>
  <c r="AK151" i="3" s="1"/>
  <c r="AK75" i="15" s="1"/>
  <c r="AK35" i="17"/>
  <c r="AK284" i="3"/>
  <c r="AL138" i="3"/>
  <c r="AL137" i="3" s="1"/>
  <c r="AL234" i="3" s="1"/>
  <c r="AL237" i="3" s="1"/>
  <c r="AL103" i="15"/>
  <c r="AK341" i="3"/>
  <c r="AK141" i="3" l="1"/>
  <c r="AK242" i="3"/>
  <c r="AK255" i="3"/>
  <c r="AK250" i="3"/>
  <c r="AK244" i="3"/>
  <c r="AL240" i="3" l="1"/>
  <c r="AK243" i="3"/>
  <c r="AL111" i="3"/>
  <c r="AK294" i="3"/>
  <c r="AK296" i="3" s="1"/>
  <c r="AK12" i="17"/>
  <c r="AK13" i="17" s="1"/>
  <c r="AK260" i="3"/>
  <c r="AK74" i="15"/>
  <c r="AK101" i="15"/>
  <c r="AL113" i="3" l="1"/>
  <c r="AL263" i="3"/>
  <c r="AK298" i="3"/>
  <c r="AK43" i="17" s="1"/>
  <c r="AK286" i="3"/>
  <c r="AK293" i="3" s="1"/>
  <c r="AK14" i="17"/>
  <c r="AK42" i="17"/>
  <c r="AK99" i="15"/>
  <c r="AK297" i="3"/>
  <c r="AL269" i="3" l="1"/>
  <c r="AL116" i="3"/>
  <c r="AL34" i="17"/>
  <c r="AL114" i="3"/>
  <c r="AL41" i="17" l="1"/>
  <c r="AL40" i="17"/>
  <c r="AL117" i="3"/>
  <c r="AL215" i="3" s="1"/>
  <c r="AL118" i="3"/>
  <c r="AL122" i="3" s="1"/>
  <c r="AL121" i="3" l="1"/>
  <c r="AL127" i="3" s="1"/>
  <c r="AL128" i="3" s="1"/>
  <c r="AL290" i="3"/>
  <c r="AL216" i="3"/>
  <c r="AL61" i="15" s="1"/>
  <c r="AL62" i="15" s="1"/>
  <c r="AL66" i="15" s="1"/>
  <c r="AL123" i="3" l="1"/>
  <c r="AL204" i="3"/>
  <c r="AL205" i="3" s="1"/>
  <c r="AM202" i="3" s="1"/>
  <c r="AL206" i="3"/>
  <c r="AL143" i="3" s="1"/>
  <c r="AL281" i="3"/>
  <c r="AM139" i="3"/>
  <c r="AL292" i="3"/>
  <c r="AL337" i="3"/>
  <c r="AL338" i="3" s="1"/>
  <c r="AL332" i="3"/>
  <c r="AL333" i="3" s="1"/>
  <c r="AM331" i="3"/>
  <c r="AL221" i="3"/>
  <c r="AL126" i="3"/>
  <c r="AL239" i="3" l="1"/>
  <c r="AL100" i="15"/>
  <c r="AL245" i="3"/>
  <c r="AL147" i="3"/>
  <c r="AL149" i="3" s="1"/>
  <c r="AL150" i="3" s="1"/>
  <c r="AL151" i="3" s="1"/>
  <c r="AL75" i="15" s="1"/>
  <c r="AL284" i="3"/>
  <c r="AL35" i="17"/>
  <c r="AL133" i="3"/>
  <c r="AL132" i="3"/>
  <c r="AL131" i="3"/>
  <c r="AL210" i="3"/>
  <c r="AL213" i="3" s="1"/>
  <c r="AL339" i="3"/>
  <c r="AL341" i="3" s="1"/>
  <c r="AL134" i="3"/>
  <c r="AM138" i="3"/>
  <c r="AM137" i="3" s="1"/>
  <c r="AM234" i="3" s="1"/>
  <c r="AM237" i="3" s="1"/>
  <c r="AM103" i="15"/>
  <c r="AL135" i="3" l="1"/>
  <c r="AL141" i="3"/>
  <c r="AL244" i="3"/>
  <c r="AL250" i="3"/>
  <c r="AL242" i="3"/>
  <c r="AL255" i="3"/>
  <c r="AM111" i="3" l="1"/>
  <c r="AL294" i="3"/>
  <c r="AL296" i="3" s="1"/>
  <c r="AL12" i="17"/>
  <c r="AL13" i="17" s="1"/>
  <c r="AL260" i="3"/>
  <c r="AM240" i="3"/>
  <c r="AL243" i="3"/>
  <c r="AL74" i="15"/>
  <c r="AL101" i="15"/>
  <c r="AL14" i="17" l="1"/>
  <c r="AL42" i="17"/>
  <c r="AL297" i="3"/>
  <c r="AL99" i="15"/>
  <c r="AL298" i="3"/>
  <c r="AL43" i="17" s="1"/>
  <c r="AL286" i="3"/>
  <c r="AL293" i="3" s="1"/>
  <c r="AM113" i="3"/>
  <c r="AM263" i="3"/>
  <c r="AM269" i="3" l="1"/>
  <c r="AM116" i="3"/>
  <c r="AM34" i="17"/>
  <c r="AM114" i="3"/>
  <c r="AM41" i="17" l="1"/>
  <c r="AM40" i="17"/>
  <c r="AM117" i="3"/>
  <c r="AM215" i="3" s="1"/>
  <c r="AM118" i="3"/>
  <c r="AM122" i="3" s="1"/>
  <c r="AM121" i="3" l="1"/>
  <c r="AM127" i="3" s="1"/>
  <c r="AM128" i="3" s="1"/>
  <c r="AM290" i="3"/>
  <c r="AM216" i="3"/>
  <c r="AM61" i="15" s="1"/>
  <c r="AM62" i="15" s="1"/>
  <c r="AM66" i="15" s="1"/>
  <c r="AM123" i="3" l="1"/>
  <c r="AN139" i="3"/>
  <c r="AN103" i="15" s="1"/>
  <c r="AM221" i="3"/>
  <c r="AM239" i="3" s="1"/>
  <c r="AM337" i="3"/>
  <c r="AM338" i="3" s="1"/>
  <c r="AM292" i="3"/>
  <c r="AN331" i="3"/>
  <c r="AM332" i="3"/>
  <c r="AM333" i="3" s="1"/>
  <c r="AM204" i="3"/>
  <c r="AM205" i="3" s="1"/>
  <c r="AN202" i="3" s="1"/>
  <c r="AM206" i="3"/>
  <c r="AM143" i="3" s="1"/>
  <c r="AM281" i="3"/>
  <c r="AM126" i="3"/>
  <c r="AN138" i="3" l="1"/>
  <c r="AN137" i="3" s="1"/>
  <c r="AN234" i="3" s="1"/>
  <c r="AN237" i="3" s="1"/>
  <c r="AM245" i="3"/>
  <c r="AM250" i="3" s="1"/>
  <c r="AM100" i="15"/>
  <c r="AM147" i="3"/>
  <c r="AM149" i="3" s="1"/>
  <c r="AM150" i="3" s="1"/>
  <c r="AM151" i="3" s="1"/>
  <c r="AM75" i="15" s="1"/>
  <c r="AM210" i="3"/>
  <c r="AM213" i="3" s="1"/>
  <c r="AM133" i="3"/>
  <c r="AM131" i="3"/>
  <c r="AM134" i="3"/>
  <c r="AM339" i="3"/>
  <c r="AM132" i="3"/>
  <c r="AM242" i="3"/>
  <c r="AM255" i="3"/>
  <c r="AM341" i="3"/>
  <c r="AM284" i="3"/>
  <c r="AM244" i="3"/>
  <c r="AM35" i="17"/>
  <c r="AM101" i="15" l="1"/>
  <c r="AM74" i="15"/>
  <c r="AN111" i="3"/>
  <c r="AM294" i="3"/>
  <c r="AM296" i="3" s="1"/>
  <c r="AM12" i="17"/>
  <c r="AM13" i="17" s="1"/>
  <c r="AM260" i="3"/>
  <c r="AM298" i="3" s="1"/>
  <c r="AM43" i="17" s="1"/>
  <c r="AM135" i="3"/>
  <c r="AM141" i="3"/>
  <c r="AN240" i="3"/>
  <c r="AM243" i="3"/>
  <c r="AN113" i="3" l="1"/>
  <c r="AN263" i="3"/>
  <c r="AM14" i="17"/>
  <c r="AM42" i="17"/>
  <c r="AM99" i="15"/>
  <c r="AM297" i="3"/>
  <c r="AM286" i="3"/>
  <c r="AM293" i="3" s="1"/>
  <c r="AN116" i="3" l="1"/>
  <c r="AN34" i="17"/>
  <c r="AN114" i="3"/>
  <c r="AN269" i="3"/>
  <c r="AN118" i="3" l="1"/>
  <c r="AN121" i="3" s="1"/>
  <c r="AN117" i="3"/>
  <c r="AN215" i="3" s="1"/>
  <c r="AN41" i="17"/>
  <c r="AN40" i="17"/>
  <c r="AN122" i="3" l="1"/>
  <c r="AN290" i="3" s="1"/>
  <c r="AN216" i="3"/>
  <c r="AN61" i="15" s="1"/>
  <c r="AN62" i="15" s="1"/>
  <c r="AN66" i="15" s="1"/>
  <c r="AN127" i="3"/>
  <c r="AN221" i="3" l="1"/>
  <c r="AN126" i="3"/>
  <c r="AN123" i="3"/>
  <c r="AN204" i="3"/>
  <c r="AN205" i="3" s="1"/>
  <c r="AO202" i="3" s="1"/>
  <c r="AN206" i="3"/>
  <c r="AN143" i="3" s="1"/>
  <c r="AN281" i="3"/>
  <c r="AO331" i="3"/>
  <c r="AN337" i="3"/>
  <c r="AN338" i="3" s="1"/>
  <c r="AN332" i="3"/>
  <c r="AN333" i="3" s="1"/>
  <c r="AN292" i="3"/>
  <c r="AO139" i="3"/>
  <c r="AN128" i="3"/>
  <c r="AN239" i="3" l="1"/>
  <c r="AN245" i="3"/>
  <c r="AN147" i="3"/>
  <c r="AN149" i="3" s="1"/>
  <c r="AN150" i="3" s="1"/>
  <c r="AN151" i="3" s="1"/>
  <c r="AN75" i="15" s="1"/>
  <c r="AN100" i="15"/>
  <c r="AN35" i="17"/>
  <c r="AN284" i="3"/>
  <c r="AN134" i="3"/>
  <c r="AN131" i="3"/>
  <c r="AN133" i="3"/>
  <c r="AN339" i="3"/>
  <c r="AN341" i="3" s="1"/>
  <c r="AN132" i="3"/>
  <c r="AN210" i="3"/>
  <c r="AN213" i="3" s="1"/>
  <c r="AO138" i="3"/>
  <c r="AO137" i="3" s="1"/>
  <c r="AO234" i="3" s="1"/>
  <c r="AO103" i="15"/>
  <c r="AN135" i="3" l="1"/>
  <c r="AN141" i="3"/>
  <c r="AN250" i="3"/>
  <c r="AN244" i="3"/>
  <c r="AN242" i="3"/>
  <c r="AN255" i="3"/>
  <c r="AO111" i="3" l="1"/>
  <c r="AO232" i="3"/>
  <c r="AN294" i="3"/>
  <c r="AN296" i="3" s="1"/>
  <c r="AN12" i="17"/>
  <c r="AN13" i="17" s="1"/>
  <c r="AN260" i="3"/>
  <c r="AN101" i="15"/>
  <c r="AN74" i="15"/>
  <c r="AO240" i="3"/>
  <c r="AN243" i="3"/>
  <c r="AN14" i="17" l="1"/>
  <c r="AN42" i="17"/>
  <c r="AN297" i="3"/>
  <c r="AN99" i="15"/>
  <c r="AO237" i="3"/>
  <c r="AO279" i="3"/>
  <c r="AN298" i="3"/>
  <c r="AN43" i="17" s="1"/>
  <c r="AN286" i="3"/>
  <c r="AN293" i="3" s="1"/>
  <c r="AO263" i="3"/>
  <c r="AO269" i="3" l="1"/>
  <c r="AO10" i="17"/>
  <c r="AO11" i="17" s="1"/>
  <c r="AO295" i="3"/>
  <c r="AO16" i="17" l="1"/>
  <c r="AO160" i="3" s="1"/>
  <c r="AO161" i="3" s="1"/>
  <c r="AO112" i="3" s="1"/>
  <c r="AO19" i="17"/>
  <c r="AO158" i="3" s="1"/>
  <c r="AO162" i="3" s="1"/>
  <c r="AO218" i="3" l="1"/>
  <c r="AO155" i="3"/>
  <c r="AO26" i="17"/>
  <c r="AO27" i="17" s="1"/>
  <c r="AO113" i="3"/>
  <c r="AO116" i="3" l="1"/>
  <c r="AO34" i="17"/>
  <c r="AO41" i="17" s="1"/>
  <c r="AO114" i="3"/>
  <c r="AO40" i="17"/>
  <c r="AO39" i="17"/>
  <c r="AO117" i="3" l="1"/>
  <c r="AO215" i="3" s="1"/>
  <c r="AO118" i="3"/>
  <c r="AO122" i="3" s="1"/>
  <c r="AO121" i="3" l="1"/>
  <c r="AO127" i="3" s="1"/>
  <c r="AO290" i="3"/>
  <c r="AO216" i="3"/>
  <c r="AO61" i="15" s="1"/>
  <c r="AO62" i="15" s="1"/>
  <c r="AO66" i="15" s="1"/>
  <c r="AO128" i="3" l="1"/>
  <c r="AO204" i="3"/>
  <c r="AO205" i="3" s="1"/>
  <c r="AP202" i="3" s="1"/>
  <c r="AO206" i="3"/>
  <c r="AO143" i="3" s="1"/>
  <c r="AO281" i="3"/>
  <c r="AO221" i="3"/>
  <c r="AO123" i="3"/>
  <c r="AP331" i="3"/>
  <c r="AO292" i="3"/>
  <c r="AO337" i="3"/>
  <c r="AO338" i="3" s="1"/>
  <c r="AO332" i="3"/>
  <c r="AO333" i="3" s="1"/>
  <c r="AP139" i="3"/>
  <c r="AO126" i="3"/>
  <c r="AO239" i="3" l="1"/>
  <c r="AO245" i="3"/>
  <c r="AO147" i="3"/>
  <c r="AO149" i="3" s="1"/>
  <c r="AO150" i="3" s="1"/>
  <c r="AO151" i="3" s="1"/>
  <c r="AO75" i="15" s="1"/>
  <c r="AO100" i="15"/>
  <c r="AO210" i="3"/>
  <c r="AO213" i="3" s="1"/>
  <c r="AO132" i="3"/>
  <c r="AO339" i="3"/>
  <c r="AO341" i="3" s="1"/>
  <c r="AO131" i="3"/>
  <c r="AO133" i="3"/>
  <c r="AO134" i="3"/>
  <c r="AO35" i="17"/>
  <c r="AP138" i="3"/>
  <c r="AP137" i="3" s="1"/>
  <c r="AP234" i="3" s="1"/>
  <c r="AP103" i="15"/>
  <c r="AO284" i="3"/>
  <c r="AO135" i="3" l="1"/>
  <c r="AO141" i="3"/>
  <c r="AO242" i="3"/>
  <c r="AO255" i="3"/>
  <c r="AO250" i="3"/>
  <c r="AO244" i="3"/>
  <c r="AP240" i="3" l="1"/>
  <c r="AO243" i="3"/>
  <c r="AP111" i="3"/>
  <c r="AP232" i="3"/>
  <c r="AO294" i="3"/>
  <c r="AO296" i="3" s="1"/>
  <c r="AO12" i="17"/>
  <c r="AO13" i="17" s="1"/>
  <c r="AO260" i="3"/>
  <c r="AO101" i="15"/>
  <c r="AO74" i="15"/>
  <c r="AP237" i="3" l="1"/>
  <c r="AP279" i="3"/>
  <c r="AO298" i="3"/>
  <c r="AO43" i="17" s="1"/>
  <c r="AO286" i="3"/>
  <c r="AO293" i="3" s="1"/>
  <c r="AP263" i="3"/>
  <c r="AO14" i="17"/>
  <c r="AO42" i="17"/>
  <c r="AO297" i="3"/>
  <c r="AO99" i="15"/>
  <c r="AP269" i="3" l="1"/>
  <c r="AP10" i="17"/>
  <c r="AP11" i="17" s="1"/>
  <c r="AP295" i="3"/>
  <c r="AP16" i="17" l="1"/>
  <c r="AP160" i="3" s="1"/>
  <c r="AP161" i="3" s="1"/>
  <c r="AP112" i="3" s="1"/>
  <c r="AP19" i="17"/>
  <c r="AP158" i="3" s="1"/>
  <c r="AP162" i="3" s="1"/>
  <c r="AP218" i="3" l="1"/>
  <c r="AP155" i="3"/>
  <c r="AP26" i="17"/>
  <c r="AP27" i="17" s="1"/>
  <c r="AP113" i="3"/>
  <c r="AP116" i="3" l="1"/>
  <c r="AP34" i="17"/>
  <c r="AP41" i="17" s="1"/>
  <c r="AP114" i="3"/>
  <c r="AP40" i="17"/>
  <c r="AP39" i="17"/>
  <c r="AP117" i="3" l="1"/>
  <c r="AP215" i="3" s="1"/>
  <c r="AP118" i="3"/>
  <c r="AP122" i="3" s="1"/>
  <c r="AP121" i="3" l="1"/>
  <c r="AP127" i="3" s="1"/>
  <c r="AP290" i="3"/>
  <c r="AP216" i="3"/>
  <c r="AP61" i="15" s="1"/>
  <c r="AP62" i="15" s="1"/>
  <c r="AP66" i="15" s="1"/>
  <c r="AP221" i="3" l="1"/>
  <c r="AP204" i="3"/>
  <c r="AP205" i="3" s="1"/>
  <c r="AQ202" i="3" s="1"/>
  <c r="AP206" i="3"/>
  <c r="AP143" i="3" s="1"/>
  <c r="AP281" i="3"/>
  <c r="AP126" i="3"/>
  <c r="AP123" i="3"/>
  <c r="AQ331" i="3"/>
  <c r="AP337" i="3"/>
  <c r="AP338" i="3" s="1"/>
  <c r="AP292" i="3"/>
  <c r="AP332" i="3"/>
  <c r="AP333" i="3" s="1"/>
  <c r="AQ139" i="3"/>
  <c r="AP128" i="3"/>
  <c r="AP284" i="3" l="1"/>
  <c r="AP35" i="17"/>
  <c r="AP210" i="3"/>
  <c r="AP213" i="3" s="1"/>
  <c r="AP339" i="3"/>
  <c r="AP341" i="3" s="1"/>
  <c r="AP133" i="3"/>
  <c r="AP131" i="3"/>
  <c r="AP134" i="3"/>
  <c r="AP132" i="3"/>
  <c r="AQ138" i="3"/>
  <c r="AQ137" i="3" s="1"/>
  <c r="AQ234" i="3" s="1"/>
  <c r="AQ103" i="15"/>
  <c r="AP239" i="3"/>
  <c r="AP245" i="3"/>
  <c r="AP100" i="15"/>
  <c r="AP147" i="3"/>
  <c r="AP149" i="3" s="1"/>
  <c r="AP150" i="3" s="1"/>
  <c r="AP151" i="3" s="1"/>
  <c r="AP75" i="15" s="1"/>
  <c r="AP244" i="3" l="1"/>
  <c r="AP250" i="3"/>
  <c r="AP242" i="3"/>
  <c r="AP255" i="3"/>
  <c r="AP135" i="3"/>
  <c r="AP141" i="3"/>
  <c r="AQ111" i="3" l="1"/>
  <c r="AQ232" i="3"/>
  <c r="AP294" i="3"/>
  <c r="AP296" i="3" s="1"/>
  <c r="AP12" i="17"/>
  <c r="AP13" i="17" s="1"/>
  <c r="AP260" i="3"/>
  <c r="AQ240" i="3"/>
  <c r="AP243" i="3"/>
  <c r="AP101" i="15"/>
  <c r="AP74" i="15"/>
  <c r="AP14" i="17" l="1"/>
  <c r="AP42" i="17"/>
  <c r="AP297" i="3"/>
  <c r="AP99" i="15"/>
  <c r="AQ263" i="3"/>
  <c r="AP298" i="3"/>
  <c r="AP43" i="17" s="1"/>
  <c r="AP286" i="3"/>
  <c r="AP293" i="3" s="1"/>
  <c r="AQ237" i="3"/>
  <c r="AQ279" i="3"/>
  <c r="AQ10" i="17" l="1"/>
  <c r="AQ11" i="17" s="1"/>
  <c r="AQ295" i="3"/>
  <c r="AQ269" i="3"/>
  <c r="AQ16" i="17" l="1"/>
  <c r="AQ160" i="3" s="1"/>
  <c r="AQ161" i="3" s="1"/>
  <c r="AQ112" i="3" s="1"/>
  <c r="AQ19" i="17"/>
  <c r="AQ158" i="3" s="1"/>
  <c r="AQ162" i="3" s="1"/>
  <c r="AQ218" i="3" l="1"/>
  <c r="AQ26" i="17"/>
  <c r="AQ27" i="17" s="1"/>
  <c r="AQ155" i="3"/>
  <c r="AQ113" i="3"/>
  <c r="AQ116" i="3" l="1"/>
  <c r="AQ34" i="17"/>
  <c r="AQ41" i="17" s="1"/>
  <c r="AQ114" i="3"/>
  <c r="AQ40" i="17"/>
  <c r="AQ39" i="17"/>
  <c r="AQ117" i="3" l="1"/>
  <c r="AQ215" i="3" s="1"/>
  <c r="AQ118" i="3"/>
  <c r="AQ122" i="3" s="1"/>
  <c r="AQ121" i="3" l="1"/>
  <c r="AQ127" i="3" s="1"/>
  <c r="AQ290" i="3"/>
  <c r="AQ216" i="3"/>
  <c r="AQ61" i="15" s="1"/>
  <c r="AQ62" i="15" s="1"/>
  <c r="AQ66" i="15" s="1"/>
  <c r="AQ204" i="3" l="1"/>
  <c r="AQ205" i="3" s="1"/>
  <c r="AR202" i="3" s="1"/>
  <c r="AQ206" i="3"/>
  <c r="AQ143" i="3" s="1"/>
  <c r="AQ281" i="3"/>
  <c r="AQ221" i="3"/>
  <c r="AQ126" i="3"/>
  <c r="AQ123" i="3"/>
  <c r="AQ332" i="3"/>
  <c r="AQ333" i="3" s="1"/>
  <c r="AR331" i="3"/>
  <c r="AQ292" i="3"/>
  <c r="AQ337" i="3"/>
  <c r="AQ338" i="3" s="1"/>
  <c r="AR139" i="3"/>
  <c r="AQ128" i="3"/>
  <c r="AQ35" i="17" l="1"/>
  <c r="AQ134" i="3"/>
  <c r="AQ210" i="3"/>
  <c r="AQ213" i="3" s="1"/>
  <c r="AQ339" i="3"/>
  <c r="AQ341" i="3" s="1"/>
  <c r="AQ132" i="3"/>
  <c r="AQ133" i="3"/>
  <c r="AQ131" i="3"/>
  <c r="AQ284" i="3"/>
  <c r="AR138" i="3"/>
  <c r="AR103" i="15"/>
  <c r="AQ239" i="3"/>
  <c r="AQ147" i="3"/>
  <c r="AQ149" i="3" s="1"/>
  <c r="AQ150" i="3" s="1"/>
  <c r="AQ151" i="3" s="1"/>
  <c r="AQ75" i="15" s="1"/>
  <c r="AQ245" i="3"/>
  <c r="AQ100" i="15"/>
  <c r="AQ250" i="3" l="1"/>
  <c r="AQ244" i="3"/>
  <c r="AQ135" i="3"/>
  <c r="AQ141" i="3"/>
  <c r="AQ242" i="3"/>
  <c r="AQ255" i="3"/>
  <c r="AR137" i="3"/>
  <c r="AR234" i="3" s="1"/>
  <c r="AQ74" i="15" l="1"/>
  <c r="AQ101" i="15"/>
  <c r="AR240" i="3"/>
  <c r="AQ243" i="3"/>
  <c r="AR111" i="3"/>
  <c r="AR232" i="3"/>
  <c r="AQ294" i="3"/>
  <c r="AQ296" i="3" s="1"/>
  <c r="AQ12" i="17"/>
  <c r="AQ13" i="17" s="1"/>
  <c r="AQ260" i="3"/>
  <c r="AQ14" i="17" l="1"/>
  <c r="AQ42" i="17"/>
  <c r="AQ297" i="3"/>
  <c r="AQ99" i="15"/>
  <c r="AQ298" i="3"/>
  <c r="AQ43" i="17" s="1"/>
  <c r="AQ286" i="3"/>
  <c r="AQ293" i="3" s="1"/>
  <c r="AR263" i="3"/>
  <c r="AR237" i="3"/>
  <c r="AR279" i="3"/>
  <c r="AR269" i="3" l="1"/>
  <c r="AR10" i="17"/>
  <c r="AR11" i="17" s="1"/>
  <c r="AR295" i="3"/>
  <c r="AR16" i="17" l="1"/>
  <c r="AR160" i="3" s="1"/>
  <c r="AR161" i="3" s="1"/>
  <c r="AR112" i="3" s="1"/>
  <c r="AR19" i="17"/>
  <c r="AR158" i="3" s="1"/>
  <c r="AR162" i="3" s="1"/>
  <c r="AR218" i="3" l="1"/>
  <c r="AR26" i="17"/>
  <c r="AR27" i="17" s="1"/>
  <c r="AR155" i="3"/>
  <c r="AR113" i="3"/>
  <c r="AR116" i="3" l="1"/>
  <c r="AR34" i="17"/>
  <c r="AR41" i="17" s="1"/>
  <c r="AR114" i="3"/>
  <c r="AR39" i="17"/>
  <c r="AR40" i="17" l="1"/>
  <c r="AR117" i="3"/>
  <c r="AR215" i="3" s="1"/>
  <c r="AR118" i="3"/>
  <c r="AR122" i="3" s="1"/>
  <c r="AR121" i="3" l="1"/>
  <c r="AR127" i="3" s="1"/>
  <c r="AR290" i="3"/>
  <c r="AR216" i="3"/>
  <c r="AS139" i="3" s="1"/>
  <c r="AS138" i="3" l="1"/>
  <c r="AS137" i="3" s="1"/>
  <c r="AS234" i="3" s="1"/>
  <c r="AS103" i="15"/>
  <c r="AR123" i="3"/>
  <c r="AS331" i="3"/>
  <c r="AR292" i="3"/>
  <c r="AR337" i="3"/>
  <c r="AR338" i="3" s="1"/>
  <c r="AR332" i="3"/>
  <c r="AR333" i="3" s="1"/>
  <c r="AR204" i="3"/>
  <c r="AR205" i="3" s="1"/>
  <c r="AS202" i="3" s="1"/>
  <c r="AR206" i="3"/>
  <c r="AR143" i="3" s="1"/>
  <c r="AR281" i="3"/>
  <c r="AR126" i="3"/>
  <c r="AR221" i="3"/>
  <c r="AR61" i="15"/>
  <c r="AR62" i="15" s="1"/>
  <c r="AR66" i="15" s="1"/>
  <c r="AR128" i="3"/>
  <c r="AR239" i="3" l="1"/>
  <c r="AR100" i="15"/>
  <c r="AR245" i="3"/>
  <c r="AR147" i="3"/>
  <c r="AR149" i="3" s="1"/>
  <c r="AR150" i="3" s="1"/>
  <c r="AR151" i="3" s="1"/>
  <c r="AR75" i="15" s="1"/>
  <c r="AR339" i="3"/>
  <c r="AR341" i="3" s="1"/>
  <c r="AR131" i="3"/>
  <c r="AR133" i="3"/>
  <c r="AR132" i="3"/>
  <c r="AR134" i="3"/>
  <c r="AR210" i="3"/>
  <c r="AR213" i="3" s="1"/>
  <c r="AR284" i="3"/>
  <c r="AR35" i="17"/>
  <c r="AR242" i="3" l="1"/>
  <c r="AR255" i="3"/>
  <c r="AR135" i="3"/>
  <c r="AR141" i="3"/>
  <c r="AR250" i="3"/>
  <c r="AR244" i="3"/>
  <c r="AS240" i="3" l="1"/>
  <c r="AR243" i="3"/>
  <c r="AR74" i="15"/>
  <c r="AR101" i="15"/>
  <c r="AS111" i="3"/>
  <c r="AS232" i="3"/>
  <c r="AR294" i="3"/>
  <c r="AR296" i="3" s="1"/>
  <c r="AR12" i="17"/>
  <c r="AR13" i="17" s="1"/>
  <c r="AR260" i="3"/>
  <c r="AR14" i="17" l="1"/>
  <c r="AR42" i="17"/>
  <c r="AR297" i="3"/>
  <c r="AR99" i="15"/>
  <c r="AR298" i="3"/>
  <c r="AR43" i="17" s="1"/>
  <c r="AR286" i="3"/>
  <c r="AR293" i="3" s="1"/>
  <c r="AS263" i="3"/>
  <c r="AS237" i="3"/>
  <c r="AS279" i="3"/>
  <c r="AS269" i="3" l="1"/>
  <c r="AS10" i="17"/>
  <c r="AS11" i="17" s="1"/>
  <c r="AS295" i="3"/>
  <c r="AS16" i="17" l="1"/>
  <c r="AS160" i="3" s="1"/>
  <c r="AS161" i="3" s="1"/>
  <c r="AS112" i="3" s="1"/>
  <c r="AS19" i="17"/>
  <c r="AS158" i="3" s="1"/>
  <c r="AS162" i="3" s="1"/>
  <c r="AS218" i="3" l="1"/>
  <c r="AS26" i="17"/>
  <c r="AS27" i="17" s="1"/>
  <c r="AS155" i="3"/>
  <c r="AS113" i="3"/>
  <c r="AS116" i="3" l="1"/>
  <c r="AS34" i="17"/>
  <c r="AS41" i="17" s="1"/>
  <c r="AS114" i="3"/>
  <c r="AS39" i="17"/>
  <c r="AS40" i="17" l="1"/>
  <c r="AS117" i="3"/>
  <c r="AS215" i="3" s="1"/>
  <c r="AS118" i="3"/>
  <c r="AS122" i="3" s="1"/>
  <c r="AS121" i="3" l="1"/>
  <c r="AS127" i="3" s="1"/>
  <c r="AS290" i="3"/>
  <c r="AS216" i="3"/>
  <c r="AS61" i="15" s="1"/>
  <c r="AS62" i="15" s="1"/>
  <c r="AS66" i="15" s="1"/>
  <c r="AS221" i="3" l="1"/>
  <c r="AS204" i="3"/>
  <c r="AS205" i="3" s="1"/>
  <c r="AT202" i="3" s="1"/>
  <c r="AS206" i="3"/>
  <c r="AS143" i="3" s="1"/>
  <c r="AS281" i="3"/>
  <c r="AS126" i="3"/>
  <c r="AS123" i="3"/>
  <c r="AS292" i="3"/>
  <c r="AT331" i="3"/>
  <c r="AS337" i="3"/>
  <c r="AS338" i="3" s="1"/>
  <c r="AS332" i="3"/>
  <c r="AS333" i="3" s="1"/>
  <c r="AT139" i="3"/>
  <c r="AS128" i="3"/>
  <c r="AS284" i="3" l="1"/>
  <c r="AS339" i="3"/>
  <c r="AS341" i="3" s="1"/>
  <c r="AS210" i="3"/>
  <c r="AS213" i="3" s="1"/>
  <c r="AS131" i="3"/>
  <c r="AS133" i="3"/>
  <c r="AS134" i="3"/>
  <c r="AS132" i="3"/>
  <c r="AT138" i="3"/>
  <c r="AT137" i="3" s="1"/>
  <c r="AT234" i="3" s="1"/>
  <c r="AT103" i="15"/>
  <c r="AS35" i="17"/>
  <c r="AS239" i="3"/>
  <c r="AS245" i="3"/>
  <c r="AS100" i="15"/>
  <c r="AS147" i="3"/>
  <c r="AS149" i="3" s="1"/>
  <c r="AS150" i="3" s="1"/>
  <c r="AS151" i="3" s="1"/>
  <c r="AS75" i="15" s="1"/>
  <c r="AS250" i="3" l="1"/>
  <c r="AS244" i="3"/>
  <c r="AS242" i="3"/>
  <c r="AS255" i="3"/>
  <c r="AS135" i="3"/>
  <c r="AS141" i="3"/>
  <c r="AT240" i="3" l="1"/>
  <c r="AS243" i="3"/>
  <c r="AT111" i="3"/>
  <c r="AT232" i="3"/>
  <c r="AS294" i="3"/>
  <c r="AS296" i="3" s="1"/>
  <c r="AS12" i="17"/>
  <c r="AS13" i="17" s="1"/>
  <c r="AS260" i="3"/>
  <c r="AS101" i="15"/>
  <c r="AS74" i="15"/>
  <c r="AT237" i="3" l="1"/>
  <c r="AT279" i="3"/>
  <c r="AS14" i="17"/>
  <c r="AS42" i="17"/>
  <c r="AT263" i="3"/>
  <c r="AS298" i="3"/>
  <c r="AS43" i="17" s="1"/>
  <c r="AS286" i="3"/>
  <c r="AS293" i="3" s="1"/>
  <c r="AS99" i="15"/>
  <c r="AS297" i="3"/>
  <c r="AT269" i="3" l="1"/>
  <c r="AT10" i="17"/>
  <c r="AT11" i="17" s="1"/>
  <c r="AT295" i="3"/>
  <c r="AT16" i="17" l="1"/>
  <c r="AT160" i="3" s="1"/>
  <c r="AT161" i="3" s="1"/>
  <c r="AT112" i="3" s="1"/>
  <c r="AT19" i="17"/>
  <c r="AT158" i="3" s="1"/>
  <c r="AT162" i="3" s="1"/>
  <c r="AT218" i="3" l="1"/>
  <c r="AT155" i="3"/>
  <c r="AT26" i="17"/>
  <c r="AT27" i="17" s="1"/>
  <c r="AT113" i="3"/>
  <c r="AT116" i="3" l="1"/>
  <c r="AT34" i="17"/>
  <c r="AT41" i="17" s="1"/>
  <c r="AT114" i="3"/>
  <c r="AT39" i="17"/>
  <c r="AT40" i="17" l="1"/>
  <c r="AT117" i="3"/>
  <c r="AT215" i="3" s="1"/>
  <c r="AT118" i="3"/>
  <c r="AT122" i="3" s="1"/>
  <c r="AT121" i="3" l="1"/>
  <c r="AT127" i="3" s="1"/>
  <c r="AT290" i="3"/>
  <c r="AT216" i="3"/>
  <c r="AT61" i="15" s="1"/>
  <c r="AT62" i="15" s="1"/>
  <c r="AT66" i="15" s="1"/>
  <c r="AT204" i="3" l="1"/>
  <c r="AT205" i="3" s="1"/>
  <c r="AU202" i="3" s="1"/>
  <c r="AT206" i="3"/>
  <c r="AT143" i="3" s="1"/>
  <c r="AT281" i="3"/>
  <c r="AT221" i="3"/>
  <c r="AT126" i="3"/>
  <c r="AT123" i="3"/>
  <c r="AT337" i="3"/>
  <c r="AT338" i="3" s="1"/>
  <c r="AU331" i="3"/>
  <c r="AT332" i="3"/>
  <c r="AT333" i="3" s="1"/>
  <c r="AT292" i="3"/>
  <c r="AU139" i="3"/>
  <c r="AT128" i="3"/>
  <c r="AT35" i="17" l="1"/>
  <c r="AT284" i="3"/>
  <c r="AT131" i="3"/>
  <c r="AT210" i="3"/>
  <c r="AT213" i="3" s="1"/>
  <c r="AT133" i="3"/>
  <c r="AT339" i="3"/>
  <c r="AT341" i="3" s="1"/>
  <c r="AT132" i="3"/>
  <c r="AT134" i="3"/>
  <c r="AU138" i="3"/>
  <c r="AU137" i="3" s="1"/>
  <c r="AU234" i="3" s="1"/>
  <c r="AU103" i="15"/>
  <c r="AT239" i="3"/>
  <c r="AT245" i="3"/>
  <c r="AT147" i="3"/>
  <c r="AT149" i="3" s="1"/>
  <c r="AT150" i="3" s="1"/>
  <c r="AT151" i="3" s="1"/>
  <c r="AT75" i="15" s="1"/>
  <c r="AT100" i="15"/>
  <c r="AT244" i="3" l="1"/>
  <c r="AT250" i="3"/>
  <c r="AT242" i="3"/>
  <c r="AT255" i="3"/>
  <c r="AT135" i="3"/>
  <c r="AT141" i="3"/>
  <c r="AU111" i="3" l="1"/>
  <c r="AU232" i="3"/>
  <c r="AT294" i="3"/>
  <c r="AT296" i="3" s="1"/>
  <c r="AT12" i="17"/>
  <c r="AT13" i="17" s="1"/>
  <c r="AT260" i="3"/>
  <c r="AU240" i="3"/>
  <c r="AT243" i="3"/>
  <c r="AT101" i="15"/>
  <c r="AT74" i="15"/>
  <c r="AT14" i="17" l="1"/>
  <c r="AT42" i="17"/>
  <c r="AT99" i="15"/>
  <c r="AT297" i="3"/>
  <c r="AT298" i="3"/>
  <c r="AT43" i="17" s="1"/>
  <c r="AT286" i="3"/>
  <c r="AT293" i="3" s="1"/>
  <c r="AU263" i="3"/>
  <c r="AU237" i="3"/>
  <c r="AU279" i="3"/>
  <c r="AU269" i="3" l="1"/>
  <c r="AU10" i="17"/>
  <c r="AU11" i="17" s="1"/>
  <c r="AU295" i="3"/>
  <c r="AU16" i="17" l="1"/>
  <c r="AU160" i="3" s="1"/>
  <c r="AU161" i="3" s="1"/>
  <c r="AU112" i="3" s="1"/>
  <c r="AU19" i="17"/>
  <c r="AU158" i="3" s="1"/>
  <c r="AU162" i="3" s="1"/>
  <c r="AU218" i="3" l="1"/>
  <c r="AU26" i="17"/>
  <c r="AU27" i="17" s="1"/>
  <c r="AU155" i="3"/>
  <c r="AU113" i="3"/>
  <c r="AU116" i="3" l="1"/>
  <c r="AU34" i="17"/>
  <c r="AU41" i="17" s="1"/>
  <c r="AU114" i="3"/>
  <c r="AU39" i="17"/>
  <c r="AU40" i="17" l="1"/>
  <c r="AU117" i="3"/>
  <c r="AU215" i="3" s="1"/>
  <c r="AU118" i="3"/>
  <c r="AU122" i="3" s="1"/>
  <c r="AU121" i="3" l="1"/>
  <c r="AU127" i="3" s="1"/>
  <c r="AU126" i="3" s="1"/>
  <c r="AU290" i="3"/>
  <c r="AU216" i="3"/>
  <c r="AU61" i="15" s="1"/>
  <c r="AU62" i="15" s="1"/>
  <c r="AU66" i="15" s="1"/>
  <c r="AV139" i="3" l="1"/>
  <c r="AV138" i="3" s="1"/>
  <c r="AV137" i="3" s="1"/>
  <c r="AV234" i="3" s="1"/>
  <c r="AU131" i="3"/>
  <c r="AU339" i="3"/>
  <c r="AU210" i="3"/>
  <c r="AU213" i="3" s="1"/>
  <c r="AU132" i="3"/>
  <c r="AU133" i="3"/>
  <c r="AU134" i="3"/>
  <c r="AU123" i="3"/>
  <c r="AU332" i="3"/>
  <c r="AU333" i="3" s="1"/>
  <c r="AV331" i="3"/>
  <c r="AU292" i="3"/>
  <c r="AU337" i="3"/>
  <c r="AU338" i="3" s="1"/>
  <c r="AU204" i="3"/>
  <c r="AU205" i="3" s="1"/>
  <c r="AV202" i="3" s="1"/>
  <c r="AU206" i="3"/>
  <c r="AU143" i="3" s="1"/>
  <c r="AU281" i="3"/>
  <c r="AU221" i="3"/>
  <c r="AU128" i="3"/>
  <c r="AV103" i="15" l="1"/>
  <c r="AU341" i="3"/>
  <c r="AU35" i="17"/>
  <c r="AU135" i="3"/>
  <c r="AU141" i="3"/>
  <c r="AU239" i="3"/>
  <c r="AU100" i="15"/>
  <c r="AU245" i="3"/>
  <c r="AU147" i="3"/>
  <c r="AU149" i="3" s="1"/>
  <c r="AU150" i="3" s="1"/>
  <c r="AU151" i="3" s="1"/>
  <c r="AU75" i="15" s="1"/>
  <c r="AU284" i="3"/>
  <c r="AU250" i="3" l="1"/>
  <c r="AU244" i="3"/>
  <c r="AU242" i="3"/>
  <c r="AU255" i="3"/>
  <c r="AV240" i="3" l="1"/>
  <c r="AU243" i="3"/>
  <c r="AV111" i="3"/>
  <c r="AV232" i="3"/>
  <c r="AU294" i="3"/>
  <c r="AU296" i="3" s="1"/>
  <c r="AU12" i="17"/>
  <c r="AU13" i="17" s="1"/>
  <c r="AU260" i="3"/>
  <c r="AU101" i="15"/>
  <c r="AU74" i="15"/>
  <c r="AV237" i="3" l="1"/>
  <c r="AV279" i="3"/>
  <c r="AU14" i="17"/>
  <c r="AU42" i="17"/>
  <c r="AV263" i="3"/>
  <c r="AU298" i="3"/>
  <c r="AU43" i="17" s="1"/>
  <c r="AU286" i="3"/>
  <c r="AU293" i="3" s="1"/>
  <c r="AU99" i="15"/>
  <c r="AU297" i="3"/>
  <c r="AV269" i="3" l="1"/>
  <c r="AV10" i="17"/>
  <c r="AV11" i="17" s="1"/>
  <c r="AV295" i="3"/>
  <c r="AV16" i="17" l="1"/>
  <c r="AV160" i="3" s="1"/>
  <c r="AV161" i="3" s="1"/>
  <c r="AV112" i="3" s="1"/>
  <c r="AV19" i="17"/>
  <c r="AV158" i="3" s="1"/>
  <c r="AV162" i="3" s="1"/>
  <c r="AV218" i="3" l="1"/>
  <c r="AV26" i="17"/>
  <c r="AV27" i="17" s="1"/>
  <c r="AV155" i="3"/>
  <c r="AV113" i="3"/>
  <c r="AV116" i="3" l="1"/>
  <c r="AV34" i="17"/>
  <c r="AV41" i="17" s="1"/>
  <c r="AV114" i="3"/>
  <c r="AV39" i="17"/>
  <c r="AV40" i="17" l="1"/>
  <c r="AV117" i="3"/>
  <c r="AV215" i="3" s="1"/>
  <c r="AV118" i="3"/>
  <c r="AV122" i="3" s="1"/>
  <c r="AV121" i="3" l="1"/>
  <c r="AV127" i="3" s="1"/>
  <c r="AV123" i="3" s="1"/>
  <c r="AV290" i="3"/>
  <c r="AV216" i="3"/>
  <c r="AV204" i="3" l="1"/>
  <c r="AV205" i="3" s="1"/>
  <c r="AW202" i="3" s="1"/>
  <c r="AV206" i="3"/>
  <c r="AV143" i="3" s="1"/>
  <c r="AV281" i="3"/>
  <c r="AW139" i="3"/>
  <c r="AV337" i="3"/>
  <c r="AV338" i="3" s="1"/>
  <c r="AW331" i="3"/>
  <c r="AV292" i="3"/>
  <c r="AV332" i="3"/>
  <c r="AV333" i="3" s="1"/>
  <c r="AV126" i="3"/>
  <c r="AV221" i="3"/>
  <c r="AV61" i="15"/>
  <c r="AV62" i="15" s="1"/>
  <c r="AV66" i="15" s="1"/>
  <c r="AV128" i="3"/>
  <c r="AV35" i="17" l="1"/>
  <c r="AW138" i="3"/>
  <c r="AW103" i="15"/>
  <c r="AV239" i="3"/>
  <c r="AV147" i="3"/>
  <c r="AV149" i="3" s="1"/>
  <c r="AV150" i="3" s="1"/>
  <c r="AV151" i="3" s="1"/>
  <c r="AV75" i="15" s="1"/>
  <c r="AV100" i="15"/>
  <c r="AV245" i="3"/>
  <c r="AV284" i="3"/>
  <c r="AV134" i="3"/>
  <c r="AV210" i="3"/>
  <c r="AV213" i="3" s="1"/>
  <c r="AV131" i="3"/>
  <c r="AV133" i="3"/>
  <c r="AV339" i="3"/>
  <c r="AV341" i="3" s="1"/>
  <c r="AV132" i="3"/>
  <c r="AV244" i="3" l="1"/>
  <c r="AV250" i="3"/>
  <c r="AV135" i="3"/>
  <c r="AV141" i="3"/>
  <c r="AV242" i="3"/>
  <c r="AV255" i="3"/>
  <c r="AW137" i="3"/>
  <c r="AW234" i="3" s="1"/>
  <c r="AW111" i="3" l="1"/>
  <c r="AW232" i="3"/>
  <c r="AV294" i="3"/>
  <c r="AV296" i="3" s="1"/>
  <c r="AV12" i="17"/>
  <c r="AV13" i="17" s="1"/>
  <c r="AV260" i="3"/>
  <c r="AW240" i="3"/>
  <c r="AV243" i="3"/>
  <c r="AV101" i="15"/>
  <c r="AV74" i="15"/>
  <c r="AV14" i="17" l="1"/>
  <c r="AV42" i="17"/>
  <c r="AV297" i="3"/>
  <c r="AV99" i="15"/>
  <c r="AW263" i="3"/>
  <c r="AV298" i="3"/>
  <c r="AV43" i="17" s="1"/>
  <c r="AV286" i="3"/>
  <c r="AV293" i="3" s="1"/>
  <c r="AW237" i="3"/>
  <c r="AW279" i="3"/>
  <c r="AW10" i="17" l="1"/>
  <c r="AW11" i="17" s="1"/>
  <c r="AW295" i="3"/>
  <c r="AW269" i="3"/>
  <c r="AW16" i="17" l="1"/>
  <c r="AW160" i="3" s="1"/>
  <c r="AW161" i="3" s="1"/>
  <c r="AW112" i="3" s="1"/>
  <c r="AW19" i="17"/>
  <c r="AW158" i="3" s="1"/>
  <c r="AW162" i="3" s="1"/>
  <c r="AW218" i="3" l="1"/>
  <c r="AW155" i="3"/>
  <c r="AW26" i="17"/>
  <c r="AW27" i="17" s="1"/>
  <c r="AW113" i="3"/>
  <c r="AW116" i="3" l="1"/>
  <c r="AW34" i="17"/>
  <c r="AW41" i="17" s="1"/>
  <c r="AW114" i="3"/>
  <c r="AW40" i="17"/>
  <c r="AW39" i="17"/>
  <c r="AW117" i="3" l="1"/>
  <c r="AW215" i="3" s="1"/>
  <c r="AW118" i="3"/>
  <c r="AW122" i="3" s="1"/>
  <c r="AW121" i="3" l="1"/>
  <c r="AW127" i="3" s="1"/>
  <c r="AW290" i="3"/>
  <c r="AW216" i="3"/>
  <c r="AW61" i="15" s="1"/>
  <c r="AW62" i="15" s="1"/>
  <c r="AW66" i="15" s="1"/>
  <c r="AW204" i="3" l="1"/>
  <c r="AW205" i="3" s="1"/>
  <c r="AX202" i="3" s="1"/>
  <c r="AW206" i="3"/>
  <c r="AW143" i="3" s="1"/>
  <c r="AW281" i="3"/>
  <c r="AW221" i="3"/>
  <c r="AW126" i="3"/>
  <c r="AW123" i="3"/>
  <c r="AX331" i="3"/>
  <c r="AW292" i="3"/>
  <c r="AW332" i="3"/>
  <c r="AW333" i="3" s="1"/>
  <c r="AW337" i="3"/>
  <c r="AW338" i="3" s="1"/>
  <c r="AX139" i="3"/>
  <c r="AW128" i="3"/>
  <c r="AW35" i="17" l="1"/>
  <c r="AW132" i="3"/>
  <c r="AW339" i="3"/>
  <c r="AW341" i="3" s="1"/>
  <c r="AW134" i="3"/>
  <c r="AW133" i="3"/>
  <c r="AW210" i="3"/>
  <c r="AW213" i="3" s="1"/>
  <c r="AW131" i="3"/>
  <c r="AW284" i="3"/>
  <c r="AX138" i="3"/>
  <c r="AX137" i="3" s="1"/>
  <c r="AX234" i="3" s="1"/>
  <c r="AX103" i="15"/>
  <c r="AW239" i="3"/>
  <c r="AW100" i="15"/>
  <c r="AW245" i="3"/>
  <c r="AW147" i="3"/>
  <c r="AW149" i="3" s="1"/>
  <c r="AW150" i="3" s="1"/>
  <c r="AW151" i="3" s="1"/>
  <c r="AW75" i="15" s="1"/>
  <c r="AW244" i="3" l="1"/>
  <c r="AW250" i="3"/>
  <c r="AW242" i="3"/>
  <c r="AW255" i="3"/>
  <c r="AW135" i="3"/>
  <c r="AW141" i="3"/>
  <c r="AX111" i="3" l="1"/>
  <c r="AX232" i="3"/>
  <c r="AW294" i="3"/>
  <c r="AW296" i="3" s="1"/>
  <c r="AW12" i="17"/>
  <c r="AW13" i="17" s="1"/>
  <c r="AW260" i="3"/>
  <c r="AX240" i="3"/>
  <c r="AW243" i="3"/>
  <c r="AW74" i="15"/>
  <c r="AW101" i="15"/>
  <c r="AW14" i="17" l="1"/>
  <c r="AW42" i="17"/>
  <c r="AW99" i="15"/>
  <c r="AW297" i="3"/>
  <c r="AX237" i="3"/>
  <c r="AX279" i="3"/>
  <c r="AW298" i="3"/>
  <c r="AW43" i="17" s="1"/>
  <c r="AW286" i="3"/>
  <c r="AW293" i="3" s="1"/>
  <c r="AX263" i="3"/>
  <c r="AX269" i="3" l="1"/>
  <c r="AX10" i="17"/>
  <c r="AX11" i="17" s="1"/>
  <c r="AX295" i="3"/>
  <c r="AX16" i="17" l="1"/>
  <c r="AX160" i="3" s="1"/>
  <c r="AX161" i="3" s="1"/>
  <c r="AX112" i="3" s="1"/>
  <c r="AX19" i="17"/>
  <c r="AX158" i="3" s="1"/>
  <c r="AX162" i="3" s="1"/>
  <c r="AX218" i="3" l="1"/>
  <c r="AX155" i="3"/>
  <c r="AX26" i="17"/>
  <c r="AX27" i="17" s="1"/>
  <c r="AX113" i="3"/>
  <c r="AX116" i="3" l="1"/>
  <c r="AX34" i="17"/>
  <c r="AX41" i="17" s="1"/>
  <c r="AX114" i="3"/>
  <c r="AX40" i="17"/>
  <c r="AX39" i="17"/>
  <c r="AX118" i="3" l="1"/>
  <c r="AX122" i="3" s="1"/>
  <c r="AX117" i="3"/>
  <c r="AX215" i="3" s="1"/>
  <c r="AX121" i="3" l="1"/>
  <c r="AX127" i="3" s="1"/>
  <c r="AX126" i="3" s="1"/>
  <c r="AX290" i="3"/>
  <c r="AX216" i="3"/>
  <c r="AX123" i="3" l="1"/>
  <c r="AX204" i="3"/>
  <c r="AX205" i="3" s="1"/>
  <c r="AY202" i="3" s="1"/>
  <c r="AX206" i="3"/>
  <c r="AX143" i="3" s="1"/>
  <c r="AX281" i="3"/>
  <c r="AX61" i="15"/>
  <c r="AX62" i="15" s="1"/>
  <c r="AX66" i="15" s="1"/>
  <c r="AX292" i="3"/>
  <c r="AY331" i="3"/>
  <c r="AX337" i="3"/>
  <c r="AX338" i="3" s="1"/>
  <c r="AX332" i="3"/>
  <c r="AX333" i="3" s="1"/>
  <c r="AX221" i="3"/>
  <c r="AX134" i="3"/>
  <c r="AX339" i="3"/>
  <c r="AX132" i="3"/>
  <c r="AX131" i="3"/>
  <c r="AX133" i="3"/>
  <c r="AX210" i="3"/>
  <c r="AX213" i="3" s="1"/>
  <c r="AY139" i="3"/>
  <c r="AX128" i="3"/>
  <c r="AY138" i="3" l="1"/>
  <c r="AY103" i="15"/>
  <c r="AX239" i="3"/>
  <c r="AX147" i="3"/>
  <c r="AX149" i="3" s="1"/>
  <c r="AX150" i="3" s="1"/>
  <c r="AX151" i="3" s="1"/>
  <c r="AX75" i="15" s="1"/>
  <c r="AX245" i="3"/>
  <c r="AX100" i="15"/>
  <c r="AX341" i="3"/>
  <c r="AX35" i="17"/>
  <c r="AX135" i="3"/>
  <c r="AX141" i="3"/>
  <c r="AX284" i="3"/>
  <c r="AX244" i="3" l="1"/>
  <c r="AX250" i="3"/>
  <c r="AX242" i="3"/>
  <c r="AX255" i="3"/>
  <c r="AY137" i="3"/>
  <c r="AY234" i="3" s="1"/>
  <c r="AY240" i="3" l="1"/>
  <c r="AX243" i="3"/>
  <c r="AX101" i="15"/>
  <c r="AX74" i="15"/>
  <c r="AY111" i="3"/>
  <c r="AY232" i="3"/>
  <c r="AX294" i="3"/>
  <c r="AX296" i="3" s="1"/>
  <c r="AX12" i="17"/>
  <c r="AX13" i="17" s="1"/>
  <c r="AX260" i="3"/>
  <c r="AX14" i="17" l="1"/>
  <c r="AX42" i="17"/>
  <c r="AX99" i="15"/>
  <c r="AX297" i="3"/>
  <c r="AY237" i="3"/>
  <c r="AY279" i="3"/>
  <c r="AX298" i="3"/>
  <c r="AX43" i="17" s="1"/>
  <c r="AX286" i="3"/>
  <c r="AX293" i="3" s="1"/>
  <c r="AY263" i="3"/>
  <c r="AY269" i="3" l="1"/>
  <c r="AY10" i="17"/>
  <c r="AY11" i="17" s="1"/>
  <c r="AY295" i="3"/>
  <c r="AY16" i="17" l="1"/>
  <c r="AY160" i="3" s="1"/>
  <c r="AY161" i="3" s="1"/>
  <c r="AY112" i="3" s="1"/>
  <c r="AY19" i="17"/>
  <c r="AY158" i="3" s="1"/>
  <c r="AY162" i="3" s="1"/>
  <c r="AY218" i="3" l="1"/>
  <c r="AY26" i="17"/>
  <c r="AY27" i="17" s="1"/>
  <c r="AY155" i="3"/>
  <c r="AY113" i="3"/>
  <c r="AY116" i="3" l="1"/>
  <c r="AY34" i="17"/>
  <c r="AY41" i="17" s="1"/>
  <c r="AY114" i="3"/>
  <c r="AY39" i="17"/>
  <c r="AY40" i="17" l="1"/>
  <c r="AY117" i="3"/>
  <c r="AY215" i="3" s="1"/>
  <c r="AY118" i="3"/>
  <c r="AY122" i="3" s="1"/>
  <c r="AY121" i="3" l="1"/>
  <c r="AY127" i="3" s="1"/>
  <c r="AY123" i="3" s="1"/>
  <c r="AY290" i="3"/>
  <c r="AY216" i="3"/>
  <c r="AZ139" i="3" s="1"/>
  <c r="AZ138" i="3" l="1"/>
  <c r="AZ103" i="15"/>
  <c r="AZ331" i="3"/>
  <c r="AY292" i="3"/>
  <c r="AY337" i="3"/>
  <c r="AY338" i="3" s="1"/>
  <c r="AY332" i="3"/>
  <c r="AY333" i="3" s="1"/>
  <c r="AY204" i="3"/>
  <c r="AY205" i="3" s="1"/>
  <c r="AZ202" i="3" s="1"/>
  <c r="AY206" i="3"/>
  <c r="AY143" i="3" s="1"/>
  <c r="AY281" i="3"/>
  <c r="AY126" i="3"/>
  <c r="AY221" i="3"/>
  <c r="AY61" i="15"/>
  <c r="AY62" i="15" s="1"/>
  <c r="AY66" i="15" s="1"/>
  <c r="AY128" i="3"/>
  <c r="AY35" i="17" l="1"/>
  <c r="AY239" i="3"/>
  <c r="AY245" i="3"/>
  <c r="AY100" i="15"/>
  <c r="AY147" i="3"/>
  <c r="AY149" i="3" s="1"/>
  <c r="AY150" i="3" s="1"/>
  <c r="AY151" i="3" s="1"/>
  <c r="AY75" i="15" s="1"/>
  <c r="AY131" i="3"/>
  <c r="AY210" i="3"/>
  <c r="AY213" i="3" s="1"/>
  <c r="AY132" i="3"/>
  <c r="AY339" i="3"/>
  <c r="AY341" i="3" s="1"/>
  <c r="AY133" i="3"/>
  <c r="AY134" i="3"/>
  <c r="AY284" i="3"/>
  <c r="AZ137" i="3"/>
  <c r="AZ234" i="3" s="1"/>
  <c r="AY244" i="3" l="1"/>
  <c r="AY250" i="3"/>
  <c r="AY135" i="3"/>
  <c r="AY141" i="3"/>
  <c r="AY242" i="3"/>
  <c r="AY255" i="3"/>
  <c r="AZ111" i="3" l="1"/>
  <c r="AZ232" i="3"/>
  <c r="AY294" i="3"/>
  <c r="AY296" i="3" s="1"/>
  <c r="AY260" i="3"/>
  <c r="AY12" i="17"/>
  <c r="AY13" i="17" s="1"/>
  <c r="AZ240" i="3"/>
  <c r="AY243" i="3"/>
  <c r="AY74" i="15"/>
  <c r="AY101" i="15"/>
  <c r="AY298" i="3" l="1"/>
  <c r="AY43" i="17" s="1"/>
  <c r="AY286" i="3"/>
  <c r="AY293" i="3" s="1"/>
  <c r="AY297" i="3"/>
  <c r="AY99" i="15"/>
  <c r="AZ237" i="3"/>
  <c r="AZ279" i="3"/>
  <c r="AY14" i="17"/>
  <c r="AY42" i="17"/>
  <c r="AZ263" i="3"/>
  <c r="AZ269" i="3" l="1"/>
  <c r="AZ10" i="17"/>
  <c r="AZ11" i="17" s="1"/>
  <c r="AZ295" i="3"/>
  <c r="AZ16" i="17" l="1"/>
  <c r="AZ160" i="3" s="1"/>
  <c r="AZ161" i="3" s="1"/>
  <c r="AZ112" i="3" s="1"/>
  <c r="AZ19" i="17"/>
  <c r="AZ158" i="3" s="1"/>
  <c r="AZ162" i="3" s="1"/>
  <c r="AZ218" i="3" l="1"/>
  <c r="AZ26" i="17"/>
  <c r="AZ27" i="17" s="1"/>
  <c r="AZ155" i="3"/>
  <c r="AZ113" i="3"/>
  <c r="AZ116" i="3" l="1"/>
  <c r="AZ34" i="17"/>
  <c r="AZ41" i="17" s="1"/>
  <c r="AZ114" i="3"/>
  <c r="AZ40" i="17"/>
  <c r="AZ39" i="17"/>
  <c r="AZ117" i="3" l="1"/>
  <c r="AZ215" i="3" s="1"/>
  <c r="AZ118" i="3"/>
  <c r="AZ122" i="3" s="1"/>
  <c r="AZ121" i="3" l="1"/>
  <c r="AZ127" i="3" s="1"/>
  <c r="AZ290" i="3"/>
  <c r="AZ216" i="3"/>
  <c r="AZ61" i="15" s="1"/>
  <c r="AZ62" i="15" s="1"/>
  <c r="AZ66" i="15" s="1"/>
  <c r="AZ204" i="3" l="1"/>
  <c r="AZ205" i="3" s="1"/>
  <c r="BA202" i="3" s="1"/>
  <c r="AZ206" i="3"/>
  <c r="AZ143" i="3" s="1"/>
  <c r="AZ281" i="3"/>
  <c r="AZ221" i="3"/>
  <c r="AZ126" i="3"/>
  <c r="AZ123" i="3"/>
  <c r="BA331" i="3"/>
  <c r="AZ292" i="3"/>
  <c r="AZ332" i="3"/>
  <c r="AZ333" i="3" s="1"/>
  <c r="AZ337" i="3"/>
  <c r="AZ338" i="3" s="1"/>
  <c r="BA139" i="3"/>
  <c r="AZ128" i="3"/>
  <c r="AZ284" i="3" l="1"/>
  <c r="AZ35" i="17"/>
  <c r="AZ133" i="3"/>
  <c r="AZ132" i="3"/>
  <c r="AZ339" i="3"/>
  <c r="AZ341" i="3" s="1"/>
  <c r="AZ210" i="3"/>
  <c r="AZ213" i="3" s="1"/>
  <c r="AZ134" i="3"/>
  <c r="AZ131" i="3"/>
  <c r="BA138" i="3"/>
  <c r="BA137" i="3" s="1"/>
  <c r="BA234" i="3" s="1"/>
  <c r="BA103" i="15"/>
  <c r="AZ239" i="3"/>
  <c r="AZ147" i="3"/>
  <c r="AZ149" i="3" s="1"/>
  <c r="AZ150" i="3" s="1"/>
  <c r="AZ151" i="3" s="1"/>
  <c r="AZ75" i="15" s="1"/>
  <c r="AZ245" i="3"/>
  <c r="AZ100" i="15"/>
  <c r="AZ250" i="3" l="1"/>
  <c r="AZ244" i="3"/>
  <c r="AZ135" i="3"/>
  <c r="AZ141" i="3"/>
  <c r="AZ242" i="3"/>
  <c r="AZ255" i="3"/>
  <c r="AZ101" i="15" l="1"/>
  <c r="AZ74" i="15"/>
  <c r="BA240" i="3"/>
  <c r="AZ243" i="3"/>
  <c r="BA111" i="3"/>
  <c r="BA232" i="3"/>
  <c r="AZ294" i="3"/>
  <c r="AZ296" i="3" s="1"/>
  <c r="AZ12" i="17"/>
  <c r="AZ13" i="17" s="1"/>
  <c r="AZ260" i="3"/>
  <c r="AZ14" i="17" l="1"/>
  <c r="AZ42" i="17"/>
  <c r="BA237" i="3"/>
  <c r="BA279" i="3"/>
  <c r="AZ99" i="15"/>
  <c r="AZ297" i="3"/>
  <c r="AZ298" i="3"/>
  <c r="AZ43" i="17" s="1"/>
  <c r="AZ286" i="3"/>
  <c r="AZ293" i="3" s="1"/>
  <c r="BA263" i="3"/>
  <c r="BA10" i="17" l="1"/>
  <c r="BA11" i="17" s="1"/>
  <c r="BA295" i="3"/>
  <c r="BA269" i="3"/>
  <c r="BA16" i="17" l="1"/>
  <c r="BA160" i="3" s="1"/>
  <c r="BA161" i="3" s="1"/>
  <c r="BA112" i="3" s="1"/>
  <c r="BA19" i="17"/>
  <c r="BA158" i="3" s="1"/>
  <c r="BA162" i="3" s="1"/>
  <c r="BA218" i="3" l="1"/>
  <c r="BA26" i="17"/>
  <c r="BA27" i="17" s="1"/>
  <c r="BA155" i="3"/>
  <c r="BA113" i="3"/>
  <c r="BA116" i="3" l="1"/>
  <c r="BA34" i="17"/>
  <c r="BA41" i="17" s="1"/>
  <c r="BA114" i="3"/>
  <c r="BA39" i="17"/>
  <c r="BA40" i="17" l="1"/>
  <c r="BA117" i="3"/>
  <c r="BA215" i="3" s="1"/>
  <c r="BA118" i="3"/>
  <c r="BA122" i="3" s="1"/>
  <c r="BA121" i="3" l="1"/>
  <c r="BA127" i="3" s="1"/>
  <c r="BA290" i="3"/>
  <c r="BA216" i="3"/>
  <c r="BA61" i="15" s="1"/>
  <c r="BA62" i="15" s="1"/>
  <c r="BA66" i="15" s="1"/>
  <c r="BA221" i="3" l="1"/>
  <c r="BA245" i="3" s="1"/>
  <c r="BA204" i="3"/>
  <c r="BA205" i="3" s="1"/>
  <c r="BB202" i="3" s="1"/>
  <c r="BA206" i="3"/>
  <c r="BA143" i="3" s="1"/>
  <c r="BA281" i="3"/>
  <c r="BA239" i="3"/>
  <c r="BA126" i="3"/>
  <c r="BA123" i="3"/>
  <c r="BA337" i="3"/>
  <c r="BA338" i="3" s="1"/>
  <c r="BB331" i="3"/>
  <c r="BA292" i="3"/>
  <c r="BA332" i="3"/>
  <c r="BA333" i="3" s="1"/>
  <c r="BB139" i="3"/>
  <c r="BA128" i="3"/>
  <c r="BA100" i="15" l="1"/>
  <c r="BA147" i="3"/>
  <c r="BA149" i="3" s="1"/>
  <c r="BA150" i="3" s="1"/>
  <c r="BA151" i="3" s="1"/>
  <c r="BA75" i="15" s="1"/>
  <c r="BB138" i="3"/>
  <c r="BB103" i="15"/>
  <c r="BA284" i="3"/>
  <c r="BA244" i="3"/>
  <c r="BA250" i="3"/>
  <c r="BA35" i="17"/>
  <c r="BA131" i="3"/>
  <c r="BA339" i="3"/>
  <c r="BA341" i="3" s="1"/>
  <c r="BA133" i="3"/>
  <c r="BA210" i="3"/>
  <c r="BA213" i="3" s="1"/>
  <c r="BA132" i="3"/>
  <c r="BA134" i="3"/>
  <c r="BA242" i="3"/>
  <c r="BA255" i="3"/>
  <c r="BA135" i="3" l="1"/>
  <c r="BA141" i="3"/>
  <c r="BB240" i="3"/>
  <c r="BA243" i="3"/>
  <c r="BB111" i="3"/>
  <c r="BA260" i="3"/>
  <c r="BA298" i="3" s="1"/>
  <c r="BA43" i="17" s="1"/>
  <c r="BA294" i="3"/>
  <c r="BA296" i="3" s="1"/>
  <c r="BA12" i="17"/>
  <c r="BA13" i="17" s="1"/>
  <c r="BA101" i="15"/>
  <c r="BA74" i="15"/>
  <c r="BB137" i="3"/>
  <c r="BB234" i="3" s="1"/>
  <c r="BB232" i="3" s="1"/>
  <c r="BA286" i="3" l="1"/>
  <c r="BA293" i="3" s="1"/>
  <c r="BB237" i="3"/>
  <c r="BB279" i="3"/>
  <c r="BA14" i="17"/>
  <c r="BA42" i="17"/>
  <c r="BB263" i="3"/>
  <c r="BA297" i="3"/>
  <c r="BA99" i="15"/>
  <c r="BB269" i="3" l="1"/>
  <c r="BB10" i="17"/>
  <c r="BB11" i="17" s="1"/>
  <c r="BB295" i="3"/>
  <c r="BB16" i="17" l="1"/>
  <c r="BB160" i="3" s="1"/>
  <c r="BB161" i="3" s="1"/>
  <c r="BB112" i="3" s="1"/>
  <c r="BB19" i="17"/>
  <c r="BB158" i="3" s="1"/>
  <c r="BB162" i="3" s="1"/>
  <c r="BB218" i="3" l="1"/>
  <c r="BB155" i="3"/>
  <c r="BB26" i="17"/>
  <c r="BB27" i="17" s="1"/>
  <c r="BB113" i="3"/>
  <c r="BB116" i="3" l="1"/>
  <c r="BB34" i="17"/>
  <c r="BB41" i="17" s="1"/>
  <c r="BB114" i="3"/>
  <c r="BB40" i="17"/>
  <c r="BB39" i="17"/>
  <c r="BB117" i="3" l="1"/>
  <c r="BB215" i="3" s="1"/>
  <c r="BB118" i="3"/>
  <c r="BB122" i="3" s="1"/>
  <c r="BB121" i="3" l="1"/>
  <c r="BB127" i="3" s="1"/>
  <c r="BB290" i="3"/>
  <c r="BB216" i="3"/>
  <c r="BB61" i="15" s="1"/>
  <c r="BB62" i="15" s="1"/>
  <c r="BB66" i="15" s="1"/>
  <c r="BB221" i="3" l="1"/>
  <c r="BB245" i="3" s="1"/>
  <c r="BB204" i="3"/>
  <c r="BB205" i="3" s="1"/>
  <c r="BC202" i="3" s="1"/>
  <c r="BB206" i="3"/>
  <c r="BB143" i="3" s="1"/>
  <c r="BB281" i="3"/>
  <c r="BB239" i="3"/>
  <c r="BB128" i="3"/>
  <c r="BB123" i="3"/>
  <c r="BB337" i="3"/>
  <c r="BB338" i="3" s="1"/>
  <c r="BC331" i="3"/>
  <c r="BB292" i="3"/>
  <c r="BB332" i="3"/>
  <c r="BB333" i="3" s="1"/>
  <c r="BC139" i="3"/>
  <c r="BB126" i="3"/>
  <c r="BB100" i="15" l="1"/>
  <c r="BB147" i="3"/>
  <c r="BB149" i="3" s="1"/>
  <c r="BB150" i="3" s="1"/>
  <c r="BB151" i="3" s="1"/>
  <c r="BB75" i="15" s="1"/>
  <c r="BC138" i="3"/>
  <c r="BC103" i="15"/>
  <c r="BB284" i="3"/>
  <c r="BB35" i="17"/>
  <c r="BB250" i="3"/>
  <c r="BB244" i="3"/>
  <c r="BB339" i="3"/>
  <c r="BB341" i="3" s="1"/>
  <c r="BB210" i="3"/>
  <c r="BB213" i="3" s="1"/>
  <c r="BB131" i="3"/>
  <c r="BB133" i="3"/>
  <c r="BB134" i="3"/>
  <c r="BB132" i="3"/>
  <c r="BB242" i="3"/>
  <c r="BB255" i="3"/>
  <c r="BC240" i="3" l="1"/>
  <c r="BB243" i="3"/>
  <c r="BB101" i="15"/>
  <c r="BB74" i="15"/>
  <c r="BC111" i="3"/>
  <c r="BB294" i="3"/>
  <c r="BB296" i="3" s="1"/>
  <c r="BB12" i="17"/>
  <c r="BB13" i="17" s="1"/>
  <c r="BB260" i="3"/>
  <c r="BB298" i="3" s="1"/>
  <c r="BB43" i="17" s="1"/>
  <c r="BB135" i="3"/>
  <c r="BB141" i="3"/>
  <c r="BC137" i="3"/>
  <c r="BC234" i="3" s="1"/>
  <c r="BC232" i="3" s="1"/>
  <c r="BC237" i="3" l="1"/>
  <c r="BC279" i="3"/>
  <c r="BB99" i="15"/>
  <c r="BB297" i="3"/>
  <c r="BC263" i="3"/>
  <c r="BB286" i="3"/>
  <c r="BB293" i="3" s="1"/>
  <c r="BB42" i="17"/>
  <c r="BB14" i="17"/>
  <c r="BC269" i="3" l="1"/>
  <c r="BC10" i="17"/>
  <c r="BC11" i="17" s="1"/>
  <c r="BC295" i="3"/>
  <c r="BC16" i="17" l="1"/>
  <c r="BC160" i="3" s="1"/>
  <c r="BC161" i="3" s="1"/>
  <c r="BC112" i="3" s="1"/>
  <c r="BC19" i="17"/>
  <c r="BC158" i="3" s="1"/>
  <c r="BC162" i="3" s="1"/>
  <c r="BC218" i="3" l="1"/>
  <c r="BC155" i="3"/>
  <c r="BC26" i="17"/>
  <c r="BC27" i="17" s="1"/>
  <c r="BC113" i="3"/>
  <c r="BC116" i="3" l="1"/>
  <c r="BC34" i="17"/>
  <c r="BC41" i="17" s="1"/>
  <c r="BC114" i="3"/>
  <c r="BC40" i="17"/>
  <c r="BC39" i="17"/>
  <c r="BC117" i="3" l="1"/>
  <c r="BC215" i="3" s="1"/>
  <c r="BC118" i="3"/>
  <c r="BC122" i="3" s="1"/>
  <c r="BC121" i="3" l="1"/>
  <c r="BC127" i="3" s="1"/>
  <c r="BC290" i="3"/>
  <c r="BC216" i="3"/>
  <c r="BC61" i="15" s="1"/>
  <c r="BC62" i="15" s="1"/>
  <c r="BC66" i="15" s="1"/>
  <c r="BD139" i="3" l="1"/>
  <c r="BD138" i="3" s="1"/>
  <c r="BD137" i="3" s="1"/>
  <c r="BD234" i="3" s="1"/>
  <c r="BC204" i="3"/>
  <c r="BC205" i="3" s="1"/>
  <c r="BD202" i="3" s="1"/>
  <c r="BC206" i="3"/>
  <c r="BC143" i="3" s="1"/>
  <c r="BC281" i="3"/>
  <c r="BC128" i="3"/>
  <c r="BC123" i="3"/>
  <c r="BD331" i="3"/>
  <c r="BC292" i="3"/>
  <c r="BC332" i="3"/>
  <c r="BC333" i="3" s="1"/>
  <c r="BC337" i="3"/>
  <c r="BC338" i="3" s="1"/>
  <c r="BC221" i="3"/>
  <c r="BC126" i="3"/>
  <c r="BD103" i="15" l="1"/>
  <c r="BC284" i="3"/>
  <c r="BC210" i="3"/>
  <c r="BC213" i="3" s="1"/>
  <c r="BC132" i="3"/>
  <c r="BC133" i="3"/>
  <c r="BC339" i="3"/>
  <c r="BC341" i="3" s="1"/>
  <c r="BC134" i="3"/>
  <c r="BC131" i="3"/>
  <c r="BC35" i="17"/>
  <c r="BC239" i="3"/>
  <c r="BC147" i="3"/>
  <c r="BC149" i="3" s="1"/>
  <c r="BC150" i="3" s="1"/>
  <c r="BC151" i="3" s="1"/>
  <c r="BC75" i="15" s="1"/>
  <c r="BC100" i="15"/>
  <c r="BC245" i="3"/>
  <c r="BC250" i="3" l="1"/>
  <c r="BC244" i="3"/>
  <c r="BC242" i="3"/>
  <c r="BC255" i="3"/>
  <c r="BC135" i="3"/>
  <c r="BC141" i="3"/>
  <c r="BD111" i="3" l="1"/>
  <c r="BD232" i="3"/>
  <c r="BC294" i="3"/>
  <c r="BC296" i="3" s="1"/>
  <c r="BC260" i="3"/>
  <c r="BC12" i="17"/>
  <c r="BC13" i="17" s="1"/>
  <c r="BD240" i="3"/>
  <c r="BC243" i="3"/>
  <c r="BC101" i="15"/>
  <c r="BC74" i="15"/>
  <c r="BC298" i="3" l="1"/>
  <c r="BC43" i="17" s="1"/>
  <c r="BC286" i="3"/>
  <c r="BC293" i="3" s="1"/>
  <c r="BC297" i="3"/>
  <c r="BC99" i="15"/>
  <c r="BD263" i="3"/>
  <c r="BC14" i="17"/>
  <c r="BC42" i="17"/>
  <c r="BD237" i="3"/>
  <c r="BD279" i="3"/>
  <c r="BD10" i="17" l="1"/>
  <c r="BD11" i="17" s="1"/>
  <c r="BD295" i="3"/>
  <c r="BD269" i="3"/>
  <c r="BD16" i="17" l="1"/>
  <c r="BD160" i="3" s="1"/>
  <c r="BD161" i="3" s="1"/>
  <c r="BD112" i="3" s="1"/>
  <c r="BD19" i="17"/>
  <c r="BD158" i="3" s="1"/>
  <c r="BD162" i="3" s="1"/>
  <c r="BD218" i="3" l="1"/>
  <c r="BD26" i="17"/>
  <c r="BD27" i="17" s="1"/>
  <c r="BD155" i="3"/>
  <c r="BD113" i="3"/>
  <c r="BD116" i="3" l="1"/>
  <c r="BD34" i="17"/>
  <c r="BD41" i="17" s="1"/>
  <c r="BD114" i="3"/>
  <c r="BD40" i="17"/>
  <c r="BD39" i="17"/>
  <c r="BD117" i="3" l="1"/>
  <c r="BD215" i="3" s="1"/>
  <c r="BD118" i="3"/>
  <c r="BD122" i="3" s="1"/>
  <c r="BD121" i="3" l="1"/>
  <c r="BD127" i="3" s="1"/>
  <c r="BD290" i="3"/>
  <c r="BD216" i="3"/>
  <c r="BD61" i="15" s="1"/>
  <c r="BD62" i="15" s="1"/>
  <c r="BD66" i="15" s="1"/>
  <c r="BD221" i="3" l="1"/>
  <c r="BD100" i="15" s="1"/>
  <c r="BD204" i="3"/>
  <c r="BD205" i="3" s="1"/>
  <c r="BE202" i="3" s="1"/>
  <c r="BD206" i="3"/>
  <c r="BD143" i="3" s="1"/>
  <c r="BD281" i="3"/>
  <c r="BD126" i="3"/>
  <c r="BD123" i="3"/>
  <c r="BD332" i="3"/>
  <c r="BD333" i="3" s="1"/>
  <c r="BE331" i="3"/>
  <c r="BD337" i="3"/>
  <c r="BD338" i="3" s="1"/>
  <c r="BD292" i="3"/>
  <c r="BE139" i="3"/>
  <c r="BD128" i="3"/>
  <c r="BD245" i="3" l="1"/>
  <c r="BD250" i="3" s="1"/>
  <c r="BD147" i="3"/>
  <c r="BD149" i="3" s="1"/>
  <c r="BD150" i="3" s="1"/>
  <c r="BD151" i="3" s="1"/>
  <c r="BD75" i="15" s="1"/>
  <c r="BD239" i="3"/>
  <c r="BD242" i="3" s="1"/>
  <c r="BE138" i="3"/>
  <c r="BE137" i="3" s="1"/>
  <c r="BE234" i="3" s="1"/>
  <c r="BE103" i="15"/>
  <c r="BD284" i="3"/>
  <c r="BD35" i="17"/>
  <c r="BD339" i="3"/>
  <c r="BD341" i="3" s="1"/>
  <c r="BD131" i="3"/>
  <c r="BD134" i="3"/>
  <c r="BD210" i="3"/>
  <c r="BD213" i="3" s="1"/>
  <c r="BD133" i="3"/>
  <c r="BD132" i="3"/>
  <c r="BD255" i="3" l="1"/>
  <c r="BE232" i="3" s="1"/>
  <c r="BD244" i="3"/>
  <c r="BE240" i="3"/>
  <c r="BD135" i="3"/>
  <c r="BD141" i="3"/>
  <c r="BD101" i="15"/>
  <c r="BD74" i="15"/>
  <c r="BD12" i="17" l="1"/>
  <c r="BD13" i="17" s="1"/>
  <c r="BD42" i="17" s="1"/>
  <c r="BE111" i="3"/>
  <c r="BD294" i="3"/>
  <c r="BD296" i="3" s="1"/>
  <c r="BD297" i="3" s="1"/>
  <c r="BD260" i="3"/>
  <c r="BD298" i="3" s="1"/>
  <c r="BD43" i="17" s="1"/>
  <c r="BD243" i="3"/>
  <c r="BE237" i="3"/>
  <c r="BE279" i="3"/>
  <c r="BE263" i="3"/>
  <c r="BD99" i="15" l="1"/>
  <c r="BD14" i="17"/>
  <c r="K1" i="17" s="1"/>
  <c r="BD286" i="3"/>
  <c r="BD293" i="3" s="1"/>
  <c r="BE269" i="3"/>
  <c r="BE10" i="17"/>
  <c r="BE11" i="17" s="1"/>
  <c r="BE295" i="3"/>
  <c r="BE16" i="17" l="1"/>
  <c r="BE160" i="3" s="1"/>
  <c r="BE161" i="3" s="1"/>
  <c r="BE112" i="3" s="1"/>
  <c r="BE19" i="17"/>
  <c r="BE158" i="3" s="1"/>
  <c r="BE162" i="3" s="1"/>
  <c r="BE218" i="3" l="1"/>
  <c r="BE26" i="17"/>
  <c r="BE27" i="17" s="1"/>
  <c r="BE155" i="3"/>
  <c r="BE113" i="3"/>
  <c r="BE116" i="3" l="1"/>
  <c r="BE34" i="17"/>
  <c r="BE41" i="17" s="1"/>
  <c r="BE114" i="3"/>
  <c r="BE40" i="17"/>
  <c r="BE39" i="17"/>
  <c r="BE117" i="3" l="1"/>
  <c r="BE215" i="3" s="1"/>
  <c r="BE118" i="3"/>
  <c r="BE122" i="3" s="1"/>
  <c r="BE121" i="3" l="1"/>
  <c r="BE127" i="3" s="1"/>
  <c r="BE290" i="3"/>
  <c r="BE216" i="3"/>
  <c r="BE61" i="15" s="1"/>
  <c r="BE62" i="15" s="1"/>
  <c r="BE66" i="15" s="1"/>
  <c r="BE221" i="3" l="1"/>
  <c r="BE239" i="3" s="1"/>
  <c r="BE204" i="3"/>
  <c r="BE205" i="3" s="1"/>
  <c r="BF202" i="3" s="1"/>
  <c r="BE206" i="3"/>
  <c r="BE143" i="3" s="1"/>
  <c r="BE281" i="3"/>
  <c r="BE126" i="3"/>
  <c r="BE123" i="3"/>
  <c r="BE332" i="3"/>
  <c r="BE333" i="3" s="1"/>
  <c r="BE292" i="3"/>
  <c r="BF331" i="3"/>
  <c r="BE337" i="3"/>
  <c r="BE338" i="3" s="1"/>
  <c r="BF139" i="3"/>
  <c r="BE128" i="3"/>
  <c r="BE147" i="3" l="1"/>
  <c r="BE149" i="3" s="1"/>
  <c r="BE150" i="3" s="1"/>
  <c r="BE151" i="3" s="1"/>
  <c r="BE75" i="15" s="1"/>
  <c r="BE245" i="3"/>
  <c r="BE250" i="3" s="1"/>
  <c r="BE100" i="15"/>
  <c r="BE284" i="3"/>
  <c r="BF138" i="3"/>
  <c r="BF103" i="15"/>
  <c r="BE35" i="17"/>
  <c r="BE134" i="3"/>
  <c r="BE132" i="3"/>
  <c r="BE131" i="3"/>
  <c r="BE133" i="3"/>
  <c r="BE339" i="3"/>
  <c r="BE341" i="3" s="1"/>
  <c r="BE210" i="3"/>
  <c r="BE213" i="3" s="1"/>
  <c r="BE242" i="3"/>
  <c r="BE255" i="3"/>
  <c r="BE244" i="3" l="1"/>
  <c r="BE135" i="3"/>
  <c r="BE141" i="3"/>
  <c r="BE101" i="15"/>
  <c r="BE74" i="15"/>
  <c r="BF240" i="3"/>
  <c r="BE243" i="3"/>
  <c r="BF111" i="3"/>
  <c r="BE294" i="3"/>
  <c r="BE296" i="3" s="1"/>
  <c r="BE12" i="17"/>
  <c r="BE13" i="17" s="1"/>
  <c r="BE260" i="3"/>
  <c r="BE298" i="3" s="1"/>
  <c r="BE43" i="17" s="1"/>
  <c r="BF137" i="3"/>
  <c r="BF234" i="3" s="1"/>
  <c r="BF232" i="3" s="1"/>
  <c r="BF237" i="3" l="1"/>
  <c r="BF279" i="3"/>
  <c r="BF263" i="3"/>
  <c r="BE297" i="3"/>
  <c r="BE99" i="15"/>
  <c r="BE42" i="17"/>
  <c r="BE14" i="17"/>
  <c r="BE286" i="3"/>
  <c r="BE293" i="3" s="1"/>
  <c r="BF269" i="3" l="1"/>
  <c r="BF10" i="17"/>
  <c r="BF11" i="17" s="1"/>
  <c r="BF295" i="3"/>
  <c r="BF16" i="17" l="1"/>
  <c r="BF160" i="3" s="1"/>
  <c r="BF161" i="3" s="1"/>
  <c r="BF112" i="3" s="1"/>
  <c r="BF19" i="17"/>
  <c r="BF158" i="3" s="1"/>
  <c r="BF162" i="3" s="1"/>
  <c r="BF218" i="3" l="1"/>
  <c r="BF155" i="3"/>
  <c r="BF26" i="17"/>
  <c r="BF27" i="17" s="1"/>
  <c r="BF113" i="3"/>
  <c r="BF116" i="3" l="1"/>
  <c r="BF34" i="17"/>
  <c r="BF41" i="17" s="1"/>
  <c r="BF114" i="3"/>
  <c r="BF39" i="17"/>
  <c r="BF40" i="17" l="1"/>
  <c r="BF117" i="3"/>
  <c r="BF215" i="3" s="1"/>
  <c r="BF118" i="3"/>
  <c r="BF122" i="3" s="1"/>
  <c r="BF121" i="3" l="1"/>
  <c r="BF127" i="3" s="1"/>
  <c r="BF290" i="3"/>
  <c r="BF216" i="3"/>
  <c r="BF61" i="15" s="1"/>
  <c r="BF62" i="15" s="1"/>
  <c r="BF66" i="15" s="1"/>
  <c r="BF221" i="3" l="1"/>
  <c r="BF147" i="3" s="1"/>
  <c r="BF149" i="3" s="1"/>
  <c r="BF150" i="3" s="1"/>
  <c r="BF151" i="3" s="1"/>
  <c r="BF75" i="15" s="1"/>
  <c r="BF204" i="3"/>
  <c r="BF205" i="3" s="1"/>
  <c r="BG202" i="3" s="1"/>
  <c r="BF206" i="3"/>
  <c r="BF143" i="3" s="1"/>
  <c r="BF281" i="3"/>
  <c r="BF128" i="3"/>
  <c r="BF123" i="3"/>
  <c r="BF332" i="3"/>
  <c r="BF333" i="3" s="1"/>
  <c r="BG331" i="3"/>
  <c r="BF337" i="3"/>
  <c r="BF338" i="3" s="1"/>
  <c r="BF292" i="3"/>
  <c r="BG139" i="3"/>
  <c r="BF126" i="3"/>
  <c r="BF239" i="3" l="1"/>
  <c r="BF242" i="3" s="1"/>
  <c r="BF245" i="3"/>
  <c r="BF244" i="3" s="1"/>
  <c r="BF100" i="15"/>
  <c r="BG138" i="3"/>
  <c r="BG137" i="3" s="1"/>
  <c r="BG234" i="3" s="1"/>
  <c r="BG103" i="15"/>
  <c r="BF284" i="3"/>
  <c r="BF35" i="17"/>
  <c r="BF339" i="3"/>
  <c r="BF341" i="3" s="1"/>
  <c r="BF132" i="3"/>
  <c r="BF134" i="3"/>
  <c r="BF131" i="3"/>
  <c r="BF210" i="3"/>
  <c r="BF213" i="3" s="1"/>
  <c r="BF133" i="3"/>
  <c r="BF250" i="3" l="1"/>
  <c r="BF101" i="15" s="1"/>
  <c r="BF255" i="3"/>
  <c r="BF260" i="3" s="1"/>
  <c r="BF298" i="3" s="1"/>
  <c r="BF43" i="17" s="1"/>
  <c r="BG240" i="3"/>
  <c r="BF135" i="3"/>
  <c r="BF141" i="3"/>
  <c r="BG232" i="3"/>
  <c r="BF74" i="15" l="1"/>
  <c r="BG111" i="3"/>
  <c r="BG263" i="3" s="1"/>
  <c r="BF243" i="3"/>
  <c r="BF294" i="3"/>
  <c r="BF296" i="3" s="1"/>
  <c r="BF99" i="15" s="1"/>
  <c r="BF12" i="17"/>
  <c r="BF13" i="17" s="1"/>
  <c r="BF286" i="3"/>
  <c r="BF293" i="3" s="1"/>
  <c r="BG237" i="3"/>
  <c r="BG279" i="3"/>
  <c r="BF14" i="17" l="1"/>
  <c r="BF42" i="17"/>
  <c r="BF297" i="3"/>
  <c r="BG269" i="3"/>
  <c r="BG10" i="17"/>
  <c r="BG11" i="17" s="1"/>
  <c r="BG295" i="3"/>
  <c r="BG16" i="17" l="1"/>
  <c r="BG160" i="3" s="1"/>
  <c r="BG161" i="3" s="1"/>
  <c r="BG112" i="3" s="1"/>
  <c r="BG19" i="17"/>
  <c r="BG158" i="3" s="1"/>
  <c r="BG162" i="3" s="1"/>
  <c r="BG218" i="3" l="1"/>
  <c r="BG26" i="17"/>
  <c r="BG27" i="17" s="1"/>
  <c r="BG155" i="3"/>
  <c r="BG113" i="3"/>
  <c r="BG116" i="3" l="1"/>
  <c r="BG34" i="17"/>
  <c r="BG41" i="17" s="1"/>
  <c r="BG114" i="3"/>
  <c r="BG39" i="17"/>
  <c r="BG40" i="17" l="1"/>
  <c r="BG117" i="3"/>
  <c r="BG215" i="3" s="1"/>
  <c r="BG118" i="3"/>
  <c r="BG122" i="3" s="1"/>
  <c r="BG121" i="3" l="1"/>
  <c r="BG127" i="3" s="1"/>
  <c r="BG290" i="3"/>
  <c r="BG216" i="3"/>
  <c r="BG61" i="15" s="1"/>
  <c r="BG62" i="15" s="1"/>
  <c r="BG66" i="15" s="1"/>
  <c r="BG221" i="3" l="1"/>
  <c r="BG239" i="3" s="1"/>
  <c r="BG204" i="3"/>
  <c r="BG205" i="3" s="1"/>
  <c r="BH202" i="3" s="1"/>
  <c r="BG206" i="3"/>
  <c r="BG143" i="3" s="1"/>
  <c r="BG281" i="3"/>
  <c r="BG126" i="3"/>
  <c r="BG123" i="3"/>
  <c r="BH331" i="3"/>
  <c r="BG292" i="3"/>
  <c r="BG332" i="3"/>
  <c r="BG333" i="3" s="1"/>
  <c r="BG337" i="3"/>
  <c r="BG338" i="3" s="1"/>
  <c r="BH139" i="3"/>
  <c r="BG128" i="3"/>
  <c r="BG245" i="3" l="1"/>
  <c r="BG250" i="3" s="1"/>
  <c r="BG100" i="15"/>
  <c r="BG147" i="3"/>
  <c r="BG149" i="3" s="1"/>
  <c r="BG150" i="3" s="1"/>
  <c r="BG151" i="3" s="1"/>
  <c r="BG75" i="15" s="1"/>
  <c r="BH138" i="3"/>
  <c r="BH137" i="3" s="1"/>
  <c r="BH234" i="3" s="1"/>
  <c r="BH103" i="15"/>
  <c r="BG284" i="3"/>
  <c r="BG35" i="17"/>
  <c r="BG339" i="3"/>
  <c r="BG341" i="3" s="1"/>
  <c r="BG131" i="3"/>
  <c r="BG210" i="3"/>
  <c r="BG213" i="3" s="1"/>
  <c r="BG134" i="3"/>
  <c r="BG133" i="3"/>
  <c r="BG132" i="3"/>
  <c r="BG242" i="3"/>
  <c r="BG255" i="3"/>
  <c r="BG244" i="3" l="1"/>
  <c r="BH240" i="3"/>
  <c r="BG243" i="3"/>
  <c r="BG101" i="15"/>
  <c r="BG74" i="15"/>
  <c r="BG135" i="3"/>
  <c r="BG141" i="3"/>
  <c r="BH111" i="3"/>
  <c r="BH232" i="3"/>
  <c r="BG294" i="3"/>
  <c r="BG296" i="3" s="1"/>
  <c r="BG12" i="17"/>
  <c r="BG13" i="17" s="1"/>
  <c r="BG260" i="3"/>
  <c r="BG298" i="3" s="1"/>
  <c r="BG43" i="17" s="1"/>
  <c r="BH237" i="3" l="1"/>
  <c r="BH279" i="3"/>
  <c r="BG14" i="17"/>
  <c r="BG42" i="17"/>
  <c r="BH263" i="3"/>
  <c r="BG286" i="3"/>
  <c r="BG293" i="3" s="1"/>
  <c r="BG297" i="3"/>
  <c r="BG99" i="15"/>
  <c r="BH269" i="3" l="1"/>
  <c r="BH10" i="17"/>
  <c r="BH11" i="17" s="1"/>
  <c r="BH295" i="3"/>
  <c r="BH16" i="17" l="1"/>
  <c r="BH160" i="3" s="1"/>
  <c r="BH161" i="3" s="1"/>
  <c r="BH112" i="3" s="1"/>
  <c r="BH19" i="17"/>
  <c r="BH158" i="3" s="1"/>
  <c r="BH162" i="3" s="1"/>
  <c r="BH218" i="3" l="1"/>
  <c r="BH26" i="17"/>
  <c r="BH27" i="17" s="1"/>
  <c r="BH155" i="3"/>
  <c r="BH113" i="3"/>
  <c r="BH116" i="3" l="1"/>
  <c r="BH34" i="17"/>
  <c r="BH41" i="17" s="1"/>
  <c r="BH114" i="3"/>
  <c r="BH40" i="17"/>
  <c r="BH39" i="17"/>
  <c r="BH117" i="3" l="1"/>
  <c r="BH215" i="3" s="1"/>
  <c r="BH118" i="3"/>
  <c r="BH122" i="3" s="1"/>
  <c r="BH121" i="3" l="1"/>
  <c r="BH127" i="3" s="1"/>
  <c r="BH290" i="3"/>
  <c r="BH216" i="3"/>
  <c r="BH61" i="15" s="1"/>
  <c r="BH62" i="15" s="1"/>
  <c r="BH66" i="15" s="1"/>
  <c r="BH221" i="3" l="1"/>
  <c r="BH147" i="3" s="1"/>
  <c r="BH149" i="3" s="1"/>
  <c r="BH150" i="3" s="1"/>
  <c r="BH151" i="3" s="1"/>
  <c r="BH75" i="15" s="1"/>
  <c r="BH204" i="3"/>
  <c r="BH205" i="3" s="1"/>
  <c r="BI202" i="3" s="1"/>
  <c r="BH206" i="3"/>
  <c r="BH143" i="3" s="1"/>
  <c r="BH281" i="3"/>
  <c r="BH239" i="3"/>
  <c r="BH126" i="3"/>
  <c r="BH123" i="3"/>
  <c r="BI331" i="3"/>
  <c r="BH292" i="3"/>
  <c r="BH332" i="3"/>
  <c r="BH333" i="3" s="1"/>
  <c r="BH337" i="3"/>
  <c r="BH338" i="3" s="1"/>
  <c r="BI139" i="3"/>
  <c r="BH128" i="3"/>
  <c r="BH100" i="15" l="1"/>
  <c r="BH245" i="3"/>
  <c r="BH250" i="3" s="1"/>
  <c r="BI138" i="3"/>
  <c r="BI137" i="3" s="1"/>
  <c r="BI234" i="3" s="1"/>
  <c r="BI103" i="15"/>
  <c r="BH284" i="3"/>
  <c r="BH35" i="17"/>
  <c r="BH339" i="3"/>
  <c r="BH341" i="3" s="1"/>
  <c r="BH132" i="3"/>
  <c r="BH133" i="3"/>
  <c r="BH134" i="3"/>
  <c r="BH210" i="3"/>
  <c r="BH213" i="3" s="1"/>
  <c r="BH131" i="3"/>
  <c r="BH242" i="3"/>
  <c r="BH255" i="3"/>
  <c r="BH244" i="3" l="1"/>
  <c r="BH135" i="3"/>
  <c r="BH141" i="3"/>
  <c r="BH74" i="15"/>
  <c r="BH101" i="15"/>
  <c r="BI240" i="3"/>
  <c r="BH243" i="3"/>
  <c r="BI111" i="3"/>
  <c r="BI232" i="3"/>
  <c r="BH260" i="3"/>
  <c r="BH298" i="3" s="1"/>
  <c r="BH43" i="17" s="1"/>
  <c r="BH294" i="3"/>
  <c r="BH296" i="3" s="1"/>
  <c r="BH12" i="17"/>
  <c r="BH13" i="17" s="1"/>
  <c r="BH286" i="3" l="1"/>
  <c r="BH293" i="3" s="1"/>
  <c r="BI237" i="3"/>
  <c r="BI279" i="3"/>
  <c r="BH99" i="15"/>
  <c r="BH297" i="3"/>
  <c r="BI263" i="3"/>
  <c r="BH14" i="17"/>
  <c r="BH42" i="17"/>
  <c r="BI269" i="3" l="1"/>
  <c r="BI10" i="17"/>
  <c r="BI11" i="17" s="1"/>
  <c r="BI295" i="3"/>
  <c r="BI16" i="17" l="1"/>
  <c r="BI160" i="3" s="1"/>
  <c r="BI161" i="3" s="1"/>
  <c r="BI112" i="3" s="1"/>
  <c r="BI19" i="17"/>
  <c r="BI158" i="3" s="1"/>
  <c r="BI162" i="3" s="1"/>
  <c r="BI218" i="3" l="1"/>
  <c r="BI155" i="3"/>
  <c r="BI26" i="17"/>
  <c r="BI27" i="17" s="1"/>
  <c r="BI113" i="3"/>
  <c r="BI116" i="3" l="1"/>
  <c r="BI34" i="17"/>
  <c r="BI41" i="17" s="1"/>
  <c r="BI114" i="3"/>
  <c r="BI39" i="17"/>
  <c r="BI40" i="17" l="1"/>
  <c r="BI117" i="3"/>
  <c r="BI215" i="3" s="1"/>
  <c r="BI118" i="3"/>
  <c r="BI122" i="3" s="1"/>
  <c r="BI121" i="3" l="1"/>
  <c r="BI127" i="3" s="1"/>
  <c r="BI290" i="3"/>
  <c r="BI216" i="3"/>
  <c r="BI61" i="15" s="1"/>
  <c r="BI62" i="15" s="1"/>
  <c r="BI66" i="15" s="1"/>
  <c r="BJ139" i="3" l="1"/>
  <c r="BJ138" i="3" s="1"/>
  <c r="BI204" i="3"/>
  <c r="BI205" i="3" s="1"/>
  <c r="BJ202" i="3" s="1"/>
  <c r="BI206" i="3"/>
  <c r="BI143" i="3" s="1"/>
  <c r="BI281" i="3"/>
  <c r="BI126" i="3"/>
  <c r="BI123" i="3"/>
  <c r="BI292" i="3"/>
  <c r="BJ331" i="3"/>
  <c r="BI337" i="3"/>
  <c r="BI338" i="3" s="1"/>
  <c r="BI332" i="3"/>
  <c r="BI333" i="3" s="1"/>
  <c r="BI221" i="3"/>
  <c r="BI128" i="3"/>
  <c r="BJ103" i="15" l="1"/>
  <c r="BI284" i="3"/>
  <c r="BI131" i="3"/>
  <c r="BI133" i="3"/>
  <c r="BI339" i="3"/>
  <c r="BI341" i="3" s="1"/>
  <c r="BI210" i="3"/>
  <c r="BI213" i="3" s="1"/>
  <c r="BI132" i="3"/>
  <c r="BI134" i="3"/>
  <c r="BI239" i="3"/>
  <c r="BI100" i="15"/>
  <c r="BI245" i="3"/>
  <c r="BI147" i="3"/>
  <c r="BI149" i="3" s="1"/>
  <c r="BI150" i="3" s="1"/>
  <c r="BI151" i="3" s="1"/>
  <c r="BI75" i="15" s="1"/>
  <c r="BI35" i="17"/>
  <c r="BJ137" i="3"/>
  <c r="BJ234" i="3" s="1"/>
  <c r="BI135" i="3" l="1"/>
  <c r="BI141" i="3"/>
  <c r="BI242" i="3"/>
  <c r="BI255" i="3"/>
  <c r="BI250" i="3"/>
  <c r="BI244" i="3"/>
  <c r="BJ111" i="3" l="1"/>
  <c r="BJ232" i="3"/>
  <c r="BI260" i="3"/>
  <c r="BI12" i="17"/>
  <c r="BI13" i="17" s="1"/>
  <c r="BI294" i="3"/>
  <c r="BI296" i="3" s="1"/>
  <c r="BI101" i="15"/>
  <c r="BI74" i="15"/>
  <c r="BJ240" i="3"/>
  <c r="BI243" i="3"/>
  <c r="BI42" i="17" l="1"/>
  <c r="BI14" i="17"/>
  <c r="BI298" i="3"/>
  <c r="BI43" i="17" s="1"/>
  <c r="BI286" i="3"/>
  <c r="BI293" i="3" s="1"/>
  <c r="BJ263" i="3"/>
  <c r="BI99" i="15"/>
  <c r="BI297" i="3"/>
  <c r="BJ237" i="3"/>
  <c r="BJ279" i="3"/>
  <c r="BJ10" i="17" l="1"/>
  <c r="BJ11" i="17" s="1"/>
  <c r="BJ295" i="3"/>
  <c r="BJ269" i="3"/>
  <c r="BJ16" i="17" l="1"/>
  <c r="BJ160" i="3" s="1"/>
  <c r="BJ161" i="3" s="1"/>
  <c r="BJ112" i="3" s="1"/>
  <c r="BJ19" i="17"/>
  <c r="BJ158" i="3" s="1"/>
  <c r="BJ162" i="3" s="1"/>
  <c r="BJ218" i="3" l="1"/>
  <c r="BJ155" i="3"/>
  <c r="BJ26" i="17"/>
  <c r="BJ27" i="17" s="1"/>
  <c r="BJ113" i="3"/>
  <c r="BJ116" i="3" l="1"/>
  <c r="BJ34" i="17"/>
  <c r="BJ41" i="17" s="1"/>
  <c r="BJ114" i="3"/>
  <c r="BJ40" i="17"/>
  <c r="BJ39" i="17"/>
  <c r="BJ117" i="3" l="1"/>
  <c r="BJ215" i="3" s="1"/>
  <c r="BJ118" i="3"/>
  <c r="BJ122" i="3" s="1"/>
  <c r="BJ121" i="3" l="1"/>
  <c r="BJ127" i="3" s="1"/>
  <c r="BJ290" i="3"/>
  <c r="BJ216" i="3"/>
  <c r="BJ61" i="15" s="1"/>
  <c r="BJ62" i="15" s="1"/>
  <c r="BJ66" i="15" s="1"/>
  <c r="BJ221" i="3" l="1"/>
  <c r="BJ245" i="3" s="1"/>
  <c r="BJ204" i="3"/>
  <c r="BJ205" i="3" s="1"/>
  <c r="BK202" i="3" s="1"/>
  <c r="BJ206" i="3"/>
  <c r="BJ143" i="3" s="1"/>
  <c r="BJ281" i="3"/>
  <c r="BJ239" i="3"/>
  <c r="BJ126" i="3"/>
  <c r="BJ123" i="3"/>
  <c r="BJ292" i="3"/>
  <c r="BJ332" i="3"/>
  <c r="BJ333" i="3" s="1"/>
  <c r="BK331" i="3"/>
  <c r="BJ337" i="3"/>
  <c r="BJ338" i="3" s="1"/>
  <c r="BK139" i="3"/>
  <c r="BJ128" i="3"/>
  <c r="BJ100" i="15" l="1"/>
  <c r="BJ147" i="3"/>
  <c r="BJ149" i="3" s="1"/>
  <c r="BJ150" i="3" s="1"/>
  <c r="BJ151" i="3" s="1"/>
  <c r="BJ75" i="15" s="1"/>
  <c r="BJ35" i="17"/>
  <c r="BJ244" i="3"/>
  <c r="BJ250" i="3"/>
  <c r="BK138" i="3"/>
  <c r="BK103" i="15"/>
  <c r="BJ284" i="3"/>
  <c r="BJ210" i="3"/>
  <c r="BJ213" i="3" s="1"/>
  <c r="BJ133" i="3"/>
  <c r="BJ339" i="3"/>
  <c r="BJ341" i="3" s="1"/>
  <c r="BJ131" i="3"/>
  <c r="BJ134" i="3"/>
  <c r="BJ132" i="3"/>
  <c r="BJ242" i="3"/>
  <c r="BJ255" i="3"/>
  <c r="BJ101" i="15" l="1"/>
  <c r="BJ74" i="15"/>
  <c r="BK137" i="3"/>
  <c r="BK234" i="3" s="1"/>
  <c r="BK232" i="3" s="1"/>
  <c r="BK240" i="3"/>
  <c r="BJ243" i="3"/>
  <c r="BJ135" i="3"/>
  <c r="BJ141" i="3"/>
  <c r="BK111" i="3"/>
  <c r="BJ294" i="3"/>
  <c r="BJ296" i="3" s="1"/>
  <c r="BJ260" i="3"/>
  <c r="BJ298" i="3" s="1"/>
  <c r="BJ43" i="17" s="1"/>
  <c r="BJ12" i="17"/>
  <c r="BJ13" i="17" s="1"/>
  <c r="BJ99" i="15" l="1"/>
  <c r="BJ297" i="3"/>
  <c r="BJ286" i="3"/>
  <c r="BJ293" i="3" s="1"/>
  <c r="BK237" i="3"/>
  <c r="BK279" i="3"/>
  <c r="BJ42" i="17"/>
  <c r="BJ14" i="17"/>
  <c r="BK263" i="3"/>
  <c r="BK10" i="17" l="1"/>
  <c r="BK11" i="17" s="1"/>
  <c r="BK295" i="3"/>
  <c r="BK269" i="3"/>
  <c r="BK16" i="17" l="1"/>
  <c r="BK160" i="3" s="1"/>
  <c r="BK161" i="3" s="1"/>
  <c r="BK112" i="3" s="1"/>
  <c r="BK19" i="17"/>
  <c r="BK158" i="3" s="1"/>
  <c r="BK162" i="3" s="1"/>
  <c r="BK218" i="3" l="1"/>
  <c r="BK155" i="3"/>
  <c r="BK26" i="17"/>
  <c r="BK27" i="17" s="1"/>
  <c r="BK113" i="3"/>
  <c r="BK116" i="3" l="1"/>
  <c r="BK34" i="17"/>
  <c r="BK41" i="17" s="1"/>
  <c r="BK114" i="3"/>
  <c r="BK40" i="17"/>
  <c r="BK39" i="17"/>
  <c r="BK117" i="3" l="1"/>
  <c r="BK215" i="3" s="1"/>
  <c r="BK118" i="3"/>
  <c r="BK122" i="3" s="1"/>
  <c r="BK121" i="3" l="1"/>
  <c r="BK127" i="3" s="1"/>
  <c r="BK290" i="3"/>
  <c r="BK216" i="3"/>
  <c r="BK61" i="15" s="1"/>
  <c r="BK62" i="15" s="1"/>
  <c r="BK66" i="15" s="1"/>
  <c r="BK221" i="3" l="1"/>
  <c r="BK245" i="3" s="1"/>
  <c r="BK204" i="3"/>
  <c r="BK205" i="3" s="1"/>
  <c r="BL202" i="3" s="1"/>
  <c r="BK206" i="3"/>
  <c r="BK143" i="3" s="1"/>
  <c r="BK281" i="3"/>
  <c r="BK239" i="3"/>
  <c r="BK128" i="3"/>
  <c r="BK123" i="3"/>
  <c r="BL331" i="3"/>
  <c r="BK292" i="3"/>
  <c r="BK337" i="3"/>
  <c r="BK338" i="3" s="1"/>
  <c r="BK332" i="3"/>
  <c r="BK333" i="3" s="1"/>
  <c r="BL139" i="3"/>
  <c r="BK126" i="3"/>
  <c r="BK147" i="3" l="1"/>
  <c r="BK149" i="3" s="1"/>
  <c r="BK150" i="3" s="1"/>
  <c r="BK151" i="3" s="1"/>
  <c r="BK75" i="15" s="1"/>
  <c r="BK100" i="15"/>
  <c r="BK284" i="3"/>
  <c r="BK244" i="3"/>
  <c r="BK250" i="3"/>
  <c r="BL138" i="3"/>
  <c r="BL103" i="15"/>
  <c r="BK131" i="3"/>
  <c r="BK133" i="3"/>
  <c r="BK132" i="3"/>
  <c r="BK134" i="3"/>
  <c r="BK339" i="3"/>
  <c r="BK341" i="3" s="1"/>
  <c r="BK210" i="3"/>
  <c r="BK213" i="3" s="1"/>
  <c r="BK35" i="17"/>
  <c r="BK242" i="3"/>
  <c r="BK255" i="3"/>
  <c r="BL240" i="3" l="1"/>
  <c r="BK243" i="3"/>
  <c r="BK74" i="15"/>
  <c r="BK101" i="15"/>
  <c r="BL137" i="3"/>
  <c r="BL234" i="3" s="1"/>
  <c r="BL232" i="3" s="1"/>
  <c r="BL111" i="3"/>
  <c r="BK260" i="3"/>
  <c r="BK298" i="3" s="1"/>
  <c r="BK43" i="17" s="1"/>
  <c r="BK294" i="3"/>
  <c r="BK296" i="3" s="1"/>
  <c r="BK12" i="17"/>
  <c r="BK13" i="17" s="1"/>
  <c r="BK135" i="3"/>
  <c r="BK141" i="3"/>
  <c r="BK286" i="3" l="1"/>
  <c r="BK293" i="3" s="1"/>
  <c r="BL237" i="3"/>
  <c r="BL279" i="3"/>
  <c r="BK297" i="3"/>
  <c r="BK99" i="15"/>
  <c r="BL263" i="3"/>
  <c r="BK42" i="17"/>
  <c r="BK14" i="17"/>
  <c r="BL269" i="3" l="1"/>
  <c r="BL10" i="17"/>
  <c r="BL11" i="17" s="1"/>
  <c r="BL295" i="3"/>
  <c r="BL16" i="17" l="1"/>
  <c r="BL160" i="3" s="1"/>
  <c r="BL161" i="3" s="1"/>
  <c r="BL112" i="3" s="1"/>
  <c r="BL19" i="17"/>
  <c r="BL158" i="3" s="1"/>
  <c r="BL162" i="3" s="1"/>
  <c r="BL218" i="3" l="1"/>
  <c r="BL26" i="17"/>
  <c r="BL27" i="17" s="1"/>
  <c r="BL155" i="3"/>
  <c r="BL113" i="3"/>
  <c r="BL116" i="3" l="1"/>
  <c r="BL34" i="17"/>
  <c r="BL41" i="17" s="1"/>
  <c r="BL114" i="3"/>
  <c r="BL39" i="17"/>
  <c r="BL40" i="17" l="1"/>
  <c r="BL117" i="3"/>
  <c r="BL215" i="3" s="1"/>
  <c r="BL118" i="3"/>
  <c r="BL122" i="3" s="1"/>
  <c r="BL121" i="3" l="1"/>
  <c r="BL127" i="3" s="1"/>
  <c r="BL290" i="3"/>
  <c r="BL216" i="3"/>
  <c r="BL61" i="15" s="1"/>
  <c r="BL62" i="15" s="1"/>
  <c r="BL66" i="15" s="1"/>
  <c r="BL221" i="3" l="1"/>
  <c r="BL100" i="15" s="1"/>
  <c r="BL204" i="3"/>
  <c r="BL205" i="3" s="1"/>
  <c r="BM202" i="3" s="1"/>
  <c r="BL206" i="3"/>
  <c r="BL143" i="3" s="1"/>
  <c r="BL281" i="3"/>
  <c r="BL239" i="3"/>
  <c r="BL128" i="3"/>
  <c r="BL123" i="3"/>
  <c r="BM331" i="3"/>
  <c r="BL292" i="3"/>
  <c r="BL337" i="3"/>
  <c r="BL338" i="3" s="1"/>
  <c r="BL332" i="3"/>
  <c r="BL333" i="3" s="1"/>
  <c r="BM139" i="3"/>
  <c r="BL126" i="3"/>
  <c r="BL147" i="3" l="1"/>
  <c r="BL149" i="3" s="1"/>
  <c r="BL150" i="3" s="1"/>
  <c r="BL151" i="3" s="1"/>
  <c r="BL75" i="15" s="1"/>
  <c r="BL245" i="3"/>
  <c r="BL244" i="3" s="1"/>
  <c r="BL284" i="3"/>
  <c r="BM138" i="3"/>
  <c r="BM137" i="3" s="1"/>
  <c r="BM234" i="3" s="1"/>
  <c r="BM103" i="15"/>
  <c r="BL133" i="3"/>
  <c r="BL339" i="3"/>
  <c r="BL341" i="3" s="1"/>
  <c r="BL134" i="3"/>
  <c r="BL132" i="3"/>
  <c r="BL131" i="3"/>
  <c r="BL210" i="3"/>
  <c r="BL213" i="3" s="1"/>
  <c r="BL35" i="17"/>
  <c r="BL242" i="3"/>
  <c r="BL255" i="3"/>
  <c r="BL250" i="3" l="1"/>
  <c r="BL74" i="15" s="1"/>
  <c r="BL135" i="3"/>
  <c r="BL141" i="3"/>
  <c r="BM240" i="3"/>
  <c r="BL243" i="3"/>
  <c r="BM111" i="3"/>
  <c r="BM232" i="3"/>
  <c r="BL294" i="3"/>
  <c r="BL296" i="3" s="1"/>
  <c r="BL260" i="3"/>
  <c r="BL298" i="3" s="1"/>
  <c r="BL43" i="17" s="1"/>
  <c r="BL12" i="17"/>
  <c r="BL13" i="17" s="1"/>
  <c r="BL101" i="15" l="1"/>
  <c r="BM237" i="3"/>
  <c r="BM279" i="3"/>
  <c r="BM263" i="3"/>
  <c r="BL42" i="17"/>
  <c r="BL14" i="17"/>
  <c r="BL286" i="3"/>
  <c r="BL293" i="3" s="1"/>
  <c r="BL297" i="3"/>
  <c r="BL99" i="15"/>
  <c r="BM269" i="3" l="1"/>
  <c r="BM10" i="17"/>
  <c r="BM11" i="17" s="1"/>
  <c r="BM295" i="3"/>
  <c r="BM16" i="17" l="1"/>
  <c r="BM160" i="3" s="1"/>
  <c r="BM161" i="3" s="1"/>
  <c r="BM112" i="3" s="1"/>
  <c r="BM19" i="17"/>
  <c r="BM158" i="3" s="1"/>
  <c r="BM162" i="3" s="1"/>
  <c r="BM218" i="3" l="1"/>
  <c r="BM26" i="17"/>
  <c r="BM27" i="17" s="1"/>
  <c r="BM155" i="3"/>
  <c r="BM113" i="3"/>
  <c r="BM116" i="3" l="1"/>
  <c r="BM34" i="17"/>
  <c r="BM41" i="17" s="1"/>
  <c r="BM114" i="3"/>
  <c r="BM40" i="17"/>
  <c r="BM39" i="17"/>
  <c r="BM117" i="3" l="1"/>
  <c r="BM215" i="3" s="1"/>
  <c r="BM118" i="3"/>
  <c r="BM122" i="3" s="1"/>
  <c r="BM121" i="3" l="1"/>
  <c r="BM127" i="3" s="1"/>
  <c r="BM290" i="3"/>
  <c r="BM216" i="3"/>
  <c r="BM61" i="15" s="1"/>
  <c r="BM62" i="15" s="1"/>
  <c r="BM66" i="15" s="1"/>
  <c r="BN139" i="3" l="1"/>
  <c r="BN138" i="3" s="1"/>
  <c r="BM292" i="3"/>
  <c r="BM332" i="3"/>
  <c r="BM333" i="3" s="1"/>
  <c r="BN331" i="3"/>
  <c r="BM337" i="3"/>
  <c r="BM338" i="3" s="1"/>
  <c r="BM126" i="3"/>
  <c r="BM123" i="3"/>
  <c r="BM204" i="3"/>
  <c r="BM205" i="3" s="1"/>
  <c r="BN202" i="3" s="1"/>
  <c r="BM206" i="3"/>
  <c r="BM143" i="3" s="1"/>
  <c r="BM281" i="3"/>
  <c r="BM221" i="3"/>
  <c r="BM128" i="3"/>
  <c r="BN103" i="15" l="1"/>
  <c r="BM35" i="17"/>
  <c r="BM284" i="3"/>
  <c r="BM339" i="3"/>
  <c r="BM341" i="3" s="1"/>
  <c r="BM210" i="3"/>
  <c r="BM213" i="3" s="1"/>
  <c r="BM131" i="3"/>
  <c r="BM134" i="3"/>
  <c r="BM133" i="3"/>
  <c r="BM132" i="3"/>
  <c r="BM239" i="3"/>
  <c r="BM147" i="3"/>
  <c r="BM149" i="3" s="1"/>
  <c r="BM150" i="3" s="1"/>
  <c r="BM151" i="3" s="1"/>
  <c r="BM75" i="15" s="1"/>
  <c r="BM100" i="15"/>
  <c r="BM245" i="3"/>
  <c r="BN137" i="3"/>
  <c r="BN234" i="3" s="1"/>
  <c r="BM242" i="3" l="1"/>
  <c r="BM255" i="3"/>
  <c r="BM135" i="3"/>
  <c r="BM141" i="3"/>
  <c r="BM250" i="3"/>
  <c r="BM244" i="3"/>
  <c r="BN111" i="3" l="1"/>
  <c r="BN232" i="3"/>
  <c r="BM260" i="3"/>
  <c r="BM12" i="17"/>
  <c r="BM13" i="17" s="1"/>
  <c r="BM294" i="3"/>
  <c r="BM296" i="3" s="1"/>
  <c r="BM101" i="15"/>
  <c r="BM74" i="15"/>
  <c r="BN240" i="3"/>
  <c r="BM243" i="3"/>
  <c r="BN263" i="3" l="1"/>
  <c r="BM298" i="3"/>
  <c r="BM43" i="17" s="1"/>
  <c r="BM286" i="3"/>
  <c r="BM293" i="3" s="1"/>
  <c r="BM42" i="17"/>
  <c r="BM14" i="17"/>
  <c r="BM99" i="15"/>
  <c r="BM297" i="3"/>
  <c r="BN237" i="3"/>
  <c r="BN279" i="3"/>
  <c r="BN10" i="17" l="1"/>
  <c r="BN11" i="17" s="1"/>
  <c r="BN295" i="3"/>
  <c r="BN269" i="3"/>
  <c r="BN16" i="17" l="1"/>
  <c r="BN160" i="3" s="1"/>
  <c r="BN161" i="3" s="1"/>
  <c r="BN112" i="3" s="1"/>
  <c r="BN19" i="17"/>
  <c r="BN158" i="3" s="1"/>
  <c r="BN162" i="3" s="1"/>
  <c r="BN218" i="3" l="1"/>
  <c r="BN155" i="3"/>
  <c r="BN26" i="17"/>
  <c r="BN27" i="17" s="1"/>
  <c r="BN113" i="3"/>
  <c r="BN116" i="3" l="1"/>
  <c r="BN34" i="17"/>
  <c r="BN41" i="17" s="1"/>
  <c r="BN114" i="3"/>
  <c r="BN39" i="17"/>
  <c r="BN40" i="17" l="1"/>
  <c r="BN117" i="3"/>
  <c r="BN215" i="3" s="1"/>
  <c r="BN118" i="3"/>
  <c r="BN122" i="3" s="1"/>
  <c r="BN121" i="3" l="1"/>
  <c r="BN290" i="3"/>
  <c r="BN127" i="3"/>
  <c r="BN123" i="3" s="1"/>
  <c r="BN216" i="3"/>
  <c r="BO139" i="3" s="1"/>
  <c r="BO138" i="3" l="1"/>
  <c r="BO137" i="3" s="1"/>
  <c r="BO234" i="3" s="1"/>
  <c r="BO103" i="15"/>
  <c r="BO331" i="3"/>
  <c r="BN337" i="3"/>
  <c r="BN338" i="3" s="1"/>
  <c r="BN332" i="3"/>
  <c r="BN333" i="3" s="1"/>
  <c r="BN292" i="3"/>
  <c r="BN204" i="3"/>
  <c r="BN205" i="3" s="1"/>
  <c r="BO202" i="3" s="1"/>
  <c r="BN206" i="3"/>
  <c r="BN143" i="3" s="1"/>
  <c r="BN281" i="3"/>
  <c r="BN128" i="3"/>
  <c r="BN221" i="3"/>
  <c r="BN61" i="15"/>
  <c r="BN62" i="15" s="1"/>
  <c r="BN66" i="15" s="1"/>
  <c r="BN126" i="3"/>
  <c r="BN239" i="3" l="1"/>
  <c r="BN245" i="3"/>
  <c r="BN100" i="15"/>
  <c r="BN147" i="3"/>
  <c r="BN149" i="3" s="1"/>
  <c r="BN150" i="3" s="1"/>
  <c r="BN151" i="3" s="1"/>
  <c r="BN75" i="15" s="1"/>
  <c r="BN35" i="17"/>
  <c r="BN210" i="3"/>
  <c r="BN213" i="3" s="1"/>
  <c r="BN134" i="3"/>
  <c r="BN339" i="3"/>
  <c r="BN341" i="3" s="1"/>
  <c r="BN131" i="3"/>
  <c r="BN133" i="3"/>
  <c r="BN132" i="3"/>
  <c r="BN284" i="3"/>
  <c r="BN135" i="3" l="1"/>
  <c r="BN141" i="3"/>
  <c r="BN250" i="3"/>
  <c r="BN244" i="3"/>
  <c r="BN242" i="3"/>
  <c r="BN255" i="3"/>
  <c r="BN101" i="15" l="1"/>
  <c r="BN74" i="15"/>
  <c r="BO111" i="3"/>
  <c r="BO232" i="3"/>
  <c r="BN12" i="17"/>
  <c r="BN13" i="17" s="1"/>
  <c r="BN294" i="3"/>
  <c r="BN296" i="3" s="1"/>
  <c r="BN260" i="3"/>
  <c r="BO240" i="3"/>
  <c r="BN243" i="3"/>
  <c r="BO237" i="3" l="1"/>
  <c r="BO279" i="3"/>
  <c r="BN99" i="15"/>
  <c r="BN297" i="3"/>
  <c r="BO263" i="3"/>
  <c r="BN298" i="3"/>
  <c r="BN43" i="17" s="1"/>
  <c r="BN286" i="3"/>
  <c r="BN293" i="3" s="1"/>
  <c r="BN42" i="17"/>
  <c r="BN14" i="17"/>
  <c r="BO269" i="3" l="1"/>
  <c r="BO10" i="17"/>
  <c r="BO11" i="17" s="1"/>
  <c r="BO295" i="3"/>
  <c r="BO16" i="17" l="1"/>
  <c r="BO160" i="3" s="1"/>
  <c r="BO161" i="3" s="1"/>
  <c r="BO112" i="3" s="1"/>
  <c r="BO19" i="17"/>
  <c r="BO158" i="3" s="1"/>
  <c r="BO162" i="3" s="1"/>
  <c r="BO218" i="3" l="1"/>
  <c r="BO26" i="17"/>
  <c r="BO27" i="17" s="1"/>
  <c r="BO155" i="3"/>
  <c r="BO113" i="3"/>
  <c r="BO116" i="3" l="1"/>
  <c r="BO34" i="17"/>
  <c r="BO41" i="17" s="1"/>
  <c r="BO114" i="3"/>
  <c r="BO39" i="17"/>
  <c r="BO40" i="17" l="1"/>
  <c r="BO117" i="3"/>
  <c r="BO215" i="3" s="1"/>
  <c r="BO118" i="3"/>
  <c r="BO122" i="3" s="1"/>
  <c r="BO121" i="3" l="1"/>
  <c r="BO127" i="3" s="1"/>
  <c r="BO290" i="3"/>
  <c r="BO216" i="3"/>
  <c r="BO61" i="15" s="1"/>
  <c r="BO62" i="15" s="1"/>
  <c r="BO66" i="15" s="1"/>
  <c r="BO221" i="3" l="1"/>
  <c r="BO245" i="3" s="1"/>
  <c r="BO204" i="3"/>
  <c r="BO205" i="3" s="1"/>
  <c r="BP202" i="3" s="1"/>
  <c r="BO206" i="3"/>
  <c r="BO143" i="3" s="1"/>
  <c r="BO281" i="3"/>
  <c r="BO239" i="3"/>
  <c r="BO126" i="3"/>
  <c r="BO123" i="3"/>
  <c r="BP331" i="3"/>
  <c r="BO292" i="3"/>
  <c r="BO337" i="3"/>
  <c r="BO338" i="3" s="1"/>
  <c r="BO332" i="3"/>
  <c r="BO333" i="3" s="1"/>
  <c r="BP139" i="3"/>
  <c r="BO128" i="3"/>
  <c r="BO100" i="15" l="1"/>
  <c r="BO147" i="3"/>
  <c r="BO149" i="3" s="1"/>
  <c r="BO150" i="3" s="1"/>
  <c r="BO151" i="3" s="1"/>
  <c r="BO75" i="15" s="1"/>
  <c r="BP138" i="3"/>
  <c r="BP137" i="3" s="1"/>
  <c r="BP234" i="3" s="1"/>
  <c r="BP103" i="15"/>
  <c r="BO284" i="3"/>
  <c r="BO244" i="3"/>
  <c r="BO250" i="3"/>
  <c r="BO35" i="17"/>
  <c r="BO210" i="3"/>
  <c r="BO213" i="3" s="1"/>
  <c r="BO339" i="3"/>
  <c r="BO341" i="3" s="1"/>
  <c r="BO131" i="3"/>
  <c r="BO133" i="3"/>
  <c r="BO134" i="3"/>
  <c r="BO132" i="3"/>
  <c r="BO242" i="3"/>
  <c r="BO255" i="3"/>
  <c r="BP240" i="3" l="1"/>
  <c r="BO243" i="3"/>
  <c r="BP111" i="3"/>
  <c r="BP232" i="3"/>
  <c r="BO294" i="3"/>
  <c r="BO296" i="3" s="1"/>
  <c r="BO12" i="17"/>
  <c r="BO13" i="17" s="1"/>
  <c r="BO260" i="3"/>
  <c r="BO298" i="3" s="1"/>
  <c r="BO43" i="17" s="1"/>
  <c r="BO135" i="3"/>
  <c r="BO141" i="3"/>
  <c r="BO101" i="15"/>
  <c r="BO74" i="15"/>
  <c r="BO286" i="3" l="1"/>
  <c r="BO293" i="3" s="1"/>
  <c r="BO42" i="17"/>
  <c r="BO14" i="17"/>
  <c r="BP263" i="3"/>
  <c r="BP237" i="3"/>
  <c r="BP279" i="3"/>
  <c r="BO99" i="15"/>
  <c r="BO297" i="3"/>
  <c r="BP269" i="3" l="1"/>
  <c r="BP10" i="17"/>
  <c r="BP11" i="17" s="1"/>
  <c r="BP295" i="3"/>
  <c r="BP16" i="17" l="1"/>
  <c r="BP160" i="3" s="1"/>
  <c r="BP161" i="3" s="1"/>
  <c r="BP112" i="3" s="1"/>
  <c r="BP19" i="17"/>
  <c r="BP158" i="3" s="1"/>
  <c r="BP162" i="3" s="1"/>
  <c r="BP218" i="3" l="1"/>
  <c r="BP26" i="17"/>
  <c r="BP27" i="17" s="1"/>
  <c r="BP155" i="3"/>
  <c r="BP113" i="3"/>
  <c r="BP116" i="3" l="1"/>
  <c r="BP34" i="17"/>
  <c r="BP41" i="17" s="1"/>
  <c r="BP114" i="3"/>
  <c r="BP39" i="17"/>
  <c r="BP40" i="17" l="1"/>
  <c r="BP117" i="3"/>
  <c r="BP215" i="3" s="1"/>
  <c r="BP118" i="3"/>
  <c r="BP122" i="3" s="1"/>
  <c r="BP121" i="3" l="1"/>
  <c r="BP127" i="3" s="1"/>
  <c r="BP290" i="3"/>
  <c r="BP216" i="3"/>
  <c r="BP61" i="15" s="1"/>
  <c r="BP62" i="15" s="1"/>
  <c r="BP66" i="15" s="1"/>
  <c r="BP221" i="3" l="1"/>
  <c r="BP100" i="15" s="1"/>
  <c r="BP204" i="3"/>
  <c r="BP205" i="3" s="1"/>
  <c r="BQ202" i="3" s="1"/>
  <c r="BP206" i="3"/>
  <c r="BP143" i="3" s="1"/>
  <c r="BP281" i="3"/>
  <c r="BP126" i="3"/>
  <c r="BP123" i="3"/>
  <c r="BQ331" i="3"/>
  <c r="BP337" i="3"/>
  <c r="BP338" i="3" s="1"/>
  <c r="BP332" i="3"/>
  <c r="BP333" i="3" s="1"/>
  <c r="BP292" i="3"/>
  <c r="BQ139" i="3"/>
  <c r="BP128" i="3"/>
  <c r="BP245" i="3" l="1"/>
  <c r="BP250" i="3" s="1"/>
  <c r="BP239" i="3"/>
  <c r="BP242" i="3" s="1"/>
  <c r="BP147" i="3"/>
  <c r="BP149" i="3" s="1"/>
  <c r="BP150" i="3" s="1"/>
  <c r="BP151" i="3" s="1"/>
  <c r="BP75" i="15" s="1"/>
  <c r="BP35" i="17"/>
  <c r="BP244" i="3"/>
  <c r="BP284" i="3"/>
  <c r="BQ138" i="3"/>
  <c r="BQ137" i="3" s="1"/>
  <c r="BQ234" i="3" s="1"/>
  <c r="BQ103" i="15"/>
  <c r="BP210" i="3"/>
  <c r="BP213" i="3" s="1"/>
  <c r="BP133" i="3"/>
  <c r="BP132" i="3"/>
  <c r="BP339" i="3"/>
  <c r="BP341" i="3" s="1"/>
  <c r="BP131" i="3"/>
  <c r="BP134" i="3"/>
  <c r="BP255" i="3" l="1"/>
  <c r="BQ111" i="3" s="1"/>
  <c r="BP135" i="3"/>
  <c r="BP141" i="3"/>
  <c r="BP74" i="15"/>
  <c r="BP101" i="15"/>
  <c r="BQ240" i="3"/>
  <c r="BP243" i="3"/>
  <c r="BQ232" i="3"/>
  <c r="BP260" i="3"/>
  <c r="BP298" i="3" s="1"/>
  <c r="BP43" i="17" s="1"/>
  <c r="BP294" i="3"/>
  <c r="BP296" i="3" s="1"/>
  <c r="BP12" i="17"/>
  <c r="BP13" i="17" s="1"/>
  <c r="BP286" i="3" l="1"/>
  <c r="BP293" i="3" s="1"/>
  <c r="BQ237" i="3"/>
  <c r="BQ279" i="3"/>
  <c r="BP14" i="17"/>
  <c r="BP42" i="17"/>
  <c r="BP297" i="3"/>
  <c r="BP99" i="15"/>
  <c r="BQ263" i="3"/>
  <c r="BQ269" i="3" l="1"/>
  <c r="BQ10" i="17"/>
  <c r="BQ11" i="17" s="1"/>
  <c r="BQ295" i="3"/>
  <c r="BQ16" i="17" l="1"/>
  <c r="BQ160" i="3" s="1"/>
  <c r="BQ161" i="3" s="1"/>
  <c r="BQ112" i="3" s="1"/>
  <c r="BQ19" i="17"/>
  <c r="BQ158" i="3" s="1"/>
  <c r="BQ162" i="3" s="1"/>
  <c r="BQ218" i="3" l="1"/>
  <c r="BQ26" i="17"/>
  <c r="BQ27" i="17" s="1"/>
  <c r="BQ155" i="3"/>
  <c r="BQ113" i="3"/>
  <c r="BQ116" i="3" l="1"/>
  <c r="BQ34" i="17"/>
  <c r="BQ41" i="17" s="1"/>
  <c r="BQ114" i="3"/>
  <c r="BQ40" i="17"/>
  <c r="BQ39" i="17"/>
  <c r="BQ117" i="3" l="1"/>
  <c r="BQ215" i="3" s="1"/>
  <c r="BQ118" i="3"/>
  <c r="BQ122" i="3" s="1"/>
  <c r="BQ121" i="3" l="1"/>
  <c r="BQ127" i="3" s="1"/>
  <c r="BQ290" i="3"/>
  <c r="BQ216" i="3"/>
  <c r="BQ61" i="15" s="1"/>
  <c r="BQ62" i="15" s="1"/>
  <c r="BQ66" i="15" s="1"/>
  <c r="BQ221" i="3" l="1"/>
  <c r="BQ245" i="3" s="1"/>
  <c r="BQ204" i="3"/>
  <c r="BQ205" i="3" s="1"/>
  <c r="BR202" i="3" s="1"/>
  <c r="BQ206" i="3"/>
  <c r="BQ143" i="3" s="1"/>
  <c r="BQ281" i="3"/>
  <c r="BQ239" i="3"/>
  <c r="BQ126" i="3"/>
  <c r="BQ123" i="3"/>
  <c r="BQ292" i="3"/>
  <c r="BQ337" i="3"/>
  <c r="BQ338" i="3" s="1"/>
  <c r="BR331" i="3"/>
  <c r="BQ332" i="3"/>
  <c r="BQ333" i="3" s="1"/>
  <c r="BR139" i="3"/>
  <c r="BQ128" i="3"/>
  <c r="BQ100" i="15" l="1"/>
  <c r="BQ147" i="3"/>
  <c r="BQ149" i="3" s="1"/>
  <c r="BQ150" i="3" s="1"/>
  <c r="BQ151" i="3" s="1"/>
  <c r="BQ75" i="15" s="1"/>
  <c r="BR138" i="3"/>
  <c r="BR103" i="15"/>
  <c r="BQ250" i="3"/>
  <c r="BQ244" i="3"/>
  <c r="BQ35" i="17"/>
  <c r="BQ284" i="3"/>
  <c r="BQ133" i="3"/>
  <c r="BQ131" i="3"/>
  <c r="BQ339" i="3"/>
  <c r="BQ341" i="3" s="1"/>
  <c r="BQ132" i="3"/>
  <c r="BQ134" i="3"/>
  <c r="BQ210" i="3"/>
  <c r="BQ213" i="3" s="1"/>
  <c r="BQ242" i="3"/>
  <c r="BQ255" i="3"/>
  <c r="BQ135" i="3" l="1"/>
  <c r="BQ141" i="3"/>
  <c r="BR240" i="3"/>
  <c r="BQ243" i="3"/>
  <c r="BR111" i="3"/>
  <c r="BQ260" i="3"/>
  <c r="BQ298" i="3" s="1"/>
  <c r="BQ43" i="17" s="1"/>
  <c r="BQ12" i="17"/>
  <c r="BQ13" i="17" s="1"/>
  <c r="BQ294" i="3"/>
  <c r="BQ296" i="3" s="1"/>
  <c r="BQ101" i="15"/>
  <c r="BQ74" i="15"/>
  <c r="BR137" i="3"/>
  <c r="BR234" i="3" s="1"/>
  <c r="BR232" i="3" s="1"/>
  <c r="BR237" i="3" l="1"/>
  <c r="BR279" i="3"/>
  <c r="BQ99" i="15"/>
  <c r="BQ297" i="3"/>
  <c r="BQ42" i="17"/>
  <c r="BQ14" i="17"/>
  <c r="BR263" i="3"/>
  <c r="BQ286" i="3"/>
  <c r="BQ293" i="3" s="1"/>
  <c r="BR269" i="3" l="1"/>
  <c r="BR10" i="17"/>
  <c r="BR11" i="17" s="1"/>
  <c r="BR295" i="3"/>
  <c r="BR16" i="17" l="1"/>
  <c r="BR160" i="3" s="1"/>
  <c r="BR161" i="3" s="1"/>
  <c r="BR112" i="3" s="1"/>
  <c r="BR19" i="17"/>
  <c r="BR158" i="3" s="1"/>
  <c r="BR162" i="3" s="1"/>
  <c r="BR218" i="3" l="1"/>
  <c r="BR155" i="3"/>
  <c r="BR26" i="17"/>
  <c r="BR27" i="17" s="1"/>
  <c r="BR113" i="3"/>
  <c r="BR116" i="3" l="1"/>
  <c r="BR34" i="17"/>
  <c r="BR41" i="17" s="1"/>
  <c r="BR114" i="3"/>
  <c r="BR40" i="17"/>
  <c r="BR39" i="17"/>
  <c r="BR117" i="3" l="1"/>
  <c r="BR215" i="3" s="1"/>
  <c r="BR118" i="3"/>
  <c r="BR122" i="3" s="1"/>
  <c r="BR121" i="3" l="1"/>
  <c r="BR127" i="3" s="1"/>
  <c r="BR290" i="3"/>
  <c r="BR216" i="3"/>
  <c r="BR61" i="15" s="1"/>
  <c r="BR62" i="15" s="1"/>
  <c r="BR66" i="15" s="1"/>
  <c r="BS139" i="3" l="1"/>
  <c r="BR204" i="3"/>
  <c r="BR205" i="3" s="1"/>
  <c r="BS202" i="3" s="1"/>
  <c r="BR206" i="3"/>
  <c r="BR143" i="3" s="1"/>
  <c r="BR281" i="3"/>
  <c r="BR128" i="3"/>
  <c r="BR123" i="3"/>
  <c r="BS331" i="3"/>
  <c r="BR337" i="3"/>
  <c r="BR338" i="3" s="1"/>
  <c r="BR292" i="3"/>
  <c r="BR332" i="3"/>
  <c r="BR333" i="3" s="1"/>
  <c r="BR221" i="3"/>
  <c r="BR126" i="3"/>
  <c r="BR35" i="17" l="1"/>
  <c r="BR284" i="3"/>
  <c r="BR131" i="3"/>
  <c r="BR134" i="3"/>
  <c r="BR210" i="3"/>
  <c r="BR213" i="3" s="1"/>
  <c r="BR133" i="3"/>
  <c r="BR339" i="3"/>
  <c r="BR341" i="3" s="1"/>
  <c r="BR132" i="3"/>
  <c r="BR239" i="3"/>
  <c r="BR100" i="15"/>
  <c r="BR245" i="3"/>
  <c r="BR147" i="3"/>
  <c r="BR149" i="3" s="1"/>
  <c r="BR150" i="3" s="1"/>
  <c r="BR151" i="3" s="1"/>
  <c r="BR75" i="15" s="1"/>
  <c r="BS138" i="3"/>
  <c r="BS137" i="3" s="1"/>
  <c r="BS234" i="3" s="1"/>
  <c r="BS103" i="15"/>
  <c r="BR250" i="3" l="1"/>
  <c r="BR244" i="3"/>
  <c r="BR135" i="3"/>
  <c r="BR141" i="3"/>
  <c r="BR242" i="3"/>
  <c r="BR255" i="3"/>
  <c r="BS232" i="3" l="1"/>
  <c r="BS111" i="3"/>
  <c r="BR260" i="3"/>
  <c r="BR294" i="3"/>
  <c r="BR296" i="3" s="1"/>
  <c r="BR12" i="17"/>
  <c r="BR13" i="17" s="1"/>
  <c r="BS240" i="3"/>
  <c r="BR243" i="3"/>
  <c r="BR101" i="15"/>
  <c r="BR74" i="15"/>
  <c r="BS237" i="3" l="1"/>
  <c r="BS279" i="3"/>
  <c r="BR298" i="3"/>
  <c r="BR43" i="17" s="1"/>
  <c r="BR286" i="3"/>
  <c r="BR293" i="3" s="1"/>
  <c r="BR99" i="15"/>
  <c r="BR297" i="3"/>
  <c r="BS263" i="3"/>
  <c r="BR14" i="17"/>
  <c r="BR42" i="17"/>
  <c r="BS10" i="17" l="1"/>
  <c r="BS11" i="17" s="1"/>
  <c r="BS295" i="3"/>
  <c r="BS269" i="3"/>
  <c r="BS16" i="17" l="1"/>
  <c r="BS160" i="3" s="1"/>
  <c r="BS161" i="3" s="1"/>
  <c r="BS112" i="3" s="1"/>
  <c r="BS19" i="17"/>
  <c r="BS158" i="3" s="1"/>
  <c r="BS162" i="3" s="1"/>
  <c r="BS218" i="3" l="1"/>
  <c r="BS26" i="17"/>
  <c r="BS27" i="17" s="1"/>
  <c r="BS155" i="3"/>
  <c r="BS113" i="3"/>
  <c r="BS116" i="3" l="1"/>
  <c r="BS34" i="17"/>
  <c r="BS41" i="17" s="1"/>
  <c r="BS114" i="3"/>
  <c r="BS39" i="17"/>
  <c r="BS40" i="17" l="1"/>
  <c r="BS117" i="3"/>
  <c r="BS215" i="3" s="1"/>
  <c r="BS118" i="3"/>
  <c r="BS122" i="3" s="1"/>
  <c r="BS121" i="3" l="1"/>
  <c r="BS127" i="3" s="1"/>
  <c r="BS123" i="3" s="1"/>
  <c r="BS290" i="3"/>
  <c r="BS216" i="3"/>
  <c r="BT139" i="3" s="1"/>
  <c r="BT138" i="3" l="1"/>
  <c r="BT103" i="15"/>
  <c r="BS204" i="3"/>
  <c r="BS205" i="3" s="1"/>
  <c r="BT202" i="3" s="1"/>
  <c r="BS206" i="3"/>
  <c r="BS143" i="3" s="1"/>
  <c r="BS281" i="3"/>
  <c r="BT331" i="3"/>
  <c r="BS292" i="3"/>
  <c r="BS337" i="3"/>
  <c r="BS338" i="3" s="1"/>
  <c r="BS332" i="3"/>
  <c r="BS333" i="3" s="1"/>
  <c r="BS128" i="3"/>
  <c r="BS221" i="3"/>
  <c r="BS61" i="15"/>
  <c r="BS62" i="15" s="1"/>
  <c r="BS66" i="15" s="1"/>
  <c r="BS126" i="3"/>
  <c r="BS239" i="3" l="1"/>
  <c r="BS147" i="3"/>
  <c r="BS149" i="3" s="1"/>
  <c r="BS150" i="3" s="1"/>
  <c r="BS151" i="3" s="1"/>
  <c r="BS75" i="15" s="1"/>
  <c r="BS245" i="3"/>
  <c r="BS100" i="15"/>
  <c r="BS284" i="3"/>
  <c r="BS35" i="17"/>
  <c r="BS132" i="3"/>
  <c r="BS210" i="3"/>
  <c r="BS213" i="3" s="1"/>
  <c r="BS131" i="3"/>
  <c r="BS133" i="3"/>
  <c r="BS339" i="3"/>
  <c r="BS341" i="3" s="1"/>
  <c r="BS134" i="3"/>
  <c r="BT137" i="3"/>
  <c r="BT234" i="3" s="1"/>
  <c r="BS244" i="3" l="1"/>
  <c r="BS250" i="3"/>
  <c r="BS135" i="3"/>
  <c r="BS141" i="3"/>
  <c r="BS242" i="3"/>
  <c r="BS255" i="3"/>
  <c r="BS74" i="15" l="1"/>
  <c r="BS101" i="15"/>
  <c r="BT232" i="3"/>
  <c r="BT111" i="3"/>
  <c r="BS260" i="3"/>
  <c r="BS294" i="3"/>
  <c r="BS296" i="3" s="1"/>
  <c r="BS12" i="17"/>
  <c r="BS13" i="17" s="1"/>
  <c r="BT240" i="3"/>
  <c r="BS243" i="3"/>
  <c r="BS42" i="17" l="1"/>
  <c r="BS14" i="17"/>
  <c r="BT237" i="3"/>
  <c r="BT279" i="3"/>
  <c r="BT263" i="3"/>
  <c r="BS99" i="15"/>
  <c r="BS297" i="3"/>
  <c r="BS298" i="3"/>
  <c r="BS43" i="17" s="1"/>
  <c r="BS286" i="3"/>
  <c r="BS293" i="3" s="1"/>
  <c r="BT10" i="17" l="1"/>
  <c r="BT11" i="17" s="1"/>
  <c r="BT295" i="3"/>
  <c r="BT269" i="3"/>
  <c r="BT16" i="17" l="1"/>
  <c r="BT160" i="3" s="1"/>
  <c r="BT161" i="3" s="1"/>
  <c r="BT112" i="3" s="1"/>
  <c r="BT19" i="17"/>
  <c r="BT158" i="3" s="1"/>
  <c r="BT162" i="3" s="1"/>
  <c r="BT218" i="3" l="1"/>
  <c r="BT26" i="17"/>
  <c r="BT27" i="17" s="1"/>
  <c r="BT155" i="3"/>
  <c r="BT113" i="3"/>
  <c r="BT116" i="3" l="1"/>
  <c r="BT34" i="17"/>
  <c r="BT41" i="17" s="1"/>
  <c r="BT114" i="3"/>
  <c r="BT39" i="17"/>
  <c r="BT40" i="17" l="1"/>
  <c r="BT117" i="3"/>
  <c r="BT215" i="3" s="1"/>
  <c r="BT118" i="3"/>
  <c r="BT122" i="3" s="1"/>
  <c r="BT121" i="3" l="1"/>
  <c r="BT127" i="3" s="1"/>
  <c r="BT290" i="3"/>
  <c r="BT216" i="3"/>
  <c r="BT61" i="15" s="1"/>
  <c r="BT62" i="15" s="1"/>
  <c r="BT66" i="15" s="1"/>
  <c r="BT221" i="3" l="1"/>
  <c r="BT239" i="3" s="1"/>
  <c r="BT204" i="3"/>
  <c r="BT205" i="3" s="1"/>
  <c r="BU202" i="3" s="1"/>
  <c r="BT206" i="3"/>
  <c r="BT143" i="3" s="1"/>
  <c r="BT281" i="3"/>
  <c r="BT128" i="3"/>
  <c r="BT123" i="3"/>
  <c r="BU331" i="3"/>
  <c r="BT337" i="3"/>
  <c r="BT338" i="3" s="1"/>
  <c r="BT292" i="3"/>
  <c r="BT332" i="3"/>
  <c r="BT333" i="3" s="1"/>
  <c r="BU139" i="3"/>
  <c r="BT126" i="3"/>
  <c r="BT245" i="3" l="1"/>
  <c r="BT250" i="3" s="1"/>
  <c r="BT147" i="3"/>
  <c r="BT149" i="3" s="1"/>
  <c r="BT150" i="3" s="1"/>
  <c r="BT151" i="3" s="1"/>
  <c r="BT75" i="15" s="1"/>
  <c r="BT100" i="15"/>
  <c r="BT284" i="3"/>
  <c r="BT244" i="3"/>
  <c r="BT35" i="17"/>
  <c r="BU138" i="3"/>
  <c r="BU137" i="3" s="1"/>
  <c r="BU234" i="3" s="1"/>
  <c r="BU103" i="15"/>
  <c r="BT133" i="3"/>
  <c r="BT210" i="3"/>
  <c r="BT213" i="3" s="1"/>
  <c r="BT339" i="3"/>
  <c r="BT341" i="3" s="1"/>
  <c r="BT132" i="3"/>
  <c r="BT131" i="3"/>
  <c r="BT134" i="3"/>
  <c r="BT242" i="3"/>
  <c r="BT255" i="3"/>
  <c r="BT135" i="3" l="1"/>
  <c r="BT141" i="3"/>
  <c r="BT101" i="15"/>
  <c r="BT74" i="15"/>
  <c r="BU240" i="3"/>
  <c r="BT243" i="3"/>
  <c r="BU232" i="3"/>
  <c r="BU111" i="3"/>
  <c r="BT260" i="3"/>
  <c r="BT298" i="3" s="1"/>
  <c r="BT43" i="17" s="1"/>
  <c r="BT12" i="17"/>
  <c r="BT13" i="17" s="1"/>
  <c r="BT294" i="3"/>
  <c r="BT296" i="3" s="1"/>
  <c r="BU237" i="3" l="1"/>
  <c r="BU279" i="3"/>
  <c r="BT42" i="17"/>
  <c r="BT14" i="17"/>
  <c r="BT99" i="15"/>
  <c r="BT297" i="3"/>
  <c r="BT286" i="3"/>
  <c r="BT293" i="3" s="1"/>
  <c r="BU263" i="3"/>
  <c r="BU269" i="3" l="1"/>
  <c r="BU10" i="17"/>
  <c r="BU11" i="17" s="1"/>
  <c r="BU295" i="3"/>
  <c r="BU16" i="17" l="1"/>
  <c r="BU160" i="3" s="1"/>
  <c r="BU161" i="3" s="1"/>
  <c r="BU112" i="3" s="1"/>
  <c r="BU19" i="17"/>
  <c r="BU158" i="3" s="1"/>
  <c r="BU162" i="3" s="1"/>
  <c r="BU218" i="3" l="1"/>
  <c r="BU26" i="17"/>
  <c r="BU27" i="17" s="1"/>
  <c r="BU155" i="3"/>
  <c r="BU113" i="3"/>
  <c r="BU116" i="3" l="1"/>
  <c r="BU34" i="17"/>
  <c r="BU41" i="17" s="1"/>
  <c r="BU114" i="3"/>
  <c r="BU39" i="17"/>
  <c r="BU40" i="17" l="1"/>
  <c r="BU118" i="3"/>
  <c r="BU121" i="3" s="1"/>
  <c r="BU117" i="3"/>
  <c r="BU215" i="3" s="1"/>
  <c r="BU127" i="3" l="1"/>
  <c r="BU123" i="3" s="1"/>
  <c r="BU122" i="3"/>
  <c r="BU216" i="3"/>
  <c r="BU61" i="15" s="1"/>
  <c r="BU62" i="15" s="1"/>
  <c r="BU66" i="15" s="1"/>
  <c r="BU221" i="3" l="1"/>
  <c r="BU126" i="3"/>
  <c r="BU128" i="3"/>
  <c r="BU290" i="3"/>
  <c r="BU204" i="3"/>
  <c r="BU205" i="3" s="1"/>
  <c r="BV202" i="3" s="1"/>
  <c r="BU206" i="3"/>
  <c r="BU143" i="3" s="1"/>
  <c r="BU281" i="3"/>
  <c r="BV139" i="3"/>
  <c r="BU292" i="3" l="1"/>
  <c r="BU337" i="3"/>
  <c r="BU338" i="3" s="1"/>
  <c r="BU332" i="3"/>
  <c r="BU333" i="3" s="1"/>
  <c r="BV331" i="3"/>
  <c r="BU131" i="3"/>
  <c r="BU132" i="3"/>
  <c r="BU210" i="3"/>
  <c r="BU213" i="3" s="1"/>
  <c r="BU133" i="3"/>
  <c r="BU339" i="3"/>
  <c r="BU134" i="3"/>
  <c r="BV138" i="3"/>
  <c r="BV137" i="3" s="1"/>
  <c r="BV234" i="3" s="1"/>
  <c r="BV103" i="15"/>
  <c r="BU284" i="3"/>
  <c r="BU239" i="3"/>
  <c r="BU100" i="15"/>
  <c r="BU245" i="3"/>
  <c r="BU147" i="3"/>
  <c r="BU149" i="3" s="1"/>
  <c r="BU150" i="3" s="1"/>
  <c r="BU151" i="3" s="1"/>
  <c r="BU75" i="15" s="1"/>
  <c r="BU341" i="3" l="1"/>
  <c r="BU135" i="3"/>
  <c r="BU141" i="3"/>
  <c r="BU242" i="3"/>
  <c r="BU255" i="3"/>
  <c r="BU250" i="3"/>
  <c r="BU244" i="3"/>
  <c r="BU35" i="17"/>
  <c r="BV232" i="3" l="1"/>
  <c r="BV111" i="3"/>
  <c r="BU260" i="3"/>
  <c r="BU12" i="17"/>
  <c r="BU13" i="17" s="1"/>
  <c r="BU294" i="3"/>
  <c r="BU296" i="3" s="1"/>
  <c r="BV240" i="3"/>
  <c r="BU243" i="3"/>
  <c r="BU101" i="15"/>
  <c r="BU74" i="15"/>
  <c r="BU298" i="3" l="1"/>
  <c r="BU43" i="17" s="1"/>
  <c r="BU286" i="3"/>
  <c r="BU293" i="3" s="1"/>
  <c r="BU42" i="17"/>
  <c r="BU14" i="17"/>
  <c r="BV263" i="3"/>
  <c r="BV237" i="3"/>
  <c r="BV279" i="3"/>
  <c r="BU297" i="3"/>
  <c r="BU99" i="15"/>
  <c r="BV10" i="17" l="1"/>
  <c r="BV11" i="17" s="1"/>
  <c r="BV295" i="3"/>
  <c r="BV269" i="3"/>
  <c r="BV16" i="17" l="1"/>
  <c r="BV160" i="3" s="1"/>
  <c r="BV161" i="3" s="1"/>
  <c r="BV112" i="3" s="1"/>
  <c r="BV19" i="17"/>
  <c r="BV158" i="3" s="1"/>
  <c r="BV162" i="3" s="1"/>
  <c r="BV218" i="3" l="1"/>
  <c r="BV155" i="3"/>
  <c r="BV26" i="17"/>
  <c r="BV27" i="17" s="1"/>
  <c r="BV113" i="3"/>
  <c r="BV116" i="3" l="1"/>
  <c r="BV34" i="17"/>
  <c r="BV41" i="17" s="1"/>
  <c r="BV114" i="3"/>
  <c r="BV40" i="17"/>
  <c r="BV39" i="17"/>
  <c r="BV117" i="3" l="1"/>
  <c r="BV215" i="3" s="1"/>
  <c r="BV118" i="3"/>
  <c r="BV122" i="3" s="1"/>
  <c r="BV121" i="3" l="1"/>
  <c r="BV127" i="3" s="1"/>
  <c r="BV290" i="3"/>
  <c r="BV216" i="3"/>
  <c r="BV61" i="15" s="1"/>
  <c r="BV62" i="15" s="1"/>
  <c r="BV66" i="15" s="1"/>
  <c r="BV221" i="3" l="1"/>
  <c r="BV204" i="3"/>
  <c r="BV205" i="3" s="1"/>
  <c r="BW202" i="3" s="1"/>
  <c r="BV206" i="3"/>
  <c r="BV143" i="3" s="1"/>
  <c r="BV281" i="3"/>
  <c r="BV128" i="3"/>
  <c r="BV123" i="3"/>
  <c r="BV337" i="3"/>
  <c r="BV338" i="3" s="1"/>
  <c r="BV292" i="3"/>
  <c r="BV332" i="3"/>
  <c r="BV333" i="3" s="1"/>
  <c r="BW331" i="3"/>
  <c r="BW139" i="3"/>
  <c r="BV126" i="3"/>
  <c r="BV284" i="3" l="1"/>
  <c r="BV131" i="3"/>
  <c r="BV132" i="3"/>
  <c r="BV134" i="3"/>
  <c r="BV133" i="3"/>
  <c r="BV339" i="3"/>
  <c r="BV341" i="3" s="1"/>
  <c r="BV210" i="3"/>
  <c r="BV213" i="3" s="1"/>
  <c r="BV35" i="17"/>
  <c r="BW138" i="3"/>
  <c r="BW103" i="15"/>
  <c r="BV239" i="3"/>
  <c r="BV147" i="3"/>
  <c r="BV149" i="3" s="1"/>
  <c r="BV150" i="3" s="1"/>
  <c r="BV151" i="3" s="1"/>
  <c r="BV75" i="15" s="1"/>
  <c r="BV100" i="15"/>
  <c r="BV245" i="3"/>
  <c r="BV242" i="3" l="1"/>
  <c r="BV255" i="3"/>
  <c r="BV250" i="3"/>
  <c r="BV244" i="3"/>
  <c r="BW137" i="3"/>
  <c r="BW234" i="3" s="1"/>
  <c r="BV135" i="3"/>
  <c r="BV141" i="3"/>
  <c r="BV101" i="15" l="1"/>
  <c r="BV74" i="15"/>
  <c r="BW240" i="3"/>
  <c r="BV243" i="3"/>
  <c r="BW232" i="3"/>
  <c r="BW111" i="3"/>
  <c r="BV294" i="3"/>
  <c r="BV296" i="3" s="1"/>
  <c r="BV12" i="17"/>
  <c r="BV13" i="17" s="1"/>
  <c r="BV260" i="3"/>
  <c r="BV14" i="17" l="1"/>
  <c r="BV42" i="17"/>
  <c r="BW237" i="3"/>
  <c r="BW279" i="3"/>
  <c r="BW263" i="3"/>
  <c r="BV99" i="15"/>
  <c r="BV297" i="3"/>
  <c r="BV298" i="3"/>
  <c r="BV43" i="17" s="1"/>
  <c r="BV286" i="3"/>
  <c r="BV293" i="3" s="1"/>
  <c r="BW10" i="17" l="1"/>
  <c r="BW11" i="17" s="1"/>
  <c r="BW295" i="3"/>
  <c r="BW269" i="3"/>
  <c r="BW16" i="17" l="1"/>
  <c r="BW160" i="3" s="1"/>
  <c r="BW161" i="3" s="1"/>
  <c r="BW112" i="3" s="1"/>
  <c r="BW19" i="17"/>
  <c r="BW158" i="3" s="1"/>
  <c r="BW162" i="3" s="1"/>
  <c r="BW218" i="3" l="1"/>
  <c r="BW155" i="3"/>
  <c r="BW26" i="17"/>
  <c r="BW27" i="17" s="1"/>
  <c r="BW113" i="3"/>
  <c r="BW116" i="3" l="1"/>
  <c r="BW34" i="17"/>
  <c r="BW41" i="17" s="1"/>
  <c r="BW114" i="3"/>
  <c r="BW39" i="17"/>
  <c r="BW40" i="17" l="1"/>
  <c r="BW117" i="3"/>
  <c r="BW215" i="3" s="1"/>
  <c r="BW118" i="3"/>
  <c r="BW122" i="3" s="1"/>
  <c r="BW121" i="3" l="1"/>
  <c r="BW127" i="3" s="1"/>
  <c r="BW290" i="3"/>
  <c r="BW216" i="3"/>
  <c r="BW61" i="15" s="1"/>
  <c r="BW62" i="15" s="1"/>
  <c r="BW66" i="15" s="1"/>
  <c r="BW221" i="3" l="1"/>
  <c r="BW239" i="3" s="1"/>
  <c r="BW204" i="3"/>
  <c r="BW205" i="3" s="1"/>
  <c r="BX202" i="3" s="1"/>
  <c r="BW206" i="3"/>
  <c r="BW143" i="3" s="1"/>
  <c r="BW281" i="3"/>
  <c r="BW128" i="3"/>
  <c r="BW123" i="3"/>
  <c r="BX331" i="3"/>
  <c r="BW292" i="3"/>
  <c r="BW337" i="3"/>
  <c r="BW338" i="3" s="1"/>
  <c r="BW332" i="3"/>
  <c r="BW333" i="3" s="1"/>
  <c r="BX139" i="3"/>
  <c r="BW126" i="3"/>
  <c r="BW147" i="3" l="1"/>
  <c r="BW149" i="3" s="1"/>
  <c r="BW150" i="3" s="1"/>
  <c r="BW151" i="3" s="1"/>
  <c r="BW75" i="15" s="1"/>
  <c r="BW100" i="15"/>
  <c r="BW245" i="3"/>
  <c r="BW250" i="3" s="1"/>
  <c r="BW284" i="3"/>
  <c r="BX138" i="3"/>
  <c r="BX137" i="3" s="1"/>
  <c r="BX234" i="3" s="1"/>
  <c r="BX103" i="15"/>
  <c r="BW131" i="3"/>
  <c r="BW132" i="3"/>
  <c r="BW134" i="3"/>
  <c r="BW133" i="3"/>
  <c r="BW210" i="3"/>
  <c r="BW213" i="3" s="1"/>
  <c r="BW339" i="3"/>
  <c r="BW341" i="3" s="1"/>
  <c r="BW35" i="17"/>
  <c r="BW242" i="3"/>
  <c r="BW255" i="3"/>
  <c r="BW244" i="3" l="1"/>
  <c r="BX240" i="3"/>
  <c r="BW243" i="3"/>
  <c r="BX232" i="3"/>
  <c r="BX111" i="3"/>
  <c r="BW260" i="3"/>
  <c r="BW298" i="3" s="1"/>
  <c r="BW43" i="17" s="1"/>
  <c r="BW12" i="17"/>
  <c r="BW13" i="17" s="1"/>
  <c r="BW294" i="3"/>
  <c r="BW296" i="3" s="1"/>
  <c r="BW135" i="3"/>
  <c r="BW141" i="3"/>
  <c r="BW74" i="15"/>
  <c r="BW101" i="15"/>
  <c r="BW286" i="3" l="1"/>
  <c r="BW293" i="3" s="1"/>
  <c r="BX237" i="3"/>
  <c r="BX279" i="3"/>
  <c r="BW297" i="3"/>
  <c r="BW99" i="15"/>
  <c r="BW14" i="17"/>
  <c r="BW42" i="17"/>
  <c r="BX263" i="3"/>
  <c r="BX269" i="3" l="1"/>
  <c r="BX10" i="17"/>
  <c r="BX11" i="17" s="1"/>
  <c r="BX295" i="3"/>
  <c r="BX16" i="17" l="1"/>
  <c r="BX160" i="3" s="1"/>
  <c r="BX161" i="3" s="1"/>
  <c r="BX112" i="3" s="1"/>
  <c r="BX19" i="17"/>
  <c r="BX158" i="3" s="1"/>
  <c r="BX162" i="3" s="1"/>
  <c r="BX218" i="3" l="1"/>
  <c r="BX26" i="17"/>
  <c r="BX27" i="17" s="1"/>
  <c r="BX155" i="3"/>
  <c r="BX113" i="3"/>
  <c r="BX116" i="3" l="1"/>
  <c r="BX34" i="17"/>
  <c r="BX41" i="17" s="1"/>
  <c r="BX114" i="3"/>
  <c r="BX39" i="17"/>
  <c r="BX40" i="17" l="1"/>
  <c r="BX117" i="3"/>
  <c r="BX215" i="3" s="1"/>
  <c r="BX118" i="3"/>
  <c r="BX122" i="3" s="1"/>
  <c r="BX121" i="3" l="1"/>
  <c r="BX127" i="3" s="1"/>
  <c r="BX290" i="3"/>
  <c r="BX216" i="3"/>
  <c r="BX61" i="15" s="1"/>
  <c r="BX62" i="15" s="1"/>
  <c r="BX66" i="15" s="1"/>
  <c r="BY139" i="3" l="1"/>
  <c r="BX204" i="3"/>
  <c r="BX205" i="3" s="1"/>
  <c r="BY202" i="3" s="1"/>
  <c r="BX206" i="3"/>
  <c r="BX143" i="3" s="1"/>
  <c r="BX281" i="3"/>
  <c r="BX126" i="3"/>
  <c r="BX123" i="3"/>
  <c r="BX292" i="3"/>
  <c r="BY331" i="3"/>
  <c r="BX337" i="3"/>
  <c r="BX338" i="3" s="1"/>
  <c r="BX332" i="3"/>
  <c r="BX333" i="3" s="1"/>
  <c r="BX221" i="3"/>
  <c r="BX128" i="3"/>
  <c r="BX284" i="3" l="1"/>
  <c r="BX210" i="3"/>
  <c r="BX213" i="3" s="1"/>
  <c r="BX133" i="3"/>
  <c r="BX339" i="3"/>
  <c r="BX341" i="3" s="1"/>
  <c r="BX134" i="3"/>
  <c r="BX132" i="3"/>
  <c r="BX131" i="3"/>
  <c r="BX239" i="3"/>
  <c r="BX147" i="3"/>
  <c r="BX149" i="3" s="1"/>
  <c r="BX150" i="3" s="1"/>
  <c r="BX151" i="3" s="1"/>
  <c r="BX75" i="15" s="1"/>
  <c r="BX100" i="15"/>
  <c r="BX245" i="3"/>
  <c r="BX35" i="17"/>
  <c r="BY138" i="3"/>
  <c r="BY137" i="3" s="1"/>
  <c r="BY234" i="3" s="1"/>
  <c r="BY103" i="15"/>
  <c r="BX242" i="3" l="1"/>
  <c r="BX255" i="3"/>
  <c r="BX135" i="3"/>
  <c r="BX141" i="3"/>
  <c r="BX250" i="3"/>
  <c r="BX244" i="3"/>
  <c r="BX101" i="15" l="1"/>
  <c r="BX74" i="15"/>
  <c r="BY240" i="3"/>
  <c r="BX243" i="3"/>
  <c r="BY232" i="3"/>
  <c r="BY111" i="3"/>
  <c r="BX260" i="3"/>
  <c r="BX294" i="3"/>
  <c r="BX296" i="3" s="1"/>
  <c r="BX12" i="17"/>
  <c r="BX13" i="17" s="1"/>
  <c r="BX298" i="3" l="1"/>
  <c r="BX43" i="17" s="1"/>
  <c r="BX286" i="3"/>
  <c r="BX293" i="3" s="1"/>
  <c r="BX99" i="15"/>
  <c r="BX297" i="3"/>
  <c r="BY263" i="3"/>
  <c r="BY237" i="3"/>
  <c r="BY279" i="3"/>
  <c r="BX42" i="17"/>
  <c r="BX14" i="17"/>
  <c r="BY10" i="17" l="1"/>
  <c r="BY11" i="17" s="1"/>
  <c r="BY295" i="3"/>
  <c r="BY269" i="3"/>
  <c r="BY16" i="17" l="1"/>
  <c r="BY160" i="3" s="1"/>
  <c r="BY161" i="3" s="1"/>
  <c r="BY112" i="3" s="1"/>
  <c r="BY19" i="17"/>
  <c r="BY158" i="3" s="1"/>
  <c r="BY162" i="3" s="1"/>
  <c r="BY218" i="3" l="1"/>
  <c r="BY155" i="3"/>
  <c r="BY26" i="17"/>
  <c r="BY27" i="17" s="1"/>
  <c r="BY113" i="3"/>
  <c r="BY116" i="3" l="1"/>
  <c r="BY34" i="17"/>
  <c r="BY41" i="17" s="1"/>
  <c r="BY114" i="3"/>
  <c r="BY40" i="17"/>
  <c r="BY39" i="17"/>
  <c r="BY117" i="3" l="1"/>
  <c r="BY215" i="3" s="1"/>
  <c r="BY118" i="3"/>
  <c r="BY122" i="3" s="1"/>
  <c r="BY121" i="3" l="1"/>
  <c r="BY127" i="3" s="1"/>
  <c r="BY290" i="3"/>
  <c r="BY216" i="3"/>
  <c r="BY61" i="15" s="1"/>
  <c r="BY62" i="15" s="1"/>
  <c r="BY66" i="15" s="1"/>
  <c r="BY204" i="3" l="1"/>
  <c r="BY205" i="3" s="1"/>
  <c r="BZ202" i="3" s="1"/>
  <c r="BY206" i="3"/>
  <c r="BY143" i="3" s="1"/>
  <c r="BY281" i="3"/>
  <c r="BY221" i="3"/>
  <c r="BY128" i="3"/>
  <c r="BY123" i="3"/>
  <c r="BY292" i="3"/>
  <c r="BY332" i="3"/>
  <c r="BY333" i="3" s="1"/>
  <c r="BZ331" i="3"/>
  <c r="BY337" i="3"/>
  <c r="BY338" i="3" s="1"/>
  <c r="BZ139" i="3"/>
  <c r="BY126" i="3"/>
  <c r="BY133" i="3" l="1"/>
  <c r="BY132" i="3"/>
  <c r="BY131" i="3"/>
  <c r="BY339" i="3"/>
  <c r="BY341" i="3" s="1"/>
  <c r="BY134" i="3"/>
  <c r="BY210" i="3"/>
  <c r="BY213" i="3" s="1"/>
  <c r="BY284" i="3"/>
  <c r="BZ138" i="3"/>
  <c r="BZ137" i="3" s="1"/>
  <c r="BZ234" i="3" s="1"/>
  <c r="BZ103" i="15"/>
  <c r="BY35" i="17"/>
  <c r="BY239" i="3"/>
  <c r="BY245" i="3"/>
  <c r="BY147" i="3"/>
  <c r="BY149" i="3" s="1"/>
  <c r="BY150" i="3" s="1"/>
  <c r="BY151" i="3" s="1"/>
  <c r="BY75" i="15" s="1"/>
  <c r="BY100" i="15"/>
  <c r="BY250" i="3" l="1"/>
  <c r="BY244" i="3"/>
  <c r="BY242" i="3"/>
  <c r="BY255" i="3"/>
  <c r="BY135" i="3"/>
  <c r="BY141" i="3"/>
  <c r="BZ240" i="3" l="1"/>
  <c r="BY243" i="3"/>
  <c r="BY74" i="15"/>
  <c r="BY101" i="15"/>
  <c r="BZ232" i="3"/>
  <c r="BZ111" i="3"/>
  <c r="BY260" i="3"/>
  <c r="BY12" i="17"/>
  <c r="BY13" i="17" s="1"/>
  <c r="BY294" i="3"/>
  <c r="BY296" i="3" s="1"/>
  <c r="BY42" i="17" l="1"/>
  <c r="BY14" i="17"/>
  <c r="BY298" i="3"/>
  <c r="BY43" i="17" s="1"/>
  <c r="BY286" i="3"/>
  <c r="BY293" i="3" s="1"/>
  <c r="BZ263" i="3"/>
  <c r="BZ237" i="3"/>
  <c r="BZ279" i="3"/>
  <c r="BY99" i="15"/>
  <c r="BY297" i="3"/>
  <c r="BZ10" i="17" l="1"/>
  <c r="BZ11" i="17" s="1"/>
  <c r="BZ295" i="3"/>
  <c r="BZ269" i="3"/>
  <c r="BZ16" i="17" l="1"/>
  <c r="BZ160" i="3" s="1"/>
  <c r="BZ161" i="3" s="1"/>
  <c r="BZ112" i="3" s="1"/>
  <c r="BZ19" i="17"/>
  <c r="BZ158" i="3" s="1"/>
  <c r="BZ162" i="3" s="1"/>
  <c r="BZ218" i="3" l="1"/>
  <c r="BZ155" i="3"/>
  <c r="BZ26" i="17"/>
  <c r="BZ27" i="17" s="1"/>
  <c r="BZ113" i="3"/>
  <c r="BZ116" i="3" l="1"/>
  <c r="BZ34" i="17"/>
  <c r="BZ41" i="17" s="1"/>
  <c r="BZ114" i="3"/>
  <c r="BZ39" i="17"/>
  <c r="BZ40" i="17" l="1"/>
  <c r="BZ118" i="3"/>
  <c r="BZ121" i="3" s="1"/>
  <c r="BZ117" i="3"/>
  <c r="BZ215" i="3" s="1"/>
  <c r="BZ127" i="3" l="1"/>
  <c r="BZ123" i="3" s="1"/>
  <c r="BZ122" i="3"/>
  <c r="BZ216" i="3"/>
  <c r="BZ61" i="15" s="1"/>
  <c r="BZ62" i="15" s="1"/>
  <c r="BZ66" i="15" s="1"/>
  <c r="CA139" i="3" l="1"/>
  <c r="CA138" i="3" s="1"/>
  <c r="BZ126" i="3"/>
  <c r="BZ128" i="3"/>
  <c r="BZ290" i="3"/>
  <c r="BZ204" i="3"/>
  <c r="BZ205" i="3" s="1"/>
  <c r="CA202" i="3" s="1"/>
  <c r="BZ206" i="3"/>
  <c r="BZ143" i="3" s="1"/>
  <c r="BZ281" i="3"/>
  <c r="BZ221" i="3"/>
  <c r="CA103" i="15" l="1"/>
  <c r="CA137" i="3"/>
  <c r="CA234" i="3" s="1"/>
  <c r="BZ239" i="3"/>
  <c r="BZ100" i="15"/>
  <c r="BZ245" i="3"/>
  <c r="BZ147" i="3"/>
  <c r="BZ149" i="3" s="1"/>
  <c r="BZ150" i="3" s="1"/>
  <c r="BZ151" i="3" s="1"/>
  <c r="BZ75" i="15" s="1"/>
  <c r="BZ284" i="3"/>
  <c r="BZ292" i="3"/>
  <c r="BZ337" i="3"/>
  <c r="BZ338" i="3" s="1"/>
  <c r="BZ332" i="3"/>
  <c r="BZ333" i="3" s="1"/>
  <c r="CA331" i="3"/>
  <c r="BZ339" i="3"/>
  <c r="BZ134" i="3"/>
  <c r="BZ133" i="3"/>
  <c r="BZ132" i="3"/>
  <c r="BZ131" i="3"/>
  <c r="BZ210" i="3"/>
  <c r="BZ213" i="3" s="1"/>
  <c r="BZ341" i="3" l="1"/>
  <c r="BZ35" i="17"/>
  <c r="BZ250" i="3"/>
  <c r="BZ244" i="3"/>
  <c r="BZ242" i="3"/>
  <c r="BZ255" i="3"/>
  <c r="BZ135" i="3"/>
  <c r="BZ141" i="3"/>
  <c r="CA240" i="3" l="1"/>
  <c r="BZ243" i="3"/>
  <c r="BZ101" i="15"/>
  <c r="BZ74" i="15"/>
  <c r="CA232" i="3"/>
  <c r="CA111" i="3"/>
  <c r="BZ260" i="3"/>
  <c r="BZ294" i="3"/>
  <c r="BZ296" i="3" s="1"/>
  <c r="BZ12" i="17"/>
  <c r="BZ13" i="17" s="1"/>
  <c r="CA237" i="3" l="1"/>
  <c r="CA279" i="3"/>
  <c r="BZ298" i="3"/>
  <c r="BZ43" i="17" s="1"/>
  <c r="BZ286" i="3"/>
  <c r="BZ293" i="3" s="1"/>
  <c r="BZ99" i="15"/>
  <c r="BZ297" i="3"/>
  <c r="CA263" i="3"/>
  <c r="BZ14" i="17"/>
  <c r="BZ42" i="17"/>
  <c r="CA269" i="3" l="1"/>
  <c r="CA10" i="17"/>
  <c r="CA11" i="17" s="1"/>
  <c r="CA295" i="3"/>
  <c r="CA16" i="17" l="1"/>
  <c r="CA160" i="3" s="1"/>
  <c r="CA161" i="3" s="1"/>
  <c r="CA112" i="3" s="1"/>
  <c r="CA19" i="17"/>
  <c r="CA158" i="3" s="1"/>
  <c r="CA162" i="3" s="1"/>
  <c r="CA218" i="3" l="1"/>
  <c r="CA155" i="3"/>
  <c r="CA26" i="17"/>
  <c r="CA27" i="17" s="1"/>
  <c r="CA113" i="3"/>
  <c r="CA116" i="3" l="1"/>
  <c r="CA34" i="17"/>
  <c r="CA41" i="17" s="1"/>
  <c r="CA114" i="3"/>
  <c r="CA40" i="17"/>
  <c r="CA39" i="17"/>
  <c r="CA117" i="3" l="1"/>
  <c r="CA215" i="3" s="1"/>
  <c r="CA118" i="3"/>
  <c r="CA122" i="3" s="1"/>
  <c r="CA121" i="3" l="1"/>
  <c r="CA127" i="3" s="1"/>
  <c r="CA290" i="3"/>
  <c r="CA216" i="3"/>
  <c r="CA61" i="15" s="1"/>
  <c r="CA62" i="15" s="1"/>
  <c r="CA66" i="15" s="1"/>
  <c r="CA204" i="3" l="1"/>
  <c r="CA205" i="3" s="1"/>
  <c r="CB202" i="3" s="1"/>
  <c r="CA206" i="3"/>
  <c r="CA143" i="3" s="1"/>
  <c r="CA281" i="3"/>
  <c r="CA221" i="3"/>
  <c r="CA128" i="3"/>
  <c r="CA123" i="3"/>
  <c r="CB331" i="3"/>
  <c r="CA292" i="3"/>
  <c r="CA337" i="3"/>
  <c r="CA338" i="3" s="1"/>
  <c r="CA332" i="3"/>
  <c r="CA333" i="3" s="1"/>
  <c r="CB139" i="3"/>
  <c r="CA126" i="3"/>
  <c r="CA339" i="3" l="1"/>
  <c r="CA341" i="3" s="1"/>
  <c r="CA133" i="3"/>
  <c r="CA132" i="3"/>
  <c r="CA131" i="3"/>
  <c r="CA210" i="3"/>
  <c r="CA213" i="3" s="1"/>
  <c r="CA134" i="3"/>
  <c r="CA284" i="3"/>
  <c r="CA35" i="17"/>
  <c r="CB138" i="3"/>
  <c r="CB137" i="3" s="1"/>
  <c r="CB234" i="3" s="1"/>
  <c r="CB103" i="15"/>
  <c r="CA239" i="3"/>
  <c r="CA147" i="3"/>
  <c r="CA149" i="3" s="1"/>
  <c r="CA150" i="3" s="1"/>
  <c r="CA151" i="3" s="1"/>
  <c r="CA75" i="15" s="1"/>
  <c r="CA245" i="3"/>
  <c r="CA100" i="15"/>
  <c r="CA242" i="3" l="1"/>
  <c r="CA255" i="3"/>
  <c r="CA135" i="3"/>
  <c r="CA141" i="3"/>
  <c r="CA244" i="3"/>
  <c r="CA250" i="3"/>
  <c r="CB240" i="3" l="1"/>
  <c r="CA243" i="3"/>
  <c r="CA74" i="15"/>
  <c r="CA101" i="15"/>
  <c r="CB232" i="3"/>
  <c r="CB111" i="3"/>
  <c r="CA260" i="3"/>
  <c r="CA294" i="3"/>
  <c r="CA296" i="3" s="1"/>
  <c r="CA12" i="17"/>
  <c r="CA13" i="17" s="1"/>
  <c r="CB237" i="3" l="1"/>
  <c r="CB279" i="3"/>
  <c r="CA298" i="3"/>
  <c r="CA43" i="17" s="1"/>
  <c r="CA286" i="3"/>
  <c r="CA293" i="3" s="1"/>
  <c r="CB263" i="3"/>
  <c r="CA99" i="15"/>
  <c r="CA297" i="3"/>
  <c r="CA42" i="17"/>
  <c r="CA14" i="17"/>
  <c r="CB269" i="3" l="1"/>
  <c r="CB10" i="17"/>
  <c r="CB11" i="17" s="1"/>
  <c r="CB295" i="3"/>
  <c r="CB16" i="17" l="1"/>
  <c r="CB160" i="3" s="1"/>
  <c r="CB161" i="3" s="1"/>
  <c r="CB112" i="3" s="1"/>
  <c r="CB19" i="17"/>
  <c r="CB158" i="3" s="1"/>
  <c r="CB162" i="3" s="1"/>
  <c r="CB218" i="3" l="1"/>
  <c r="CB26" i="17"/>
  <c r="CB27" i="17" s="1"/>
  <c r="CB155" i="3"/>
  <c r="CB113" i="3"/>
  <c r="CB116" i="3" l="1"/>
  <c r="CB34" i="17"/>
  <c r="CB41" i="17" s="1"/>
  <c r="CB114" i="3"/>
  <c r="CB39" i="17"/>
  <c r="CB40" i="17" l="1"/>
  <c r="CB117" i="3"/>
  <c r="CB215" i="3" s="1"/>
  <c r="CB118" i="3"/>
  <c r="CB122" i="3" s="1"/>
  <c r="CB121" i="3" l="1"/>
  <c r="CB127" i="3" s="1"/>
  <c r="CB290" i="3"/>
  <c r="CB216" i="3"/>
  <c r="CB61" i="15" s="1"/>
  <c r="CB62" i="15" s="1"/>
  <c r="CB66" i="15" s="1"/>
  <c r="CB204" i="3" l="1"/>
  <c r="CB205" i="3" s="1"/>
  <c r="CC202" i="3" s="1"/>
  <c r="CB206" i="3"/>
  <c r="CB143" i="3" s="1"/>
  <c r="CB281" i="3"/>
  <c r="CB221" i="3"/>
  <c r="CB126" i="3"/>
  <c r="CB123" i="3"/>
  <c r="CB292" i="3"/>
  <c r="CC331" i="3"/>
  <c r="CB337" i="3"/>
  <c r="CB338" i="3" s="1"/>
  <c r="CB332" i="3"/>
  <c r="CB333" i="3" s="1"/>
  <c r="CC139" i="3"/>
  <c r="CB128" i="3"/>
  <c r="CB284" i="3" l="1"/>
  <c r="CB134" i="3"/>
  <c r="CB131" i="3"/>
  <c r="CB339" i="3"/>
  <c r="CB341" i="3" s="1"/>
  <c r="CB210" i="3"/>
  <c r="CB213" i="3" s="1"/>
  <c r="CB133" i="3"/>
  <c r="CB132" i="3"/>
  <c r="CC138" i="3"/>
  <c r="CC137" i="3" s="1"/>
  <c r="CC234" i="3" s="1"/>
  <c r="CC103" i="15"/>
  <c r="CB35" i="17"/>
  <c r="CB239" i="3"/>
  <c r="CB245" i="3"/>
  <c r="CB100" i="15"/>
  <c r="CB147" i="3"/>
  <c r="CB149" i="3" s="1"/>
  <c r="CB150" i="3" s="1"/>
  <c r="CB151" i="3" s="1"/>
  <c r="CB75" i="15" s="1"/>
  <c r="CB135" i="3" l="1"/>
  <c r="CB141" i="3"/>
  <c r="CB250" i="3"/>
  <c r="CB244" i="3"/>
  <c r="CB242" i="3"/>
  <c r="CB255" i="3"/>
  <c r="CB101" i="15" l="1"/>
  <c r="CB74" i="15"/>
  <c r="CC232" i="3"/>
  <c r="CC111" i="3"/>
  <c r="CB260" i="3"/>
  <c r="CB294" i="3"/>
  <c r="CB296" i="3" s="1"/>
  <c r="CB12" i="17"/>
  <c r="CB13" i="17" s="1"/>
  <c r="CC240" i="3"/>
  <c r="CB243" i="3"/>
  <c r="CB14" i="17" l="1"/>
  <c r="CB42" i="17"/>
  <c r="CC237" i="3"/>
  <c r="CC279" i="3"/>
  <c r="CC263" i="3"/>
  <c r="CB99" i="15"/>
  <c r="CB297" i="3"/>
  <c r="CB298" i="3"/>
  <c r="CB43" i="17" s="1"/>
  <c r="CB286" i="3"/>
  <c r="CB293" i="3" s="1"/>
  <c r="CC10" i="17" l="1"/>
  <c r="CC11" i="17" s="1"/>
  <c r="CC295" i="3"/>
  <c r="CC269" i="3"/>
  <c r="CC16" i="17" l="1"/>
  <c r="CC160" i="3" s="1"/>
  <c r="CC161" i="3" s="1"/>
  <c r="CC112" i="3" s="1"/>
  <c r="CC19" i="17"/>
  <c r="CC158" i="3" s="1"/>
  <c r="CC162" i="3" s="1"/>
  <c r="CC218" i="3" l="1"/>
  <c r="CC155" i="3"/>
  <c r="CC26" i="17"/>
  <c r="CC27" i="17" s="1"/>
  <c r="CC113" i="3"/>
  <c r="CC116" i="3" l="1"/>
  <c r="CC34" i="17"/>
  <c r="CC41" i="17" s="1"/>
  <c r="CC114" i="3"/>
  <c r="CC40" i="17"/>
  <c r="CC39" i="17"/>
  <c r="CC118" i="3" l="1"/>
  <c r="CC122" i="3" s="1"/>
  <c r="CC117" i="3"/>
  <c r="CC215" i="3" s="1"/>
  <c r="CC121" i="3" l="1"/>
  <c r="CC127" i="3" s="1"/>
  <c r="CC128" i="3" s="1"/>
  <c r="CC290" i="3"/>
  <c r="CC216" i="3"/>
  <c r="CC61" i="15" s="1"/>
  <c r="CC62" i="15" s="1"/>
  <c r="CC66" i="15" s="1"/>
  <c r="CC123" i="3" l="1"/>
  <c r="CC204" i="3"/>
  <c r="CC205" i="3" s="1"/>
  <c r="CD202" i="3" s="1"/>
  <c r="CC206" i="3"/>
  <c r="CC143" i="3" s="1"/>
  <c r="CC281" i="3"/>
  <c r="CC292" i="3"/>
  <c r="CC332" i="3"/>
  <c r="CC333" i="3" s="1"/>
  <c r="CD331" i="3"/>
  <c r="CC337" i="3"/>
  <c r="CC338" i="3" s="1"/>
  <c r="CD139" i="3"/>
  <c r="CC221" i="3"/>
  <c r="CC126" i="3"/>
  <c r="CC239" i="3" l="1"/>
  <c r="CC100" i="15"/>
  <c r="CC147" i="3"/>
  <c r="CC149" i="3" s="1"/>
  <c r="CC150" i="3" s="1"/>
  <c r="CC151" i="3" s="1"/>
  <c r="CC75" i="15" s="1"/>
  <c r="CC245" i="3"/>
  <c r="CC284" i="3"/>
  <c r="CD138" i="3"/>
  <c r="CD137" i="3" s="1"/>
  <c r="CD234" i="3" s="1"/>
  <c r="CD103" i="15"/>
  <c r="CC35" i="17"/>
  <c r="CC131" i="3"/>
  <c r="CC133" i="3"/>
  <c r="CC339" i="3"/>
  <c r="CC341" i="3" s="1"/>
  <c r="CC134" i="3"/>
  <c r="CC132" i="3"/>
  <c r="CC210" i="3"/>
  <c r="CC213" i="3" s="1"/>
  <c r="CC135" i="3" l="1"/>
  <c r="CC141" i="3"/>
  <c r="CC242" i="3"/>
  <c r="CC255" i="3"/>
  <c r="CC250" i="3"/>
  <c r="CC244" i="3"/>
  <c r="CC101" i="15" l="1"/>
  <c r="CC74" i="15"/>
  <c r="CD232" i="3"/>
  <c r="CD111" i="3"/>
  <c r="CC12" i="17"/>
  <c r="CC13" i="17" s="1"/>
  <c r="CC294" i="3"/>
  <c r="CC296" i="3" s="1"/>
  <c r="CC260" i="3"/>
  <c r="CD240" i="3"/>
  <c r="CC243" i="3"/>
  <c r="CC297" i="3" l="1"/>
  <c r="CC99" i="15"/>
  <c r="CC42" i="17"/>
  <c r="CC14" i="17"/>
  <c r="CC298" i="3"/>
  <c r="CC43" i="17" s="1"/>
  <c r="CC286" i="3"/>
  <c r="CC293" i="3" s="1"/>
  <c r="CD237" i="3"/>
  <c r="CD279" i="3"/>
  <c r="CD263" i="3"/>
  <c r="CD269" i="3" l="1"/>
  <c r="CD10" i="17"/>
  <c r="CD11" i="17" s="1"/>
  <c r="CD295" i="3"/>
  <c r="CD16" i="17" l="1"/>
  <c r="CD160" i="3" s="1"/>
  <c r="CD161" i="3" s="1"/>
  <c r="CD112" i="3" s="1"/>
  <c r="CD19" i="17"/>
  <c r="CD158" i="3" s="1"/>
  <c r="CD162" i="3" s="1"/>
  <c r="CD218" i="3" l="1"/>
  <c r="CD155" i="3"/>
  <c r="CD26" i="17"/>
  <c r="CD27" i="17" s="1"/>
  <c r="CD113" i="3"/>
  <c r="CD116" i="3" l="1"/>
  <c r="CD34" i="17"/>
  <c r="CD41" i="17" s="1"/>
  <c r="CD114" i="3"/>
  <c r="CD40" i="17"/>
  <c r="CD39" i="17"/>
  <c r="CD118" i="3" l="1"/>
  <c r="CD121" i="3" s="1"/>
  <c r="CD117" i="3"/>
  <c r="CD215" i="3" s="1"/>
  <c r="CD127" i="3" l="1"/>
  <c r="CD123" i="3" s="1"/>
  <c r="CD122" i="3"/>
  <c r="CD216" i="3"/>
  <c r="CD61" i="15" s="1"/>
  <c r="CD62" i="15" s="1"/>
  <c r="CD66" i="15" s="1"/>
  <c r="CD221" i="3" l="1"/>
  <c r="CD126" i="3"/>
  <c r="CD128" i="3"/>
  <c r="CD290" i="3"/>
  <c r="CD204" i="3"/>
  <c r="CD205" i="3" s="1"/>
  <c r="CE202" i="3" s="1"/>
  <c r="CD206" i="3"/>
  <c r="CD143" i="3" s="1"/>
  <c r="CD281" i="3"/>
  <c r="CE139" i="3"/>
  <c r="CE138" i="3" l="1"/>
  <c r="CE103" i="15"/>
  <c r="CD284" i="3"/>
  <c r="CD337" i="3"/>
  <c r="CD338" i="3" s="1"/>
  <c r="CD332" i="3"/>
  <c r="CD333" i="3" s="1"/>
  <c r="CE331" i="3"/>
  <c r="CD292" i="3"/>
  <c r="CD339" i="3"/>
  <c r="CD133" i="3"/>
  <c r="CD210" i="3"/>
  <c r="CD213" i="3" s="1"/>
  <c r="CD131" i="3"/>
  <c r="CD132" i="3"/>
  <c r="CD134" i="3"/>
  <c r="CD239" i="3"/>
  <c r="CD245" i="3"/>
  <c r="CD100" i="15"/>
  <c r="CD147" i="3"/>
  <c r="CD149" i="3" s="1"/>
  <c r="CD150" i="3" s="1"/>
  <c r="CD151" i="3" s="1"/>
  <c r="CD75" i="15" s="1"/>
  <c r="CD341" i="3" l="1"/>
  <c r="CD242" i="3"/>
  <c r="CD255" i="3"/>
  <c r="CD35" i="17"/>
  <c r="CD244" i="3"/>
  <c r="CD250" i="3"/>
  <c r="CD135" i="3"/>
  <c r="CD141" i="3"/>
  <c r="CE137" i="3"/>
  <c r="CE234" i="3" s="1"/>
  <c r="CE240" i="3" l="1"/>
  <c r="CD243" i="3"/>
  <c r="CD101" i="15"/>
  <c r="CD74" i="15"/>
  <c r="CE232" i="3"/>
  <c r="CE111" i="3"/>
  <c r="CD12" i="17"/>
  <c r="CD13" i="17" s="1"/>
  <c r="CD294" i="3"/>
  <c r="CD296" i="3" s="1"/>
  <c r="CD260" i="3"/>
  <c r="CD297" i="3" l="1"/>
  <c r="CD99" i="15"/>
  <c r="CD14" i="17"/>
  <c r="CD42" i="17"/>
  <c r="CE237" i="3"/>
  <c r="CE279" i="3"/>
  <c r="CD298" i="3"/>
  <c r="CD43" i="17" s="1"/>
  <c r="CD286" i="3"/>
  <c r="CD293" i="3" s="1"/>
  <c r="CE263" i="3"/>
  <c r="CE269" i="3" l="1"/>
  <c r="CE10" i="17"/>
  <c r="CE11" i="17" s="1"/>
  <c r="CE295" i="3"/>
  <c r="CE16" i="17" l="1"/>
  <c r="CE160" i="3" s="1"/>
  <c r="CE161" i="3" s="1"/>
  <c r="CE112" i="3" s="1"/>
  <c r="CE19" i="17"/>
  <c r="CE158" i="3" s="1"/>
  <c r="CE162" i="3" s="1"/>
  <c r="CE218" i="3" l="1"/>
  <c r="CE155" i="3"/>
  <c r="CE26" i="17"/>
  <c r="CE27" i="17" s="1"/>
  <c r="CE113" i="3"/>
  <c r="CE116" i="3" l="1"/>
  <c r="CE34" i="17"/>
  <c r="CE41" i="17" s="1"/>
  <c r="CE114" i="3"/>
  <c r="CE40" i="17"/>
  <c r="CE39" i="17"/>
  <c r="CE118" i="3" l="1"/>
  <c r="CE121" i="3" s="1"/>
  <c r="CE117" i="3"/>
  <c r="CE215" i="3" s="1"/>
  <c r="CE127" i="3" l="1"/>
  <c r="CE123" i="3" s="1"/>
  <c r="CE122" i="3"/>
  <c r="CE216" i="3"/>
  <c r="CE61" i="15" s="1"/>
  <c r="CE62" i="15" s="1"/>
  <c r="CE66" i="15" s="1"/>
  <c r="CF139" i="3" l="1"/>
  <c r="CF138" i="3" s="1"/>
  <c r="CE128" i="3"/>
  <c r="CE126" i="3"/>
  <c r="CE290" i="3"/>
  <c r="CE204" i="3"/>
  <c r="CE205" i="3" s="1"/>
  <c r="CF202" i="3" s="1"/>
  <c r="CE206" i="3"/>
  <c r="CE143" i="3" s="1"/>
  <c r="CE281" i="3"/>
  <c r="CE221" i="3"/>
  <c r="CF103" i="15" l="1"/>
  <c r="CE284" i="3"/>
  <c r="CE132" i="3"/>
  <c r="CE133" i="3"/>
  <c r="CE134" i="3"/>
  <c r="CE131" i="3"/>
  <c r="CE339" i="3"/>
  <c r="CE210" i="3"/>
  <c r="CE213" i="3" s="1"/>
  <c r="CE239" i="3"/>
  <c r="CE245" i="3"/>
  <c r="CE100" i="15"/>
  <c r="CE147" i="3"/>
  <c r="CE149" i="3" s="1"/>
  <c r="CE150" i="3" s="1"/>
  <c r="CE151" i="3" s="1"/>
  <c r="CE75" i="15" s="1"/>
  <c r="CF331" i="3"/>
  <c r="CE337" i="3"/>
  <c r="CE338" i="3" s="1"/>
  <c r="CE292" i="3"/>
  <c r="CE332" i="3"/>
  <c r="CE333" i="3" s="1"/>
  <c r="CF137" i="3"/>
  <c r="CF234" i="3" s="1"/>
  <c r="CE341" i="3" l="1"/>
  <c r="CE35" i="17"/>
  <c r="CE135" i="3"/>
  <c r="CE141" i="3"/>
  <c r="CE250" i="3"/>
  <c r="CE244" i="3"/>
  <c r="CE242" i="3"/>
  <c r="CE255" i="3"/>
  <c r="CF111" i="3" l="1"/>
  <c r="CF232" i="3"/>
  <c r="CE294" i="3"/>
  <c r="CE296" i="3" s="1"/>
  <c r="CE12" i="17"/>
  <c r="CE13" i="17" s="1"/>
  <c r="CE260" i="3"/>
  <c r="CE101" i="15"/>
  <c r="CE74" i="15"/>
  <c r="CF240" i="3"/>
  <c r="CE243" i="3"/>
  <c r="CF263" i="3" l="1"/>
  <c r="CE99" i="15"/>
  <c r="CE297" i="3"/>
  <c r="CE42" i="17"/>
  <c r="CE14" i="17"/>
  <c r="CE298" i="3"/>
  <c r="CE43" i="17" s="1"/>
  <c r="CE286" i="3"/>
  <c r="CE293" i="3" s="1"/>
  <c r="CF237" i="3"/>
  <c r="CF279" i="3"/>
  <c r="CF10" i="17" l="1"/>
  <c r="CF11" i="17" s="1"/>
  <c r="CF295" i="3"/>
  <c r="CF269" i="3"/>
  <c r="CF16" i="17" l="1"/>
  <c r="CF160" i="3" s="1"/>
  <c r="CF161" i="3" s="1"/>
  <c r="CF112" i="3" s="1"/>
  <c r="CF19" i="17"/>
  <c r="CF158" i="3" s="1"/>
  <c r="CF162" i="3" s="1"/>
  <c r="CF218" i="3" l="1"/>
  <c r="CF26" i="17"/>
  <c r="CF27" i="17" s="1"/>
  <c r="CF155" i="3"/>
  <c r="CF113" i="3"/>
  <c r="CF116" i="3" l="1"/>
  <c r="CF34" i="17"/>
  <c r="CF41" i="17" s="1"/>
  <c r="CF114" i="3"/>
  <c r="CF39" i="17"/>
  <c r="CF40" i="17" l="1"/>
  <c r="CF117" i="3"/>
  <c r="CF215" i="3" s="1"/>
  <c r="CF118" i="3"/>
  <c r="CF122" i="3" s="1"/>
  <c r="CF121" i="3" l="1"/>
  <c r="CF127" i="3" s="1"/>
  <c r="CF123" i="3" s="1"/>
  <c r="CF290" i="3"/>
  <c r="CF216" i="3"/>
  <c r="CF61" i="15" s="1"/>
  <c r="CF62" i="15" s="1"/>
  <c r="CF66" i="15" s="1"/>
  <c r="CF221" i="3" l="1"/>
  <c r="CF239" i="3" s="1"/>
  <c r="CF128" i="3"/>
  <c r="CF337" i="3"/>
  <c r="CF338" i="3" s="1"/>
  <c r="CG331" i="3"/>
  <c r="CF292" i="3"/>
  <c r="CF332" i="3"/>
  <c r="CF333" i="3" s="1"/>
  <c r="CF204" i="3"/>
  <c r="CF205" i="3" s="1"/>
  <c r="CG202" i="3" s="1"/>
  <c r="CF206" i="3"/>
  <c r="CF143" i="3" s="1"/>
  <c r="CF281" i="3"/>
  <c r="CG139" i="3"/>
  <c r="CF126" i="3"/>
  <c r="CF147" i="3" l="1"/>
  <c r="CF149" i="3" s="1"/>
  <c r="CF150" i="3" s="1"/>
  <c r="CF151" i="3" s="1"/>
  <c r="CF75" i="15" s="1"/>
  <c r="CF245" i="3"/>
  <c r="CF250" i="3" s="1"/>
  <c r="CF100" i="15"/>
  <c r="CG138" i="3"/>
  <c r="CG137" i="3" s="1"/>
  <c r="CG234" i="3" s="1"/>
  <c r="CG103" i="15"/>
  <c r="CF244" i="3"/>
  <c r="CF35" i="17"/>
  <c r="CF133" i="3"/>
  <c r="CF210" i="3"/>
  <c r="CF213" i="3" s="1"/>
  <c r="CF339" i="3"/>
  <c r="CF132" i="3"/>
  <c r="CF131" i="3"/>
  <c r="CF134" i="3"/>
  <c r="CF341" i="3"/>
  <c r="CF284" i="3"/>
  <c r="CF242" i="3"/>
  <c r="CF255" i="3"/>
  <c r="CG240" i="3" l="1"/>
  <c r="CF243" i="3"/>
  <c r="CF135" i="3"/>
  <c r="CF141" i="3"/>
  <c r="CF101" i="15"/>
  <c r="CF74" i="15"/>
  <c r="CG111" i="3"/>
  <c r="CG232" i="3"/>
  <c r="CF260" i="3"/>
  <c r="CF298" i="3" s="1"/>
  <c r="CF43" i="17" s="1"/>
  <c r="CF294" i="3"/>
  <c r="CF296" i="3" s="1"/>
  <c r="CF12" i="17"/>
  <c r="CF13" i="17" s="1"/>
  <c r="CF42" i="17" l="1"/>
  <c r="CF14" i="17"/>
  <c r="CF297" i="3"/>
  <c r="CF99" i="15"/>
  <c r="CG263" i="3"/>
  <c r="CF286" i="3"/>
  <c r="CF293" i="3" s="1"/>
  <c r="CG237" i="3"/>
  <c r="CG279" i="3"/>
  <c r="CG10" i="17" l="1"/>
  <c r="CG11" i="17" s="1"/>
  <c r="CG295" i="3"/>
  <c r="CG269" i="3"/>
  <c r="CG16" i="17" l="1"/>
  <c r="CG160" i="3" s="1"/>
  <c r="CG161" i="3" s="1"/>
  <c r="CG112" i="3" s="1"/>
  <c r="CG19" i="17"/>
  <c r="CG158" i="3" s="1"/>
  <c r="CG162" i="3" s="1"/>
  <c r="CG218" i="3" l="1"/>
  <c r="CG26" i="17"/>
  <c r="CG27" i="17" s="1"/>
  <c r="CG155" i="3"/>
  <c r="CG113" i="3"/>
  <c r="CG116" i="3" l="1"/>
  <c r="CG34" i="17"/>
  <c r="CG41" i="17" s="1"/>
  <c r="CG114" i="3"/>
  <c r="CG39" i="17"/>
  <c r="CG40" i="17" l="1"/>
  <c r="CG117" i="3"/>
  <c r="CG215" i="3" s="1"/>
  <c r="CG118" i="3"/>
  <c r="CG122" i="3" s="1"/>
  <c r="CG121" i="3" l="1"/>
  <c r="CG127" i="3" s="1"/>
  <c r="CG126" i="3" s="1"/>
  <c r="CG290" i="3"/>
  <c r="CG216" i="3"/>
  <c r="CG61" i="15" s="1"/>
  <c r="CG62" i="15" s="1"/>
  <c r="CG66" i="15" s="1"/>
  <c r="CH139" i="3" l="1"/>
  <c r="CH103" i="15" s="1"/>
  <c r="CG210" i="3"/>
  <c r="CG213" i="3" s="1"/>
  <c r="CG133" i="3"/>
  <c r="CG131" i="3"/>
  <c r="CG339" i="3"/>
  <c r="CG132" i="3"/>
  <c r="CG134" i="3"/>
  <c r="CG123" i="3"/>
  <c r="CH331" i="3"/>
  <c r="CG337" i="3"/>
  <c r="CG338" i="3" s="1"/>
  <c r="CG292" i="3"/>
  <c r="CG332" i="3"/>
  <c r="CG333" i="3" s="1"/>
  <c r="CG204" i="3"/>
  <c r="CG205" i="3" s="1"/>
  <c r="CH202" i="3" s="1"/>
  <c r="CG206" i="3"/>
  <c r="CG143" i="3" s="1"/>
  <c r="CG281" i="3"/>
  <c r="CG221" i="3"/>
  <c r="CG128" i="3"/>
  <c r="CG341" i="3" l="1"/>
  <c r="CH138" i="3"/>
  <c r="CH137" i="3" s="1"/>
  <c r="CH234" i="3" s="1"/>
  <c r="CG239" i="3"/>
  <c r="CG245" i="3"/>
  <c r="CG100" i="15"/>
  <c r="CG147" i="3"/>
  <c r="CG149" i="3" s="1"/>
  <c r="CG150" i="3" s="1"/>
  <c r="CG151" i="3" s="1"/>
  <c r="CG75" i="15" s="1"/>
  <c r="CG35" i="17"/>
  <c r="CG284" i="3"/>
  <c r="CG135" i="3"/>
  <c r="CG141" i="3"/>
  <c r="CG244" i="3" l="1"/>
  <c r="CG250" i="3"/>
  <c r="CG242" i="3"/>
  <c r="CG255" i="3"/>
  <c r="CH111" i="3" l="1"/>
  <c r="CH232" i="3"/>
  <c r="CG260" i="3"/>
  <c r="CG12" i="17"/>
  <c r="CG13" i="17" s="1"/>
  <c r="CG294" i="3"/>
  <c r="CG296" i="3" s="1"/>
  <c r="CH240" i="3"/>
  <c r="CG243" i="3"/>
  <c r="CG74" i="15"/>
  <c r="CG101" i="15"/>
  <c r="CG14" i="17" l="1"/>
  <c r="CG42" i="17"/>
  <c r="CG298" i="3"/>
  <c r="CG43" i="17" s="1"/>
  <c r="CG286" i="3"/>
  <c r="CG293" i="3" s="1"/>
  <c r="CH237" i="3"/>
  <c r="CH279" i="3"/>
  <c r="CH263" i="3"/>
  <c r="CG99" i="15"/>
  <c r="CG297" i="3"/>
  <c r="CH269" i="3" l="1"/>
  <c r="CH10" i="17"/>
  <c r="CH11" i="17" s="1"/>
  <c r="CH295" i="3"/>
  <c r="CH16" i="17" l="1"/>
  <c r="CH160" i="3" s="1"/>
  <c r="CH161" i="3" s="1"/>
  <c r="CH112" i="3" s="1"/>
  <c r="CH19" i="17"/>
  <c r="CH158" i="3" s="1"/>
  <c r="CH162" i="3" s="1"/>
  <c r="CH218" i="3" l="1"/>
  <c r="CH155" i="3"/>
  <c r="CH26" i="17"/>
  <c r="CH27" i="17" s="1"/>
  <c r="CH113" i="3"/>
  <c r="CH116" i="3" l="1"/>
  <c r="CH114" i="3"/>
  <c r="CH34" i="17"/>
  <c r="CH41" i="17" s="1"/>
  <c r="CH39" i="17"/>
  <c r="CH40" i="17" l="1"/>
  <c r="CH117" i="3"/>
  <c r="CH215" i="3" s="1"/>
  <c r="CH118" i="3"/>
  <c r="CH122" i="3" s="1"/>
  <c r="CH121" i="3" l="1"/>
  <c r="CH127" i="3" s="1"/>
  <c r="CH123" i="3" s="1"/>
  <c r="CH290" i="3"/>
  <c r="CH216" i="3"/>
  <c r="CH61" i="15" s="1"/>
  <c r="CH62" i="15" s="1"/>
  <c r="CH66" i="15" s="1"/>
  <c r="CH221" i="3" l="1"/>
  <c r="CH239" i="3" s="1"/>
  <c r="CH204" i="3"/>
  <c r="CH205" i="3" s="1"/>
  <c r="CI202" i="3" s="1"/>
  <c r="CH206" i="3"/>
  <c r="CH143" i="3" s="1"/>
  <c r="CH281" i="3"/>
  <c r="CH126" i="3"/>
  <c r="CH337" i="3"/>
  <c r="CH338" i="3" s="1"/>
  <c r="CI331" i="3"/>
  <c r="CH292" i="3"/>
  <c r="CH332" i="3"/>
  <c r="CH333" i="3" s="1"/>
  <c r="CI139" i="3"/>
  <c r="CH128" i="3"/>
  <c r="CH100" i="15" l="1"/>
  <c r="CH147" i="3"/>
  <c r="CH149" i="3" s="1"/>
  <c r="CH150" i="3" s="1"/>
  <c r="CH151" i="3" s="1"/>
  <c r="CH75" i="15" s="1"/>
  <c r="CH245" i="3"/>
  <c r="CH250" i="3" s="1"/>
  <c r="CI138" i="3"/>
  <c r="CI103" i="15"/>
  <c r="CH284" i="3"/>
  <c r="CH35" i="17"/>
  <c r="CH132" i="3"/>
  <c r="CH134" i="3"/>
  <c r="CH210" i="3"/>
  <c r="CH213" i="3" s="1"/>
  <c r="CH133" i="3"/>
  <c r="CH339" i="3"/>
  <c r="CH341" i="3" s="1"/>
  <c r="CH131" i="3"/>
  <c r="CH242" i="3"/>
  <c r="CH255" i="3"/>
  <c r="CH244" i="3" l="1"/>
  <c r="CH135" i="3"/>
  <c r="CH141" i="3"/>
  <c r="CI240" i="3"/>
  <c r="CH243" i="3"/>
  <c r="CH74" i="15"/>
  <c r="CH101" i="15"/>
  <c r="CI111" i="3"/>
  <c r="CH260" i="3"/>
  <c r="CH298" i="3" s="1"/>
  <c r="CH43" i="17" s="1"/>
  <c r="CH12" i="17"/>
  <c r="CH13" i="17" s="1"/>
  <c r="CH294" i="3"/>
  <c r="CH296" i="3" s="1"/>
  <c r="CI137" i="3"/>
  <c r="CI234" i="3" s="1"/>
  <c r="CI232" i="3" s="1"/>
  <c r="CI263" i="3" l="1"/>
  <c r="CH42" i="17"/>
  <c r="CH14" i="17"/>
  <c r="CH286" i="3"/>
  <c r="CH293" i="3" s="1"/>
  <c r="CI237" i="3"/>
  <c r="CI279" i="3"/>
  <c r="CH99" i="15"/>
  <c r="CH297" i="3"/>
  <c r="CI10" i="17" l="1"/>
  <c r="CI11" i="17" s="1"/>
  <c r="CI295" i="3"/>
  <c r="CI269" i="3"/>
  <c r="CI16" i="17" l="1"/>
  <c r="CI160" i="3" s="1"/>
  <c r="CI161" i="3" s="1"/>
  <c r="CI112" i="3" s="1"/>
  <c r="CI19" i="17"/>
  <c r="CI158" i="3" s="1"/>
  <c r="CI162" i="3" s="1"/>
  <c r="CI218" i="3" l="1"/>
  <c r="CI26" i="17"/>
  <c r="CI27" i="17" s="1"/>
  <c r="CI155" i="3"/>
  <c r="CI113" i="3"/>
  <c r="CI116" i="3" l="1"/>
  <c r="CI114" i="3"/>
  <c r="CI34" i="17"/>
  <c r="CI41" i="17" s="1"/>
  <c r="CI39" i="17"/>
  <c r="CI40" i="17" l="1"/>
  <c r="CI117" i="3"/>
  <c r="CI215" i="3" s="1"/>
  <c r="CI118" i="3"/>
  <c r="CI122" i="3" s="1"/>
  <c r="CI121" i="3" l="1"/>
  <c r="CI127" i="3" s="1"/>
  <c r="CI290" i="3"/>
  <c r="CI216" i="3"/>
  <c r="CJ139" i="3" s="1"/>
  <c r="CI61" i="15" l="1"/>
  <c r="CI62" i="15" s="1"/>
  <c r="CI66" i="15" s="1"/>
  <c r="CJ138" i="3"/>
  <c r="CJ103" i="15"/>
  <c r="CI126" i="3"/>
  <c r="CI204" i="3"/>
  <c r="CI205" i="3" s="1"/>
  <c r="CJ202" i="3" s="1"/>
  <c r="CI206" i="3"/>
  <c r="CI143" i="3" s="1"/>
  <c r="CI281" i="3"/>
  <c r="CI123" i="3"/>
  <c r="CI332" i="3"/>
  <c r="CI333" i="3" s="1"/>
  <c r="CI292" i="3"/>
  <c r="CI337" i="3"/>
  <c r="CI338" i="3" s="1"/>
  <c r="CJ331" i="3"/>
  <c r="CI221" i="3"/>
  <c r="CI128" i="3"/>
  <c r="CI35" i="17" l="1"/>
  <c r="CI339" i="3"/>
  <c r="CI341" i="3" s="1"/>
  <c r="CI132" i="3"/>
  <c r="CI134" i="3"/>
  <c r="CI131" i="3"/>
  <c r="CI133" i="3"/>
  <c r="CI210" i="3"/>
  <c r="CI213" i="3" s="1"/>
  <c r="CI239" i="3"/>
  <c r="CI147" i="3"/>
  <c r="CI149" i="3" s="1"/>
  <c r="CI150" i="3" s="1"/>
  <c r="CI151" i="3" s="1"/>
  <c r="CI75" i="15" s="1"/>
  <c r="CI245" i="3"/>
  <c r="CI100" i="15"/>
  <c r="CI284" i="3"/>
  <c r="CJ137" i="3"/>
  <c r="CJ234" i="3" s="1"/>
  <c r="CI242" i="3" l="1"/>
  <c r="CI255" i="3"/>
  <c r="CI250" i="3"/>
  <c r="CI244" i="3"/>
  <c r="CI135" i="3"/>
  <c r="CI141" i="3"/>
  <c r="CI101" i="15" l="1"/>
  <c r="CI74" i="15"/>
  <c r="CJ240" i="3"/>
  <c r="CI243" i="3"/>
  <c r="CJ232" i="3"/>
  <c r="CJ111" i="3"/>
  <c r="CI294" i="3"/>
  <c r="CI296" i="3" s="1"/>
  <c r="CI12" i="17"/>
  <c r="CI13" i="17" s="1"/>
  <c r="CI260" i="3"/>
  <c r="CJ237" i="3" l="1"/>
  <c r="CJ279" i="3"/>
  <c r="CI14" i="17"/>
  <c r="CI42" i="17"/>
  <c r="CI297" i="3"/>
  <c r="CI99" i="15"/>
  <c r="CI298" i="3"/>
  <c r="CI43" i="17" s="1"/>
  <c r="CI286" i="3"/>
  <c r="CI293" i="3" s="1"/>
  <c r="CJ263" i="3"/>
  <c r="CJ269" i="3" l="1"/>
  <c r="CJ10" i="17"/>
  <c r="CJ11" i="17" s="1"/>
  <c r="CJ295" i="3"/>
  <c r="CJ16" i="17" l="1"/>
  <c r="CJ160" i="3" s="1"/>
  <c r="CJ161" i="3" s="1"/>
  <c r="CJ112" i="3" s="1"/>
  <c r="CJ19" i="17"/>
  <c r="CJ158" i="3" s="1"/>
  <c r="CJ162" i="3" s="1"/>
  <c r="CJ218" i="3" l="1"/>
  <c r="CJ26" i="17"/>
  <c r="CJ27" i="17" s="1"/>
  <c r="CJ155" i="3"/>
  <c r="CJ113" i="3"/>
  <c r="CJ116" i="3" l="1"/>
  <c r="CJ114" i="3"/>
  <c r="CJ34" i="17"/>
  <c r="CJ41" i="17" s="1"/>
  <c r="CJ39" i="17"/>
  <c r="CJ40" i="17" l="1"/>
  <c r="CJ117" i="3"/>
  <c r="CJ215" i="3" s="1"/>
  <c r="CJ118" i="3"/>
  <c r="CJ122" i="3" s="1"/>
  <c r="CJ121" i="3" l="1"/>
  <c r="CJ127" i="3" s="1"/>
  <c r="CJ290" i="3"/>
  <c r="CJ216" i="3"/>
  <c r="CJ61" i="15" s="1"/>
  <c r="CJ62" i="15" s="1"/>
  <c r="CJ66" i="15" s="1"/>
  <c r="CJ221" i="3" l="1"/>
  <c r="CJ239" i="3" s="1"/>
  <c r="CJ204" i="3"/>
  <c r="CJ205" i="3" s="1"/>
  <c r="CK202" i="3" s="1"/>
  <c r="CJ206" i="3"/>
  <c r="CJ143" i="3" s="1"/>
  <c r="CJ281" i="3"/>
  <c r="CJ126" i="3"/>
  <c r="CJ123" i="3"/>
  <c r="CJ292" i="3"/>
  <c r="CJ337" i="3"/>
  <c r="CJ338" i="3" s="1"/>
  <c r="CJ332" i="3"/>
  <c r="CJ333" i="3" s="1"/>
  <c r="CK331" i="3"/>
  <c r="CK139" i="3"/>
  <c r="CJ128" i="3"/>
  <c r="CJ245" i="3" l="1"/>
  <c r="CJ244" i="3" s="1"/>
  <c r="CJ147" i="3"/>
  <c r="CJ149" i="3" s="1"/>
  <c r="CJ150" i="3" s="1"/>
  <c r="CJ151" i="3" s="1"/>
  <c r="CJ75" i="15" s="1"/>
  <c r="CJ100" i="15"/>
  <c r="CJ35" i="17"/>
  <c r="CJ284" i="3"/>
  <c r="CK138" i="3"/>
  <c r="CK103" i="15"/>
  <c r="CJ133" i="3"/>
  <c r="CJ131" i="3"/>
  <c r="CJ132" i="3"/>
  <c r="CJ134" i="3"/>
  <c r="CJ210" i="3"/>
  <c r="CJ213" i="3" s="1"/>
  <c r="CJ339" i="3"/>
  <c r="CJ341" i="3" s="1"/>
  <c r="CJ242" i="3"/>
  <c r="CJ255" i="3"/>
  <c r="CJ250" i="3" l="1"/>
  <c r="CJ101" i="15" s="1"/>
  <c r="CJ135" i="3"/>
  <c r="CJ141" i="3"/>
  <c r="CK240" i="3"/>
  <c r="CJ243" i="3"/>
  <c r="CK111" i="3"/>
  <c r="CJ294" i="3"/>
  <c r="CJ296" i="3" s="1"/>
  <c r="CJ12" i="17"/>
  <c r="CJ13" i="17" s="1"/>
  <c r="CJ260" i="3"/>
  <c r="CJ298" i="3" s="1"/>
  <c r="CJ43" i="17" s="1"/>
  <c r="CK137" i="3"/>
  <c r="CK234" i="3" s="1"/>
  <c r="CK232" i="3" s="1"/>
  <c r="CJ74" i="15" l="1"/>
  <c r="CK237" i="3"/>
  <c r="CK279" i="3"/>
  <c r="CJ42" i="17"/>
  <c r="CJ14" i="17"/>
  <c r="CJ99" i="15"/>
  <c r="CJ297" i="3"/>
  <c r="CK263" i="3"/>
  <c r="CJ286" i="3"/>
  <c r="CJ293" i="3" s="1"/>
  <c r="CK269" i="3" l="1"/>
  <c r="CK10" i="17"/>
  <c r="CK11" i="17" s="1"/>
  <c r="CK295" i="3"/>
  <c r="CK16" i="17" l="1"/>
  <c r="CK160" i="3" s="1"/>
  <c r="CK161" i="3" s="1"/>
  <c r="CK112" i="3" s="1"/>
  <c r="CK19" i="17"/>
  <c r="CK158" i="3" s="1"/>
  <c r="CK162" i="3" s="1"/>
  <c r="CK218" i="3" l="1"/>
  <c r="CK155" i="3"/>
  <c r="CK26" i="17"/>
  <c r="CK27" i="17" s="1"/>
  <c r="CK113" i="3"/>
  <c r="CK116" i="3" l="1"/>
  <c r="CK114" i="3"/>
  <c r="CK34" i="17"/>
  <c r="CK41" i="17" s="1"/>
  <c r="CK39" i="17"/>
  <c r="CK40" i="17" l="1"/>
  <c r="CK118" i="3"/>
  <c r="CK122" i="3" s="1"/>
  <c r="CK117" i="3"/>
  <c r="CK215" i="3" s="1"/>
  <c r="CK121" i="3" l="1"/>
  <c r="CK127" i="3" s="1"/>
  <c r="CK123" i="3" s="1"/>
  <c r="CK216" i="3"/>
  <c r="CK61" i="15" s="1"/>
  <c r="CK62" i="15" s="1"/>
  <c r="CK66" i="15" s="1"/>
  <c r="CK290" i="3"/>
  <c r="CK204" i="3" l="1"/>
  <c r="CK205" i="3" s="1"/>
  <c r="CL202" i="3" s="1"/>
  <c r="CK206" i="3"/>
  <c r="CK143" i="3" s="1"/>
  <c r="CK281" i="3"/>
  <c r="CK128" i="3"/>
  <c r="CK292" i="3"/>
  <c r="CL331" i="3"/>
  <c r="CK332" i="3"/>
  <c r="CK333" i="3" s="1"/>
  <c r="CK337" i="3"/>
  <c r="CK338" i="3" s="1"/>
  <c r="CL139" i="3"/>
  <c r="CK126" i="3"/>
  <c r="CK221" i="3"/>
  <c r="CK133" i="3" l="1"/>
  <c r="CK131" i="3"/>
  <c r="CK339" i="3"/>
  <c r="CK341" i="3" s="1"/>
  <c r="CK132" i="3"/>
  <c r="CK134" i="3"/>
  <c r="CK210" i="3"/>
  <c r="CK213" i="3" s="1"/>
  <c r="CL138" i="3"/>
  <c r="CL137" i="3" s="1"/>
  <c r="CL234" i="3" s="1"/>
  <c r="CL103" i="15"/>
  <c r="CK35" i="17"/>
  <c r="CK284" i="3"/>
  <c r="CK239" i="3"/>
  <c r="CK100" i="15"/>
  <c r="CK245" i="3"/>
  <c r="CK147" i="3"/>
  <c r="CK149" i="3" s="1"/>
  <c r="CK150" i="3" s="1"/>
  <c r="CK151" i="3" s="1"/>
  <c r="CK75" i="15" s="1"/>
  <c r="CK135" i="3" l="1"/>
  <c r="CK141" i="3"/>
  <c r="CK242" i="3"/>
  <c r="CK255" i="3"/>
  <c r="CK244" i="3"/>
  <c r="CK250" i="3"/>
  <c r="CL240" i="3" l="1"/>
  <c r="CK243" i="3"/>
  <c r="CL111" i="3"/>
  <c r="CL232" i="3"/>
  <c r="CK260" i="3"/>
  <c r="CK12" i="17"/>
  <c r="CK13" i="17" s="1"/>
  <c r="CK294" i="3"/>
  <c r="CK296" i="3" s="1"/>
  <c r="CK101" i="15"/>
  <c r="CK74" i="15"/>
  <c r="CL237" i="3" l="1"/>
  <c r="CL279" i="3"/>
  <c r="CK297" i="3"/>
  <c r="CK99" i="15"/>
  <c r="CK42" i="17"/>
  <c r="CK14" i="17"/>
  <c r="CL263" i="3"/>
  <c r="CK298" i="3"/>
  <c r="CK43" i="17" s="1"/>
  <c r="CK286" i="3"/>
  <c r="CK293" i="3" s="1"/>
  <c r="CL269" i="3" l="1"/>
  <c r="CL10" i="17"/>
  <c r="CL11" i="17" s="1"/>
  <c r="CL295" i="3"/>
  <c r="CL16" i="17" l="1"/>
  <c r="CL160" i="3" s="1"/>
  <c r="CL161" i="3" s="1"/>
  <c r="CL112" i="3" s="1"/>
  <c r="CL19" i="17"/>
  <c r="CL158" i="3" s="1"/>
  <c r="CL162" i="3" s="1"/>
  <c r="CL218" i="3" l="1"/>
  <c r="CL155" i="3"/>
  <c r="CL26" i="17"/>
  <c r="CL27" i="17" s="1"/>
  <c r="CL113" i="3"/>
  <c r="CL39" i="17" l="1"/>
  <c r="CL116" i="3"/>
  <c r="CL114" i="3"/>
  <c r="CL34" i="17"/>
  <c r="CL41" i="17" s="1"/>
  <c r="CL40" i="17" l="1"/>
  <c r="CL118" i="3"/>
  <c r="CL121" i="3" s="1"/>
  <c r="CL117" i="3"/>
  <c r="CL215" i="3" s="1"/>
  <c r="CL127" i="3" l="1"/>
  <c r="CL123" i="3" s="1"/>
  <c r="CL122" i="3"/>
  <c r="CL216" i="3"/>
  <c r="CL61" i="15" s="1"/>
  <c r="CL62" i="15" s="1"/>
  <c r="CL66" i="15" s="1"/>
  <c r="CL221" i="3" l="1"/>
  <c r="CL147" i="3" s="1"/>
  <c r="CL149" i="3" s="1"/>
  <c r="CL150" i="3" s="1"/>
  <c r="CL151" i="3" s="1"/>
  <c r="CL75" i="15" s="1"/>
  <c r="CL204" i="3"/>
  <c r="CL205" i="3" s="1"/>
  <c r="CM202" i="3" s="1"/>
  <c r="CL206" i="3"/>
  <c r="CL143" i="3" s="1"/>
  <c r="CL281" i="3"/>
  <c r="CL126" i="3"/>
  <c r="CL128" i="3"/>
  <c r="CL290" i="3"/>
  <c r="CM139" i="3"/>
  <c r="CL245" i="3" l="1"/>
  <c r="CL244" i="3" s="1"/>
  <c r="CL239" i="3"/>
  <c r="CL242" i="3" s="1"/>
  <c r="CL100" i="15"/>
  <c r="CM138" i="3"/>
  <c r="CM137" i="3" s="1"/>
  <c r="CM234" i="3" s="1"/>
  <c r="CM103" i="15"/>
  <c r="CL284" i="3"/>
  <c r="CL339" i="3"/>
  <c r="CL131" i="3"/>
  <c r="CL133" i="3"/>
  <c r="CL132" i="3"/>
  <c r="CL210" i="3"/>
  <c r="CL213" i="3" s="1"/>
  <c r="CL134" i="3"/>
  <c r="CL292" i="3"/>
  <c r="CL332" i="3"/>
  <c r="CL333" i="3" s="1"/>
  <c r="CM331" i="3"/>
  <c r="CL337" i="3"/>
  <c r="CL338" i="3" s="1"/>
  <c r="CL250" i="3" l="1"/>
  <c r="CL74" i="15" s="1"/>
  <c r="CL341" i="3"/>
  <c r="CL255" i="3"/>
  <c r="CM111" i="3" s="1"/>
  <c r="CM240" i="3"/>
  <c r="CL35" i="17"/>
  <c r="CL135" i="3"/>
  <c r="CL141" i="3"/>
  <c r="CL101" i="15" l="1"/>
  <c r="CL260" i="3"/>
  <c r="CL243" i="3"/>
  <c r="CL294" i="3"/>
  <c r="CL296" i="3" s="1"/>
  <c r="CL99" i="15" s="1"/>
  <c r="CM232" i="3"/>
  <c r="CM237" i="3" s="1"/>
  <c r="CL12" i="17"/>
  <c r="CL13" i="17" s="1"/>
  <c r="CL42" i="17" s="1"/>
  <c r="CM263" i="3"/>
  <c r="CL297" i="3" l="1"/>
  <c r="CL298" i="3"/>
  <c r="CL43" i="17" s="1"/>
  <c r="CL286" i="3"/>
  <c r="CL293" i="3" s="1"/>
  <c r="CM279" i="3"/>
  <c r="CM10" i="17" s="1"/>
  <c r="CM11" i="17" s="1"/>
  <c r="CL14" i="17"/>
  <c r="CM269" i="3"/>
  <c r="CM295" i="3" l="1"/>
  <c r="CM16" i="17"/>
  <c r="CM160" i="3" s="1"/>
  <c r="CM161" i="3" s="1"/>
  <c r="CM112" i="3" s="1"/>
  <c r="CM19" i="17"/>
  <c r="CM158" i="3" s="1"/>
  <c r="CM162" i="3" s="1"/>
  <c r="CM218" i="3" l="1"/>
  <c r="CM26" i="17"/>
  <c r="CM27" i="17" s="1"/>
  <c r="CM155" i="3"/>
  <c r="CM113" i="3"/>
  <c r="CM116" i="3" l="1"/>
  <c r="CM114" i="3"/>
  <c r="CM34" i="17"/>
  <c r="CM41" i="17" s="1"/>
  <c r="CM39" i="17"/>
  <c r="CM40" i="17" l="1"/>
  <c r="CM117" i="3"/>
  <c r="CM215" i="3" s="1"/>
  <c r="CM118" i="3"/>
  <c r="CM122" i="3" s="1"/>
  <c r="CM121" i="3" l="1"/>
  <c r="CM290" i="3"/>
  <c r="CM127" i="3"/>
  <c r="CM123" i="3" s="1"/>
  <c r="CM216" i="3"/>
  <c r="CM204" i="3" l="1"/>
  <c r="CM205" i="3" s="1"/>
  <c r="CN202" i="3" s="1"/>
  <c r="CM206" i="3"/>
  <c r="CM143" i="3" s="1"/>
  <c r="CM281" i="3"/>
  <c r="CM221" i="3"/>
  <c r="CN331" i="3"/>
  <c r="CM332" i="3"/>
  <c r="CM333" i="3" s="1"/>
  <c r="CM337" i="3"/>
  <c r="CM338" i="3" s="1"/>
  <c r="CM292" i="3"/>
  <c r="CM128" i="3"/>
  <c r="CM61" i="15"/>
  <c r="CM62" i="15" s="1"/>
  <c r="CM66" i="15" s="1"/>
  <c r="CN139" i="3"/>
  <c r="CM126" i="3"/>
  <c r="CM239" i="3" l="1"/>
  <c r="CM100" i="15"/>
  <c r="CM147" i="3"/>
  <c r="CM149" i="3" s="1"/>
  <c r="CM150" i="3" s="1"/>
  <c r="CM151" i="3" s="1"/>
  <c r="CM75" i="15" s="1"/>
  <c r="CM245" i="3"/>
  <c r="CN138" i="3"/>
  <c r="CN137" i="3" s="1"/>
  <c r="CN234" i="3" s="1"/>
  <c r="CN103" i="15"/>
  <c r="CM284" i="3"/>
  <c r="CM210" i="3"/>
  <c r="CM213" i="3" s="1"/>
  <c r="CM133" i="3"/>
  <c r="CM131" i="3"/>
  <c r="CM339" i="3"/>
  <c r="CM341" i="3" s="1"/>
  <c r="CM132" i="3"/>
  <c r="CM134" i="3"/>
  <c r="CM35" i="17"/>
  <c r="CM135" i="3" l="1"/>
  <c r="CM141" i="3"/>
  <c r="CM242" i="3"/>
  <c r="CM255" i="3"/>
  <c r="CM250" i="3"/>
  <c r="CM244" i="3"/>
  <c r="CN240" i="3" l="1"/>
  <c r="CM243" i="3"/>
  <c r="CN232" i="3"/>
  <c r="CN111" i="3"/>
  <c r="CM260" i="3"/>
  <c r="CM12" i="17"/>
  <c r="CM13" i="17" s="1"/>
  <c r="CM294" i="3"/>
  <c r="CM296" i="3" s="1"/>
  <c r="CM101" i="15"/>
  <c r="CM74" i="15"/>
  <c r="CM99" i="15" l="1"/>
  <c r="CM297" i="3"/>
  <c r="CN263" i="3"/>
  <c r="CN237" i="3"/>
  <c r="CN279" i="3"/>
  <c r="CM14" i="17"/>
  <c r="CM42" i="17"/>
  <c r="CM298" i="3"/>
  <c r="CM43" i="17" s="1"/>
  <c r="CM286" i="3"/>
  <c r="CM293" i="3" s="1"/>
  <c r="CN269" i="3" l="1"/>
  <c r="CN10" i="17"/>
  <c r="CN11" i="17" s="1"/>
  <c r="CN295" i="3"/>
  <c r="CN16" i="17" l="1"/>
  <c r="CN160" i="3" s="1"/>
  <c r="CN161" i="3" s="1"/>
  <c r="CN112" i="3" s="1"/>
  <c r="CN19" i="17"/>
  <c r="CN158" i="3" s="1"/>
  <c r="CN162" i="3" s="1"/>
  <c r="CN218" i="3" l="1"/>
  <c r="CN26" i="17"/>
  <c r="CN27" i="17" s="1"/>
  <c r="CN155" i="3"/>
  <c r="CN113" i="3"/>
  <c r="CN116" i="3" l="1"/>
  <c r="CN114" i="3"/>
  <c r="CN34" i="17"/>
  <c r="CN41" i="17" s="1"/>
  <c r="CN39" i="17"/>
  <c r="CN40" i="17" l="1"/>
  <c r="CN118" i="3"/>
  <c r="CN121" i="3" s="1"/>
  <c r="CN117" i="3"/>
  <c r="CN215" i="3" s="1"/>
  <c r="CN127" i="3" l="1"/>
  <c r="CN123" i="3" s="1"/>
  <c r="CN122" i="3"/>
  <c r="CN216" i="3"/>
  <c r="CN61" i="15" s="1"/>
  <c r="CN62" i="15" s="1"/>
  <c r="CN66" i="15" s="1"/>
  <c r="CN221" i="3" l="1"/>
  <c r="CN147" i="3" s="1"/>
  <c r="CN149" i="3" s="1"/>
  <c r="CN150" i="3" s="1"/>
  <c r="CN151" i="3" s="1"/>
  <c r="CN75" i="15" s="1"/>
  <c r="CN204" i="3"/>
  <c r="CN205" i="3" s="1"/>
  <c r="CO202" i="3" s="1"/>
  <c r="CN206" i="3"/>
  <c r="CN143" i="3" s="1"/>
  <c r="CN281" i="3"/>
  <c r="CN126" i="3"/>
  <c r="CN128" i="3"/>
  <c r="CN290" i="3"/>
  <c r="CO139" i="3"/>
  <c r="CN100" i="15" l="1"/>
  <c r="CN239" i="3"/>
  <c r="CN255" i="3" s="1"/>
  <c r="CN245" i="3"/>
  <c r="CN250" i="3" s="1"/>
  <c r="CO138" i="3"/>
  <c r="CO103" i="15"/>
  <c r="CN284" i="3"/>
  <c r="CN133" i="3"/>
  <c r="CN131" i="3"/>
  <c r="CN132" i="3"/>
  <c r="CN339" i="3"/>
  <c r="CN210" i="3"/>
  <c r="CN213" i="3" s="1"/>
  <c r="CN134" i="3"/>
  <c r="CO331" i="3"/>
  <c r="CN292" i="3"/>
  <c r="CN337" i="3"/>
  <c r="CN338" i="3" s="1"/>
  <c r="CN332" i="3"/>
  <c r="CN333" i="3" s="1"/>
  <c r="CN244" i="3" l="1"/>
  <c r="CN242" i="3"/>
  <c r="CN243" i="3" s="1"/>
  <c r="CN341" i="3"/>
  <c r="CN101" i="15"/>
  <c r="CN74" i="15"/>
  <c r="CN35" i="17"/>
  <c r="CO111" i="3"/>
  <c r="CN12" i="17"/>
  <c r="CN13" i="17" s="1"/>
  <c r="CN260" i="3"/>
  <c r="CN298" i="3" s="1"/>
  <c r="CN43" i="17" s="1"/>
  <c r="CN294" i="3"/>
  <c r="CN296" i="3" s="1"/>
  <c r="CN135" i="3"/>
  <c r="CN141" i="3"/>
  <c r="CO137" i="3"/>
  <c r="CO234" i="3" s="1"/>
  <c r="CO232" i="3" s="1"/>
  <c r="CO240" i="3" l="1"/>
  <c r="CN297" i="3"/>
  <c r="CN99" i="15"/>
  <c r="CN286" i="3"/>
  <c r="CN293" i="3" s="1"/>
  <c r="CO263" i="3"/>
  <c r="CO237" i="3"/>
  <c r="CO279" i="3"/>
  <c r="CN42" i="17"/>
  <c r="CN14" i="17"/>
  <c r="CO269" i="3" l="1"/>
  <c r="CO10" i="17"/>
  <c r="CO11" i="17" s="1"/>
  <c r="CO295" i="3"/>
  <c r="CO16" i="17" l="1"/>
  <c r="CO160" i="3" s="1"/>
  <c r="CO161" i="3" s="1"/>
  <c r="CO112" i="3" s="1"/>
  <c r="CO19" i="17"/>
  <c r="CO158" i="3" s="1"/>
  <c r="CO162" i="3" s="1"/>
  <c r="CO218" i="3" l="1"/>
  <c r="CO155" i="3"/>
  <c r="CO26" i="17"/>
  <c r="CO27" i="17" s="1"/>
  <c r="CO113" i="3"/>
  <c r="CO116" i="3" l="1"/>
  <c r="CO114" i="3"/>
  <c r="CO34" i="17"/>
  <c r="CO41" i="17" s="1"/>
  <c r="CO39" i="17"/>
  <c r="CO40" i="17" l="1"/>
  <c r="CO117" i="3"/>
  <c r="CO215" i="3" s="1"/>
  <c r="CO118" i="3"/>
  <c r="CO122" i="3" s="1"/>
  <c r="CO121" i="3" l="1"/>
  <c r="CO290" i="3"/>
  <c r="CO127" i="3"/>
  <c r="CO123" i="3" s="1"/>
  <c r="CO216" i="3"/>
  <c r="CP139" i="3" s="1"/>
  <c r="CP138" i="3" l="1"/>
  <c r="CP137" i="3" s="1"/>
  <c r="CP234" i="3" s="1"/>
  <c r="CP103" i="15"/>
  <c r="CP331" i="3"/>
  <c r="CO337" i="3"/>
  <c r="CO338" i="3" s="1"/>
  <c r="CO292" i="3"/>
  <c r="CO332" i="3"/>
  <c r="CO333" i="3" s="1"/>
  <c r="CO204" i="3"/>
  <c r="CO205" i="3" s="1"/>
  <c r="CP202" i="3" s="1"/>
  <c r="CO206" i="3"/>
  <c r="CO143" i="3" s="1"/>
  <c r="CO281" i="3"/>
  <c r="CO126" i="3"/>
  <c r="CO221" i="3"/>
  <c r="CO61" i="15"/>
  <c r="CO62" i="15" s="1"/>
  <c r="CO66" i="15" s="1"/>
  <c r="CO128" i="3"/>
  <c r="CO239" i="3" l="1"/>
  <c r="CO245" i="3"/>
  <c r="CO100" i="15"/>
  <c r="CO147" i="3"/>
  <c r="CO149" i="3" s="1"/>
  <c r="CO150" i="3" s="1"/>
  <c r="CO151" i="3" s="1"/>
  <c r="CO75" i="15" s="1"/>
  <c r="CO339" i="3"/>
  <c r="CO341" i="3" s="1"/>
  <c r="CO132" i="3"/>
  <c r="CO134" i="3"/>
  <c r="CO133" i="3"/>
  <c r="CO131" i="3"/>
  <c r="CO210" i="3"/>
  <c r="CO213" i="3" s="1"/>
  <c r="CO284" i="3"/>
  <c r="CO35" i="17"/>
  <c r="CO242" i="3" l="1"/>
  <c r="CO255" i="3"/>
  <c r="CO135" i="3"/>
  <c r="CO141" i="3"/>
  <c r="CO250" i="3"/>
  <c r="CO244" i="3"/>
  <c r="CO243" i="3" l="1"/>
  <c r="CP240" i="3"/>
  <c r="CO101" i="15"/>
  <c r="CO74" i="15"/>
  <c r="CP111" i="3"/>
  <c r="CP232" i="3"/>
  <c r="CO260" i="3"/>
  <c r="CO12" i="17"/>
  <c r="CO13" i="17" s="1"/>
  <c r="CO294" i="3"/>
  <c r="CO296" i="3" s="1"/>
  <c r="CO298" i="3" l="1"/>
  <c r="CO43" i="17" s="1"/>
  <c r="CO286" i="3"/>
  <c r="CO293" i="3" s="1"/>
  <c r="CP263" i="3"/>
  <c r="CP269" i="3" s="1"/>
  <c r="CO14" i="17"/>
  <c r="CO42" i="17"/>
  <c r="CO99" i="15"/>
  <c r="CO297" i="3"/>
  <c r="CP237" i="3"/>
  <c r="CP279" i="3"/>
  <c r="CP10" i="17" l="1"/>
  <c r="CP11" i="17" s="1"/>
  <c r="CP295" i="3"/>
  <c r="CP16" i="17" l="1"/>
  <c r="CP160" i="3" s="1"/>
  <c r="CP161" i="3" s="1"/>
  <c r="CP112" i="3" s="1"/>
  <c r="CP19" i="17"/>
  <c r="CP158" i="3" s="1"/>
  <c r="CP162" i="3" s="1"/>
  <c r="CP218" i="3" l="1"/>
  <c r="CP26" i="17"/>
  <c r="CP27" i="17" s="1"/>
  <c r="CP155" i="3"/>
  <c r="CP113" i="3"/>
  <c r="CP116" i="3" l="1"/>
  <c r="CP114" i="3"/>
  <c r="CP34" i="17"/>
  <c r="CP41" i="17" s="1"/>
  <c r="CP39" i="17"/>
  <c r="CP40" i="17" l="1"/>
  <c r="CP117" i="3"/>
  <c r="CP215" i="3" s="1"/>
  <c r="CP118" i="3"/>
  <c r="CP122" i="3" s="1"/>
  <c r="CP121" i="3" l="1"/>
  <c r="CP290" i="3"/>
  <c r="CP127" i="3"/>
  <c r="CP126" i="3" s="1"/>
  <c r="CP216" i="3"/>
  <c r="CP339" i="3" l="1"/>
  <c r="CP133" i="3"/>
  <c r="CP132" i="3"/>
  <c r="CP210" i="3"/>
  <c r="CP213" i="3" s="1"/>
  <c r="CP134" i="3"/>
  <c r="CP131" i="3"/>
  <c r="CP204" i="3"/>
  <c r="CP205" i="3" s="1"/>
  <c r="CP206" i="3"/>
  <c r="CP143" i="3" s="1"/>
  <c r="CP281" i="3"/>
  <c r="CP284" i="3" s="1"/>
  <c r="CP123" i="3"/>
  <c r="CP61" i="15"/>
  <c r="CP62" i="15" s="1"/>
  <c r="CP66" i="15" s="1"/>
  <c r="CP128" i="3"/>
  <c r="CP292" i="3"/>
  <c r="CP332" i="3"/>
  <c r="CP333" i="3" s="1"/>
  <c r="CP337" i="3"/>
  <c r="CP338" i="3" s="1"/>
  <c r="CP221" i="3"/>
  <c r="CP239" i="3" l="1"/>
  <c r="CP245" i="3"/>
  <c r="CP147" i="3"/>
  <c r="CP149" i="3" s="1"/>
  <c r="CP150" i="3" s="1"/>
  <c r="CP151" i="3" s="1"/>
  <c r="CP75" i="15" s="1"/>
  <c r="CP100" i="15"/>
  <c r="CP35" i="17"/>
  <c r="CP67" i="15"/>
  <c r="Y67" i="15"/>
  <c r="F124" i="15" s="1"/>
  <c r="Z67" i="15"/>
  <c r="X67" i="15"/>
  <c r="AB67" i="15"/>
  <c r="AA67" i="15"/>
  <c r="AC67" i="15"/>
  <c r="AD67" i="15"/>
  <c r="AE67" i="15"/>
  <c r="AF67" i="15"/>
  <c r="AG67" i="15"/>
  <c r="AH67" i="15"/>
  <c r="AI67" i="15"/>
  <c r="AJ67" i="15"/>
  <c r="AK67" i="15"/>
  <c r="AL67" i="15"/>
  <c r="AM67" i="15"/>
  <c r="AN67" i="15"/>
  <c r="AO67" i="15"/>
  <c r="AP67" i="15"/>
  <c r="AQ67" i="15"/>
  <c r="AR67" i="15"/>
  <c r="AS67" i="15"/>
  <c r="AT67" i="15"/>
  <c r="AU67" i="15"/>
  <c r="AV67" i="15"/>
  <c r="AW67" i="15"/>
  <c r="AX67" i="15"/>
  <c r="AY67" i="15"/>
  <c r="AZ67" i="15"/>
  <c r="BA67" i="15"/>
  <c r="BB67" i="15"/>
  <c r="BC67" i="15"/>
  <c r="BD67" i="15"/>
  <c r="BE67" i="15"/>
  <c r="BF67" i="15"/>
  <c r="BG67" i="15"/>
  <c r="BH67" i="15"/>
  <c r="BI67" i="15"/>
  <c r="BJ67" i="15"/>
  <c r="BK67" i="15"/>
  <c r="BL67" i="15"/>
  <c r="BM67" i="15"/>
  <c r="BN67" i="15"/>
  <c r="BO67" i="15"/>
  <c r="BP67" i="15"/>
  <c r="BQ67" i="15"/>
  <c r="BR67" i="15"/>
  <c r="BS67" i="15"/>
  <c r="BT67" i="15"/>
  <c r="BU67" i="15"/>
  <c r="BV67" i="15"/>
  <c r="BW67" i="15"/>
  <c r="BX67" i="15"/>
  <c r="BY67" i="15"/>
  <c r="BZ67" i="15"/>
  <c r="CA67" i="15"/>
  <c r="CB67" i="15"/>
  <c r="CC67" i="15"/>
  <c r="CD67" i="15"/>
  <c r="CE67" i="15"/>
  <c r="CF67" i="15"/>
  <c r="CG67" i="15"/>
  <c r="CH67" i="15"/>
  <c r="CI67" i="15"/>
  <c r="CJ67" i="15"/>
  <c r="CN67" i="15"/>
  <c r="CM67" i="15"/>
  <c r="CL67" i="15"/>
  <c r="CO67" i="15"/>
  <c r="CK67" i="15"/>
  <c r="CP341" i="3"/>
  <c r="CP135" i="3"/>
  <c r="CP141" i="3"/>
  <c r="O121" i="15" l="1"/>
  <c r="F128" i="15"/>
  <c r="F130" i="15" s="1"/>
  <c r="F139" i="15" s="1"/>
  <c r="F126" i="15"/>
  <c r="F136" i="15" s="1"/>
  <c r="O120" i="15"/>
  <c r="D124" i="15"/>
  <c r="O119" i="15"/>
  <c r="CP244" i="3"/>
  <c r="CP250" i="3"/>
  <c r="CP242" i="3"/>
  <c r="CP255" i="3"/>
  <c r="P120" i="15" l="1"/>
  <c r="CP101" i="15"/>
  <c r="CP74" i="15"/>
  <c r="P121" i="15"/>
  <c r="P119" i="15"/>
  <c r="CP260" i="3"/>
  <c r="CP294" i="3"/>
  <c r="CP296" i="3" s="1"/>
  <c r="CP12" i="17"/>
  <c r="CP13" i="17" s="1"/>
  <c r="CP243" i="3"/>
  <c r="D126" i="15"/>
  <c r="D136" i="15" s="1"/>
  <c r="D128" i="15"/>
  <c r="D130" i="15" s="1"/>
  <c r="D139" i="15" s="1"/>
  <c r="E124" i="15"/>
  <c r="CP298" i="3" l="1"/>
  <c r="CP43" i="17" s="1"/>
  <c r="CP286" i="3"/>
  <c r="CP293" i="3" s="1"/>
  <c r="CP42" i="17"/>
  <c r="CP14" i="17"/>
  <c r="E126" i="15"/>
  <c r="E136" i="15" s="1"/>
  <c r="E128" i="15"/>
  <c r="E130" i="15" s="1"/>
  <c r="CP99" i="15"/>
  <c r="CP297" i="3"/>
  <c r="E139" i="15" l="1"/>
  <c r="E143" i="15"/>
  <c r="E144" i="15" s="1"/>
  <c r="E131" i="15"/>
  <c r="E133" i="15" s="1"/>
  <c r="J129" i="15"/>
</calcChain>
</file>

<file path=xl/comments1.xml><?xml version="1.0" encoding="utf-8"?>
<comments xmlns="http://schemas.openxmlformats.org/spreadsheetml/2006/main">
  <authors>
    <author>Khan, Iqbal (Research)</author>
    <author>Koh, Rob (Research)</author>
  </authors>
  <commentList>
    <comment ref="B27" authorId="0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aka Terranora interconnector</t>
        </r>
      </text>
    </comment>
    <comment ref="I27" authorId="0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1.https://en.wikipedia.org/wiki/Terranora_interconnector
2. took exchange rate from datastream</t>
        </r>
      </text>
    </comment>
    <comment ref="B28" authorId="1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Dubbo to Tamworth,
and Tamworth Distribution Network</t>
        </r>
      </text>
    </comment>
    <comment ref="L30" authorId="1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Wollert compression</t>
        </r>
      </text>
    </comment>
    <comment ref="B32" authorId="1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aka Marsen to Dubbo</t>
        </r>
      </text>
    </comment>
    <comment ref="Q34" authorId="1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commitment date June 2006</t>
        </r>
      </text>
    </comment>
    <comment ref="C35" authorId="1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Amadeus Basin to Darwin Pipeline</t>
        </r>
      </text>
    </comment>
    <comment ref="B36" authorId="1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Aka Wallumbilla to Brisbane Pipeline</t>
        </r>
      </text>
    </comment>
    <comment ref="P36" authorId="1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Acquired remaining 15% in Feb 2001</t>
        </r>
      </text>
    </comment>
    <comment ref="L37" authorId="0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6km extension and additional compressor</t>
        </r>
      </text>
    </comment>
    <comment ref="B38" authorId="1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aka Ballera to Mt Isa</t>
        </r>
      </text>
    </comment>
    <comment ref="J38" authorId="0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98m for 30%</t>
        </r>
      </text>
    </comment>
    <comment ref="P38" authorId="1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acquired remaining 30% in Feb 2005</t>
        </r>
      </text>
    </comment>
    <comment ref="V38" authorId="1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https://www.aer.gov.au/networks-pipelines/determinations-access-arrangements/carpentaria-gas-pipeline-access-arrangement-2002-22</t>
        </r>
      </text>
    </comment>
    <comment ref="C40" authorId="1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Kogan North Central Gas Processing Facility</t>
        </r>
      </text>
    </comment>
    <comment ref="N41" authorId="1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High pressure</t>
        </r>
      </text>
    </comment>
    <comment ref="J46" authorId="0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this includes acusition cost of Leichardt power station, since  it acquired DPS projects which owns and operates DPS and Leichardt power station as well</t>
        </r>
      </text>
    </comment>
    <comment ref="B48" authorId="1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aka Balleira to Wallumbilla Pipeline</t>
        </r>
      </text>
    </comment>
    <comment ref="T48" authorId="0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460m gas transportation contyract was undertaken on 12/29/2011 for  a period of 15 years</t>
        </r>
      </text>
    </comment>
    <comment ref="V48" authorId="0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contract starts from 2015</t>
        </r>
      </text>
    </comment>
    <comment ref="I49" authorId="0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expansion cost</t>
        </r>
      </text>
    </comment>
    <comment ref="Q49" authorId="0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QSN link (expansion to SWQP) took place in 2008</t>
        </r>
      </text>
    </comment>
    <comment ref="B50" authorId="1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QSN3, Ballera to Moomba Link</t>
        </r>
      </text>
    </comment>
    <comment ref="L50" authorId="1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Included looping</t>
        </r>
      </text>
    </comment>
    <comment ref="V50" authorId="0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contract commences from Jan 2012</t>
        </r>
      </text>
    </comment>
    <comment ref="B51" authorId="1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aka QCLNG Pipeline… do not confuse with Jemena's QGP</t>
        </r>
      </text>
    </comment>
    <comment ref="J51" authorId="0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exchange rate on 12/10/2014 was 1.2007
http://usd.fx-exchange.com/aud/2015_06_04-exchange-rates-history.html</t>
        </r>
      </text>
    </comment>
    <comment ref="B56" authorId="1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Port Campbell to Adelaide</t>
        </r>
      </text>
    </comment>
    <comment ref="B57" authorId="1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aka Hallet 4</t>
        </r>
      </text>
    </comment>
    <comment ref="J59" authorId="0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https://www.apa.com.au/globalassets/asx-releases/2006/2006-03-30-apa-acquires-murraylink.pdf</t>
        </r>
      </text>
    </comment>
    <comment ref="B60" authorId="1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formerly GasNet Australia</t>
        </r>
      </text>
    </comment>
    <comment ref="B62" authorId="1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Looping of Wollert to Barnawartha</t>
        </r>
      </text>
    </comment>
    <comment ref="P66" authorId="1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Moved to 48.5% in Mar 2003</t>
        </r>
      </text>
    </comment>
    <comment ref="J70" authorId="0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Actually APA acquired 45% in SCP investments which owned Parmelia gas business which includes (Parmeila pipeline, Dongara processing, Mondarra storage facilities and a small gas retail business)</t>
        </r>
      </text>
    </comment>
    <comment ref="Q71" authorId="0">
      <text>
        <r>
          <rPr>
            <b/>
            <sz val="9"/>
            <color indexed="81"/>
            <rFont val="Tahoma"/>
            <family val="2"/>
          </rPr>
          <t xml:space="preserve">Khan, Iqbal (Research):
</t>
        </r>
        <r>
          <rPr>
            <sz val="9"/>
            <color indexed="81"/>
            <rFont val="Tahoma"/>
            <family val="2"/>
          </rPr>
          <t>No information as to which month it was comissioned but the year of comission was 1994</t>
        </r>
      </text>
    </comment>
    <comment ref="X76" authorId="0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long term contract with AngloGold Ashanti
</t>
        </r>
      </text>
    </comment>
    <comment ref="B83" authorId="1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Pilbara Energy Pipeline
</t>
        </r>
      </text>
    </comment>
    <comment ref="B84" authorId="1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Burrup Extension</t>
        </r>
      </text>
    </comment>
    <comment ref="B85" authorId="1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Karratha Lateral</t>
        </r>
      </text>
    </comment>
    <comment ref="B86" authorId="1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Moomba to Sydney Ethane Pipeline</t>
        </r>
      </text>
    </comment>
    <comment ref="D87" authorId="1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via SEA Gas</t>
        </r>
      </text>
    </comment>
    <comment ref="Q88" authorId="1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Stage 1 started production in 2003, upgraded in 2009</t>
        </r>
      </text>
    </comment>
  </commentList>
</comments>
</file>

<file path=xl/comments2.xml><?xml version="1.0" encoding="utf-8"?>
<comments xmlns="http://schemas.openxmlformats.org/spreadsheetml/2006/main">
  <authors>
    <author>Koh, Rob (Research)</author>
    <author>Adam N Pinckard</author>
    <author>Li, Annika (Research)</author>
    <author>Khan, Iqbal (Research)</author>
    <author>chiraa</author>
  </authors>
  <commentList>
    <comment ref="B16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Campaspe Asset Management Services - sold to Trility in FY2010</t>
        </r>
      </text>
    </comment>
    <comment ref="O18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=+'L:\Users\Utilities\ENV\1_Model\[Envestra_WIP.xls]Modelware'!AU38*M$16</t>
        </r>
      </text>
    </comment>
    <comment ref="B24" authorId="1">
      <text>
        <r>
          <rPr>
            <b/>
            <sz val="8"/>
            <color indexed="81"/>
            <rFont val="Tahoma"/>
            <family val="2"/>
          </rPr>
          <t xml:space="preserve">Adam N Pinckard:
 - </t>
        </r>
        <r>
          <rPr>
            <sz val="8"/>
            <color indexed="81"/>
            <rFont val="Tahoma"/>
            <family val="2"/>
          </rPr>
          <t>Roma Brisbane
 - Carpentaria
 - South West Qld
 - Berwyndale Wallumbilla</t>
        </r>
      </text>
    </comment>
    <comment ref="DB24" authorId="1">
      <text>
        <r>
          <rPr>
            <b/>
            <sz val="8"/>
            <color indexed="81"/>
            <rFont val="Tahoma"/>
            <family val="2"/>
          </rPr>
          <t xml:space="preserve">Adam N Pinckard:
 - </t>
        </r>
        <r>
          <rPr>
            <sz val="8"/>
            <color indexed="81"/>
            <rFont val="Tahoma"/>
            <family val="2"/>
          </rPr>
          <t>Roma Brisbane
 - Carpentaria
 - South West Qld
 - Berwyndale Wallumbilla</t>
        </r>
      </text>
    </comment>
    <comment ref="B25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 - Moomba Sydney 
 - Central West
 - Central Ranges pipline
 - Central Ranges network</t>
        </r>
      </text>
    </comment>
    <comment ref="DB25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 - Moomba Sydney 
 - Central West
 - Central Ranges pipline
 - Central Ranges network</t>
        </r>
      </text>
    </comment>
    <comment ref="B26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 - Victorian Transmission System; 
 - Dandenong LNG Storage Facility</t>
        </r>
      </text>
    </comment>
    <comment ref="DB26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 - Victorian Transmission System; 
 - Dandenong LNG Storage Facility</t>
        </r>
      </text>
    </comment>
    <comment ref="DJ26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Dandenong LNG one-off A$10m</t>
        </r>
      </text>
    </comment>
    <comment ref="B27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 - SEA Gas Pipeline
 - SESA Pipeline </t>
        </r>
      </text>
    </comment>
    <comment ref="DB27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 - SEA Gas Pipeline
 - SESA Pipeline </t>
        </r>
      </text>
    </comment>
    <comment ref="DF27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Includes Moomba Adelaide(Oct-12)</t>
        </r>
      </text>
    </comment>
    <comment ref="B28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 - Goldfields pipeline;
 - Kalgoorlie Kambalda;
 - Parmelia Gas Pipeline;
 - Mid West Pipeline;
 - Pilbarra Pipeline;
 - Mondarra Storage;</t>
        </r>
      </text>
    </comment>
    <comment ref="DB28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 - Goldfields pipeline;
 - Kalgoorlie Kambalda;
 - Parmelia Gas Pipeline;
 - Mid West Pipeline;
 - Pilbarra Pipeline;
 - Mondarra Storage;</t>
        </r>
      </text>
    </comment>
    <comment ref="B29" authorId="1">
      <text>
        <r>
          <rPr>
            <b/>
            <sz val="8"/>
            <color indexed="81"/>
            <rFont val="Tahoma"/>
            <family val="2"/>
          </rPr>
          <t>Adam N Pi nckard:</t>
        </r>
        <r>
          <rPr>
            <sz val="8"/>
            <color indexed="81"/>
            <rFont val="Tahoma"/>
            <family val="2"/>
          </rPr>
          <t xml:space="preserve">
 - Amadeus Gas Pipeline and laterals</t>
        </r>
      </text>
    </comment>
    <comment ref="DB29" authorId="1">
      <text>
        <r>
          <rPr>
            <b/>
            <sz val="8"/>
            <color indexed="81"/>
            <rFont val="Tahoma"/>
            <family val="2"/>
          </rPr>
          <t>Adam N Pi nckard:</t>
        </r>
        <r>
          <rPr>
            <sz val="8"/>
            <color indexed="81"/>
            <rFont val="Tahoma"/>
            <family val="2"/>
          </rPr>
          <t xml:space="preserve">
 - Amadeus Gas Pipeline and laterals</t>
        </r>
      </text>
    </comment>
    <comment ref="B31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APA provides asset management, operating and maintenance services to a number of related parties, including Envestra Limited, the Ethane Pipeline Income Fund, Energy Infrastructure Investments and the Allgas Gas Network</t>
        </r>
      </text>
    </comment>
    <comment ref="T31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significant customer contributions in 1H14 = $17mn normal $7mn, prior period $0.5mn</t>
        </r>
      </text>
    </comment>
    <comment ref="DB31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APA provides asset management, operating and maintenance services to a number of related parties, including Envestra Limited, the Ethane Pipeline Income Fund, Energy Infrastructure Investments and the Allgas Gas Network</t>
        </r>
      </text>
    </comment>
    <comment ref="DH31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includes large customer contribution $17.5mn prior period 0.6</t>
        </r>
      </text>
    </comment>
    <comment ref="B32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See Equity Invesment Ownership</t>
        </r>
      </text>
    </comment>
    <comment ref="U32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No more ENV NPAT - Final $21m Div rec'd July</t>
        </r>
      </text>
    </comment>
    <comment ref="W32" authorId="2">
      <text>
        <r>
          <rPr>
            <b/>
            <sz val="9"/>
            <color indexed="81"/>
            <rFont val="Tahoma"/>
            <family val="2"/>
          </rPr>
          <t>Adjusted for Mortlake and movement of EPX and DPS</t>
        </r>
      </text>
    </comment>
    <comment ref="AC32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ENV asset management agreement expires - assume replaced</t>
        </r>
      </text>
    </comment>
    <comment ref="DB32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See Equity Invesment Ownership</t>
        </r>
      </text>
    </comment>
    <comment ref="P44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Includes APA Gas Network</t>
        </r>
      </text>
    </comment>
    <comment ref="S44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11-Dec-12
 - $200mn invested over next year in EPIC
 - Wallumbilla gas hub, feeds Roma Brisbane and SW Qlds
- Available start of 2015
 - 15yrs agreement</t>
        </r>
      </text>
    </comment>
    <comment ref="DF44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Inc SQ Qlds from 9-Oct
Inc. Moomba Adelaide from 9-Oct</t>
        </r>
      </text>
    </comment>
    <comment ref="DB52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Equity accounted - 100% margin</t>
        </r>
      </text>
    </comment>
    <comment ref="V54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A$10m bid costs for Iona/NEGI</t>
        </r>
      </text>
    </comment>
    <comment ref="T56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730mn to 740mn</t>
        </r>
      </text>
    </comment>
    <comment ref="U56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Guidance $1,170-1,190 incl. $430m on ENV
=$740-760</t>
        </r>
      </text>
    </comment>
    <comment ref="V56" authorId="2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EBITDA guidance post DPS acquistion $1,300-1,335m</t>
        </r>
      </text>
    </comment>
    <comment ref="W56" authorId="2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Guidance A$1,425-1,445m upper end</t>
        </r>
      </text>
    </comment>
    <comment ref="O57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Sold to EII Dec 08</t>
        </r>
      </text>
    </comment>
    <comment ref="U57" authorId="2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AGN, Envestra</t>
        </r>
      </text>
    </comment>
    <comment ref="S58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$142mn gain on APA HDF stake, less HDF takeover expenses</t>
        </r>
      </text>
    </comment>
    <comment ref="U58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Gain on sale from ENV+fees recovered from Hastings
</t>
        </r>
      </text>
    </comment>
    <comment ref="U90" authorId="2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Includes $21.4m of flexible short term services revenue</t>
        </r>
      </text>
    </comment>
    <comment ref="U103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45 year life?</t>
        </r>
      </text>
    </comment>
    <comment ref="V104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Not deductible</t>
        </r>
      </text>
    </comment>
    <comment ref="Q119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APA includes divested buinsess in underlying result</t>
        </r>
      </text>
    </comment>
    <comment ref="T119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Change in treatment of various capital assets for tax depn purposes</t>
        </r>
      </text>
    </comment>
    <comment ref="T120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see IR comment on tax losses</t>
        </r>
      </text>
    </comment>
    <comment ref="U120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see IR comment on tax losses</t>
        </r>
      </text>
    </comment>
    <comment ref="K122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109.818</t>
        </r>
      </text>
    </comment>
    <comment ref="L122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62.880</t>
        </r>
      </text>
    </comment>
    <comment ref="M122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56.862</t>
        </r>
      </text>
    </comment>
    <comment ref="N122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67.247</t>
        </r>
      </text>
    </comment>
    <comment ref="O122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78.850</t>
        </r>
      </text>
    </comment>
    <comment ref="P122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100.508</t>
        </r>
      </text>
    </comment>
    <comment ref="Q122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108.825</t>
        </r>
      </text>
    </comment>
    <comment ref="R122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130.655</t>
        </r>
      </text>
    </comment>
    <comment ref="S122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296.003</t>
        </r>
      </text>
    </comment>
    <comment ref="K123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51.351</t>
        </r>
      </text>
    </comment>
    <comment ref="L123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60.661</t>
        </r>
      </text>
    </comment>
    <comment ref="M123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64.530</t>
        </r>
      </text>
    </comment>
    <comment ref="N123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71.412</t>
        </r>
      </text>
    </comment>
    <comment ref="O123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99.744</t>
        </r>
      </text>
    </comment>
    <comment ref="P123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100.358</t>
        </r>
      </text>
    </comment>
    <comment ref="Q123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108.941</t>
        </r>
      </text>
    </comment>
    <comment ref="R123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140.313</t>
        </r>
      </text>
    </comment>
    <comment ref="S123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178.737</t>
        </r>
      </text>
    </comment>
    <comment ref="R127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+0.005</t>
        </r>
      </text>
    </comment>
    <comment ref="DD131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10.4cps</t>
        </r>
      </text>
    </comment>
    <comment ref="DF131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29.7cps</t>
        </r>
      </text>
    </comment>
    <comment ref="Q132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19.7</t>
        </r>
      </text>
    </comment>
    <comment ref="R132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20.4</t>
        </r>
      </text>
    </comment>
    <comment ref="S132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38.7</t>
        </r>
      </text>
    </comment>
    <comment ref="K133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18.37</t>
        </r>
      </text>
    </comment>
    <comment ref="L133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20.9</t>
        </r>
      </text>
    </comment>
    <comment ref="M133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17.0</t>
        </r>
      </text>
    </comment>
    <comment ref="N133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18.3</t>
        </r>
      </text>
    </comment>
    <comment ref="O133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22.7</t>
        </r>
      </text>
    </comment>
    <comment ref="P133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19.4</t>
        </r>
      </text>
    </comment>
    <comment ref="Q133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19.7</t>
        </r>
      </text>
    </comment>
    <comment ref="R133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21.9</t>
        </r>
      </text>
    </comment>
    <comment ref="S133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23.1</t>
        </r>
      </text>
    </comment>
    <comment ref="T139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Guidance at least equal to last year</t>
        </r>
      </text>
    </comment>
    <comment ref="U139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Manual - guidance to at least equal last year</t>
        </r>
      </text>
    </comment>
    <comment ref="V139" authorId="2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Guidance of 41.5cps</t>
        </r>
      </text>
    </comment>
    <comment ref="S140" authorId="2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at least 35cps at 1H16, updated 19/6/13</t>
        </r>
      </text>
    </comment>
    <comment ref="T140" authorId="2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updated guidance 36.25 at results</t>
        </r>
      </text>
    </comment>
    <comment ref="U140" authorId="2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updated to 38cps 23 June </t>
        </r>
      </text>
    </comment>
    <comment ref="W143" authorId="2">
      <text>
        <r>
          <rPr>
            <b/>
            <sz val="9"/>
            <color indexed="81"/>
            <rFont val="Tahoma"/>
            <family val="2"/>
          </rPr>
          <t>4 franking credits per share</t>
        </r>
      </text>
    </comment>
    <comment ref="U151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incorrect - newly issued shares don't get interim div</t>
        </r>
      </text>
    </comment>
    <comment ref="U156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lower drawn amount during year due to Env proceeds</t>
        </r>
      </text>
    </comment>
    <comment ref="W156" authorId="2">
      <text>
        <r>
          <rPr>
            <b/>
            <sz val="9"/>
            <color indexed="81"/>
            <rFont val="Tahoma"/>
            <family val="2"/>
          </rPr>
          <t xml:space="preserve">Repayment of USPP reduces interest costs 
</t>
        </r>
      </text>
    </comment>
    <comment ref="P169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25.227956 @ $3.37 raising $85.2mn</t>
        </r>
      </text>
    </comment>
    <comment ref="X169" authorId="3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A$500m entitlement offer announced by APA on 2/21/2018
https://www.asx.com.au/asxpdf/20180221/pdf/43rrsq8521qm1r.pdf</t>
        </r>
      </text>
    </comment>
    <comment ref="B175" authorId="4">
      <text>
        <r>
          <rPr>
            <b/>
            <sz val="8"/>
            <color indexed="81"/>
            <rFont val="Tahoma"/>
            <family val="2"/>
          </rPr>
          <t>chiraa:</t>
        </r>
        <r>
          <rPr>
            <sz val="8"/>
            <color indexed="81"/>
            <rFont val="Tahoma"/>
            <family val="2"/>
          </rPr>
          <t xml:space="preserve">
For MW Calcuation </t>
        </r>
      </text>
    </comment>
    <comment ref="Z177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DRP off
</t>
        </r>
      </text>
    </comment>
    <comment ref="W185" authorId="2">
      <text>
        <r>
          <rPr>
            <b/>
            <sz val="9"/>
            <color indexed="81"/>
            <rFont val="Tahoma"/>
            <family val="2"/>
          </rPr>
          <t>Incorporates growth capex for VNI expansion</t>
        </r>
      </text>
    </comment>
    <comment ref="S188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28 April 2011
$50 RBP expansion</t>
        </r>
      </text>
    </comment>
    <comment ref="T188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11 Dec 2012</t>
        </r>
        <r>
          <rPr>
            <sz val="8"/>
            <color indexed="81"/>
            <rFont val="Tahoma"/>
            <family val="2"/>
          </rPr>
          <t xml:space="preserve">
$200mn for Wallumbilla Hub (GLNG; RBP / SW Qlds) through CY2013/14
</t>
        </r>
        <r>
          <rPr>
            <b/>
            <sz val="8"/>
            <color indexed="81"/>
            <rFont val="Tahoma"/>
            <family val="2"/>
          </rPr>
          <t xml:space="preserve">28 April 2011
</t>
        </r>
        <r>
          <rPr>
            <sz val="8"/>
            <color indexed="81"/>
            <rFont val="Tahoma"/>
            <family val="2"/>
          </rPr>
          <t>$50mn expansion over</t>
        </r>
      </text>
    </comment>
    <comment ref="W188" authorId="2">
      <text>
        <r>
          <rPr>
            <b/>
            <sz val="9"/>
            <color indexed="81"/>
            <rFont val="Tahoma"/>
            <family val="2"/>
          </rPr>
          <t>Reedy Creek Pipeline construction cost</t>
        </r>
      </text>
    </comment>
    <comment ref="R190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26 May 2011 - $200mn Mondarra storage facility</t>
        </r>
      </text>
    </comment>
    <comment ref="S190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Uplift on GGP for Rio-Tinto $150mn</t>
        </r>
      </text>
    </comment>
    <comment ref="T190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Step-down on Mondarra</t>
        </r>
      </text>
    </comment>
    <comment ref="U190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23 Jan 12
Step-down in capex from  GGP expansion, 20 year Rio</t>
        </r>
      </text>
    </comment>
    <comment ref="W190" authorId="2">
      <text>
        <r>
          <rPr>
            <b/>
            <sz val="9"/>
            <color indexed="81"/>
            <rFont val="Tahoma"/>
            <family val="2"/>
          </rPr>
          <t>Emu Downs Solar (net of ARENA funding) and Badgingarra, Yamarna Pipeline and Power station</t>
        </r>
      </text>
    </comment>
    <comment ref="X190" authorId="2">
      <text>
        <r>
          <rPr>
            <b/>
            <sz val="9"/>
            <color indexed="81"/>
            <rFont val="Tahoma"/>
            <family val="2"/>
          </rPr>
          <t>Badgingarra</t>
        </r>
      </text>
    </comment>
    <comment ref="T191" authorId="4">
      <text>
        <r>
          <rPr>
            <b/>
            <sz val="8"/>
            <color indexed="81"/>
            <rFont val="Tahoma"/>
            <family val="2"/>
          </rPr>
          <t>chiraa:</t>
        </r>
        <r>
          <rPr>
            <sz val="8"/>
            <color indexed="81"/>
            <rFont val="Tahoma"/>
            <family val="2"/>
          </rPr>
          <t xml:space="preserve">
A$19.2m is plugged to ensure total capex tallies with the capex in the cash flow </t>
        </r>
      </text>
    </comment>
    <comment ref="V191" authorId="2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includes $5,3m customer contributions</t>
        </r>
      </text>
    </comment>
    <comment ref="V192" authorId="2">
      <text>
        <r>
          <rPr>
            <b/>
            <sz val="9"/>
            <color indexed="81"/>
            <rFont val="Tahoma"/>
            <family val="2"/>
          </rPr>
          <t>Guidance: Growth capex of A$300-400m</t>
        </r>
      </text>
    </comment>
    <comment ref="X192" authorId="2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~A$800m management forecast</t>
        </r>
      </text>
    </comment>
    <comment ref="Y192" authorId="2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~A$150m management forecast</t>
        </r>
      </text>
    </comment>
    <comment ref="Z192" authorId="2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A$300-400m p.a. management forecast</t>
        </r>
      </text>
    </comment>
    <comment ref="AA192" authorId="2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A$300-400m p.a. management forecast</t>
        </r>
      </text>
    </comment>
    <comment ref="AB192" authorId="2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A$300-400m p.a. management forecast</t>
        </r>
      </text>
    </comment>
    <comment ref="W193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small step up for DPS</t>
        </r>
      </text>
    </comment>
    <comment ref="X193" authorId="2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~A$100m p.a. going forward</t>
        </r>
      </text>
    </comment>
    <comment ref="T194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capex guidance 400</t>
        </r>
      </text>
    </comment>
    <comment ref="V195" authorId="2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EPX ($122m), DPS ($550m) price paid</t>
        </r>
      </text>
    </comment>
    <comment ref="U196" authorId="0">
      <text>
        <r>
          <rPr>
            <sz val="9"/>
            <color indexed="81"/>
            <rFont val="Tahoma"/>
            <family val="2"/>
          </rPr>
          <t>WGP and Diamantina Note 4</t>
        </r>
      </text>
    </comment>
    <comment ref="W196" authorId="2">
      <text>
        <r>
          <rPr>
            <b/>
            <sz val="9"/>
            <color indexed="81"/>
            <rFont val="Tahoma"/>
            <family val="2"/>
          </rPr>
          <t>50% interest in Mortlake Pipeline</t>
        </r>
      </text>
    </comment>
    <comment ref="T202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Note 9 to accounts $340mn
IR Comments
 - Start paying cash tax in FY13 immeterial
- FY18/19 towards 10%</t>
        </r>
      </text>
    </comment>
    <comment ref="U202" authorId="2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note 7</t>
        </r>
      </text>
    </comment>
    <comment ref="T216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Assumption pays 10% cash tax after losses run-out</t>
        </r>
      </text>
    </comment>
    <comment ref="U216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IR: ~7% cash tax in FY16 moving to 10% by FY19
AL: Adjustment per Note 67 closing balance of Tax losses reconciled to model</t>
        </r>
      </text>
    </comment>
    <comment ref="W216" authorId="2">
      <text>
        <r>
          <rPr>
            <b/>
            <sz val="9"/>
            <color indexed="81"/>
            <rFont val="Tahoma"/>
            <family val="2"/>
          </rPr>
          <t>Anticipated path to A$50m cash tax from FY18</t>
        </r>
      </text>
    </comment>
    <comment ref="X216" authorId="3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A$36.3m cash tax paid in 1H18 and another 14.9m cash tax is expected to be paid by 2H18
</t>
        </r>
        <r>
          <rPr>
            <b/>
            <sz val="9"/>
            <color indexed="81"/>
            <rFont val="Tahoma"/>
            <family val="2"/>
          </rPr>
          <t xml:space="preserve">
https://www.asx.com.au/asxpdf/20180221/pdf/43rrrllh50h807.pdf</t>
        </r>
      </text>
    </comment>
    <comment ref="S219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HDF takeover defense costs and fees to management</t>
        </r>
      </text>
    </comment>
    <comment ref="V226" authorId="2">
      <text>
        <r>
          <rPr>
            <b/>
            <sz val="9"/>
            <color indexed="81"/>
            <rFont val="Tahoma"/>
            <family val="2"/>
          </rPr>
          <t>DPS</t>
        </r>
      </text>
    </comment>
    <comment ref="U228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Koh, Rob (Research):
After-tax gain on sale of ENV</t>
        </r>
      </text>
    </comment>
    <comment ref="U229" authorId="2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Includes $784m of proceeds from equity accounted investments</t>
        </r>
      </text>
    </comment>
    <comment ref="U232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Manual</t>
        </r>
      </text>
    </comment>
    <comment ref="V232" authorId="2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Assumes DPS partially debt funded (20%) and EPX 100% debt funded, Mortlake Gas (50% JV) 80% debt funded</t>
        </r>
      </text>
    </comment>
    <comment ref="U234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New Securities don't get interim div</t>
        </r>
      </text>
    </comment>
    <comment ref="X234" authorId="3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A$500m entitlement offer announced by APA on 2/21/2018
https://www.asx.com.au/asxpdf/20180221/pdf/43rrsq8521qm1r.pdf</t>
        </r>
      </text>
    </comment>
    <comment ref="S236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debt issues, equity issues, loans &amp; derivates repaid</t>
        </r>
      </text>
    </comment>
    <comment ref="K241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Prior year zero in modelware</t>
        </r>
      </text>
    </comment>
    <comment ref="B250" authorId="2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=CFO - SIB Capex - Distributions </t>
        </r>
      </text>
    </comment>
    <comment ref="N259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$601 assets held for sale</t>
        </r>
      </text>
    </comment>
    <comment ref="T262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$118 s'holder loan to DPS (note 15)</t>
        </r>
      </text>
    </comment>
    <comment ref="U264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Less ENV Carrying value Note 18</t>
        </r>
      </text>
    </comment>
    <comment ref="U265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Manual transfer to Goodwill A$3,549 and Other A$14
</t>
        </r>
      </text>
    </comment>
  </commentList>
</comments>
</file>

<file path=xl/comments3.xml><?xml version="1.0" encoding="utf-8"?>
<comments xmlns="http://schemas.openxmlformats.org/spreadsheetml/2006/main">
  <authors>
    <author>Adam N Pinckard</author>
    <author>Li, Annika (Research)</author>
    <author>Khan, Iqbal (Research)</author>
    <author>Koh, Rob (Research)</author>
  </authors>
  <commentList>
    <comment ref="B5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See Macro File - CPI</t>
        </r>
      </text>
    </comment>
    <comment ref="B17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3 yr forward exchange rate used to hedge residual cashflow from WGP. </t>
        </r>
      </text>
    </comment>
    <comment ref="B19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 - Roma Brisbane
 - Carpentaria
 - South West Qld
 - Berwyndale Wallumbilla</t>
        </r>
      </text>
    </comment>
    <comment ref="AA34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Contract expiry Jan-21 (STO, ORG, EPW, AGL)</t>
        </r>
      </text>
    </comment>
    <comment ref="AL34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Contract expiry Dec-32 (IPL, GLNG, Caltex, Stanwell, QGC, Weston)</t>
        </r>
      </text>
    </comment>
    <comment ref="AR34" authorId="1">
      <text>
        <r>
          <rPr>
            <b/>
            <sz val="9"/>
            <color indexed="81"/>
            <rFont val="Tahoma"/>
            <family val="2"/>
          </rPr>
          <t>Feb-39 end of life</t>
        </r>
      </text>
    </comment>
    <comment ref="AC35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Contract expiry Oct-22 (IPL, South 32 and AGL)</t>
        </r>
      </text>
    </comment>
    <comment ref="AI35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Contract expiry May-29 (Chinova Resources, IPL, MMG) for the CGP expansion</t>
        </r>
      </text>
    </comment>
    <comment ref="BA35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Useful life of expansion May-29, useful life of pipeline Jun-68</t>
        </r>
      </text>
    </comment>
    <comment ref="BV35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Useful life of expansion May-29, useful life of pipeline Jun-68</t>
        </r>
      </text>
    </comment>
    <comment ref="AG37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Contract expiry May-27 (AGL)</t>
        </r>
      </text>
    </comment>
    <comment ref="CH37" authorId="2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useful life Mar-80</t>
        </r>
      </text>
    </comment>
    <comment ref="B38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Acquired from HDF (Epic) Dec-12</t>
        </r>
      </text>
    </comment>
    <comment ref="AD38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Contract with Santos, GLNG, ERM and IPL expires Nov-23</t>
        </r>
      </text>
    </comment>
    <comment ref="AI38" authorId="3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STO contract - per HDF defense statement</t>
        </r>
      </text>
    </comment>
    <comment ref="AK38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Contract with Santos, AGL expires Dec-2030</t>
        </r>
      </text>
    </comment>
    <comment ref="AN38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Contract with ORG expires Dec-33</t>
        </r>
      </text>
    </comment>
    <comment ref="BU38" authorId="2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useful life Dec-66</t>
        </r>
      </text>
    </comment>
    <comment ref="CG38" authorId="2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useful life of expansion Dec-78</t>
        </r>
      </text>
    </comment>
    <comment ref="CH38" authorId="2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useful life of expansion Dec-79</t>
        </r>
      </text>
    </comment>
    <comment ref="AJ39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Contract expirty Jun-30 (Xstrata)</t>
        </r>
      </text>
    </comment>
    <comment ref="AR39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Assumed 25 year useful life May-39</t>
        </r>
      </text>
    </comment>
    <comment ref="AO40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BG, CNOOC contracts expire May 2035, then step down to opex + return on expansion capex</t>
        </r>
      </text>
    </comment>
    <comment ref="AP40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BG, CNOOC contracts expire May 2035, then step down to opex + return on expansion capex</t>
        </r>
      </text>
    </comment>
    <comment ref="AR41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Contract expires May-38 (APLNG)</t>
        </r>
      </text>
    </comment>
    <comment ref="CP41" authorId="2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useful life of expansion Jun-2088        </t>
        </r>
      </text>
    </comment>
    <comment ref="B42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12yr offtake with ORG for energy and LGCs</t>
        </r>
      </text>
    </comment>
    <comment ref="AK42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Contract expiry Dec-30 (ORG)</t>
        </r>
      </text>
    </comment>
    <comment ref="AW42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Assumed useful life Dec-43</t>
        </r>
      </text>
    </comment>
    <comment ref="W46" authorId="1">
      <text>
        <r>
          <rPr>
            <b/>
            <sz val="9"/>
            <color indexed="81"/>
            <rFont val="Tahoma"/>
            <family val="2"/>
          </rPr>
          <t>Volume recovery</t>
        </r>
      </text>
    </comment>
    <comment ref="U48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GLNG</t>
        </r>
        <r>
          <rPr>
            <sz val="8"/>
            <color indexed="81"/>
            <rFont val="Tahoma"/>
            <family val="2"/>
          </rPr>
          <t xml:space="preserve">
$200mn capex plan half year contribution from Wallumbilla hub
- assume 12% revenue return (~8% cashfow)</t>
        </r>
      </text>
    </comment>
    <comment ref="W48" authorId="1">
      <text>
        <r>
          <rPr>
            <b/>
            <sz val="9"/>
            <color indexed="81"/>
            <rFont val="Tahoma"/>
            <family val="2"/>
          </rPr>
          <t>Consistent with 1H17 uplift</t>
        </r>
      </text>
    </comment>
    <comment ref="S49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9/12 contribution</t>
        </r>
      </text>
    </comment>
    <comment ref="T49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HDF Acquired FY uplift</t>
        </r>
      </text>
    </comment>
    <comment ref="U49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22 December 2011
HDF SWQP contract woth $460mn from 2015 onwards</t>
        </r>
      </text>
    </comment>
    <comment ref="V49" authorId="1">
      <text>
        <r>
          <rPr>
            <sz val="9"/>
            <color indexed="81"/>
            <rFont val="Tahoma"/>
            <family val="2"/>
          </rPr>
          <t>Includes pipeline expansion (cost of $325m), completed start of 2H15, full benefit FY16</t>
        </r>
      </text>
    </comment>
    <comment ref="W49" authorId="3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IPL and BHP closures</t>
        </r>
      </text>
    </comment>
    <comment ref="B50" authorId="3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AGL gas supply agreement to 2023
75% offtake to Glencor Mt Isa Mines to 2030
25% offtake to Ergon to ~2030
</t>
        </r>
      </text>
    </comment>
    <comment ref="T50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Operatonal in early 14
assume 2 months at 12% $100mn investment</t>
        </r>
      </text>
    </comment>
    <comment ref="U50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Diamantina power station $100mn contribution
- assume 12% revenue return (~8% cashfow)
- commenced Oct 2014
</t>
        </r>
      </text>
    </comment>
    <comment ref="W50" authorId="1">
      <text>
        <r>
          <rPr>
            <b/>
            <sz val="9"/>
            <color indexed="81"/>
            <rFont val="Tahoma"/>
            <family val="2"/>
          </rPr>
          <t>Assume 85% margin</t>
        </r>
      </text>
    </comment>
    <comment ref="V51" authorId="1">
      <text>
        <r>
          <rPr>
            <b/>
            <sz val="9"/>
            <color indexed="81"/>
            <rFont val="Tahoma"/>
            <family val="2"/>
          </rPr>
          <t>Assumes 95% margins..</t>
        </r>
      </text>
    </comment>
    <comment ref="W51" authorId="3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Includes asset management contract and uplfit to take into account 1H17 run rate</t>
        </r>
      </text>
    </comment>
    <comment ref="AP51" authorId="3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Return on expansionary capex</t>
        </r>
      </text>
    </comment>
    <comment ref="AR52" authorId="1">
      <text>
        <r>
          <rPr>
            <b/>
            <sz val="9"/>
            <color indexed="81"/>
            <rFont val="Tahoma"/>
            <family val="2"/>
          </rPr>
          <t>APLNG contract ends</t>
        </r>
      </text>
    </comment>
    <comment ref="AK53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Offtake expires</t>
        </r>
      </text>
    </comment>
    <comment ref="U55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Due to restatement of FY14 EBITDA ex- corporate costs</t>
        </r>
      </text>
    </comment>
    <comment ref="B62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Acquired from HDF (Epic) Dec-12</t>
        </r>
      </text>
    </comment>
    <comment ref="B66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12yr offtake with ORG for energy and LGCs</t>
        </r>
      </text>
    </comment>
    <comment ref="AA71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Contract expiry Jan-21 (STO, ORG, EPW, AGL)</t>
        </r>
      </text>
    </comment>
    <comment ref="AL71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Contract expiry Dec-32 (IPL, GLNG, Caltex, Stanwell, QGC, Weston)</t>
        </r>
      </text>
    </comment>
    <comment ref="V72" authorId="1">
      <text>
        <r>
          <rPr>
            <b/>
            <sz val="9"/>
            <color indexed="81"/>
            <rFont val="Tahoma"/>
            <family val="2"/>
          </rPr>
          <t>Reduced volumes</t>
        </r>
      </text>
    </comment>
    <comment ref="U74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Adjusted for Diamantina as part of Other</t>
        </r>
      </text>
    </comment>
    <comment ref="AG74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Contract expiry May-27 (AGL)</t>
        </r>
      </text>
    </comment>
    <comment ref="B75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Acquired from HDF (Epic) Dec-12</t>
        </r>
      </text>
    </comment>
    <comment ref="S75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9/12 contribution</t>
        </r>
      </text>
    </comment>
    <comment ref="T75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HDF Acquired FY uplift</t>
        </r>
      </text>
    </comment>
    <comment ref="V75" authorId="1">
      <text>
        <r>
          <rPr>
            <b/>
            <sz val="9"/>
            <color indexed="81"/>
            <rFont val="Tahoma"/>
            <family val="2"/>
          </rPr>
          <t>Includes one-off 7 day contract</t>
        </r>
      </text>
    </comment>
    <comment ref="AD75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Contract with Santos, GLNG, ERM and IPL expires Nov-23</t>
        </r>
      </text>
    </comment>
    <comment ref="AK75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Contract with Santos, AGL expires Dec-2030</t>
        </r>
      </text>
    </comment>
    <comment ref="AN75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Contract with ORG expires Dec-33</t>
        </r>
      </text>
    </comment>
    <comment ref="T76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Operatonal in early 14
Assume 70% margin</t>
        </r>
      </text>
    </comment>
    <comment ref="U76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Assume 70% margin</t>
        </r>
      </text>
    </comment>
    <comment ref="V76" authorId="1">
      <text>
        <r>
          <rPr>
            <sz val="9"/>
            <color indexed="81"/>
            <rFont val="Tahoma"/>
            <family val="2"/>
          </rPr>
          <t>3 months of 100% contribution</t>
        </r>
      </text>
    </comment>
    <comment ref="W76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DPS FY17 EV/EBITDA of 8x</t>
        </r>
      </text>
    </comment>
    <comment ref="AJ76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Contract expirty Jun-30 (Xstrata)</t>
        </r>
      </text>
    </comment>
    <comment ref="AT76" authorId="1">
      <text>
        <r>
          <rPr>
            <b/>
            <sz val="9"/>
            <color indexed="81"/>
            <rFont val="Tahoma"/>
            <family val="2"/>
          </rPr>
          <t>Assuming 25 year life of asset</t>
        </r>
      </text>
    </comment>
    <comment ref="V77" authorId="3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Company guidance of US$355</t>
        </r>
      </text>
    </comment>
    <comment ref="AO77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Contract expiry May-35 (BG Group, CNOOC)</t>
        </r>
      </text>
    </comment>
    <comment ref="Y78" authorId="1">
      <text>
        <r>
          <rPr>
            <b/>
            <sz val="9"/>
            <color indexed="81"/>
            <rFont val="Tahoma"/>
            <family val="2"/>
          </rPr>
          <t>Construction cost A$80m, assume 10% return - underpinned by 20 year contract with APLNG</t>
        </r>
      </text>
    </comment>
    <comment ref="AR78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Contract expires May-38 (APLNG)</t>
        </r>
      </text>
    </comment>
    <comment ref="B79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12yr offtake with ORG for energy and LGCs</t>
        </r>
      </text>
    </comment>
    <comment ref="Y79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to produce in late 2018, A$200m construction cost (12 yr offtake with ORG)</t>
        </r>
      </text>
    </comment>
    <comment ref="AK79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Contract expiry Dec-30 (ORG)</t>
        </r>
      </text>
    </comment>
    <comment ref="AS79" authorId="1">
      <text>
        <r>
          <rPr>
            <b/>
            <sz val="9"/>
            <color indexed="81"/>
            <rFont val="Tahoma"/>
            <family val="2"/>
          </rPr>
          <t>Assuming 25 year life of asset</t>
        </r>
      </text>
    </comment>
    <comment ref="T80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Difference due to corporate cost adjustment</t>
        </r>
      </text>
    </comment>
    <comment ref="B88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Acquired from HDF (Epic) Dec-12</t>
        </r>
      </text>
    </comment>
    <comment ref="B92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12yr offtake with ORG for energy and LGCs</t>
        </r>
      </text>
    </comment>
    <comment ref="M110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ACCC Acecss arrangement - Nominal values</t>
        </r>
      </text>
    </comment>
    <comment ref="S110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331.5</t>
        </r>
      </text>
    </comment>
    <comment ref="V127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New Guidelines to expected to increase franking to 0.5</t>
        </r>
      </text>
    </comment>
    <comment ref="X127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DD Attachment 4</t>
        </r>
      </text>
    </comment>
    <comment ref="M148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Tax</t>
        </r>
      </text>
    </comment>
    <comment ref="S151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nominal</t>
        </r>
      </text>
    </comment>
  </commentList>
</comments>
</file>

<file path=xl/comments4.xml><?xml version="1.0" encoding="utf-8"?>
<comments xmlns="http://schemas.openxmlformats.org/spreadsheetml/2006/main">
  <authors>
    <author>Adam N Pinckard</author>
    <author>Li, Annika (Research)</author>
    <author>Khan, Iqbal (Research)</author>
    <author>Koh, Rob (Research)</author>
  </authors>
  <commentList>
    <comment ref="B5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See Macro File - CPI</t>
        </r>
      </text>
    </comment>
    <comment ref="B17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 - Moomba Sydney 
 - Central West
 - Central Ranges pipline
 - Central Ranges network</t>
        </r>
      </text>
    </comment>
    <comment ref="Z32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Contract with Santos, AGL, ORG expires Dec-19</t>
        </r>
      </text>
    </comment>
    <comment ref="AA32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Contract with ERM, Visy expires (Sep 2020, expansion), Covau, Quenos expires Aug 2020, expansion)</t>
        </r>
      </text>
    </comment>
    <comment ref="BA32" authorId="1">
      <text>
        <r>
          <rPr>
            <b/>
            <sz val="9"/>
            <color indexed="81"/>
            <rFont val="Tahoma"/>
            <family val="2"/>
          </rPr>
          <t xml:space="preserve">Li, Annika (Research): </t>
        </r>
        <r>
          <rPr>
            <sz val="9"/>
            <color indexed="81"/>
            <rFont val="Tahoma"/>
            <family val="2"/>
          </rPr>
          <t>End of 70 yr life on original pipeline (expansions to 2080)</t>
        </r>
      </text>
    </comment>
    <comment ref="CH32" authorId="1">
      <text>
        <r>
          <rPr>
            <b/>
            <sz val="9"/>
            <color indexed="81"/>
            <rFont val="Tahoma"/>
            <family val="2"/>
          </rPr>
          <t xml:space="preserve">Li, Annika (Research): </t>
        </r>
        <r>
          <rPr>
            <sz val="9"/>
            <color indexed="81"/>
            <rFont val="Tahoma"/>
            <family val="2"/>
          </rPr>
          <t>End of 70 yr life on original pipeline (expansions to 2080)</t>
        </r>
      </text>
    </comment>
    <comment ref="AF33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Contract with Quenos expires (May-26)</t>
        </r>
      </text>
    </comment>
    <comment ref="BT33" authorId="2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useful life Jun-2066     </t>
        </r>
      </text>
    </comment>
    <comment ref="V36" authorId="3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30-Jun: New 7-yr contract worth $80m
AGL contract expires end CY16 </t>
        </r>
      </text>
    </comment>
    <comment ref="X36" authorId="3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MAPS recontracting</t>
        </r>
      </text>
    </comment>
    <comment ref="Z36" authorId="3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Next recontract point</t>
        </r>
      </text>
    </comment>
    <comment ref="V37" authorId="1">
      <text>
        <r>
          <rPr>
            <sz val="9"/>
            <color indexed="81"/>
            <rFont val="Tahoma"/>
            <family val="2"/>
          </rPr>
          <t>APA acquired 100% of EPX 30/5/16 (from 6.08%)</t>
        </r>
      </text>
    </comment>
    <comment ref="W37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first year of full yr EPX contribution
Reflects 1H17 run rate</t>
        </r>
      </text>
    </comment>
  </commentList>
</comments>
</file>

<file path=xl/comments5.xml><?xml version="1.0" encoding="utf-8"?>
<comments xmlns="http://schemas.openxmlformats.org/spreadsheetml/2006/main">
  <authors>
    <author>Adam N Pinckard</author>
    <author>Li, Annika (Research)</author>
    <author>Khan, Iqbal (Research)</author>
    <author>Koh, Rob (Research)</author>
  </authors>
  <commentList>
    <comment ref="B5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See Macro File - CPI</t>
        </r>
      </text>
    </comment>
    <comment ref="B17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VIC</t>
        </r>
        <r>
          <rPr>
            <sz val="8"/>
            <color indexed="81"/>
            <rFont val="Tahoma"/>
            <family val="2"/>
          </rPr>
          <t xml:space="preserve">
 - Victorian Transmission System; 
 - Dandenong LNG Storage Facility
</t>
        </r>
        <r>
          <rPr>
            <b/>
            <sz val="8"/>
            <color indexed="81"/>
            <rFont val="Tahoma"/>
            <family val="2"/>
          </rPr>
          <t>SA</t>
        </r>
        <r>
          <rPr>
            <sz val="8"/>
            <color indexed="81"/>
            <rFont val="Tahoma"/>
            <family val="2"/>
          </rPr>
          <t xml:space="preserve">
 - SEA Gas Pipeline
 - SESA Pipeline </t>
        </r>
      </text>
    </comment>
    <comment ref="AA42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Contract with ORG (expires Apr-21) for expansion</t>
        </r>
      </text>
    </comment>
    <comment ref="AS42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May-39, end of life for initial pipeline. Expansions in mid 2080's</t>
        </r>
      </text>
    </comment>
    <comment ref="AE43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Contract with ORG expires May-25</t>
        </r>
      </text>
    </comment>
    <comment ref="CC43" authorId="2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Assumed useful life Jun-75</t>
        </r>
      </text>
    </comment>
    <comment ref="B44" authorId="3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A$270m investment = 'Multi-year' contract from 1H20</t>
        </r>
      </text>
    </comment>
    <comment ref="AT44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Assumed useful life of 20 years</t>
        </r>
      </text>
    </comment>
    <comment ref="U47" authorId="1">
      <text>
        <r>
          <rPr>
            <b/>
            <sz val="9"/>
            <color indexed="81"/>
            <rFont val="Tahoma"/>
            <family val="2"/>
          </rPr>
          <t>Uplift from expansions</t>
        </r>
      </text>
    </comment>
    <comment ref="B49" authorId="3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A$270m investment = 'Multi-year' contract from 1H20</t>
        </r>
      </text>
    </comment>
    <comment ref="Z62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Assumed 9% return to APA on EV</t>
        </r>
      </text>
    </comment>
    <comment ref="B69" authorId="3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A$270m investment = 'Multi-year' contract from 1H20</t>
        </r>
      </text>
    </comment>
    <comment ref="U74" authorId="1">
      <text>
        <r>
          <rPr>
            <b/>
            <sz val="9"/>
            <color indexed="81"/>
            <rFont val="Tahoma"/>
            <family val="2"/>
          </rPr>
          <t>Li, Annika (Research):
DD Table 2-1 2018-2022</t>
        </r>
      </text>
    </comment>
    <comment ref="X74" authorId="2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2018-2022 VTS Access arrangement released on 11/30/2017</t>
        </r>
      </text>
    </comment>
    <comment ref="V94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Table 3-1</t>
        </r>
      </text>
    </comment>
    <comment ref="V99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DD PTRM and Table 3-1</t>
        </r>
      </text>
    </comment>
    <comment ref="Q108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Start year RAB</t>
        </r>
      </text>
    </comment>
    <comment ref="L116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Dec 06 values</t>
        </r>
      </text>
    </comment>
  </commentList>
</comments>
</file>

<file path=xl/comments6.xml><?xml version="1.0" encoding="utf-8"?>
<comments xmlns="http://schemas.openxmlformats.org/spreadsheetml/2006/main">
  <authors>
    <author>Adam N Pinckard</author>
    <author>Li, Annika (Research)</author>
    <author>Khan, Iqbal (Research)</author>
    <author>Koh, Rob (Research)</author>
  </authors>
  <commentList>
    <comment ref="B5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See Macro File - CPI</t>
        </r>
      </text>
    </comment>
    <comment ref="B17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Western Australia</t>
        </r>
        <r>
          <rPr>
            <sz val="8"/>
            <color indexed="81"/>
            <rFont val="Tahoma"/>
            <family val="2"/>
          </rPr>
          <t xml:space="preserve">
 - Goldfields pipeline;
 - Kalgoorlie Kambalda;
 - Parmelia Gas Pipeline;
 - Mid West Pipeline;
 - Pilbarra Pipeline;
 - Mondarra Storage;
</t>
        </r>
        <r>
          <rPr>
            <b/>
            <sz val="8"/>
            <color indexed="81"/>
            <rFont val="Tahoma"/>
            <family val="2"/>
          </rPr>
          <t>Northern Territory</t>
        </r>
        <r>
          <rPr>
            <sz val="8"/>
            <color indexed="81"/>
            <rFont val="Tahoma"/>
            <family val="2"/>
          </rPr>
          <t xml:space="preserve">
 - Amadeus Gas Pipeline and laterals</t>
        </r>
      </text>
    </comment>
    <comment ref="BD42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End of life May-57</t>
        </r>
      </text>
    </comment>
    <comment ref="BK42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End of life May-57</t>
        </r>
      </text>
    </comment>
    <comment ref="AF43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Offtake with Synergy (expires Oct-25)</t>
        </r>
      </text>
    </comment>
    <comment ref="AJ44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Offtake with Synergy (expires Dec-29)</t>
        </r>
      </text>
    </comment>
    <comment ref="AK45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Offtake with Alinta expires (Dec-30)</t>
        </r>
      </text>
    </comment>
    <comment ref="AW45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End of life Dec-43</t>
        </r>
      </text>
    </comment>
    <comment ref="AM47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Offtake with Synergy (expires Jun-33)</t>
        </r>
      </text>
    </comment>
    <comment ref="AN47" authorId="2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Useful life Jun-34</t>
        </r>
      </text>
    </comment>
    <comment ref="B48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Acquired in HDF</t>
        </r>
      </text>
    </comment>
    <comment ref="AE48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Offtake with Horizon expires (May-25)</t>
        </r>
      </text>
    </comment>
    <comment ref="AH48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Offtake with DBNGP expires (May-28)</t>
        </r>
      </text>
    </comment>
    <comment ref="AI48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Offtake with ATCO expires (May-29)</t>
        </r>
      </text>
    </comment>
    <comment ref="BS48" authorId="2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Useful life Jun-2065</t>
        </r>
      </text>
    </comment>
    <comment ref="BV48" authorId="2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Useful life of expansion Jun-2068</t>
        </r>
      </text>
    </comment>
    <comment ref="CG48" authorId="2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Useful life of expansion 2 Jun-2079</t>
        </r>
      </text>
    </comment>
    <comment ref="BT49" authorId="2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Useful life of expansion 2 Jun-2066</t>
        </r>
      </text>
    </comment>
    <comment ref="CA49" authorId="2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Useful life of expansion 1 &amp; 2 Nov-2072</t>
        </r>
      </text>
    </comment>
    <comment ref="AG50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Offtake with Dacian, AngloGold expires (Aug-26)</t>
        </r>
      </text>
    </comment>
    <comment ref="CD50" authorId="2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Useful life of Feb-2076</t>
        </r>
      </text>
    </comment>
    <comment ref="B51" authorId="3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A$180m investment = 15-year contract from 1H19</t>
        </r>
      </text>
    </comment>
    <comment ref="AN51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Offtake with Gruyere JV expires Nov-33</t>
        </r>
      </text>
    </comment>
    <comment ref="AW51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End of life for power station (Nov-43). Pipeline end of life Nov-88</t>
        </r>
      </text>
    </comment>
    <comment ref="CP51" authorId="2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Useful life of pipeline Dec-2078</t>
        </r>
      </text>
    </comment>
    <comment ref="AE55" authorId="1">
      <text>
        <r>
          <rPr>
            <b/>
            <sz val="9"/>
            <color indexed="81"/>
            <rFont val="Tahoma"/>
            <family val="2"/>
          </rPr>
          <t>Offtake finishes</t>
        </r>
      </text>
    </comment>
    <comment ref="X56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Synergy PPA commences Jan-18, 20MW solar farm</t>
        </r>
      </text>
    </comment>
    <comment ref="AK57" authorId="1">
      <text>
        <r>
          <rPr>
            <b/>
            <sz val="9"/>
            <color indexed="81"/>
            <rFont val="Tahoma"/>
            <family val="2"/>
          </rPr>
          <t>12 year contract with Alinta finishes, assume price of A$65/MWh</t>
        </r>
      </text>
    </comment>
    <comment ref="AX57" authorId="1">
      <text>
        <r>
          <rPr>
            <b/>
            <sz val="9"/>
            <color indexed="81"/>
            <rFont val="Tahoma"/>
            <family val="2"/>
          </rPr>
          <t>Assuming 25 year life of asset</t>
        </r>
      </text>
    </comment>
    <comment ref="T59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IR comment</t>
        </r>
      </text>
    </comment>
    <comment ref="B60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Acquired in HDF</t>
        </r>
      </text>
    </comment>
    <comment ref="S60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9/12 contribution</t>
        </r>
      </text>
    </comment>
    <comment ref="T60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HDF Acquired FY uplift</t>
        </r>
      </text>
    </comment>
    <comment ref="T61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23 Jan 12
Uplift for $150mn GGP BHP &amp; Rio expansion </t>
        </r>
      </text>
    </comment>
    <comment ref="V62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Construction cost of $140m</t>
        </r>
      </text>
    </comment>
    <comment ref="B63" authorId="3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A$180m investment = 15-year contract from 1H19</t>
        </r>
      </text>
    </comment>
    <comment ref="B69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(July 2011)
Acquired for 8.5x FY12 EBITDA = $~170m
Commissioned in 2006</t>
        </r>
      </text>
    </comment>
    <comment ref="N76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Telfer / Nifty Pipeline sale</t>
        </r>
      </text>
    </comment>
    <comment ref="B77" authorId="3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A$180m investment = 15-year contract from 1H19</t>
        </r>
      </text>
    </comment>
    <comment ref="B82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(July 2011)
Acquired for 8.5x FY12 EBITDA = $~170m
Commissioned in 2006</t>
        </r>
      </text>
    </comment>
    <comment ref="AK82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End of life</t>
        </r>
      </text>
    </comment>
    <comment ref="X83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Construction cost A$47m (A$5.5m funding from ARENA)</t>
        </r>
      </text>
    </comment>
    <comment ref="Y84" authorId="1">
      <text>
        <r>
          <rPr>
            <b/>
            <sz val="9"/>
            <color indexed="81"/>
            <rFont val="Tahoma"/>
            <family val="2"/>
          </rPr>
          <t>A$315 capital cost, ~9-10x EBITDA</t>
        </r>
      </text>
    </comment>
    <comment ref="N89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Telfer / Nifty Pipeline sale</t>
        </r>
      </text>
    </comment>
    <comment ref="B90" authorId="3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A$180m investment = 15-year contract from 1H19</t>
        </r>
      </text>
    </comment>
    <comment ref="B104" authorId="3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A$180m investment = 15-year contract from 1H19</t>
        </r>
      </text>
    </comment>
    <comment ref="U110" authorId="2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Based on revised access arangement released in July 2016
https://www.erawa.com.au/cproot/14401/2/GGP%20-%20GGT%20-%20AA3%20-%20Amended%20Final%20Decision%20-PUBLIC%20VERSION.PDF</t>
        </r>
      </text>
    </comment>
    <comment ref="K114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working capital</t>
        </r>
      </text>
    </comment>
    <comment ref="V118" authorId="2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Based on revised access arangement released in July 2016
https://www.erawa.com.au/cproot/14401/2/GGP%20-%20GGT%20-%20AA3%20-%20Amended%20Final%20Decision%20-PUBLIC%20VERSION.PDF</t>
        </r>
      </text>
    </comment>
    <comment ref="U150" authorId="2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Authority final decision approved (PG 61/686)
https://www.erawa.com.au/cproot/14401/2/GGP%20-%20GGT%20-%20AA3%20-%20Amended%20Final%20Decision%20-PUBLIC%20VERSION.PDF</t>
        </r>
      </text>
    </comment>
    <comment ref="V150" authorId="2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Authority final decision approved (PG 61/686)
https://www.erawa.com.au/cproot/14401/2/GGP%20-%20GGT%20-%20AA3%20-%20Amended%20Final%20Decision%20-PUBLIC%20VERSION.PDF</t>
        </r>
      </text>
    </comment>
    <comment ref="W150" authorId="2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Authority final decision approved (PG 61/686)
https://www.erawa.com.au/cproot/14401/2/GGP%20-%20GGT%20-%20AA3%20-%20Amended%20Final%20Decision%20-PUBLIC%20VERSION.PDF</t>
        </r>
      </text>
    </comment>
    <comment ref="X150" authorId="2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Authority final decision approved (PG 61/686)
https://www.erawa.com.au/cproot/14401/2/GGP%20-%20GGT%20-%20AA3%20-%20Amended%20Final%20Decision%20-PUBLIC%20VERSION.PDF</t>
        </r>
      </text>
    </comment>
    <comment ref="Y150" authorId="2">
      <text>
        <r>
          <rPr>
            <b/>
            <sz val="9"/>
            <color indexed="81"/>
            <rFont val="Tahoma"/>
            <family val="2"/>
          </rPr>
          <t>Khan, Iqbal (Research):</t>
        </r>
        <r>
          <rPr>
            <sz val="9"/>
            <color indexed="81"/>
            <rFont val="Tahoma"/>
            <family val="2"/>
          </rPr>
          <t xml:space="preserve">
Authority final decision approved (PG 61/686)
https://www.erawa.com.au/cproot/14401/2/GGP%20-%20GGT%20-%20AA3%20-%20Amended%20Final%20Decision%20-PUBLIC%20VERSION.PDF</t>
        </r>
      </text>
    </comment>
    <comment ref="V159" authorId="1">
      <text>
        <r>
          <rPr>
            <b/>
            <sz val="9"/>
            <color indexed="81"/>
            <rFont val="Tahoma"/>
            <family val="2"/>
          </rPr>
          <t>Li, Annika (Research):</t>
        </r>
        <r>
          <rPr>
            <sz val="9"/>
            <color indexed="81"/>
            <rFont val="Tahoma"/>
            <family val="2"/>
          </rPr>
          <t xml:space="preserve">
Draft decision Overview pg 24</t>
        </r>
      </text>
    </comment>
    <comment ref="S210" authorId="1">
      <text>
        <r>
          <rPr>
            <b/>
            <sz val="9"/>
            <color indexed="81"/>
            <rFont val="Tahoma"/>
            <family val="2"/>
          </rPr>
          <t>https://www.apa.com.au/media/208711/edwf%20-%20web%20page2%20feb13.pdf</t>
        </r>
      </text>
    </comment>
  </commentList>
</comments>
</file>

<file path=xl/comments7.xml><?xml version="1.0" encoding="utf-8"?>
<comments xmlns="http://schemas.openxmlformats.org/spreadsheetml/2006/main">
  <authors>
    <author>Koh, Rob (Research)</author>
    <author>Adam N Pinckard</author>
  </authors>
  <commentList>
    <comment ref="M49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in A$'m</t>
        </r>
      </text>
    </comment>
    <comment ref="N49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Guestimates from p20 of preso
</t>
        </r>
      </text>
    </comment>
    <comment ref="L55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2016 in Note 40-Typo??</t>
        </r>
      </text>
    </comment>
    <comment ref="L59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First Call 31/3/18
Step Up 31/3/38
Final Mat 1/10/72</t>
        </r>
      </text>
    </comment>
    <comment ref="K61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In foreign CCY</t>
        </r>
      </text>
    </comment>
    <comment ref="L71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Actually 1-Jul-16
</t>
        </r>
      </text>
    </comment>
    <comment ref="L72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Actually 1-Jul-2019</t>
        </r>
      </text>
    </comment>
    <comment ref="B73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$750mn US</t>
        </r>
      </text>
    </comment>
    <comment ref="B76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£350mn</t>
        </r>
      </text>
    </comment>
    <comment ref="B77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QCLNG bridge facility</t>
        </r>
      </text>
    </comment>
  </commentList>
</comments>
</file>

<file path=xl/comments8.xml><?xml version="1.0" encoding="utf-8"?>
<comments xmlns="http://schemas.openxmlformats.org/spreadsheetml/2006/main">
  <authors>
    <author>Koh, Rob (Research)</author>
    <author>Adam N Pinckard</author>
  </authors>
  <commentList>
    <comment ref="E13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Margin over opex worst case</t>
        </r>
      </text>
    </comment>
    <comment ref="B108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Datastream</t>
        </r>
      </text>
    </comment>
    <comment ref="B109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Datastream</t>
        </r>
      </text>
    </comment>
    <comment ref="B110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Datastream</t>
        </r>
      </text>
    </comment>
    <comment ref="B111" authorId="1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Datastream</t>
        </r>
      </text>
    </comment>
  </commentList>
</comments>
</file>

<file path=xl/comments9.xml><?xml version="1.0" encoding="utf-8"?>
<comments xmlns="http://schemas.openxmlformats.org/spreadsheetml/2006/main">
  <authors>
    <author>Adam N Pinckard</author>
  </authors>
  <commentList>
    <comment ref="Z89" authorId="0">
      <text>
        <r>
          <rPr>
            <b/>
            <sz val="8"/>
            <color indexed="81"/>
            <rFont val="Tahoma"/>
            <family val="2"/>
          </rPr>
          <t>Adam N Pinckard:</t>
        </r>
        <r>
          <rPr>
            <sz val="8"/>
            <color indexed="81"/>
            <rFont val="Tahoma"/>
            <family val="2"/>
          </rPr>
          <t xml:space="preserve">
Modelware includes</t>
        </r>
      </text>
    </comment>
  </commentList>
</comments>
</file>

<file path=xl/comments10.xml><?xml version="1.0" encoding="utf-8"?>
<comments xmlns="http://schemas.openxmlformats.org/spreadsheetml/2006/main">
  <authors>
    <author>Koh, Rob (Research)</author>
  </authors>
  <commentList>
    <comment ref="N5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=TF("AUCONPRCF"," ","sdate=#1;edate=LATEST DATE;frq=Y;DataDir=true;DispSeriesDescription=true;YearlyTSFormat=false;QuarterlyTSFormat=false;source=ds;EntityType=Economics",N$12)</t>
        </r>
      </text>
    </comment>
  </commentList>
</comments>
</file>

<file path=xl/comments11.xml><?xml version="1.0" encoding="utf-8"?>
<comments xmlns="http://schemas.openxmlformats.org/spreadsheetml/2006/main">
  <authors>
    <author>Koh, Rob (Research)</author>
  </authors>
  <commentList>
    <comment ref="C13" authorId="0">
      <text>
        <r>
          <rPr>
            <b/>
            <sz val="9"/>
            <color indexed="81"/>
            <rFont val="Tahoma"/>
            <family val="2"/>
          </rPr>
          <t>Koh, Rob (Research):</t>
        </r>
        <r>
          <rPr>
            <sz val="9"/>
            <color indexed="81"/>
            <rFont val="Tahoma"/>
            <family val="2"/>
          </rPr>
          <t xml:space="preserve">
some parts are actually LR</t>
        </r>
      </text>
    </comment>
  </commentList>
</comments>
</file>

<file path=xl/sharedStrings.xml><?xml version="1.0" encoding="utf-8"?>
<sst xmlns="http://schemas.openxmlformats.org/spreadsheetml/2006/main" count="4813" uniqueCount="1395">
  <si>
    <t>Accumulated Depreciation</t>
  </si>
  <si>
    <t>Weighted Average Basic Shares</t>
  </si>
  <si>
    <t>Weighted Average Diluted Shares</t>
  </si>
  <si>
    <t>Gross Plant, Property and Equipment</t>
  </si>
  <si>
    <t>Net Plant, Property and Equipment</t>
  </si>
  <si>
    <t>Accumulated Amortisation</t>
  </si>
  <si>
    <t>Gross Intangibles</t>
  </si>
  <si>
    <t>Net Intangibles</t>
  </si>
  <si>
    <t>Unrecorded Goodwill</t>
  </si>
  <si>
    <t>Net Income As Reported</t>
  </si>
  <si>
    <t>Fiscal Year</t>
  </si>
  <si>
    <t>Period</t>
  </si>
  <si>
    <t>Total Revenue</t>
  </si>
  <si>
    <t>Other Operating Expenses</t>
  </si>
  <si>
    <t>Depreciation</t>
  </si>
  <si>
    <t>Amortisation</t>
  </si>
  <si>
    <t>Total Operating Expenses</t>
  </si>
  <si>
    <t>EBIT</t>
  </si>
  <si>
    <t>EBITDA</t>
  </si>
  <si>
    <t>Other</t>
  </si>
  <si>
    <t>Other Items</t>
  </si>
  <si>
    <t>Cash Flow Statement</t>
  </si>
  <si>
    <t>Income Tax Payment / Refund</t>
  </si>
  <si>
    <t>Purchase of PP&amp;E</t>
  </si>
  <si>
    <t>Movement in Borrowings</t>
  </si>
  <si>
    <t>Movement in Equity</t>
  </si>
  <si>
    <t>Cash Flows from Financing</t>
  </si>
  <si>
    <t>Cash Flows From Operations</t>
  </si>
  <si>
    <t>Net Cash Flows</t>
  </si>
  <si>
    <t xml:space="preserve">Opening Cash </t>
  </si>
  <si>
    <t>Effect of Exchange Rates</t>
  </si>
  <si>
    <t>Closing Cash</t>
  </si>
  <si>
    <t>Balance Sheet</t>
  </si>
  <si>
    <t>Cash</t>
  </si>
  <si>
    <t>Accounts Receivable</t>
  </si>
  <si>
    <t>Current Assets</t>
  </si>
  <si>
    <t>Non-Current Assets</t>
  </si>
  <si>
    <t>Plant, Property and Equipment</t>
  </si>
  <si>
    <t>Intangibles</t>
  </si>
  <si>
    <t>Current Liabilities</t>
  </si>
  <si>
    <t>External Debt</t>
  </si>
  <si>
    <t>Non-Current Liabilities</t>
  </si>
  <si>
    <t>Net Assets</t>
  </si>
  <si>
    <t>Contributed Equity</t>
  </si>
  <si>
    <t>Reserves</t>
  </si>
  <si>
    <t>Retained Profits / (Loss)</t>
  </si>
  <si>
    <t>Check</t>
  </si>
  <si>
    <t>EBITDA margin</t>
  </si>
  <si>
    <t>Changes in Working Capital</t>
  </si>
  <si>
    <t>Calendar Year</t>
  </si>
  <si>
    <t>Weighted Average Cost of Capital</t>
  </si>
  <si>
    <t>Nominal Risk Free Rate (Rf)</t>
  </si>
  <si>
    <t>Real Risk Free Rate (RRf)</t>
  </si>
  <si>
    <t>Inflation Rate</t>
  </si>
  <si>
    <t>Debt Proportion (D)</t>
  </si>
  <si>
    <t>Cost of Debt (DRP)</t>
  </si>
  <si>
    <t>Equity Proportion (E)</t>
  </si>
  <si>
    <t>Australian Market Risk Premium (MRP)</t>
  </si>
  <si>
    <t>Equity Beta (B)</t>
  </si>
  <si>
    <t>Corporate Tax Rate</t>
  </si>
  <si>
    <t>Nominal Cost of Debt</t>
  </si>
  <si>
    <t>Real Cost of Debt</t>
  </si>
  <si>
    <t>Nominal Pre-Tax Cost of Equity</t>
  </si>
  <si>
    <t>Real Pre-Tax Cost of Equity</t>
  </si>
  <si>
    <t>Nominal After-Tax Cost of Equity</t>
  </si>
  <si>
    <t>Real After-Tax Cost of Equity</t>
  </si>
  <si>
    <t>Cost of Debt</t>
  </si>
  <si>
    <t>Cost of Equity</t>
  </si>
  <si>
    <t>Nominal Pre Tax WACC</t>
  </si>
  <si>
    <t>Real Pre Tax WACC</t>
  </si>
  <si>
    <t>Nominal After Tax WACC</t>
  </si>
  <si>
    <t>Real After Tax WACC</t>
  </si>
  <si>
    <t>WACC</t>
  </si>
  <si>
    <t>Cash Flows from Investing</t>
  </si>
  <si>
    <t>Other Investing Cash Flows</t>
  </si>
  <si>
    <t>Deferred Tax Liabilities</t>
  </si>
  <si>
    <t>Deferred Financial Instruments</t>
  </si>
  <si>
    <t>.</t>
  </si>
  <si>
    <t>n.a.</t>
  </si>
  <si>
    <t>Revenue</t>
  </si>
  <si>
    <t>Franking Credit (Gamma)</t>
  </si>
  <si>
    <t>Interest Paid &amp; Borrowing Costs</t>
  </si>
  <si>
    <t>Cash Flow from Operations</t>
  </si>
  <si>
    <t xml:space="preserve"> - Capex</t>
  </si>
  <si>
    <t>Free Cash Flow - Equity</t>
  </si>
  <si>
    <t>EBIT margin</t>
  </si>
  <si>
    <t>Income Statement (Statutory)</t>
  </si>
  <si>
    <t>D&amp;A</t>
  </si>
  <si>
    <t>Share Count</t>
  </si>
  <si>
    <t>Other non-controlling interests</t>
  </si>
  <si>
    <t>Purchase of Intangibles</t>
  </si>
  <si>
    <t>Distributions to Non-Controlling Interest</t>
  </si>
  <si>
    <t xml:space="preserve">Inventories </t>
  </si>
  <si>
    <t>Other Assets</t>
  </si>
  <si>
    <t>Receivables</t>
  </si>
  <si>
    <t>Payables</t>
  </si>
  <si>
    <t>Provision</t>
  </si>
  <si>
    <t>Retirement Benefit Obligations</t>
  </si>
  <si>
    <t>Other Non-Controlling Interest</t>
  </si>
  <si>
    <t xml:space="preserve"> - Non-Controlling Interest</t>
  </si>
  <si>
    <t>Earnings Per Share</t>
  </si>
  <si>
    <t>Dividend Per Share</t>
  </si>
  <si>
    <t>Quantum ($)</t>
  </si>
  <si>
    <t>Share Count and DRP</t>
  </si>
  <si>
    <t>Shares Issued (m)</t>
  </si>
  <si>
    <t>Closing Share Count</t>
  </si>
  <si>
    <t>Opening share Count</t>
  </si>
  <si>
    <t>DRP % share issued</t>
  </si>
  <si>
    <t>DRP Issued</t>
  </si>
  <si>
    <t>Other Share Issued</t>
  </si>
  <si>
    <t>Dividend Reinvestment Plan</t>
  </si>
  <si>
    <t>Profit / (Loss) attributable to:</t>
  </si>
  <si>
    <t>Implied Issue Price ($)</t>
  </si>
  <si>
    <t>AUD</t>
  </si>
  <si>
    <t>Total Shareholder Equity</t>
  </si>
  <si>
    <t>ModelWare Calculations</t>
  </si>
  <si>
    <t>Statutory Tax Rate</t>
  </si>
  <si>
    <t>NOPAT</t>
  </si>
  <si>
    <t>Valuation</t>
  </si>
  <si>
    <t>Free Cash Flow to Firm</t>
  </si>
  <si>
    <t>Discount Year</t>
  </si>
  <si>
    <t>DCF Discount Rate</t>
  </si>
  <si>
    <t>Growth</t>
  </si>
  <si>
    <t xml:space="preserve"> + Depreciation &amp; Amortisation</t>
  </si>
  <si>
    <t xml:space="preserve"> - Changes in Working Capital</t>
  </si>
  <si>
    <t>Net Debt</t>
  </si>
  <si>
    <t>Debt</t>
  </si>
  <si>
    <t>Valuation Financial Data</t>
  </si>
  <si>
    <t>Common equity (Year - 1)</t>
  </si>
  <si>
    <t>Common equity</t>
  </si>
  <si>
    <t>Changes in Equity Capital</t>
  </si>
  <si>
    <t xml:space="preserve"> - Net Income to Equity Holders</t>
  </si>
  <si>
    <t>Other Movement in Equity</t>
  </si>
  <si>
    <t>Return on Invested Capital</t>
  </si>
  <si>
    <t>Marginal Tax Rate</t>
  </si>
  <si>
    <t>Invested Capital</t>
  </si>
  <si>
    <t>ROIC</t>
  </si>
  <si>
    <t xml:space="preserve"> + Net PPE</t>
  </si>
  <si>
    <t xml:space="preserve"> + Other Operating Assets</t>
  </si>
  <si>
    <t xml:space="preserve"> + Net Working Capital</t>
  </si>
  <si>
    <t xml:space="preserve"> + Net Intangibles</t>
  </si>
  <si>
    <t>Cash margin</t>
  </si>
  <si>
    <t>Asset Turns</t>
  </si>
  <si>
    <t>Modelware EPS (Diluted)</t>
  </si>
  <si>
    <t>Share Price (Fiscal Year Average)</t>
  </si>
  <si>
    <t>Implied Market Capitalisation (Basic)</t>
  </si>
  <si>
    <t>Implied Market Capitalisation (Basic, Adjusted)</t>
  </si>
  <si>
    <t>Share Price (Fiscal Year Average, Adjusted)</t>
  </si>
  <si>
    <t>Share Price (Fiscal Year End)</t>
  </si>
  <si>
    <t>Share Price (Fiscal Year End, Adjusted)</t>
  </si>
  <si>
    <t>Fiscal Year Closing Share Count</t>
  </si>
  <si>
    <t>Implied Market Capitalisation (Avg, Datastream)</t>
  </si>
  <si>
    <t>Unit Spot Price</t>
  </si>
  <si>
    <t>INCOME STATEMENT (A$m)</t>
  </si>
  <si>
    <t>BALANCE SHEET (A$m)</t>
  </si>
  <si>
    <t>Other Current</t>
  </si>
  <si>
    <t>Intangibles &amp; Other</t>
  </si>
  <si>
    <t>Other income</t>
  </si>
  <si>
    <t>Total assets</t>
  </si>
  <si>
    <t xml:space="preserve">Payables </t>
  </si>
  <si>
    <t>Interest bearing liabilities</t>
  </si>
  <si>
    <t>Provisions &amp; other</t>
  </si>
  <si>
    <t>Total liabilities</t>
  </si>
  <si>
    <t>Equity, Retained Earnings, Reserves</t>
  </si>
  <si>
    <t>Total equity</t>
  </si>
  <si>
    <t>Market Cap (A$m)</t>
  </si>
  <si>
    <t>Minority interest</t>
  </si>
  <si>
    <t>+ Net Debt</t>
  </si>
  <si>
    <t>Significant items (after tax)</t>
  </si>
  <si>
    <t>Reported NPAT</t>
  </si>
  <si>
    <t>Modelware EBIT</t>
  </si>
  <si>
    <t>Modelware EBITDA</t>
  </si>
  <si>
    <t>CASH FLOW (A$m)</t>
  </si>
  <si>
    <t>Modelware EPS (cents)</t>
  </si>
  <si>
    <t>Income Tax Paid</t>
  </si>
  <si>
    <t>Statutory PER (x)</t>
  </si>
  <si>
    <t>Net Cash from Operations</t>
  </si>
  <si>
    <t>Dividend Yield (%)</t>
  </si>
  <si>
    <t>Net Investing Cashflows</t>
  </si>
  <si>
    <t>Net Financing Cashflows</t>
  </si>
  <si>
    <t>ROIC (%)</t>
  </si>
  <si>
    <t>Net Change in Cash</t>
  </si>
  <si>
    <t>Cash from Operations</t>
  </si>
  <si>
    <t>less: Non-Controlling Interest</t>
  </si>
  <si>
    <t>Free Cashflow</t>
  </si>
  <si>
    <t>Checks</t>
  </si>
  <si>
    <t>Balance</t>
  </si>
  <si>
    <t>PBT</t>
  </si>
  <si>
    <t>NPAT Underlying</t>
  </si>
  <si>
    <t>NPAT</t>
  </si>
  <si>
    <t>Diluted EPS-reported (cents)</t>
  </si>
  <si>
    <t>+ Other Adjustments</t>
  </si>
  <si>
    <t>+ Market Cap Adjustments</t>
  </si>
  <si>
    <t>Cumulative issuance of Stock</t>
  </si>
  <si>
    <t>Cash Tax Paid</t>
  </si>
  <si>
    <t>Debt and Leverage</t>
  </si>
  <si>
    <t>Less: Cash</t>
  </si>
  <si>
    <t>Current Liabilities: External Debt</t>
  </si>
  <si>
    <t>Non-Current Liabilities: External Debt</t>
  </si>
  <si>
    <t>Gross Debt</t>
  </si>
  <si>
    <t>Consolidated Net Debt</t>
  </si>
  <si>
    <t>Funds from Operations (FFO)</t>
  </si>
  <si>
    <t>Funds from Operations</t>
  </si>
  <si>
    <t>Segmental Financials</t>
  </si>
  <si>
    <t>Interest Paid</t>
  </si>
  <si>
    <t xml:space="preserve"> - Other</t>
  </si>
  <si>
    <t>Rate</t>
  </si>
  <si>
    <t>Maturity</t>
  </si>
  <si>
    <t>Drawn</t>
  </si>
  <si>
    <t>%</t>
  </si>
  <si>
    <t>Segmental Debt Instruments</t>
  </si>
  <si>
    <t>Due</t>
  </si>
  <si>
    <t>Group Total</t>
  </si>
  <si>
    <t>APA GROUP</t>
  </si>
  <si>
    <t xml:space="preserve"> - Asset management Revenue</t>
  </si>
  <si>
    <t>Energy infrastructure revenue:</t>
  </si>
  <si>
    <t>Other Income</t>
  </si>
  <si>
    <t>SEA Gas</t>
  </si>
  <si>
    <t>GDI (EII)</t>
  </si>
  <si>
    <t>Diamantina Power Station</t>
  </si>
  <si>
    <t>Energy Infrastructure Investments</t>
  </si>
  <si>
    <t>Envestra Limited</t>
  </si>
  <si>
    <t>APA Group Revenue</t>
  </si>
  <si>
    <t>APA Group EBITDA</t>
  </si>
  <si>
    <t>APA 1 Unitholders</t>
  </si>
  <si>
    <t>APA Group EPS (Basic)</t>
  </si>
  <si>
    <t>APA Group EPS (Diluted)</t>
  </si>
  <si>
    <t>APA Group 1H Dividend</t>
  </si>
  <si>
    <t>APA Group 2H Dividend</t>
  </si>
  <si>
    <t>Total APA Group FY Dividend</t>
  </si>
  <si>
    <t>Distributions to APA</t>
  </si>
  <si>
    <t>APA Group  - Statutory</t>
  </si>
  <si>
    <t xml:space="preserve">APA Group </t>
  </si>
  <si>
    <t>APA Group</t>
  </si>
  <si>
    <t>APA Financial Summary</t>
  </si>
  <si>
    <t xml:space="preserve"> - Queensland</t>
  </si>
  <si>
    <t xml:space="preserve"> - New South Wales</t>
  </si>
  <si>
    <t xml:space="preserve"> - Victoria</t>
  </si>
  <si>
    <t xml:space="preserve"> - South Australia</t>
  </si>
  <si>
    <t xml:space="preserve"> - Western Australia</t>
  </si>
  <si>
    <t xml:space="preserve"> - Northern Territory</t>
  </si>
  <si>
    <t xml:space="preserve"> - Energy Investments</t>
  </si>
  <si>
    <t xml:space="preserve"> - Pass-through revenue</t>
  </si>
  <si>
    <t xml:space="preserve"> - Divested Business</t>
  </si>
  <si>
    <t xml:space="preserve"> - Unallocated revenue (interest)</t>
  </si>
  <si>
    <t>APA Group EBITDA margin</t>
  </si>
  <si>
    <t>Underlying EBITDA</t>
  </si>
  <si>
    <t xml:space="preserve"> - Exceptional items</t>
  </si>
  <si>
    <t>Reported EBITDA</t>
  </si>
  <si>
    <t>Exceptional items</t>
  </si>
  <si>
    <t>Underlying EBIT</t>
  </si>
  <si>
    <t>Reported EBIT</t>
  </si>
  <si>
    <t>Underlying PBT</t>
  </si>
  <si>
    <t>Reported PBT</t>
  </si>
  <si>
    <t>Employee expenses</t>
  </si>
  <si>
    <t>Energy infrastructure revenue</t>
  </si>
  <si>
    <t>Asset operation / management expenses</t>
  </si>
  <si>
    <t>Operating costs - pass-through</t>
  </si>
  <si>
    <t>Underlying Profit</t>
  </si>
  <si>
    <t>Reported Profit</t>
  </si>
  <si>
    <t>APA.AX,mscalc:sharePriceCurrent</t>
  </si>
  <si>
    <t>Cash Interest Paid</t>
  </si>
  <si>
    <t>Cash Interest Received</t>
  </si>
  <si>
    <t>Proceeds from Sales of PP&amp;E</t>
  </si>
  <si>
    <t>Purchase of Controlled Entities</t>
  </si>
  <si>
    <t>Purchase of Equity Accounted Investments</t>
  </si>
  <si>
    <t>Proceeds from Sales of Business</t>
  </si>
  <si>
    <t>Distributions to APA (APT &amp; APTIT)</t>
  </si>
  <si>
    <t>Other Financial Assets</t>
  </si>
  <si>
    <t>Equity Account Investments</t>
  </si>
  <si>
    <t>Goodwill</t>
  </si>
  <si>
    <t>Other Financial Liability</t>
  </si>
  <si>
    <t>Energy infrastructure:</t>
  </si>
  <si>
    <t xml:space="preserve"> - Asset management</t>
  </si>
  <si>
    <t>Investments:</t>
  </si>
  <si>
    <t>Investments</t>
  </si>
  <si>
    <t xml:space="preserve"> - Divested Businsess</t>
  </si>
  <si>
    <t>Divested Businsess</t>
  </si>
  <si>
    <t>Energy Infrastructure Investments 2</t>
  </si>
  <si>
    <t>CAMS</t>
  </si>
  <si>
    <t xml:space="preserve"> - Significant Items</t>
  </si>
  <si>
    <t>Other Expenses</t>
  </si>
  <si>
    <t>Underlying Net Profit - to equity holder</t>
  </si>
  <si>
    <t>Other Items (e.g. Exceptionals)</t>
  </si>
  <si>
    <t>APA.AX</t>
  </si>
  <si>
    <t>Status</t>
  </si>
  <si>
    <t>Currency</t>
  </si>
  <si>
    <t>Current Stock Price</t>
  </si>
  <si>
    <t>Count</t>
  </si>
  <si>
    <t>EGP</t>
  </si>
  <si>
    <t>APA.AX,mscalc:closePriceCurrencyCalc</t>
  </si>
  <si>
    <t>APA.AX,mscalc:sedolCodeCalc</t>
  </si>
  <si>
    <t>6247306</t>
  </si>
  <si>
    <t>APA.AX,mscalc:targetPrice,,,,AUD</t>
  </si>
  <si>
    <t/>
  </si>
  <si>
    <t>Roma Brisbane</t>
  </si>
  <si>
    <t>Carpentaria</t>
  </si>
  <si>
    <t>AOA Gas Networks</t>
  </si>
  <si>
    <t>South West Queensland</t>
  </si>
  <si>
    <t>Sub-Total</t>
  </si>
  <si>
    <t>Balance figure</t>
  </si>
  <si>
    <t>Queensland</t>
  </si>
  <si>
    <t>New South Wales</t>
  </si>
  <si>
    <t>EBITDA Margin</t>
  </si>
  <si>
    <t>CPI</t>
  </si>
  <si>
    <t>Sydney</t>
  </si>
  <si>
    <t>Melbourne</t>
  </si>
  <si>
    <t>Brisbane</t>
  </si>
  <si>
    <t>Adelaide</t>
  </si>
  <si>
    <t>Perth</t>
  </si>
  <si>
    <t>Hobart</t>
  </si>
  <si>
    <t>Darwin</t>
  </si>
  <si>
    <t>Canberra</t>
  </si>
  <si>
    <t>Australia</t>
  </si>
  <si>
    <t>EBITDA - Growth</t>
  </si>
  <si>
    <t>Revenue - Implied</t>
  </si>
  <si>
    <t>Revenue CPI Factor</t>
  </si>
  <si>
    <t>Total Capital Base Opening Balance</t>
  </si>
  <si>
    <t>Confirming Capex Expenditure</t>
  </si>
  <si>
    <t>Adjustment</t>
  </si>
  <si>
    <t>RAB Closing Balance</t>
  </si>
  <si>
    <t>Inflation</t>
  </si>
  <si>
    <t>Inflation Factor</t>
  </si>
  <si>
    <t>WACC Inputs</t>
  </si>
  <si>
    <t>Return on Capital Base</t>
  </si>
  <si>
    <t>Incentive Mechanism</t>
  </si>
  <si>
    <t>Operating Expenditure</t>
  </si>
  <si>
    <t>Total Regulated Revenue</t>
  </si>
  <si>
    <t>Indexation of opening RAB</t>
  </si>
  <si>
    <t>Smoothed Regulated Revenue</t>
  </si>
  <si>
    <t>X factor</t>
  </si>
  <si>
    <t>Moomba Sydney</t>
  </si>
  <si>
    <t>Moomba Sydney (Inc. Laterals)</t>
  </si>
  <si>
    <t>Western Australia</t>
  </si>
  <si>
    <t xml:space="preserve">Pilbarra Pipeline System </t>
  </si>
  <si>
    <t>Mondarra Gas Storage Facility</t>
  </si>
  <si>
    <t>Goldfields Gas Pipeline</t>
  </si>
  <si>
    <t>Emu Downs wind farm</t>
  </si>
  <si>
    <t>Western Australia / Northern Territory</t>
  </si>
  <si>
    <t>Western Australia /  - Northern Territory</t>
  </si>
  <si>
    <t>Other WA Assets</t>
  </si>
  <si>
    <t>Amadeus Gas Pipeline</t>
  </si>
  <si>
    <t>Revenue - Northern Territory</t>
  </si>
  <si>
    <t>Revenue - Western Australia</t>
  </si>
  <si>
    <t>EBITDA - Western Australia</t>
  </si>
  <si>
    <t>EBITDA - Northern Territory</t>
  </si>
  <si>
    <t>EBITDA Margin - Western Australia</t>
  </si>
  <si>
    <t>EBITDA Margin - Northern Territory</t>
  </si>
  <si>
    <t>Total EBITDA</t>
  </si>
  <si>
    <t>Pilbarra Pipeline System</t>
  </si>
  <si>
    <t>South Australia</t>
  </si>
  <si>
    <t>Victoria</t>
  </si>
  <si>
    <t>Northern Territory</t>
  </si>
  <si>
    <t>Ethane Pipeline Income Fund</t>
  </si>
  <si>
    <t>Victoria / South Australia</t>
  </si>
  <si>
    <t>Victorian Transmission System</t>
  </si>
  <si>
    <t>SESA Pipeline</t>
  </si>
  <si>
    <t>Revenue - Victoria</t>
  </si>
  <si>
    <t>Revenue - South Australia</t>
  </si>
  <si>
    <t>EBITDA - Victoria</t>
  </si>
  <si>
    <t>EBITDA - South Australia</t>
  </si>
  <si>
    <t>EBITDA margin - Victoria</t>
  </si>
  <si>
    <t>EBITDA margin - South Australia</t>
  </si>
  <si>
    <t>APA</t>
  </si>
  <si>
    <t>Shareholder Equity</t>
  </si>
  <si>
    <t>Capital Expenditure</t>
  </si>
  <si>
    <t>Regulated</t>
  </si>
  <si>
    <t>Major projects</t>
  </si>
  <si>
    <t>Stay in business capex</t>
  </si>
  <si>
    <t>APA Gas Networks</t>
  </si>
  <si>
    <t>Total Capital Expenditure</t>
  </si>
  <si>
    <t>Acquisitions - Energy Infrastructure</t>
  </si>
  <si>
    <t>Acquisitions - Energy Investments</t>
  </si>
  <si>
    <t>Total Acquisitions</t>
  </si>
  <si>
    <t>Underlying Income Tax</t>
  </si>
  <si>
    <t>Reported Tax</t>
  </si>
  <si>
    <t>Underlying Income Tax Rate</t>
  </si>
  <si>
    <t>ModelWare Net Income</t>
  </si>
  <si>
    <t>Modelware EPS (Basic)</t>
  </si>
  <si>
    <t>Exceptional Items</t>
  </si>
  <si>
    <t>Payout Ratio (% of Underlying EPS)</t>
  </si>
  <si>
    <t>Underlying Cash Flow</t>
  </si>
  <si>
    <t>Operating Cash Flow</t>
  </si>
  <si>
    <t>Distribution payout ratio</t>
  </si>
  <si>
    <t>Underlying Cash Flow (cps)</t>
  </si>
  <si>
    <t>Less: Significant items</t>
  </si>
  <si>
    <t>Tax Losses</t>
  </si>
  <si>
    <t>Tax Carried Forward</t>
  </si>
  <si>
    <t>Closing Balance</t>
  </si>
  <si>
    <t>Other EBITDA</t>
  </si>
  <si>
    <t>Underlying Tax</t>
  </si>
  <si>
    <t>Fiscal Year End / Current Share Price</t>
  </si>
  <si>
    <t>Income Tax Allowance</t>
  </si>
  <si>
    <t>WACC - HIGH</t>
  </si>
  <si>
    <t>Incentive Mechanism / other</t>
  </si>
  <si>
    <t>Tax Allowance</t>
  </si>
  <si>
    <t>Moomba to Sydney Pipeline System</t>
  </si>
  <si>
    <t xml:space="preserve"> - Energy Investments (Envestra NPAT)</t>
  </si>
  <si>
    <t>Total Growth Capex</t>
  </si>
  <si>
    <t>2012 Subordinated Notes</t>
  </si>
  <si>
    <t>2010 AUD Medium Term Note</t>
  </si>
  <si>
    <t>2003 Series C USD</t>
  </si>
  <si>
    <t>2003 Series D USD</t>
  </si>
  <si>
    <t>2007 Series B USD</t>
  </si>
  <si>
    <t>2007 Series D USD</t>
  </si>
  <si>
    <t>2007 Series F USD</t>
  </si>
  <si>
    <t>2009 Series A USD</t>
  </si>
  <si>
    <t>2009 Series B USD</t>
  </si>
  <si>
    <t>2012 US 144a USD</t>
  </si>
  <si>
    <t>2012 JPY Medium Term Note</t>
  </si>
  <si>
    <t>2012 CAD Medium Term Note</t>
  </si>
  <si>
    <t>2012 GBP Medium Term Note</t>
  </si>
  <si>
    <t>Unsecured bank borrowings I</t>
  </si>
  <si>
    <t>Unsecured bank borrowings II</t>
  </si>
  <si>
    <t>Unsecured bank borrowings III</t>
  </si>
  <si>
    <t>Unsecured bank borrowings IV</t>
  </si>
  <si>
    <t>Unsecured bank borrowings V</t>
  </si>
  <si>
    <t>Cons: (Low, Mean, High)</t>
  </si>
  <si>
    <t>Other / unknown projects</t>
  </si>
  <si>
    <t>APA.AX,mscalc:targetPrice</t>
  </si>
  <si>
    <t xml:space="preserve">Basic Weighted Year-End Shares </t>
  </si>
  <si>
    <t>Net Issuance of shares</t>
  </si>
  <si>
    <t xml:space="preserve"> - Net issuance (repurchase) of Common stock</t>
  </si>
  <si>
    <t>Interest Expense</t>
  </si>
  <si>
    <t xml:space="preserve"> + Debt funded Capex</t>
  </si>
  <si>
    <t>less: Equity Funded Capex</t>
  </si>
  <si>
    <t>Year end 30 June</t>
  </si>
  <si>
    <t>FY12</t>
  </si>
  <si>
    <t>FY13</t>
  </si>
  <si>
    <t>FY14</t>
  </si>
  <si>
    <t>FY15</t>
  </si>
  <si>
    <t>Modelware EPS (Basic, A$)</t>
  </si>
  <si>
    <t>Beta</t>
  </si>
  <si>
    <t>Risk free rate</t>
  </si>
  <si>
    <t>Risk premium</t>
  </si>
  <si>
    <t>Discount Rates and Intrinsic Value</t>
  </si>
  <si>
    <t>Accounting Tax</t>
  </si>
  <si>
    <t>Limit</t>
  </si>
  <si>
    <t>2007 Series A USD</t>
  </si>
  <si>
    <t>2007 Series C USD</t>
  </si>
  <si>
    <t>2007 Series E USD</t>
  </si>
  <si>
    <t>2007 Series G USD</t>
  </si>
  <si>
    <t>2007 Series H USD</t>
  </si>
  <si>
    <t>Unsecured bank borrowings VI</t>
  </si>
  <si>
    <t>Unsecured bank borrowings VII</t>
  </si>
  <si>
    <t>Undrawn</t>
  </si>
  <si>
    <t>Per Preso</t>
  </si>
  <si>
    <t>Weighted average debt maturity</t>
  </si>
  <si>
    <t>Time to Mat</t>
  </si>
  <si>
    <t>HY Weightings</t>
  </si>
  <si>
    <t>Modarra Gas Storage Facility</t>
  </si>
  <si>
    <t xml:space="preserve"> - Stay in Business Capex</t>
  </si>
  <si>
    <t xml:space="preserve"> - Growth Capex</t>
  </si>
  <si>
    <t>S&amp;P Rating</t>
  </si>
  <si>
    <t>EBITDA margin - Vic &amp; SA</t>
  </si>
  <si>
    <t>EBITA Margin - WA&amp;NT</t>
  </si>
  <si>
    <t xml:space="preserve"> - Asset Management Revenue</t>
  </si>
  <si>
    <t>Statutory Enterprise Value (A$m)</t>
  </si>
  <si>
    <t>Energy Infrastructure revenue</t>
  </si>
  <si>
    <t>Underlying EBITDA Growth</t>
  </si>
  <si>
    <t>FCF per security (cents)</t>
  </si>
  <si>
    <t>Underlying EBITDA Margin</t>
  </si>
  <si>
    <t>Energy Infrastructure EBITDA Margins</t>
  </si>
  <si>
    <t>Distributions per security (cents)</t>
  </si>
  <si>
    <t>Victoria &amp; South Australia</t>
  </si>
  <si>
    <t>Western Australia &amp; Northern Territory</t>
  </si>
  <si>
    <t>CPI &amp; FX</t>
  </si>
  <si>
    <t>US</t>
  </si>
  <si>
    <t>AUD/USD exchange rate</t>
  </si>
  <si>
    <t>Debt Risk Premium (DRP)</t>
  </si>
  <si>
    <t>Equity Ownership</t>
  </si>
  <si>
    <t>Revenue - Actual</t>
  </si>
  <si>
    <t>Hard code</t>
  </si>
  <si>
    <t>Formula</t>
  </si>
  <si>
    <t>Link to another sheet</t>
  </si>
  <si>
    <t>Error</t>
  </si>
  <si>
    <t>Growth, Margin or Segment</t>
  </si>
  <si>
    <t>Regulated asset</t>
  </si>
  <si>
    <t>Forecast</t>
  </si>
  <si>
    <t>Regulated Revenue</t>
  </si>
  <si>
    <t>New Tax Losses</t>
  </si>
  <si>
    <t>Tax Loses Used</t>
  </si>
  <si>
    <t>Model Legend</t>
  </si>
  <si>
    <t>Return on Capital</t>
  </si>
  <si>
    <t>Bridge Facility</t>
  </si>
  <si>
    <t>% in USD</t>
  </si>
  <si>
    <t>Interest Charge</t>
  </si>
  <si>
    <t>Finance Charge (implied)</t>
  </si>
  <si>
    <t>A$ interest rate</t>
  </si>
  <si>
    <t>US$ interest rate</t>
  </si>
  <si>
    <t>% US$</t>
  </si>
  <si>
    <t>A$ debt</t>
  </si>
  <si>
    <t>US$ debt (in A$, natural hedge for QCLNG)</t>
  </si>
  <si>
    <t>Change in US$ debt</t>
  </si>
  <si>
    <t>% in US$</t>
  </si>
  <si>
    <t>Energy Infrastructure EBITDA Growth</t>
  </si>
  <si>
    <t>Sensitivity</t>
  </si>
  <si>
    <t>Depreciation &amp; Amortisation</t>
  </si>
  <si>
    <t>Underlying NPAT</t>
  </si>
  <si>
    <t>Valuation &amp; Ratios</t>
  </si>
  <si>
    <t>Balance Sheet &amp; Returns</t>
  </si>
  <si>
    <t>Segment Metrics</t>
  </si>
  <si>
    <t>Operational Metrics</t>
  </si>
  <si>
    <t>Property, Plant &amp; Equipment</t>
  </si>
  <si>
    <t>Current Diluted Shares Outstanding</t>
  </si>
  <si>
    <t>Corporate Costs</t>
  </si>
  <si>
    <t xml:space="preserve"> </t>
  </si>
  <si>
    <t>Berwyndale Wallumbilla + Other</t>
  </si>
  <si>
    <t>Corporate Costs % EBITDA</t>
  </si>
  <si>
    <t>Wallumbilla Gladstone</t>
  </si>
  <si>
    <t xml:space="preserve">EGP </t>
  </si>
  <si>
    <t>A$ Interest Payable</t>
  </si>
  <si>
    <t>AUD/USD</t>
  </si>
  <si>
    <t>US Interest payable (in A$)</t>
  </si>
  <si>
    <t>Total Interest Payable</t>
  </si>
  <si>
    <t>Implied blended rate</t>
  </si>
  <si>
    <t>EBITDA/Sales (%)</t>
  </si>
  <si>
    <t>EBIT/Sales (%)</t>
  </si>
  <si>
    <t>NPAT/Sales (%)</t>
  </si>
  <si>
    <t>Net Debt/EBITDA (x)</t>
  </si>
  <si>
    <t>FFO/Gross Debt (%)</t>
  </si>
  <si>
    <t>FFO/Interest expense  (x)</t>
  </si>
  <si>
    <t>FCF/Distribution (%)</t>
  </si>
  <si>
    <t>Statutory EV/EBIT (x)</t>
  </si>
  <si>
    <t>Statutory EV/EBITDA (x)</t>
  </si>
  <si>
    <t>EBITDA/Net Interest expense (x)</t>
  </si>
  <si>
    <t>Depreciation/PPE</t>
  </si>
  <si>
    <t>Moody's</t>
  </si>
  <si>
    <t>FY16</t>
  </si>
  <si>
    <t>FY17</t>
  </si>
  <si>
    <t>Stable</t>
  </si>
  <si>
    <t>BBB</t>
  </si>
  <si>
    <t>Baa2</t>
  </si>
  <si>
    <t>Rob.Koh@morganstanley.com</t>
  </si>
  <si>
    <t>+61 3 9256-8932</t>
  </si>
  <si>
    <t>Annika.Li@morganstanley.com</t>
  </si>
  <si>
    <t>+61 2 9770-9286</t>
  </si>
  <si>
    <t>MS Team</t>
  </si>
  <si>
    <t xml:space="preserve">CHECK </t>
  </si>
  <si>
    <t>Upside/Downside</t>
  </si>
  <si>
    <t>EV/EBITDA</t>
  </si>
  <si>
    <t>Yield</t>
  </si>
  <si>
    <t>Nominal Cost of Debt (Point Estimate)</t>
  </si>
  <si>
    <t xml:space="preserve">APA Guidance </t>
  </si>
  <si>
    <t>Ethane Pipeline</t>
  </si>
  <si>
    <t>Other Financial Instruments</t>
  </si>
  <si>
    <t>Cash Tax Rate</t>
  </si>
  <si>
    <t>Total Capex (incl. acquisitions)</t>
  </si>
  <si>
    <t>Dividend Franking</t>
  </si>
  <si>
    <t>Interest Income</t>
  </si>
  <si>
    <t>Finance Costs</t>
  </si>
  <si>
    <t>Net Borrowing Costs</t>
  </si>
  <si>
    <t xml:space="preserve"> - Return on Equity</t>
  </si>
  <si>
    <t xml:space="preserve"> - Return on Debt </t>
  </si>
  <si>
    <t>Distributions per share Guidance (cents)</t>
  </si>
  <si>
    <t>1425-1445</t>
  </si>
  <si>
    <t>1275-1310</t>
  </si>
  <si>
    <t>816-873</t>
  </si>
  <si>
    <t>&gt;=36.25</t>
  </si>
  <si>
    <t>Reedy Creek Wallumbilla</t>
  </si>
  <si>
    <t>Western Australia / NT</t>
  </si>
  <si>
    <t>All</t>
  </si>
  <si>
    <t>Nameplate Capacity (MW)</t>
  </si>
  <si>
    <t>Capacity Factor (%)</t>
  </si>
  <si>
    <t>Output (Gwh)</t>
  </si>
  <si>
    <t>Badgingarra Wind Farm</t>
  </si>
  <si>
    <t>Badgingarra wind farm</t>
  </si>
  <si>
    <t>Darling Downs Solar Farm</t>
  </si>
  <si>
    <t>1475-1510</t>
  </si>
  <si>
    <t>Yamarna Pipeline &amp; Power</t>
  </si>
  <si>
    <t>Orbost</t>
  </si>
  <si>
    <t>Baa3</t>
  </si>
  <si>
    <t>Baa4</t>
  </si>
  <si>
    <t>EBITDA - Margin</t>
  </si>
  <si>
    <t>LR</t>
  </si>
  <si>
    <t>Opex</t>
  </si>
  <si>
    <t>Peppercorn</t>
  </si>
  <si>
    <t>Scenario</t>
  </si>
  <si>
    <t>Operating Status (0=foundation, 1=re-contracted, 2=retired)</t>
  </si>
  <si>
    <t>PS</t>
  </si>
  <si>
    <t>Re-contracting margin scenario</t>
  </si>
  <si>
    <t>Lightly Regulated Pipelines</t>
  </si>
  <si>
    <t>Regulated Pipelines</t>
  </si>
  <si>
    <t xml:space="preserve">Gas Processing </t>
  </si>
  <si>
    <t>Power Stations</t>
  </si>
  <si>
    <t>R</t>
  </si>
  <si>
    <t>GP</t>
  </si>
  <si>
    <t>Unregulated Pipelines</t>
  </si>
  <si>
    <t xml:space="preserve">Opex </t>
  </si>
  <si>
    <t>EBITDA - Lightly Regulated Pipelines</t>
  </si>
  <si>
    <t>EBITDA - Regulated Pipelines</t>
  </si>
  <si>
    <t>EBITDA - Unregulated Pipelines</t>
  </si>
  <si>
    <t xml:space="preserve">EBITDA - Gas Processing </t>
  </si>
  <si>
    <t>EBITDA - Power Stations</t>
  </si>
  <si>
    <t>Emu Downs solar farm</t>
  </si>
  <si>
    <t>CHECK</t>
  </si>
  <si>
    <t>Energy infrastructure EBITDA breakup</t>
  </si>
  <si>
    <t>Power stations</t>
  </si>
  <si>
    <t>Funds for reinvestment</t>
  </si>
  <si>
    <t>Running NPV - FCFF</t>
  </si>
  <si>
    <t>APA Growth Projects</t>
  </si>
  <si>
    <t>Price Target date</t>
  </si>
  <si>
    <t>FY18</t>
  </si>
  <si>
    <t>MS Valuation Outputs</t>
  </si>
  <si>
    <t>Reinvestment period</t>
  </si>
  <si>
    <t>Terminal growth rate</t>
  </si>
  <si>
    <t>Cash available for reinvestment</t>
  </si>
  <si>
    <t>Proportion of equity funded growth capex</t>
  </si>
  <si>
    <t>Diamaintina Power Station</t>
  </si>
  <si>
    <t>Asset Database</t>
  </si>
  <si>
    <t>Credit Metrics</t>
  </si>
  <si>
    <t>FFO/Interest Cover (x)</t>
  </si>
  <si>
    <t>EBITDA/Interest (1.3x lockup, 1.1x default)</t>
  </si>
  <si>
    <t>FCF/EV (%)</t>
  </si>
  <si>
    <t>EBITDA guidance</t>
  </si>
  <si>
    <t>Net Finance Costs</t>
  </si>
  <si>
    <t>Net Finance Costs Guidance</t>
  </si>
  <si>
    <t>(320-355)</t>
  </si>
  <si>
    <t>(500-510)</t>
  </si>
  <si>
    <t>(510-520)</t>
  </si>
  <si>
    <t>Landlord</t>
  </si>
  <si>
    <t>Recontracting Assumptions</t>
  </si>
  <si>
    <t>Margin Percentile</t>
  </si>
  <si>
    <t>Bull</t>
  </si>
  <si>
    <t>Base</t>
  </si>
  <si>
    <t>Bear</t>
  </si>
  <si>
    <t>Merchant tails</t>
  </si>
  <si>
    <t>Current CGB 10-year yield</t>
  </si>
  <si>
    <t>Long-term CGB 10-year yield</t>
  </si>
  <si>
    <t>Inputs</t>
  </si>
  <si>
    <t>QLD Pool (A$/MWh)</t>
  </si>
  <si>
    <t>WA Pool (A$/MWh)</t>
  </si>
  <si>
    <t>Gas pipelines</t>
  </si>
  <si>
    <t>Midstream</t>
  </si>
  <si>
    <t>%FCF reinvested</t>
  </si>
  <si>
    <t>Growth capex (equity value)</t>
  </si>
  <si>
    <t>Growth capex (enterprise value)</t>
  </si>
  <si>
    <t>Life</t>
  </si>
  <si>
    <t>Target ROIC</t>
  </si>
  <si>
    <t>Growth Projects (future value)</t>
  </si>
  <si>
    <t>Growth Projects (future EV)</t>
  </si>
  <si>
    <t>Growth Projects (NPV)</t>
  </si>
  <si>
    <t>APA Assets DCF</t>
  </si>
  <si>
    <t>Spread over WACC</t>
  </si>
  <si>
    <t>Growth Projects (NPV of EV)</t>
  </si>
  <si>
    <t>Reported EBITDA Margin</t>
  </si>
  <si>
    <t>Current FY</t>
  </si>
  <si>
    <t>12mf</t>
  </si>
  <si>
    <t>Less: Net Debt</t>
  </si>
  <si>
    <t>of</t>
  </si>
  <si>
    <t>p.a.</t>
  </si>
  <si>
    <t>APA Group equity value</t>
  </si>
  <si>
    <t>Valuation (A$m)</t>
  </si>
  <si>
    <t>Equity value per share (A$/share)</t>
  </si>
  <si>
    <t>Number of shares (m)</t>
  </si>
  <si>
    <t>Implied EV/EBITDA (x)</t>
  </si>
  <si>
    <t>APA Group enterprise value</t>
  </si>
  <si>
    <t>Capital gain/(loss)</t>
  </si>
  <si>
    <t>1-year TSR</t>
  </si>
  <si>
    <t>Discount rate</t>
  </si>
  <si>
    <t>Sensitivities</t>
  </si>
  <si>
    <t>Distributions (A$/share)</t>
  </si>
  <si>
    <t>LGC (A$/MWh)</t>
  </si>
  <si>
    <t>Unregulated pipeline renewal</t>
  </si>
  <si>
    <t>Group EBITDA composition</t>
  </si>
  <si>
    <t>Asset management</t>
  </si>
  <si>
    <t>Energy Investments</t>
  </si>
  <si>
    <t>Corporate costs</t>
  </si>
  <si>
    <t>Decade (for valuation composition)</t>
  </si>
  <si>
    <t>Valuation composition</t>
  </si>
  <si>
    <t>0-10 years</t>
  </si>
  <si>
    <t>11-20 years</t>
  </si>
  <si>
    <t>21+ years</t>
  </si>
  <si>
    <t>A$m</t>
  </si>
  <si>
    <t>FY18e</t>
  </si>
  <si>
    <t>http://www.adelaidenow.com.au/business/cooper-energys-355-million-sole-gas-project-off-the-victorian-coast-has-been-approved-by-the-company/news-story/ed67c6ea13ca64666aa648377d039229</t>
  </si>
  <si>
    <t>Cooper Energy (AGL, EA, Alinta, OI)</t>
  </si>
  <si>
    <t>gas processing</t>
  </si>
  <si>
    <t>Vic</t>
  </si>
  <si>
    <t>Orbost Gas Plant</t>
  </si>
  <si>
    <t>http://ppo.com.au/projects/mortlake_pipeline/29332</t>
  </si>
  <si>
    <t>Origin Energy</t>
  </si>
  <si>
    <t>km</t>
  </si>
  <si>
    <t>pipeline</t>
  </si>
  <si>
    <t>Mortlake P</t>
  </si>
  <si>
    <t>Mortlake Pipeline</t>
  </si>
  <si>
    <t>https://www.pipeliner.com.au/2016/03/16/the-moomba-to-sydney-ethane-pipeline/</t>
  </si>
  <si>
    <t>Qenos</t>
  </si>
  <si>
    <t>mm</t>
  </si>
  <si>
    <t>NSW</t>
  </si>
  <si>
    <t>EPX</t>
  </si>
  <si>
    <t>ATCO</t>
  </si>
  <si>
    <t>WA</t>
  </si>
  <si>
    <t>PPS</t>
  </si>
  <si>
    <t>Pilbara Pipeline System expansion2</t>
  </si>
  <si>
    <t>DBNGP</t>
  </si>
  <si>
    <t>Pilbara Pipeline System expansion</t>
  </si>
  <si>
    <t>Horizon?</t>
  </si>
  <si>
    <t>TJ/day</t>
  </si>
  <si>
    <t>Pilbara Pipeline System</t>
  </si>
  <si>
    <t>http://www.cordellconnect.com.au/public/project/ProjectDetails.aspx?uid=587693</t>
  </si>
  <si>
    <t>Bria Nifty</t>
  </si>
  <si>
    <t>Nifty</t>
  </si>
  <si>
    <t>Nifty Pipeline</t>
  </si>
  <si>
    <t>https://www.pipeliner.com.au/2016/03/16/telfer-pipeline-pumping-gas/</t>
  </si>
  <si>
    <t>Newcrest</t>
  </si>
  <si>
    <t>Telfer</t>
  </si>
  <si>
    <t>Telfer Pipeline</t>
  </si>
  <si>
    <t>Alinta Sales Pty Ltd.</t>
  </si>
  <si>
    <t>mw</t>
  </si>
  <si>
    <t>power station</t>
  </si>
  <si>
    <t>BWF</t>
  </si>
  <si>
    <t>Gruyere JV</t>
  </si>
  <si>
    <t>MW</t>
  </si>
  <si>
    <t>YGPS</t>
  </si>
  <si>
    <t>Yamarna Gas-fired Power Station</t>
  </si>
  <si>
    <t>YGP</t>
  </si>
  <si>
    <t>Yamarna Gas Pipeline</t>
  </si>
  <si>
    <t>https://www.erawa.com.au/gas/gas-access/kalgoorlie-to-kambalda-pipeline</t>
  </si>
  <si>
    <t>Kalgoorlie miners?</t>
  </si>
  <si>
    <t>KKP</t>
  </si>
  <si>
    <t xml:space="preserve">Kalgoorlie to Kambalda Pipeline </t>
  </si>
  <si>
    <t>AngloGold Ashanti</t>
  </si>
  <si>
    <t>Dacian Gold Limited</t>
  </si>
  <si>
    <t>Eastern Goldfields Pipeline</t>
  </si>
  <si>
    <t>https://www.pipeliner.com.au/2016/03/16/west-coast-developments-pipelines-in-western-australia/</t>
  </si>
  <si>
    <t>Mt Magnet</t>
  </si>
  <si>
    <t>MWP</t>
  </si>
  <si>
    <t>Mid West Pipeline</t>
  </si>
  <si>
    <t>Synergy</t>
  </si>
  <si>
    <t>EDWF</t>
  </si>
  <si>
    <t>Emu Downs Solar Farm</t>
  </si>
  <si>
    <t>Emu Downs Wind Farm</t>
  </si>
  <si>
    <t>https://www.apa.com.au/globalassets/asx-releases/2011/apa-asx-release---mondarra-expansion---2011-05-26-9am.pdf</t>
  </si>
  <si>
    <t>https://www.pipeliner.com.au/2016/03/16/powering-to-the-finish-line-mondarra-expansion-update/</t>
  </si>
  <si>
    <t>PJ</t>
  </si>
  <si>
    <t>gas storage</t>
  </si>
  <si>
    <t>MGSF</t>
  </si>
  <si>
    <t>Mondarra Gas Storage Facility expansion</t>
  </si>
  <si>
    <t>PGP</t>
  </si>
  <si>
    <t>Parmelia Gas Pipeline</t>
  </si>
  <si>
    <t>+compression</t>
  </si>
  <si>
    <t>GGP</t>
  </si>
  <si>
    <t>Goldfields Gas Pipeline expansion3</t>
  </si>
  <si>
    <t>Goldfields Gas Pipeline expansion2</t>
  </si>
  <si>
    <t>Goldfields Gas Pipeline expansion</t>
  </si>
  <si>
    <t>Alinta</t>
  </si>
  <si>
    <t>Rio, BHP, Glencore</t>
  </si>
  <si>
    <t>http://www.bocworldofwelding.com.au/media/pdf/file/100430_boc_investment_in_vic_final.pdf</t>
  </si>
  <si>
    <t>BOC</t>
  </si>
  <si>
    <t>kt</t>
  </si>
  <si>
    <t>Dandenong</t>
  </si>
  <si>
    <t>Dandenong LNG Storage Facility</t>
  </si>
  <si>
    <t>https://www.pipeliner.com.au/2016/03/16/brooklyn-lara-pipeline/</t>
  </si>
  <si>
    <t>BLP</t>
  </si>
  <si>
    <t>Brooklyn Lara Pipeline</t>
  </si>
  <si>
    <t>https://www.pipeliner.com.au/2015/07/26/apa-agrees-to-new-pipeline-deal/</t>
  </si>
  <si>
    <t>+30</t>
  </si>
  <si>
    <t>VTS</t>
  </si>
  <si>
    <t>Victorian Transmission System expansion3</t>
  </si>
  <si>
    <t>https://www.apa.com.au/news/asx-releases/2013/apa-recontracts-gas-transportation-services-with-origin-energy-on-moomba-sydney-pipeline/</t>
  </si>
  <si>
    <t>https://www.pipeliner.com.au/2014/05/10/lifting-the-victorian-northern-interconnect-expansion-project/</t>
  </si>
  <si>
    <t>+compressor</t>
  </si>
  <si>
    <t>Victorian Transmission System expansion2</t>
  </si>
  <si>
    <t>https://www.pipeliner.com.au/2013/11/12/apa-to-proceed-with-vic-nsw-interconnect-expansion/</t>
  </si>
  <si>
    <t>Victorian Transmission System expansion</t>
  </si>
  <si>
    <t>http://ppo.com.au/projects/victorian_transmission_system/30335?a=V</t>
  </si>
  <si>
    <t>http://www.marubenifinance.com.au/pdf/marubeni-group-australia</t>
  </si>
  <si>
    <t>https://www.apa.com.au/globalassets/asx-releases/2006/2006-03-30-apa-acquires-murraylink.pdf</t>
  </si>
  <si>
    <t>interconnector</t>
  </si>
  <si>
    <t>Murraylink</t>
  </si>
  <si>
    <t>https://www.originenergy.com.au/content/dam/origin/about/investors-media/senate-submission-carbon-risk-disclosure-160331/annual-report-2005.pdf</t>
  </si>
  <si>
    <t>http://www.aemc.gov.au/Energy-Rules/National-gas-rules/Gas-scheme-register/SA-Moomba-to-Queensland-border</t>
  </si>
  <si>
    <t>SA</t>
  </si>
  <si>
    <t>SESA</t>
  </si>
  <si>
    <t>South East South Australia Pipeline</t>
  </si>
  <si>
    <t>AGL</t>
  </si>
  <si>
    <t>Hallet 4</t>
  </si>
  <si>
    <t>North Brown Hill Wind Farm</t>
  </si>
  <si>
    <t>Energy Australia, Origin Energy, International Power</t>
  </si>
  <si>
    <t>SEA Gas Pipeline</t>
  </si>
  <si>
    <t>https://www.pipeliner.com.au/2017/06/20/apa-bowen-pipeline-talks/</t>
  </si>
  <si>
    <t>Blue Energy</t>
  </si>
  <si>
    <t>Qld</t>
  </si>
  <si>
    <t>Bowen P</t>
  </si>
  <si>
    <t>Bowen Pipeline</t>
  </si>
  <si>
    <t>APLNG</t>
  </si>
  <si>
    <t>RCWP</t>
  </si>
  <si>
    <t>Reedy Creek Wallumbilla pipeline</t>
  </si>
  <si>
    <t>Armour Energy</t>
  </si>
  <si>
    <t>NORGAS</t>
  </si>
  <si>
    <t>NORGAS pipeline infrastructure</t>
  </si>
  <si>
    <t>DDSF</t>
  </si>
  <si>
    <t>https://www.apa.com.au/news/asx-releases/2015/apa-completes-lng-pipeline-acquisition/</t>
  </si>
  <si>
    <t>https://www.apa.com.au/globalassets/documents/presentations/2014-12-10-qclng-presentation.pdf</t>
  </si>
  <si>
    <t>CNOOC</t>
  </si>
  <si>
    <t>BG Group</t>
  </si>
  <si>
    <t>WGP</t>
  </si>
  <si>
    <t>Wallumbilla Gladstone Pipeline</t>
  </si>
  <si>
    <t>https://www.pipeliner.com.au/2010/03/09/an-exercise-in-logistics-qsn-3/</t>
  </si>
  <si>
    <t>SWQP</t>
  </si>
  <si>
    <t>Southwest Queensland Pipeline expansion2</t>
  </si>
  <si>
    <t>Santos, GLNG, ERM, IPL</t>
  </si>
  <si>
    <t>Southwest Queensland Pipeline expansion</t>
  </si>
  <si>
    <t>http://www.asx.com.au/asxpdf/20111229/pdf/423k5w909tccwp.pdf</t>
  </si>
  <si>
    <t>Santos, AGL</t>
  </si>
  <si>
    <t>Southwest Queensland Pipeline</t>
  </si>
  <si>
    <t>Xstrata</t>
  </si>
  <si>
    <t>DPS</t>
  </si>
  <si>
    <t>Leichardt Power Station</t>
  </si>
  <si>
    <t>http://www.power-technology.com/news/newssiemens-energy-secures-supply-order-for-australian-combined-cycle-power-station/</t>
  </si>
  <si>
    <t>North West Power System</t>
  </si>
  <si>
    <t>https://www.pipeliner.com.au/2016/03/16/berwyndale-to-wallumbilla-pipeline-completed-in-record-time/</t>
  </si>
  <si>
    <t>BWP</t>
  </si>
  <si>
    <t>Berwyndale Wallumbilla Pipeline</t>
  </si>
  <si>
    <t>X41</t>
  </si>
  <si>
    <t>X41 Power Station</t>
  </si>
  <si>
    <t>https://www.apa.com.au/globalassets/asx-releases/2006/2006-11-01-apa-invests-in-second-queensland-coal-seam-gas-processing-facility.pdf</t>
  </si>
  <si>
    <t>Braemer Power Station</t>
  </si>
  <si>
    <t>Tipton</t>
  </si>
  <si>
    <t>Tipton West Gas Processing Facility</t>
  </si>
  <si>
    <t>https://www.apa.com.au/media/31884/xstrata.pdf</t>
  </si>
  <si>
    <t>Daandine</t>
  </si>
  <si>
    <t>Daandine Power Station</t>
  </si>
  <si>
    <t>Allgas</t>
  </si>
  <si>
    <t>http://mininglink.com.au/site/kogan-north</t>
  </si>
  <si>
    <t>Stanwell</t>
  </si>
  <si>
    <t>KNCGPF</t>
  </si>
  <si>
    <t>Kogan North Gas Processing Facility</t>
  </si>
  <si>
    <t>https://www.apa.com.au/globalassets/asx-releases/2010/apa-group-presentation---expanding-nsw-gas-infrastructure.pdf</t>
  </si>
  <si>
    <t>http://www.gasbb.com.au/~/media/Documents/BB%20Shipper%20List/BB%20Shipper%20List%20-%2020161006%20-%20Carpentaria%20Gas%20Pipeline.pdf</t>
  </si>
  <si>
    <t>Chinova Resources, IPL, MMG</t>
  </si>
  <si>
    <t>CGP</t>
  </si>
  <si>
    <t>Carpentaria Gas Pipeline expansion</t>
  </si>
  <si>
    <t>Origin Energy, Delhi Petroleum</t>
  </si>
  <si>
    <t>IPL, S32, AGK</t>
  </si>
  <si>
    <t>Carpentaria Gas Pipeline</t>
  </si>
  <si>
    <t>https://www.pipeliner.com.au/2011/04/29/apa-to-expand-roma-brisbane-pipeline/</t>
  </si>
  <si>
    <t>IPL, GLNG, Caltex, Stanwell, Caltex, QGC, Weston</t>
  </si>
  <si>
    <t>RBP</t>
  </si>
  <si>
    <t>Roma Brisbane Pipeline expansion</t>
  </si>
  <si>
    <t>http://www.gasbb.com.au/~/media/Documents/BB%20Shipper%20List/BB%20Shipper%20List%20-%2020161006%20-%20Roma%20to%20Brisbane%20Pipeline.pdf</t>
  </si>
  <si>
    <t>Santos, ORG, ERM, AGL</t>
  </si>
  <si>
    <t>Roma Brisbane Pipeline</t>
  </si>
  <si>
    <t>https://www.apa.com.au/globalassets/asx-releases/2011/apa-asx-release---agp-acquisition.pdf</t>
  </si>
  <si>
    <t>NT</t>
  </si>
  <si>
    <t>ABDP</t>
  </si>
  <si>
    <t>PWC</t>
  </si>
  <si>
    <t>BGP</t>
  </si>
  <si>
    <t>Bonaparte Gas Pipeline</t>
  </si>
  <si>
    <t>https://www.pipeliner.com.au/2017/02/01/apa-develop-new-pipeline/</t>
  </si>
  <si>
    <t>Santos</t>
  </si>
  <si>
    <t>WSP</t>
  </si>
  <si>
    <t>Western Slopes Pipeline</t>
  </si>
  <si>
    <t>https://www.pc.gov.au/inquiries/completed/gas/submissions/...pipeline.../sub074.rtf</t>
  </si>
  <si>
    <t>CWP</t>
  </si>
  <si>
    <t>Central West Pipeline</t>
  </si>
  <si>
    <t>https://www.pipeliner.com.au/2010/03/09/apa-expanding-pipeline-system-capacity-across-victoria-and-new-south-wales/</t>
  </si>
  <si>
    <t>Covau, Quenos, Tarac, Weston</t>
  </si>
  <si>
    <t>MSP</t>
  </si>
  <si>
    <t>Moomba Sydney Pipeline expansion2</t>
  </si>
  <si>
    <t>https://www.pipeliner.com.au/2009/10/09/apa-commences-a90-million-capacity-expansion/</t>
  </si>
  <si>
    <t>ERM, Visy</t>
  </si>
  <si>
    <t>Moomba Sydney Pipeline expansion</t>
  </si>
  <si>
    <t>AGL, Santos, ORG</t>
  </si>
  <si>
    <t>Moomba Sydney Pipeline</t>
  </si>
  <si>
    <t>http://www.asx.com.au/asxpdf/20080811/pdf/31bmrdr0ct60zn.pdf</t>
  </si>
  <si>
    <t>https://www.aer.gov.au/networks-pipelines/service-providers-assets/central-ranges-pipeline-gas-distribution-network</t>
  </si>
  <si>
    <t>CRGP</t>
  </si>
  <si>
    <t>Central Ranges Pipeline</t>
  </si>
  <si>
    <t>https://en.wikipedia.org/wiki/Terranora_interconnector</t>
  </si>
  <si>
    <t>DirectLink</t>
  </si>
  <si>
    <t>Directlink</t>
  </si>
  <si>
    <t>Age</t>
  </si>
  <si>
    <t>Construction cost/km (estimated)</t>
  </si>
  <si>
    <t>Construction cost/km</t>
  </si>
  <si>
    <t>Source2</t>
  </si>
  <si>
    <t>Source1</t>
  </si>
  <si>
    <t>Counterparty2</t>
  </si>
  <si>
    <t>Counterparty1</t>
  </si>
  <si>
    <t>Contract expiry</t>
  </si>
  <si>
    <t>Useful life2</t>
  </si>
  <si>
    <t>Contract life</t>
  </si>
  <si>
    <t>Tax life</t>
  </si>
  <si>
    <t>Useful life</t>
  </si>
  <si>
    <t>Commissioning</t>
  </si>
  <si>
    <t>Acquisition/announcement date</t>
  </si>
  <si>
    <t>Size2 Units</t>
  </si>
  <si>
    <t>Size2</t>
  </si>
  <si>
    <t>Size1 Units</t>
  </si>
  <si>
    <t>Size1</t>
  </si>
  <si>
    <t>Book Value</t>
  </si>
  <si>
    <t>Acquisition cost</t>
  </si>
  <si>
    <t>Construction cost</t>
  </si>
  <si>
    <t>Type</t>
  </si>
  <si>
    <t>State</t>
  </si>
  <si>
    <t>APA o'ship (%)</t>
  </si>
  <si>
    <t>Project2</t>
  </si>
  <si>
    <t>Project1</t>
  </si>
  <si>
    <t>Transmission = km and/or MW</t>
  </si>
  <si>
    <t>2 = regulated</t>
  </si>
  <si>
    <t>2 = decommissioned</t>
  </si>
  <si>
    <t>Power station = 25 years</t>
  </si>
  <si>
    <t>Power station = MW</t>
  </si>
  <si>
    <t>1 = light-handed regulation</t>
  </si>
  <si>
    <t>1 = operating</t>
  </si>
  <si>
    <t>web links</t>
  </si>
  <si>
    <t>commissioning date + contract life</t>
  </si>
  <si>
    <t>Assume 25 years</t>
  </si>
  <si>
    <t>Pipeline = 70 years (unless otherwise specified)</t>
  </si>
  <si>
    <t>Pipeline = km and/or TJ/day, diameter</t>
  </si>
  <si>
    <t>formula based off cost and useful life</t>
  </si>
  <si>
    <t>0 = contracted</t>
  </si>
  <si>
    <t>0 = development</t>
  </si>
  <si>
    <t>APA Contract Cover &amp; Book Value Estimates</t>
  </si>
  <si>
    <t>Sources: Company announcements, press releases, Morgan Stanley Research estimates</t>
  </si>
  <si>
    <t>weighted average contract life</t>
  </si>
  <si>
    <t>(All)</t>
  </si>
  <si>
    <t>Row Labels</t>
  </si>
  <si>
    <t>Average of APA o'ship (%)</t>
  </si>
  <si>
    <t>Sum of Construction cost</t>
  </si>
  <si>
    <t>Sum of Commissioning</t>
  </si>
  <si>
    <t>Sum of Useful life</t>
  </si>
  <si>
    <t>Average of Contract expiry</t>
  </si>
  <si>
    <t>Sum of Regulated</t>
  </si>
  <si>
    <t>COD</t>
  </si>
  <si>
    <t>Contract</t>
  </si>
  <si>
    <t>Asset Value - Nominal, Proportionate (A$b)</t>
  </si>
  <si>
    <t>CPI (2012=100)</t>
  </si>
  <si>
    <t>CPI (%)</t>
  </si>
  <si>
    <t>APA Energy Infrastructure EBITDA Estimates by Asset</t>
  </si>
  <si>
    <t>Sources: Company presentations - approximated from company bar charts and segmental EBITDA ex corporate costs (FY16: slide 14, 1H17: slide 26, FY17: FR page p19), using https://automeris.io/WebPlotDigitizer/</t>
  </si>
  <si>
    <t>1H11</t>
  </si>
  <si>
    <t>2H11</t>
  </si>
  <si>
    <t>FY11</t>
  </si>
  <si>
    <t>1H12</t>
  </si>
  <si>
    <t>2H12</t>
  </si>
  <si>
    <t>1H13</t>
  </si>
  <si>
    <t>2H13</t>
  </si>
  <si>
    <t>1H14</t>
  </si>
  <si>
    <t>2H14</t>
  </si>
  <si>
    <t>1H15</t>
  </si>
  <si>
    <t>2H15</t>
  </si>
  <si>
    <t>1H16</t>
  </si>
  <si>
    <t>2H16</t>
  </si>
  <si>
    <t>1H17</t>
  </si>
  <si>
    <t>2H17</t>
  </si>
  <si>
    <t>UR</t>
  </si>
  <si>
    <t xml:space="preserve">South West Queensland Pipeline </t>
  </si>
  <si>
    <t>Other Qld assets</t>
  </si>
  <si>
    <t>Other (Qld)</t>
  </si>
  <si>
    <t>Amadeus</t>
  </si>
  <si>
    <t>Mondarra Gas Storage</t>
  </si>
  <si>
    <t>Mondarra</t>
  </si>
  <si>
    <t>Other WA assets</t>
  </si>
  <si>
    <t>Other (WA)</t>
  </si>
  <si>
    <t>APA Energy Infrastructure EBITDA</t>
  </si>
  <si>
    <t>Light Regulation</t>
  </si>
  <si>
    <t>Unregulated</t>
  </si>
  <si>
    <t>Power</t>
  </si>
  <si>
    <t>%R</t>
  </si>
  <si>
    <t>%LR</t>
  </si>
  <si>
    <t>%UR</t>
  </si>
  <si>
    <t>%PS</t>
  </si>
  <si>
    <t>Pipeline Construction Cost estimates</t>
  </si>
  <si>
    <t>NPV of APA Assets at 6.6%</t>
  </si>
  <si>
    <t>Total</t>
  </si>
  <si>
    <t>Equity</t>
  </si>
  <si>
    <t>vs. BAU</t>
  </si>
  <si>
    <t>A$m (nominal)</t>
  </si>
  <si>
    <t>per share</t>
  </si>
  <si>
    <t>FY19e DCF Impact</t>
  </si>
  <si>
    <t>Net Debt/(Net Debt+Equity) (%)</t>
  </si>
  <si>
    <t>Net Debt/EBITDA</t>
  </si>
  <si>
    <t>Debt/(Debt+Equity)</t>
  </si>
  <si>
    <t>Debt/(Debt+Equity) (%)</t>
  </si>
  <si>
    <t>yield</t>
  </si>
  <si>
    <t>APA.AX,mscalc:targetPrice,,,,USD</t>
  </si>
  <si>
    <t>6.45917985420227</t>
  </si>
  <si>
    <t>DPS yield</t>
  </si>
  <si>
    <t>ð</t>
  </si>
  <si>
    <t>Implied price</t>
  </si>
  <si>
    <t>Publication date</t>
  </si>
  <si>
    <t>APA share price (A$/share)</t>
  </si>
  <si>
    <t>Implied DPS yield (%)</t>
  </si>
  <si>
    <t>EBITDA outcome</t>
  </si>
  <si>
    <t>EPS</t>
  </si>
  <si>
    <t>Old</t>
  </si>
  <si>
    <t>New</t>
  </si>
  <si>
    <t>APA.AX,mstag:bullCaseValueEstimatePerShare</t>
  </si>
  <si>
    <t>APA.AX,mstag:bearCaseValueEstimatePerShare</t>
  </si>
  <si>
    <t>9.82</t>
  </si>
  <si>
    <t>6.51</t>
  </si>
  <si>
    <t>8.22000026702881</t>
  </si>
  <si>
    <t>APA.AX,mscalc:dilutedEarningsPerShare,2018FY,,FYR</t>
  </si>
  <si>
    <t>APA.AX,mscalc:dilutedEarningsPerShare,2020FY,,FYR,,,HOLD</t>
  </si>
  <si>
    <t>APA.AX,mscalc:dilutedEarningsPerShare,2020FY,,FYR</t>
  </si>
  <si>
    <t>APA.AX,mscalc:dilutedEarningsPerShare,2019FY,,FYR</t>
  </si>
  <si>
    <t>APA.AX,mscalc:dilutedEarningsPerShare,2019FY,,FYR,,,HOLD</t>
  </si>
  <si>
    <t>APA.AX,mscalc:dilutedEarningsPerShare,2018FY,,FYR,,,HOLD</t>
  </si>
  <si>
    <t>$AB$2</t>
  </si>
  <si>
    <t>0.239498468034157</t>
  </si>
  <si>
    <t>0.272362779173653</t>
  </si>
  <si>
    <t>0.263682272867677</t>
  </si>
  <si>
    <t>2018FY</t>
  </si>
  <si>
    <t>2019FY</t>
  </si>
  <si>
    <t>2020FY</t>
  </si>
  <si>
    <t>http://www.asx.com.au/asxpdf/20120423/pdf/425rt2d6tytx46.pdf</t>
  </si>
  <si>
    <t>(510-515)</t>
  </si>
  <si>
    <t>Less: 12mf dividends</t>
  </si>
  <si>
    <t>MS price target</t>
  </si>
  <si>
    <t>earnings changes</t>
  </si>
  <si>
    <t>discount rate</t>
  </si>
  <si>
    <t>roll fwd</t>
  </si>
  <si>
    <t>ccy</t>
  </si>
  <si>
    <t>new shares</t>
  </si>
  <si>
    <t>OLD PT</t>
  </si>
  <si>
    <t>7.89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</si>
  <si>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</si>
  <si>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</si>
  <si>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</si>
  <si>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</si>
  <si>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STOCK RATINGS</t>
  </si>
  <si>
    <t>Global Stock Ratings Distribution</t>
  </si>
  <si>
    <t>(as of January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</si>
  <si>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</si>
  <si>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</si>
  <si>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</si>
  <si>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</si>
  <si>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</si>
  <si>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</si>
  <si>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</si>
  <si>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</si>
  <si>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</si>
  <si>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</si>
  <si>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</si>
  <si>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</si>
  <si>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</si>
  <si>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</si>
  <si>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Stock Price, Price Target and Rating History (See Rating Definitions)</t>
  </si>
  <si>
    <t>Important Disclosures for Morgan Stanley Smith Barney LLC Customers</t>
  </si>
  <si>
    <t>Other Important Disclosures</t>
  </si>
  <si>
    <t>Research</t>
  </si>
  <si>
    <t>MSA09LCH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</si>
  <si>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</si>
  <si>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</si>
  <si>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</si>
  <si>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 Austin Road West</t>
  </si>
  <si>
    <t>Kowloon</t>
  </si>
  <si>
    <t>Hong Kong</t>
  </si>
  <si>
    <t>Tel: +852 2848 5200</t>
  </si>
  <si>
    <t>Authors: Rob Koh</t>
  </si>
  <si>
    <t>Date: 28 Feb 2018</t>
  </si>
  <si>
    <t>Ticker: APA.AX</t>
  </si>
  <si>
    <t>Stock Rating: Equal-Weight</t>
  </si>
  <si>
    <t>Industry: Australia Utilities &amp; Infrastructure</t>
  </si>
  <si>
    <t>Industry View: Cautious</t>
  </si>
  <si>
    <t>Price as of 28 Feb 2018: 8.00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</si>
  <si>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</si>
  <si>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</si>
  <si>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</si>
  <si>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</si>
  <si>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</si>
  <si>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</si>
  <si>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</si>
  <si>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</si>
  <si>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</si>
  <si>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</si>
  <si>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</si>
  <si>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</si>
  <si>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</si>
  <si>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</si>
  <si>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</si>
  <si>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</si>
  <si>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</si>
  <si>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</si>
  <si>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</si>
  <si>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</si>
  <si>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</si>
  <si>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</si>
  <si>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</si>
  <si>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</si>
  <si>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</si>
  <si>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</si>
  <si>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</si>
  <si>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</si>
  <si>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</si>
  <si>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</si>
  <si>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</si>
  <si>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</si>
  <si>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</si>
  <si>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</si>
  <si>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</si>
  <si>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</si>
  <si>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</si>
  <si>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</si>
  <si>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</si>
  <si>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</si>
  <si>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</si>
  <si>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</si>
  <si>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</si>
  <si>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</si>
  <si>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</si>
  <si>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</si>
  <si>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</si>
  <si>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</si>
  <si>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</si>
  <si>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</si>
  <si>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</si>
  <si>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</si>
  <si>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</si>
  <si>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</si>
  <si>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</si>
  <si>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</si>
  <si>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</si>
  <si>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</si>
  <si>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</si>
  <si>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</si>
  <si>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</si>
  <si>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</si>
  <si>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</si>
  <si>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</si>
  <si>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Certain information in Morgan Stanley Research was sourced by employees of the Shanghai Representative</t>
  </si>
  <si>
    <t>Office of Morgan Stanley Asia Limited for the use of Morgan Stanley Asia Limited.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</si>
  <si>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</si>
  <si>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</si>
  <si>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</si>
  <si>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</si>
  <si>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</si>
  <si>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</si>
  <si>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</si>
  <si>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</si>
  <si>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</si>
  <si>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</si>
  <si>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</si>
  <si>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</si>
  <si>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</si>
  <si>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</si>
  <si>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</si>
  <si>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</si>
  <si>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</si>
  <si>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</si>
  <si>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</si>
  <si>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</si>
  <si>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</si>
  <si>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</si>
  <si>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</si>
  <si>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</si>
  <si>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</si>
  <si>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</si>
  <si>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</si>
  <si>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</si>
  <si>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</si>
  <si>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</si>
  <si>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</si>
  <si>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</si>
  <si>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</si>
  <si>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</si>
  <si>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</si>
  <si>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</si>
  <si>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</si>
  <si>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</si>
  <si>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</si>
  <si>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</si>
  <si>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</si>
  <si>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</si>
  <si>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</si>
  <si>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</si>
  <si>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</si>
  <si>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</si>
  <si>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</si>
  <si>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</si>
  <si>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</si>
  <si>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</si>
  <si>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</si>
  <si>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</si>
  <si>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</si>
  <si>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</si>
  <si>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</si>
  <si>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</si>
  <si>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</si>
  <si>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</si>
  <si>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</si>
  <si>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</si>
  <si>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</si>
  <si>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</si>
  <si>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</si>
  <si>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</si>
  <si>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</si>
  <si>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</si>
  <si>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</si>
  <si>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</si>
  <si>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</si>
  <si>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</si>
  <si>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</si>
  <si>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</si>
  <si>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</si>
  <si>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</si>
  <si>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</si>
  <si>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</si>
  <si>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</si>
  <si>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</si>
  <si>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</si>
  <si>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</si>
  <si>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</si>
  <si>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</si>
  <si>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</si>
  <si>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</si>
  <si>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</si>
  <si>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</si>
  <si>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</si>
  <si>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</si>
  <si>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</si>
  <si>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</si>
  <si>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</si>
  <si>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</si>
  <si>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</si>
  <si>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</si>
  <si>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</si>
  <si>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</si>
  <si>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</si>
  <si>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</si>
  <si>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</si>
  <si>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</si>
  <si>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</si>
  <si>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</si>
  <si>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</si>
  <si>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</si>
  <si>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</si>
  <si>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</si>
  <si>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</si>
  <si>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</si>
  <si>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</si>
  <si>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</si>
  <si>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</si>
  <si>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</si>
  <si>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</si>
  <si>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</si>
  <si>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</si>
  <si>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</si>
  <si>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</si>
  <si>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</si>
  <si>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</si>
  <si>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</si>
  <si>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</si>
  <si>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</si>
  <si>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</si>
  <si>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</si>
  <si>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</si>
  <si>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</si>
  <si>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</si>
  <si>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</si>
  <si>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</si>
  <si>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</si>
  <si>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</si>
  <si>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</si>
  <si>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</si>
  <si>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</si>
  <si>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</si>
  <si>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</si>
  <si>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</si>
  <si>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</si>
  <si>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</si>
  <si>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</si>
  <si>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</si>
  <si>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</si>
  <si>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</si>
  <si>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</si>
  <si>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</si>
  <si>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</si>
  <si>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</si>
  <si>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</si>
  <si>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</si>
  <si>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</si>
  <si>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</si>
  <si>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</si>
  <si>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</si>
  <si>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</si>
  <si>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</si>
  <si>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</si>
  <si>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</si>
  <si>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</si>
  <si>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APA Group.</t>
  </si>
  <si>
    <t>Within the last 12 months, Morgan Stanley has provided or is providing investment banking services to,</t>
  </si>
  <si>
    <t>or has an investment banking client relationship with, the following company: APA Group.</t>
  </si>
  <si>
    <t>In the next 3 months, Morgan Stanley expects to receive or intends to seek compensation for investment</t>
  </si>
  <si>
    <t>banking services from APA Group.</t>
  </si>
  <si>
    <t>Within the last 12 months, Morgan Stanley has received compensation for investment banking services from</t>
  </si>
  <si>
    <t>APA Group.</t>
  </si>
  <si>
    <t>Within the last 12 months, Morgan Stanley managed or co-managed a public offering (or 144A offering) of</t>
  </si>
  <si>
    <t>securities of APA Group.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</si>
  <si>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</si>
  <si>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</si>
  <si>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</si>
  <si>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</si>
  <si>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</si>
  <si>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Rob Koh.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</si>
  <si>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</si>
  <si>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</si>
  <si>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</si>
  <si>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</si>
  <si>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</si>
  <si>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</si>
  <si>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</si>
  <si>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</si>
  <si>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</si>
  <si>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</si>
  <si>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or are disseminated by Morgan</t>
  </si>
  <si>
    <t>Stanley Asia Limited (which accepts the responsibility for its contents) and/or Morgan Stanley Asia</t>
  </si>
  <si>
    <t>(Singapore) Pte. (Registration number 199206298Z) and/or Morgan Stanley Asia (Singapore) Securities Pte</t>
  </si>
  <si>
    <t>Ltd (Registration number 200008434H), regulated by the Monetary Authority of Singapore (which accepts</t>
  </si>
  <si>
    <t>legal responsibility for its contents and should be contacted with respect to any matters arising from,</t>
  </si>
  <si>
    <t>or in connection with, Morgan Stanley Research), and/or Morgan Stanley Taiwan Limited and/or Morgan</t>
  </si>
  <si>
    <t>Stanley &amp; Co International plc, Seoul Branch, and/or Morgan Stanley Australia Limited (A.B.N. 67 003 734</t>
  </si>
  <si>
    <t>576, holder of Australian financial services license No. 233742, which accepts responsibility for its</t>
  </si>
  <si>
    <t>contents), and/or Morgan Stanley Wealth Management Australia Pty Ltd (A.B.N. 19 009 145 555, holder of</t>
  </si>
  <si>
    <t>Australian financial services license No. 240813, which accepts responsibility for its contents), and/or</t>
  </si>
  <si>
    <t>Morgan Stanley India Company Private Limited, regulated by the Securities and Exchange Board of India</t>
  </si>
  <si>
    <t>(“SEBI”) and holder of licenses as a Research Analyst (SEBI Registration No. INH000001105); Stock Broker</t>
  </si>
  <si>
    <t>(BSE Registration No. INB011054237 and NSE Registration No. INB/INF231054231), Merchant Banker (SEBI</t>
  </si>
  <si>
    <t>Registration No. INM000011203), and depository participant with National Securities Depository Limited</t>
  </si>
  <si>
    <t>(SEBI Registration No. IN-DP-NSDL-372-2014) which accepts the responsibility for its contents and should</t>
  </si>
  <si>
    <t>be contacted with respect to any matters arising from, or in connection with, Morgan Stanley Research,</t>
  </si>
  <si>
    <t>and/or PT. Morgan Stanley Sekuritas Indonesia and their affiliates (collectively, "Morgan Stanley").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</si>
  <si>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</si>
  <si>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</si>
  <si>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</si>
  <si>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</si>
  <si>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</si>
  <si>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</si>
  <si>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</si>
  <si>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</si>
  <si>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</si>
  <si>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</si>
  <si>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</si>
  <si>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</si>
  <si>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</si>
  <si>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</si>
  <si>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</si>
  <si>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</si>
  <si>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</si>
  <si>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</si>
  <si>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</si>
  <si>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</si>
  <si>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</si>
  <si>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</si>
  <si>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</si>
  <si>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</si>
  <si>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</si>
  <si>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</si>
  <si>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</si>
  <si>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</si>
  <si>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</si>
  <si>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</si>
  <si>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</si>
  <si>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</si>
  <si>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</si>
  <si>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</si>
  <si>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</si>
  <si>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</si>
  <si>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</si>
  <si>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</si>
  <si>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</si>
  <si>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</si>
  <si>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</si>
  <si>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</si>
  <si>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</si>
  <si>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</si>
  <si>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</si>
  <si>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</si>
  <si>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</si>
  <si>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</si>
  <si>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</si>
  <si>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</si>
  <si>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</si>
  <si>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</si>
  <si>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Equal-Weight / Cautious</t>
  </si>
  <si>
    <t>Regular Update</t>
  </si>
  <si>
    <t>AsiaPacific</t>
  </si>
  <si>
    <t>khaniqb</t>
  </si>
  <si>
    <t>L:\USERS\Utilities\APA\1_Models\20180227 APA WIPv1.xlsm</t>
  </si>
  <si>
    <t>[BRO MSA]</t>
  </si>
  <si>
    <t>[PRODUCT MODEL]</t>
  </si>
  <si>
    <t>[EMAIL_ALERT YES]</t>
  </si>
  <si>
    <t>[DISCIPLINE Company]</t>
  </si>
  <si>
    <t>[SUPPRESSED NO]</t>
  </si>
  <si>
    <t>[DOCDAT 2018-02-28]</t>
  </si>
  <si>
    <t>[DOCTIME 05:45]</t>
  </si>
  <si>
    <t>[PSYM APA.AX(Reuters) (None)]</t>
  </si>
  <si>
    <t>[COU 39]</t>
  </si>
  <si>
    <t>[ANA ]</t>
  </si>
  <si>
    <t>[HL APA.AX Model]</t>
  </si>
  <si>
    <t>[IND ]</t>
  </si>
  <si>
    <t>[PANA MSA09LCH]</t>
  </si>
  <si>
    <t>Target Price: 8.24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</si>
</sst>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-&quot;$&quot;* #,##0.00_-;\-&quot;$&quot;* #,##0.00_-;_-&quot;$&quot;* &quot;-&quot;??_-;_-@_-"/>
    <numFmt numFmtId="167" formatCode="#,##0.0"/>
    <numFmt numFmtId="168" formatCode="0.0%"/>
    <numFmt numFmtId="169" formatCode="#,##0.000"/>
    <numFmt numFmtId="170" formatCode="#,##0.0000"/>
    <numFmt numFmtId="171" formatCode="#,##0.00&quot;&quot;;\(#,##0.00\)&quot;&quot;"/>
    <numFmt numFmtId="172" formatCode="_-* #,##0_-;\(#,##0\);_-* &quot;-&quot;??_-;_-@_-"/>
    <numFmt numFmtId="173" formatCode="#,##0.0&quot;x&quot;"/>
    <numFmt numFmtId="174" formatCode="0.0&quot;x&quot;"/>
    <numFmt numFmtId="175" formatCode="0.00&quot;x&quot;"/>
    <numFmt numFmtId="176" formatCode="0;\(0\)"/>
    <numFmt numFmtId="177" formatCode="&quot;FY&quot;yy"/>
    <numFmt numFmtId="178" formatCode="&quot;FY&quot;yy&quot;e&quot;"/>
    <numFmt numFmtId="179" formatCode="_-* #,##0.00_-;\(#,##0.00\);_-* &quot;-&quot;??_-;_-@_-"/>
    <numFmt numFmtId="180" formatCode="_-* #,##0.0_-;\(#,##0.0\);_-* &quot;-&quot;??_-;_-@_-"/>
    <numFmt numFmtId="181" formatCode="#,##0.00&quot;x&quot;"/>
    <numFmt numFmtId="182" formatCode="mmm\ yyyy"/>
    <numFmt numFmtId="183" formatCode="_(* #,##0.0_);_(* \(#,##0.0\);_(* &quot;-&quot;??_);_(@_)"/>
    <numFmt numFmtId="184" formatCode="_(* #,##0.0000_);_(* \(#,##0.0000\);_(* &quot;-&quot;??_);_(@_)"/>
    <numFmt numFmtId="185" formatCode="0.000%"/>
    <numFmt numFmtId="186" formatCode="#&quot; years&quot;"/>
    <numFmt numFmtId="187" formatCode="_(* #,##0_);_(* \(#,##0\);_(* &quot;-&quot;??_);_(@_)"/>
    <numFmt numFmtId="188" formatCode="#,##0.0\x"/>
    <numFmt numFmtId="189" formatCode="_(* #,##0.000_);_(* \(#,##0.000\);_(* &quot;-&quot;??_);_(@_)"/>
    <numFmt numFmtId="190" formatCode="0.0%;\(0.0%\)"/>
    <numFmt numFmtId="191" formatCode="[$-409]mmm\-yyyy;@"/>
    <numFmt numFmtId="192" formatCode="yyyy"/>
    <numFmt numFmtId="193" formatCode="_-* #,##0.0_-;\-* #,##0.0_-;_-* &quot;-&quot;??_-;_-@_-"/>
    <numFmt numFmtId="194" formatCode="0.0"/>
    <numFmt numFmtId="195" formatCode="_-* #,##0_-;\-* #,##0_-;_-* &quot;-&quot;??_-;_-@_-"/>
    <numFmt numFmtId="196" formatCode="mmm\-yy&quot;e&quot;"/>
    <numFmt numFmtId="197" formatCode="#,##0.000&quot; e&quot;;\(#,##0.000\)&quot; e&quot;"/>
    <numFmt numFmtId="198" formatCode="mm/dd/yy\ hh:mm"/>
  </numFmts>
  <fonts count="103" x14ac:knownFonts="1">
    <font>
      <sz val="8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sz val="8"/>
      <color indexed="12"/>
      <name val="Arial"/>
      <family val="2"/>
    </font>
    <font>
      <i/>
      <sz val="8"/>
      <name val="Arial"/>
      <family val="2"/>
    </font>
    <font>
      <sz val="8"/>
      <name val="Arial"/>
      <family val="2"/>
    </font>
    <font>
      <sz val="8"/>
      <color indexed="54"/>
      <name val="Arial"/>
      <family val="2"/>
    </font>
    <font>
      <b/>
      <sz val="8"/>
      <color indexed="54"/>
      <name val="Arial"/>
      <family val="2"/>
    </font>
    <font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8"/>
      <color indexed="54"/>
      <name val="Arial"/>
      <family val="2"/>
    </font>
    <font>
      <b/>
      <sz val="8"/>
      <color indexed="12"/>
      <name val="Arial"/>
      <family val="2"/>
    </font>
    <font>
      <sz val="10"/>
      <name val="Arial"/>
      <family val="2"/>
    </font>
    <font>
      <sz val="10"/>
      <name val="Helvetica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u/>
      <sz val="10"/>
      <color indexed="12"/>
      <name val="Arial"/>
      <family val="2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sz val="8"/>
      <color indexed="54"/>
      <name val="Arial"/>
      <family val="2"/>
    </font>
    <font>
      <sz val="8"/>
      <color indexed="10"/>
      <name val="Arial"/>
      <family val="2"/>
    </font>
    <font>
      <b/>
      <sz val="10"/>
      <color indexed="54"/>
      <name val="Arial"/>
      <family val="2"/>
    </font>
    <font>
      <sz val="8"/>
      <color indexed="9"/>
      <name val="Arial"/>
      <family val="2"/>
    </font>
    <font>
      <sz val="11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i/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sz val="8"/>
      <color indexed="28"/>
      <name val="Arial"/>
      <family val="2"/>
    </font>
    <font>
      <sz val="8"/>
      <color indexed="48"/>
      <name val="Arial"/>
      <family val="2"/>
    </font>
    <font>
      <b/>
      <i/>
      <sz val="8"/>
      <color indexed="48"/>
      <name val="Arial"/>
      <family val="2"/>
    </font>
    <font>
      <b/>
      <sz val="8"/>
      <color indexed="48"/>
      <name val="Arial"/>
      <family val="2"/>
    </font>
    <font>
      <i/>
      <sz val="8"/>
      <color indexed="48"/>
      <name val="Arial"/>
      <family val="2"/>
    </font>
    <font>
      <i/>
      <sz val="8"/>
      <color indexed="54"/>
      <name val="Arial"/>
      <family val="2"/>
    </font>
    <font>
      <i/>
      <sz val="8"/>
      <color indexed="12"/>
      <name val="Arial"/>
      <family val="2"/>
    </font>
    <font>
      <sz val="8"/>
      <color indexed="48"/>
      <name val="Arial"/>
      <family val="2"/>
    </font>
    <font>
      <sz val="8"/>
      <color indexed="24"/>
      <name val="Arial"/>
      <family val="2"/>
    </font>
    <font>
      <b/>
      <i/>
      <sz val="8"/>
      <color indexed="24"/>
      <name val="Arial"/>
      <family val="2"/>
    </font>
    <font>
      <b/>
      <sz val="8"/>
      <color indexed="24"/>
      <name val="Arial"/>
      <family val="2"/>
    </font>
    <font>
      <sz val="8"/>
      <color indexed="10"/>
      <name val="Arial"/>
      <family val="2"/>
    </font>
    <font>
      <i/>
      <sz val="8"/>
      <color indexed="48"/>
      <name val="Arial"/>
      <family val="2"/>
    </font>
    <font>
      <sz val="8"/>
      <color indexed="48"/>
      <name val="Arial"/>
      <family val="2"/>
    </font>
    <font>
      <sz val="9"/>
      <name val="Arial"/>
      <family val="2"/>
    </font>
    <font>
      <u/>
      <sz val="9"/>
      <color indexed="12"/>
      <name val="Arial"/>
      <family val="2"/>
    </font>
    <font>
      <b/>
      <u/>
      <sz val="8"/>
      <name val="Arial"/>
      <family val="2"/>
    </font>
    <font>
      <sz val="8"/>
      <color indexed="8"/>
      <name val="Arial"/>
      <family val="2"/>
    </font>
    <font>
      <sz val="11"/>
      <color theme="1"/>
      <name val="Calibri"/>
      <family val="2"/>
      <scheme val="minor"/>
    </font>
    <font>
      <sz val="8"/>
      <color theme="4"/>
      <name val="Arial"/>
      <family val="2"/>
    </font>
    <font>
      <b/>
      <sz val="8"/>
      <color theme="0"/>
      <name val="Arial"/>
      <family val="2"/>
    </font>
    <font>
      <sz val="8"/>
      <color theme="0"/>
      <name val="Arial"/>
      <family val="2"/>
    </font>
    <font>
      <i/>
      <sz val="8"/>
      <color theme="4"/>
      <name val="Arial"/>
      <family val="2"/>
    </font>
    <font>
      <b/>
      <sz val="8"/>
      <color theme="4"/>
      <name val="Arial"/>
      <family val="2"/>
    </font>
    <font>
      <sz val="8"/>
      <color theme="3" tint="0.39997558519241921"/>
      <name val="Arial"/>
      <family val="2"/>
    </font>
    <font>
      <sz val="8"/>
      <color theme="1"/>
      <name val="Arial"/>
      <family val="2"/>
    </font>
    <font>
      <i/>
      <sz val="8"/>
      <color theme="1"/>
      <name val="Arial"/>
      <family val="2"/>
    </font>
    <font>
      <b/>
      <sz val="8"/>
      <color theme="1"/>
      <name val="Arial"/>
      <family val="2"/>
    </font>
    <font>
      <sz val="8"/>
      <color rgb="FF137CB1"/>
      <name val="Arial"/>
      <family val="2"/>
    </font>
    <font>
      <sz val="8"/>
      <color rgb="FF7030A0"/>
      <name val="Arial"/>
      <family val="2"/>
    </font>
    <font>
      <sz val="8"/>
      <color rgb="FFFF0000"/>
      <name val="Arial"/>
      <family val="2"/>
    </font>
    <font>
      <b/>
      <i/>
      <sz val="8"/>
      <color theme="4"/>
      <name val="Arial"/>
      <family val="2"/>
    </font>
    <font>
      <b/>
      <sz val="8"/>
      <color rgb="FFFF0000"/>
      <name val="Arial"/>
      <family val="2"/>
    </font>
    <font>
      <sz val="8"/>
      <color theme="0" tint="-0.34998626667073579"/>
      <name val="Arial"/>
      <family val="2"/>
    </font>
    <font>
      <b/>
      <sz val="8"/>
      <color theme="6" tint="-0.249977111117893"/>
      <name val="Arial"/>
      <family val="2"/>
    </font>
    <font>
      <sz val="8"/>
      <color theme="6" tint="-0.249977111117893"/>
      <name val="Arial"/>
      <family val="2"/>
    </font>
    <font>
      <b/>
      <i/>
      <sz val="8"/>
      <color rgb="FFFF0000"/>
      <name val="Arial"/>
      <family val="2"/>
    </font>
    <font>
      <i/>
      <sz val="8"/>
      <color rgb="FFFF0000"/>
      <name val="Arial"/>
      <family val="2"/>
    </font>
    <font>
      <b/>
      <sz val="8"/>
      <color theme="6" tint="-0.24994659260841701"/>
      <name val="Arial"/>
      <family val="2"/>
    </font>
    <font>
      <sz val="8"/>
      <color theme="6" tint="-0.24994659260841701"/>
      <name val="Arial"/>
      <family val="2"/>
    </font>
    <font>
      <i/>
      <sz val="8"/>
      <color theme="6" tint="-0.24994659260841701"/>
      <name val="Arial"/>
      <family val="2"/>
    </font>
    <font>
      <i/>
      <sz val="8"/>
      <color theme="6" tint="-0.249977111117893"/>
      <name val="Arial"/>
      <family val="2"/>
    </font>
    <font>
      <i/>
      <sz val="8"/>
      <color rgb="FF0070C0"/>
      <name val="Arial"/>
      <family val="2"/>
    </font>
    <font>
      <sz val="8"/>
      <color rgb="FF0070C0"/>
      <name val="Arial"/>
      <family val="2"/>
    </font>
    <font>
      <b/>
      <i/>
      <sz val="8"/>
      <color rgb="FF137CB1"/>
      <name val="Arial"/>
      <family val="2"/>
    </font>
    <font>
      <b/>
      <sz val="8"/>
      <color rgb="FF137CB1"/>
      <name val="Arial"/>
      <family val="2"/>
    </font>
    <font>
      <sz val="8"/>
      <color rgb="FFE58061"/>
      <name val="Arial"/>
      <family val="2"/>
    </font>
    <font>
      <sz val="8"/>
      <color theme="9" tint="-0.249977111117893"/>
      <name val="Arial"/>
      <family val="2"/>
    </font>
    <font>
      <b/>
      <sz val="12"/>
      <color theme="1"/>
      <name val="Arial"/>
      <family val="2"/>
    </font>
    <font>
      <sz val="9"/>
      <color theme="1"/>
      <name val="Arial"/>
      <family val="2"/>
    </font>
    <font>
      <i/>
      <sz val="9"/>
      <color theme="4"/>
      <name val="Arial"/>
      <family val="2"/>
    </font>
    <font>
      <i/>
      <sz val="9"/>
      <color theme="1"/>
      <name val="Arial"/>
      <family val="2"/>
    </font>
    <font>
      <b/>
      <sz val="14"/>
      <color theme="1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i/>
      <sz val="9"/>
      <color theme="4"/>
      <name val="Arial"/>
      <family val="2"/>
    </font>
    <font>
      <sz val="9"/>
      <color theme="4"/>
      <name val="Arial"/>
      <family val="2"/>
    </font>
    <font>
      <i/>
      <sz val="9"/>
      <name val="Arial"/>
      <family val="2"/>
    </font>
    <font>
      <b/>
      <sz val="11"/>
      <color theme="1"/>
      <name val="Calibri"/>
      <family val="2"/>
      <scheme val="minor"/>
    </font>
    <font>
      <b/>
      <i/>
      <sz val="8"/>
      <color theme="1"/>
      <name val="Arial"/>
      <family val="2"/>
    </font>
    <font>
      <sz val="8"/>
      <name val="Wingdings"/>
      <charset val="2"/>
    </font>
    <font>
      <b/>
      <i/>
      <sz val="9"/>
      <name val="Arial"/>
      <family val="2"/>
    </font>
    <font>
      <sz val="9"/>
      <color rgb="FFFF0000"/>
      <name val="Arial"/>
      <family val="2"/>
    </font>
    <font>
      <b/>
      <sz val="8"/>
      <color rgb="FF7030A0"/>
      <name val="Arial"/>
      <family val="2"/>
    </font>
    <font>
      <b/>
      <sz val="12"/>
      <color rgb="FF000080"/>
      <name val="Arial"/>
      <family val="2"/>
    </font>
    <font>
      <sz val="10"/>
      <color rgb="FF000000"/>
      <name val="Arial"/>
      <family val="2"/>
    </font>
    <font>
      <sz val="10"/>
      <name val="Courier"/>
      <family val="3"/>
    </font>
    <font>
      <i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137CB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C1D2"/>
        <bgColor indexed="64"/>
      </patternFill>
    </fill>
    <fill>
      <patternFill patternType="solid">
        <fgColor theme="1"/>
        <bgColor indexed="64"/>
      </patternFill>
    </fill>
    <fill>
      <patternFill patternType="lightUp">
        <bgColor rgb="FFFFFFCC"/>
      </patternFill>
    </fill>
    <fill>
      <patternFill patternType="solid">
        <fgColor rgb="FFFFFFCC"/>
        <bgColor auto="1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indexed="65"/>
        <bgColor indexed="64"/>
      </patternFill>
    </fill>
  </fills>
  <borders count="2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48">
    <xf numFmtId="167" fontId="0" fillId="0" borderId="0"/>
    <xf numFmtId="0" fontId="16" fillId="0" borderId="0" applyFont="0" applyFill="0" applyBorder="0" applyAlignment="0" applyProtection="0"/>
    <xf numFmtId="0" fontId="17" fillId="0" borderId="0"/>
    <xf numFmtId="0" fontId="16" fillId="0" borderId="0"/>
    <xf numFmtId="0" fontId="18" fillId="0" borderId="0"/>
    <xf numFmtId="0" fontId="18" fillId="0" borderId="0"/>
    <xf numFmtId="0" fontId="16" fillId="0" borderId="0"/>
    <xf numFmtId="0" fontId="19" fillId="0" borderId="0"/>
    <xf numFmtId="165" fontId="16" fillId="0" borderId="0" applyFont="0" applyFill="0" applyBorder="0" applyAlignment="0" applyProtection="0"/>
    <xf numFmtId="165" fontId="53" fillId="0" borderId="0" applyFont="0" applyFill="0" applyBorder="0" applyAlignment="0" applyProtection="0"/>
    <xf numFmtId="43" fontId="3" fillId="0" borderId="0" applyFont="0" applyFill="0" applyBorder="0" applyAlignment="0" applyProtection="0"/>
    <xf numFmtId="165" fontId="16" fillId="0" borderId="0" applyFont="0" applyFill="0" applyBorder="0" applyAlignment="0" applyProtection="0"/>
    <xf numFmtId="166" fontId="16" fillId="0" borderId="0" applyFont="0" applyFill="0" applyBorder="0" applyAlignment="0" applyProtection="0"/>
    <xf numFmtId="167" fontId="9" fillId="2" borderId="0">
      <alignment horizontal="right"/>
    </xf>
    <xf numFmtId="167" fontId="10" fillId="3" borderId="1"/>
    <xf numFmtId="0" fontId="20" fillId="0" borderId="0" applyNumberFormat="0" applyFill="0" applyBorder="0" applyAlignment="0" applyProtection="0">
      <alignment vertical="top"/>
      <protection locked="0"/>
    </xf>
    <xf numFmtId="168" fontId="7" fillId="0" borderId="0"/>
    <xf numFmtId="0" fontId="16" fillId="0" borderId="0"/>
    <xf numFmtId="0" fontId="53" fillId="0" borderId="0"/>
    <xf numFmtId="0" fontId="16" fillId="0" borderId="0"/>
    <xf numFmtId="0" fontId="53" fillId="0" borderId="0"/>
    <xf numFmtId="0" fontId="3" fillId="0" borderId="0"/>
    <xf numFmtId="167" fontId="3" fillId="0" borderId="0"/>
    <xf numFmtId="0" fontId="21" fillId="0" borderId="0">
      <alignment vertical="center"/>
    </xf>
    <xf numFmtId="9" fontId="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53" fillId="0" borderId="0" applyFont="0" applyFill="0" applyBorder="0" applyAlignment="0" applyProtection="0"/>
    <xf numFmtId="167" fontId="9" fillId="4" borderId="0"/>
    <xf numFmtId="0" fontId="16" fillId="2" borderId="0" applyNumberFormat="0" applyFont="0" applyBorder="0" applyAlignment="0" applyProtection="0"/>
    <xf numFmtId="0" fontId="16" fillId="2" borderId="0" applyNumberFormat="0" applyFont="0" applyBorder="0" applyAlignment="0" applyProtection="0"/>
    <xf numFmtId="0" fontId="22" fillId="0" borderId="0"/>
    <xf numFmtId="0" fontId="22" fillId="0" borderId="2">
      <alignment horizontal="centerContinuous"/>
    </xf>
    <xf numFmtId="0" fontId="23" fillId="0" borderId="2"/>
    <xf numFmtId="0" fontId="16" fillId="0" borderId="0">
      <alignment vertical="top"/>
    </xf>
    <xf numFmtId="167" fontId="8" fillId="0" borderId="1"/>
    <xf numFmtId="167" fontId="4" fillId="3" borderId="1"/>
    <xf numFmtId="10" fontId="8" fillId="0" borderId="0" applyFont="0" applyBorder="0"/>
    <xf numFmtId="0" fontId="2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84" fillId="0" borderId="0" applyFont="0" applyFill="0" applyBorder="0" applyAlignment="0" applyProtection="0"/>
    <xf numFmtId="0" fontId="84" fillId="0" borderId="0"/>
    <xf numFmtId="9" fontId="84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6" fillId="0" borderId="0" applyFont="0" applyFill="0" applyBorder="0" applyAlignment="0" applyProtection="0"/>
    <xf numFmtId="0" fontId="101" fillId="0" borderId="0"/>
  </cellStyleXfs>
  <cellXfs count="1048">
    <xf numFmtId="167" fontId="0" fillId="0" borderId="0" xfId="0"/>
    <xf numFmtId="167" fontId="4" fillId="3" borderId="1" xfId="0" applyFont="1" applyFill="1" applyBorder="1"/>
    <xf numFmtId="167" fontId="4" fillId="3" borderId="1" xfId="35"/>
    <xf numFmtId="167" fontId="4" fillId="3" borderId="1" xfId="35" applyAlignment="1">
      <alignment horizontal="right"/>
    </xf>
    <xf numFmtId="167" fontId="10" fillId="3" borderId="1" xfId="14" applyAlignment="1">
      <alignment horizontal="right"/>
    </xf>
    <xf numFmtId="10" fontId="4" fillId="3" borderId="3" xfId="35" applyNumberFormat="1" applyBorder="1" applyAlignment="1">
      <alignment horizontal="right"/>
    </xf>
    <xf numFmtId="167" fontId="3" fillId="0" borderId="0" xfId="0" applyFont="1" applyFill="1" applyAlignment="1">
      <alignment horizontal="right"/>
    </xf>
    <xf numFmtId="167" fontId="0" fillId="0" borderId="0" xfId="0" applyFill="1" applyAlignment="1">
      <alignment horizontal="left"/>
    </xf>
    <xf numFmtId="167" fontId="0" fillId="0" borderId="0" xfId="0" applyFill="1"/>
    <xf numFmtId="167" fontId="0" fillId="0" borderId="0" xfId="0" applyFill="1" applyAlignment="1">
      <alignment horizontal="right"/>
    </xf>
    <xf numFmtId="168" fontId="0" fillId="0" borderId="0" xfId="0" applyNumberFormat="1" applyFill="1" applyAlignment="1">
      <alignment horizontal="right"/>
    </xf>
    <xf numFmtId="167" fontId="8" fillId="0" borderId="0" xfId="0" applyFont="1" applyFill="1" applyAlignment="1">
      <alignment horizontal="left"/>
    </xf>
    <xf numFmtId="167" fontId="8" fillId="0" borderId="0" xfId="0" applyFont="1" applyFill="1"/>
    <xf numFmtId="167" fontId="8" fillId="0" borderId="0" xfId="0" applyFont="1" applyFill="1" applyBorder="1"/>
    <xf numFmtId="167" fontId="7" fillId="5" borderId="0" xfId="0" applyFont="1" applyFill="1"/>
    <xf numFmtId="167" fontId="7" fillId="5" borderId="0" xfId="0" applyFont="1" applyFill="1" applyAlignment="1">
      <alignment horizontal="right"/>
    </xf>
    <xf numFmtId="49" fontId="0" fillId="0" borderId="0" xfId="0" applyNumberFormat="1"/>
    <xf numFmtId="167" fontId="4" fillId="3" borderId="1" xfId="35" applyFont="1"/>
    <xf numFmtId="167" fontId="8" fillId="0" borderId="0" xfId="34" applyFont="1" applyFill="1" applyBorder="1"/>
    <xf numFmtId="168" fontId="4" fillId="3" borderId="1" xfId="35" applyNumberFormat="1" applyAlignment="1">
      <alignment horizontal="right"/>
    </xf>
    <xf numFmtId="168" fontId="10" fillId="3" borderId="1" xfId="14" applyNumberFormat="1" applyAlignment="1">
      <alignment horizontal="right"/>
    </xf>
    <xf numFmtId="167" fontId="4" fillId="3" borderId="1" xfId="35" applyNumberFormat="1" applyAlignment="1">
      <alignment horizontal="right"/>
    </xf>
    <xf numFmtId="9" fontId="4" fillId="3" borderId="1" xfId="35" applyNumberFormat="1" applyAlignment="1">
      <alignment horizontal="right"/>
    </xf>
    <xf numFmtId="167" fontId="8" fillId="0" borderId="0" xfId="0" applyFont="1" applyFill="1" applyAlignment="1">
      <alignment horizontal="right"/>
    </xf>
    <xf numFmtId="167" fontId="0" fillId="0" borderId="0" xfId="0" applyFill="1" applyBorder="1"/>
    <xf numFmtId="167" fontId="7" fillId="0" borderId="0" xfId="0" applyFont="1" applyFill="1" applyBorder="1"/>
    <xf numFmtId="167" fontId="9" fillId="4" borderId="0" xfId="27" applyAlignment="1">
      <alignment horizontal="right"/>
    </xf>
    <xf numFmtId="10" fontId="8" fillId="4" borderId="0" xfId="36" applyFont="1" applyFill="1" applyAlignment="1">
      <alignment horizontal="right"/>
    </xf>
    <xf numFmtId="4" fontId="8" fillId="4" borderId="0" xfId="36" applyNumberFormat="1" applyFont="1" applyFill="1" applyAlignment="1">
      <alignment horizontal="right"/>
    </xf>
    <xf numFmtId="9" fontId="8" fillId="4" borderId="0" xfId="36" applyNumberFormat="1" applyFont="1" applyFill="1" applyAlignment="1">
      <alignment horizontal="right"/>
    </xf>
    <xf numFmtId="10" fontId="4" fillId="3" borderId="1" xfId="35" applyNumberFormat="1" applyAlignment="1">
      <alignment horizontal="right"/>
    </xf>
    <xf numFmtId="10" fontId="10" fillId="3" borderId="1" xfId="14" applyNumberFormat="1" applyAlignment="1">
      <alignment horizontal="right"/>
    </xf>
    <xf numFmtId="4" fontId="9" fillId="4" borderId="0" xfId="27" applyNumberFormat="1" applyAlignment="1">
      <alignment horizontal="right"/>
    </xf>
    <xf numFmtId="167" fontId="4" fillId="3" borderId="1" xfId="14" applyFont="1" applyAlignment="1">
      <alignment horizontal="right"/>
    </xf>
    <xf numFmtId="167" fontId="15" fillId="3" borderId="1" xfId="35" applyFont="1" applyAlignment="1">
      <alignment horizontal="right"/>
    </xf>
    <xf numFmtId="167" fontId="4" fillId="3" borderId="1" xfId="35" applyFont="1" applyAlignment="1">
      <alignment horizontal="right"/>
    </xf>
    <xf numFmtId="168" fontId="4" fillId="3" borderId="1" xfId="35" applyNumberFormat="1" applyFont="1" applyAlignment="1">
      <alignment horizontal="right"/>
    </xf>
    <xf numFmtId="10" fontId="10" fillId="3" borderId="1" xfId="14" applyNumberFormat="1" applyFont="1" applyAlignment="1">
      <alignment horizontal="right"/>
    </xf>
    <xf numFmtId="10" fontId="4" fillId="3" borderId="1" xfId="14" applyNumberFormat="1" applyFont="1" applyAlignment="1">
      <alignment horizontal="right"/>
    </xf>
    <xf numFmtId="167" fontId="9" fillId="0" borderId="0" xfId="13" applyFill="1" applyAlignment="1">
      <alignment horizontal="right"/>
    </xf>
    <xf numFmtId="9" fontId="0" fillId="0" borderId="0" xfId="0" applyNumberFormat="1" applyFill="1" applyAlignment="1">
      <alignment horizontal="right"/>
    </xf>
    <xf numFmtId="167" fontId="11" fillId="4" borderId="0" xfId="0" applyFont="1" applyFill="1"/>
    <xf numFmtId="167" fontId="8" fillId="0" borderId="0" xfId="13" applyFont="1" applyFill="1">
      <alignment horizontal="right"/>
    </xf>
    <xf numFmtId="169" fontId="0" fillId="0" borderId="0" xfId="0" applyNumberFormat="1" applyFill="1"/>
    <xf numFmtId="9" fontId="8" fillId="0" borderId="0" xfId="13" applyNumberFormat="1" applyFont="1" applyFill="1" applyAlignment="1">
      <alignment horizontal="right"/>
    </xf>
    <xf numFmtId="169" fontId="0" fillId="0" borderId="0" xfId="0" applyNumberFormat="1" applyFill="1" applyAlignment="1">
      <alignment horizontal="right"/>
    </xf>
    <xf numFmtId="168" fontId="4" fillId="3" borderId="1" xfId="14" applyNumberFormat="1" applyFont="1" applyAlignment="1">
      <alignment horizontal="right"/>
    </xf>
    <xf numFmtId="4" fontId="4" fillId="3" borderId="1" xfId="35" applyNumberFormat="1" applyAlignment="1">
      <alignment horizontal="right"/>
    </xf>
    <xf numFmtId="167" fontId="4" fillId="3" borderId="1" xfId="14" applyNumberFormat="1" applyFont="1" applyAlignment="1">
      <alignment horizontal="right"/>
    </xf>
    <xf numFmtId="10" fontId="4" fillId="3" borderId="3" xfId="14" applyNumberFormat="1" applyFont="1" applyBorder="1" applyAlignment="1">
      <alignment horizontal="right"/>
    </xf>
    <xf numFmtId="4" fontId="8" fillId="4" borderId="0" xfId="27" applyNumberFormat="1" applyFont="1" applyAlignment="1">
      <alignment horizontal="right"/>
    </xf>
    <xf numFmtId="167" fontId="8" fillId="0" borderId="0" xfId="13" applyFont="1" applyFill="1" applyAlignment="1">
      <alignment horizontal="right"/>
    </xf>
    <xf numFmtId="167" fontId="36" fillId="0" borderId="0" xfId="0" applyFont="1" applyFill="1" applyAlignment="1">
      <alignment horizontal="right"/>
    </xf>
    <xf numFmtId="167" fontId="4" fillId="0" borderId="0" xfId="0" applyFont="1" applyFill="1" applyAlignment="1">
      <alignment horizontal="right"/>
    </xf>
    <xf numFmtId="167" fontId="8" fillId="0" borderId="1" xfId="34" applyFill="1" applyAlignment="1">
      <alignment horizontal="right"/>
    </xf>
    <xf numFmtId="167" fontId="36" fillId="0" borderId="0" xfId="0" applyFont="1" applyFill="1"/>
    <xf numFmtId="168" fontId="36" fillId="0" borderId="0" xfId="0" applyNumberFormat="1" applyFont="1" applyFill="1" applyAlignment="1">
      <alignment horizontal="right"/>
    </xf>
    <xf numFmtId="167" fontId="39" fillId="0" borderId="0" xfId="0" applyFont="1" applyFill="1" applyAlignment="1">
      <alignment horizontal="right"/>
    </xf>
    <xf numFmtId="168" fontId="6" fillId="0" borderId="4" xfId="10" applyNumberFormat="1" applyFont="1" applyFill="1" applyBorder="1" applyAlignment="1">
      <alignment horizontal="right"/>
    </xf>
    <xf numFmtId="168" fontId="8" fillId="0" borderId="0" xfId="13" applyNumberFormat="1" applyFont="1" applyFill="1" applyAlignment="1">
      <alignment horizontal="right"/>
    </xf>
    <xf numFmtId="167" fontId="8" fillId="0" borderId="0" xfId="13" applyFont="1" applyFill="1" applyBorder="1" applyAlignment="1">
      <alignment horizontal="right"/>
    </xf>
    <xf numFmtId="167" fontId="8" fillId="0" borderId="0" xfId="13" applyNumberFormat="1" applyFont="1" applyFill="1" applyAlignment="1">
      <alignment horizontal="right"/>
    </xf>
    <xf numFmtId="167" fontId="3" fillId="0" borderId="0" xfId="13" applyFont="1" applyFill="1" applyAlignment="1">
      <alignment horizontal="right"/>
    </xf>
    <xf numFmtId="167" fontId="8" fillId="0" borderId="1" xfId="13" applyFont="1" applyFill="1" applyBorder="1" applyAlignment="1">
      <alignment horizontal="right"/>
    </xf>
    <xf numFmtId="167" fontId="3" fillId="0" borderId="0" xfId="22" applyFill="1" applyAlignment="1">
      <alignment horizontal="right"/>
    </xf>
    <xf numFmtId="168" fontId="3" fillId="0" borderId="0" xfId="13" applyNumberFormat="1" applyFont="1" applyFill="1" applyBorder="1" applyAlignment="1">
      <alignment horizontal="right"/>
    </xf>
    <xf numFmtId="167" fontId="0" fillId="0" borderId="4" xfId="0" applyFill="1" applyBorder="1" applyAlignment="1">
      <alignment horizontal="right"/>
    </xf>
    <xf numFmtId="4" fontId="8" fillId="0" borderId="0" xfId="0" applyNumberFormat="1" applyFont="1" applyFill="1" applyAlignment="1">
      <alignment horizontal="right"/>
    </xf>
    <xf numFmtId="4" fontId="8" fillId="0" borderId="0" xfId="27" applyNumberFormat="1" applyFont="1" applyFill="1" applyAlignment="1">
      <alignment horizontal="right"/>
    </xf>
    <xf numFmtId="4" fontId="8" fillId="0" borderId="0" xfId="13" applyNumberFormat="1" applyFont="1" applyFill="1" applyAlignment="1">
      <alignment horizontal="right"/>
    </xf>
    <xf numFmtId="167" fontId="4" fillId="3" borderId="0" xfId="35" applyBorder="1"/>
    <xf numFmtId="10" fontId="0" fillId="0" borderId="0" xfId="36" applyFont="1" applyFill="1" applyAlignment="1">
      <alignment horizontal="right"/>
    </xf>
    <xf numFmtId="10" fontId="8" fillId="0" borderId="0" xfId="36" applyFont="1" applyFill="1" applyAlignment="1">
      <alignment horizontal="right"/>
    </xf>
    <xf numFmtId="9" fontId="8" fillId="0" borderId="0" xfId="24" applyFont="1" applyFill="1" applyAlignment="1">
      <alignment horizontal="right"/>
    </xf>
    <xf numFmtId="167" fontId="8" fillId="0" borderId="1" xfId="0" applyFont="1" applyFill="1" applyBorder="1"/>
    <xf numFmtId="10" fontId="3" fillId="0" borderId="0" xfId="36" applyFont="1" applyFill="1" applyAlignment="1">
      <alignment horizontal="right"/>
    </xf>
    <xf numFmtId="4" fontId="3" fillId="0" borderId="0" xfId="36" applyNumberFormat="1" applyFont="1" applyFill="1" applyAlignment="1">
      <alignment horizontal="right"/>
    </xf>
    <xf numFmtId="9" fontId="3" fillId="0" borderId="0" xfId="36" applyNumberFormat="1" applyFont="1" applyFill="1" applyAlignment="1">
      <alignment horizontal="right"/>
    </xf>
    <xf numFmtId="167" fontId="4" fillId="0" borderId="0" xfId="35" applyFill="1" applyBorder="1"/>
    <xf numFmtId="10" fontId="8" fillId="0" borderId="5" xfId="36" applyFont="1" applyFill="1" applyBorder="1" applyAlignment="1">
      <alignment horizontal="right"/>
    </xf>
    <xf numFmtId="167" fontId="8" fillId="0" borderId="6" xfId="0" applyFont="1" applyFill="1" applyBorder="1" applyAlignment="1">
      <alignment horizontal="right"/>
    </xf>
    <xf numFmtId="167" fontId="8" fillId="0" borderId="4" xfId="0" applyFont="1" applyFill="1" applyBorder="1" applyAlignment="1">
      <alignment horizontal="right"/>
    </xf>
    <xf numFmtId="10" fontId="3" fillId="0" borderId="7" xfId="36" applyFont="1" applyFill="1" applyBorder="1" applyAlignment="1">
      <alignment horizontal="right"/>
    </xf>
    <xf numFmtId="168" fontId="38" fillId="3" borderId="1" xfId="14" applyNumberFormat="1" applyFont="1" applyAlignment="1">
      <alignment horizontal="right"/>
    </xf>
    <xf numFmtId="10" fontId="38" fillId="3" borderId="1" xfId="14" applyNumberFormat="1" applyFont="1" applyAlignment="1">
      <alignment horizontal="right"/>
    </xf>
    <xf numFmtId="167" fontId="0" fillId="0" borderId="1" xfId="0" applyFill="1" applyBorder="1" applyAlignment="1">
      <alignment horizontal="right"/>
    </xf>
    <xf numFmtId="9" fontId="0" fillId="0" borderId="0" xfId="24" applyFont="1" applyFill="1" applyBorder="1"/>
    <xf numFmtId="167" fontId="3" fillId="0" borderId="0" xfId="13" applyNumberFormat="1" applyFont="1" applyFill="1" applyAlignment="1">
      <alignment horizontal="right"/>
    </xf>
    <xf numFmtId="167" fontId="37" fillId="0" borderId="0" xfId="0" applyFont="1" applyFill="1"/>
    <xf numFmtId="167" fontId="37" fillId="0" borderId="0" xfId="13" applyNumberFormat="1" applyFont="1" applyFill="1" applyAlignment="1">
      <alignment horizontal="right"/>
    </xf>
    <xf numFmtId="4" fontId="8" fillId="0" borderId="0" xfId="36" applyNumberFormat="1" applyFont="1" applyFill="1" applyAlignment="1">
      <alignment horizontal="right"/>
    </xf>
    <xf numFmtId="167" fontId="0" fillId="6" borderId="0" xfId="0" applyFill="1"/>
    <xf numFmtId="168" fontId="7" fillId="0" borderId="0" xfId="13" applyNumberFormat="1" applyFont="1" applyFill="1" applyAlignment="1">
      <alignment horizontal="right"/>
    </xf>
    <xf numFmtId="168" fontId="7" fillId="0" borderId="0" xfId="0" applyNumberFormat="1" applyFont="1" applyFill="1" applyAlignment="1">
      <alignment horizontal="right"/>
    </xf>
    <xf numFmtId="168" fontId="7" fillId="0" borderId="1" xfId="0" applyNumberFormat="1" applyFont="1" applyFill="1" applyBorder="1" applyAlignment="1">
      <alignment horizontal="right"/>
    </xf>
    <xf numFmtId="167" fontId="38" fillId="3" borderId="1" xfId="35" applyFont="1" applyAlignment="1">
      <alignment horizontal="right"/>
    </xf>
    <xf numFmtId="167" fontId="9" fillId="0" borderId="0" xfId="13" applyNumberFormat="1" applyFill="1" applyAlignment="1">
      <alignment horizontal="right"/>
    </xf>
    <xf numFmtId="4" fontId="9" fillId="0" borderId="0" xfId="13" applyNumberFormat="1" applyFill="1" applyAlignment="1">
      <alignment horizontal="right"/>
    </xf>
    <xf numFmtId="167" fontId="7" fillId="0" borderId="0" xfId="0" applyFont="1" applyFill="1"/>
    <xf numFmtId="168" fontId="9" fillId="0" borderId="0" xfId="13" applyNumberFormat="1" applyFont="1" applyFill="1" applyAlignment="1">
      <alignment horizontal="right"/>
    </xf>
    <xf numFmtId="4" fontId="4" fillId="3" borderId="1" xfId="0" applyNumberFormat="1" applyFont="1" applyFill="1" applyBorder="1"/>
    <xf numFmtId="4" fontId="10" fillId="3" borderId="1" xfId="14" applyNumberFormat="1" applyAlignment="1">
      <alignment horizontal="right"/>
    </xf>
    <xf numFmtId="0" fontId="8" fillId="0" borderId="0" xfId="21" applyFont="1" applyFill="1"/>
    <xf numFmtId="167" fontId="7" fillId="0" borderId="0" xfId="0" applyFont="1" applyFill="1" applyAlignment="1">
      <alignment horizontal="left"/>
    </xf>
    <xf numFmtId="167" fontId="4" fillId="0" borderId="0" xfId="0" applyFont="1" applyFill="1" applyBorder="1"/>
    <xf numFmtId="17" fontId="8" fillId="0" borderId="0" xfId="0" applyNumberFormat="1" applyFont="1" applyFill="1" applyBorder="1"/>
    <xf numFmtId="17" fontId="8" fillId="0" borderId="0" xfId="0" applyNumberFormat="1" applyFont="1" applyFill="1" applyBorder="1" applyAlignment="1">
      <alignment horizontal="right"/>
    </xf>
    <xf numFmtId="17" fontId="0" fillId="0" borderId="0" xfId="0" applyNumberFormat="1" applyFill="1" applyBorder="1"/>
    <xf numFmtId="17" fontId="0" fillId="0" borderId="0" xfId="0" applyNumberFormat="1" applyFill="1" applyBorder="1" applyAlignment="1">
      <alignment horizontal="right"/>
    </xf>
    <xf numFmtId="167" fontId="36" fillId="0" borderId="0" xfId="0" applyFont="1" applyFill="1" applyBorder="1"/>
    <xf numFmtId="167" fontId="36" fillId="0" borderId="0" xfId="0" applyFont="1" applyFill="1" applyBorder="1" applyAlignment="1">
      <alignment horizontal="left"/>
    </xf>
    <xf numFmtId="168" fontId="36" fillId="0" borderId="0" xfId="0" applyNumberFormat="1" applyFont="1" applyFill="1" applyBorder="1" applyAlignment="1">
      <alignment horizontal="right"/>
    </xf>
    <xf numFmtId="168" fontId="36" fillId="0" borderId="0" xfId="13" applyNumberFormat="1" applyFont="1" applyFill="1" applyBorder="1" applyAlignment="1">
      <alignment horizontal="right"/>
    </xf>
    <xf numFmtId="167" fontId="39" fillId="0" borderId="0" xfId="0" applyFont="1" applyFill="1" applyBorder="1"/>
    <xf numFmtId="167" fontId="39" fillId="0" borderId="0" xfId="0" applyFont="1" applyFill="1" applyBorder="1" applyAlignment="1">
      <alignment horizontal="left"/>
    </xf>
    <xf numFmtId="167" fontId="39" fillId="0" borderId="0" xfId="0" applyFont="1" applyFill="1" applyBorder="1" applyAlignment="1">
      <alignment horizontal="right"/>
    </xf>
    <xf numFmtId="167" fontId="39" fillId="0" borderId="0" xfId="13" applyFont="1" applyFill="1" applyBorder="1">
      <alignment horizontal="right"/>
    </xf>
    <xf numFmtId="167" fontId="44" fillId="0" borderId="0" xfId="0" applyFont="1" applyFill="1" applyBorder="1"/>
    <xf numFmtId="167" fontId="7" fillId="0" borderId="0" xfId="0" applyFont="1" applyFill="1" applyAlignment="1">
      <alignment horizontal="right"/>
    </xf>
    <xf numFmtId="167" fontId="7" fillId="0" borderId="0" xfId="13" applyFont="1" applyFill="1">
      <alignment horizontal="right"/>
    </xf>
    <xf numFmtId="168" fontId="7" fillId="0" borderId="1" xfId="34" applyNumberFormat="1" applyFont="1" applyFill="1" applyAlignment="1">
      <alignment horizontal="right"/>
    </xf>
    <xf numFmtId="167" fontId="31" fillId="3" borderId="1" xfId="0" applyFont="1" applyFill="1" applyBorder="1"/>
    <xf numFmtId="167" fontId="31" fillId="3" borderId="1" xfId="35" applyFont="1" applyAlignment="1">
      <alignment horizontal="right"/>
    </xf>
    <xf numFmtId="168" fontId="31" fillId="3" borderId="1" xfId="35" applyNumberFormat="1" applyFont="1" applyAlignment="1">
      <alignment horizontal="right"/>
    </xf>
    <xf numFmtId="168" fontId="31" fillId="3" borderId="1" xfId="14" applyNumberFormat="1" applyFont="1" applyAlignment="1">
      <alignment horizontal="right"/>
    </xf>
    <xf numFmtId="10" fontId="11" fillId="0" borderId="5" xfId="36" applyFont="1" applyFill="1" applyBorder="1" applyAlignment="1">
      <alignment horizontal="right"/>
    </xf>
    <xf numFmtId="10" fontId="4" fillId="3" borderId="3" xfId="35" applyNumberFormat="1" applyFont="1" applyBorder="1" applyAlignment="1">
      <alignment horizontal="right"/>
    </xf>
    <xf numFmtId="167" fontId="4" fillId="0" borderId="0" xfId="35" applyFont="1" applyFill="1" applyBorder="1"/>
    <xf numFmtId="10" fontId="4" fillId="3" borderId="1" xfId="35" applyNumberFormat="1" applyFont="1" applyAlignment="1">
      <alignment horizontal="right"/>
    </xf>
    <xf numFmtId="167" fontId="43" fillId="0" borderId="0" xfId="0" applyFont="1" applyFill="1" applyAlignment="1">
      <alignment horizontal="right"/>
    </xf>
    <xf numFmtId="176" fontId="27" fillId="7" borderId="0" xfId="21" applyNumberFormat="1" applyFont="1" applyFill="1" applyAlignment="1">
      <alignment vertical="center"/>
    </xf>
    <xf numFmtId="177" fontId="27" fillId="7" borderId="0" xfId="21" applyNumberFormat="1" applyFont="1" applyFill="1" applyAlignment="1">
      <alignment vertical="center"/>
    </xf>
    <xf numFmtId="178" fontId="27" fillId="7" borderId="0" xfId="21" applyNumberFormat="1" applyFont="1" applyFill="1" applyAlignment="1">
      <alignment vertical="center"/>
    </xf>
    <xf numFmtId="0" fontId="7" fillId="0" borderId="0" xfId="21" applyFont="1" applyFill="1" applyAlignment="1">
      <alignment vertical="center"/>
    </xf>
    <xf numFmtId="172" fontId="7" fillId="0" borderId="0" xfId="21" applyNumberFormat="1" applyFont="1" applyFill="1" applyAlignment="1">
      <alignment vertical="center"/>
    </xf>
    <xf numFmtId="0" fontId="4" fillId="0" borderId="1" xfId="21" applyFont="1" applyFill="1" applyBorder="1" applyAlignment="1">
      <alignment vertical="center"/>
    </xf>
    <xf numFmtId="172" fontId="4" fillId="0" borderId="1" xfId="21" applyNumberFormat="1" applyFont="1" applyFill="1" applyBorder="1" applyAlignment="1">
      <alignment vertical="center"/>
    </xf>
    <xf numFmtId="172" fontId="7" fillId="0" borderId="0" xfId="21" applyNumberFormat="1" applyFont="1" applyFill="1" applyAlignment="1">
      <alignment horizontal="right" vertical="center"/>
    </xf>
    <xf numFmtId="0" fontId="8" fillId="0" borderId="0" xfId="21" applyFont="1" applyFill="1" applyAlignment="1">
      <alignment vertical="center"/>
    </xf>
    <xf numFmtId="168" fontId="8" fillId="0" borderId="0" xfId="24" applyNumberFormat="1" applyFont="1" applyFill="1" applyAlignment="1">
      <alignment horizontal="right"/>
    </xf>
    <xf numFmtId="10" fontId="8" fillId="0" borderId="0" xfId="24" applyNumberFormat="1" applyFont="1" applyFill="1" applyAlignment="1">
      <alignment horizontal="right"/>
    </xf>
    <xf numFmtId="0" fontId="8" fillId="0" borderId="0" xfId="21" applyFont="1" applyFill="1" applyBorder="1"/>
    <xf numFmtId="167" fontId="40" fillId="0" borderId="0" xfId="13" applyFont="1" applyFill="1">
      <alignment horizontal="right"/>
    </xf>
    <xf numFmtId="167" fontId="47" fillId="0" borderId="0" xfId="13" applyFont="1" applyFill="1">
      <alignment horizontal="right"/>
    </xf>
    <xf numFmtId="167" fontId="9" fillId="0" borderId="0" xfId="13" applyFill="1">
      <alignment horizontal="right"/>
    </xf>
    <xf numFmtId="4" fontId="4" fillId="3" borderId="1" xfId="14" applyNumberFormat="1" applyFont="1" applyAlignment="1">
      <alignment horizontal="right"/>
    </xf>
    <xf numFmtId="167" fontId="39" fillId="0" borderId="1" xfId="0" applyFont="1" applyFill="1" applyBorder="1" applyAlignment="1">
      <alignment horizontal="right"/>
    </xf>
    <xf numFmtId="167" fontId="54" fillId="0" borderId="0" xfId="0" applyFont="1" applyFill="1" applyAlignment="1">
      <alignment horizontal="right"/>
    </xf>
    <xf numFmtId="168" fontId="36" fillId="8" borderId="0" xfId="13" applyNumberFormat="1" applyFont="1" applyFill="1" applyAlignment="1">
      <alignment horizontal="right"/>
    </xf>
    <xf numFmtId="167" fontId="39" fillId="8" borderId="0" xfId="13" applyFont="1" applyFill="1">
      <alignment horizontal="right"/>
    </xf>
    <xf numFmtId="167" fontId="36" fillId="8" borderId="0" xfId="13" applyFont="1" applyFill="1">
      <alignment horizontal="right"/>
    </xf>
    <xf numFmtId="167" fontId="36" fillId="8" borderId="0" xfId="13" applyFont="1" applyFill="1" applyAlignment="1">
      <alignment horizontal="right"/>
    </xf>
    <xf numFmtId="167" fontId="9" fillId="8" borderId="0" xfId="13" applyFill="1">
      <alignment horizontal="right"/>
    </xf>
    <xf numFmtId="9" fontId="36" fillId="8" borderId="0" xfId="13" applyNumberFormat="1" applyFont="1" applyFill="1">
      <alignment horizontal="right"/>
    </xf>
    <xf numFmtId="167" fontId="9" fillId="8" borderId="0" xfId="13" applyNumberFormat="1" applyFill="1" applyAlignment="1">
      <alignment horizontal="right"/>
    </xf>
    <xf numFmtId="168" fontId="9" fillId="8" borderId="0" xfId="13" applyNumberFormat="1" applyFont="1" applyFill="1" applyAlignment="1">
      <alignment horizontal="right"/>
    </xf>
    <xf numFmtId="10" fontId="42" fillId="8" borderId="0" xfId="24" applyNumberFormat="1" applyFont="1" applyFill="1" applyAlignment="1">
      <alignment horizontal="right"/>
    </xf>
    <xf numFmtId="167" fontId="9" fillId="8" borderId="0" xfId="13" applyFill="1" applyAlignment="1">
      <alignment horizontal="right"/>
    </xf>
    <xf numFmtId="167" fontId="9" fillId="8" borderId="0" xfId="13" applyFont="1" applyFill="1" applyAlignment="1">
      <alignment horizontal="right"/>
    </xf>
    <xf numFmtId="167" fontId="42" fillId="8" borderId="0" xfId="13" applyFont="1" applyFill="1" applyAlignment="1">
      <alignment horizontal="right"/>
    </xf>
    <xf numFmtId="9" fontId="9" fillId="8" borderId="1" xfId="13" applyNumberFormat="1" applyFill="1" applyBorder="1" applyAlignment="1">
      <alignment horizontal="right"/>
    </xf>
    <xf numFmtId="167" fontId="43" fillId="8" borderId="0" xfId="13" applyFont="1" applyFill="1" applyAlignment="1">
      <alignment horizontal="right"/>
    </xf>
    <xf numFmtId="10" fontId="11" fillId="8" borderId="9" xfId="36" applyFont="1" applyFill="1" applyBorder="1" applyAlignment="1">
      <alignment horizontal="right"/>
    </xf>
    <xf numFmtId="10" fontId="8" fillId="8" borderId="0" xfId="36" applyFont="1" applyFill="1" applyAlignment="1">
      <alignment horizontal="right"/>
    </xf>
    <xf numFmtId="10" fontId="11" fillId="8" borderId="5" xfId="36" applyFont="1" applyFill="1" applyBorder="1" applyAlignment="1">
      <alignment horizontal="right"/>
    </xf>
    <xf numFmtId="10" fontId="8" fillId="8" borderId="5" xfId="36" applyFont="1" applyFill="1" applyBorder="1" applyAlignment="1">
      <alignment horizontal="right"/>
    </xf>
    <xf numFmtId="9" fontId="8" fillId="8" borderId="0" xfId="24" applyFont="1" applyFill="1" applyAlignment="1">
      <alignment horizontal="right"/>
    </xf>
    <xf numFmtId="9" fontId="8" fillId="8" borderId="5" xfId="24" applyFont="1" applyFill="1" applyBorder="1" applyAlignment="1">
      <alignment horizontal="right"/>
    </xf>
    <xf numFmtId="4" fontId="11" fillId="8" borderId="5" xfId="36" applyNumberFormat="1" applyFont="1" applyFill="1" applyBorder="1" applyAlignment="1">
      <alignment horizontal="right"/>
    </xf>
    <xf numFmtId="9" fontId="11" fillId="8" borderId="5" xfId="36" applyNumberFormat="1" applyFont="1" applyFill="1" applyBorder="1" applyAlignment="1">
      <alignment horizontal="right"/>
    </xf>
    <xf numFmtId="9" fontId="11" fillId="8" borderId="7" xfId="36" applyNumberFormat="1" applyFont="1" applyFill="1" applyBorder="1" applyAlignment="1">
      <alignment horizontal="right"/>
    </xf>
    <xf numFmtId="10" fontId="11" fillId="8" borderId="10" xfId="36" applyFont="1" applyFill="1" applyBorder="1" applyAlignment="1">
      <alignment horizontal="right"/>
    </xf>
    <xf numFmtId="9" fontId="8" fillId="8" borderId="5" xfId="36" applyNumberFormat="1" applyFont="1" applyFill="1" applyBorder="1" applyAlignment="1">
      <alignment horizontal="right"/>
    </xf>
    <xf numFmtId="10" fontId="3" fillId="8" borderId="0" xfId="36" applyFont="1" applyFill="1" applyAlignment="1">
      <alignment horizontal="right"/>
    </xf>
    <xf numFmtId="4" fontId="3" fillId="8" borderId="0" xfId="36" applyNumberFormat="1" applyFont="1" applyFill="1" applyAlignment="1">
      <alignment horizontal="right"/>
    </xf>
    <xf numFmtId="9" fontId="3" fillId="8" borderId="0" xfId="36" applyNumberFormat="1" applyFont="1" applyFill="1" applyAlignment="1">
      <alignment horizontal="right"/>
    </xf>
    <xf numFmtId="10" fontId="43" fillId="8" borderId="10" xfId="36" applyFont="1" applyFill="1" applyBorder="1" applyAlignment="1">
      <alignment horizontal="right"/>
    </xf>
    <xf numFmtId="10" fontId="3" fillId="8" borderId="0" xfId="36" applyFont="1" applyFill="1" applyBorder="1" applyAlignment="1">
      <alignment horizontal="right"/>
    </xf>
    <xf numFmtId="10" fontId="3" fillId="8" borderId="5" xfId="36" applyFont="1" applyFill="1" applyBorder="1" applyAlignment="1">
      <alignment horizontal="right"/>
    </xf>
    <xf numFmtId="10" fontId="3" fillId="8" borderId="7" xfId="36" applyFont="1" applyFill="1" applyBorder="1" applyAlignment="1">
      <alignment horizontal="right"/>
    </xf>
    <xf numFmtId="167" fontId="42" fillId="8" borderId="0" xfId="0" applyFont="1" applyFill="1" applyAlignment="1">
      <alignment horizontal="right"/>
    </xf>
    <xf numFmtId="167" fontId="36" fillId="8" borderId="0" xfId="13" applyNumberFormat="1" applyFont="1" applyFill="1" applyAlignment="1">
      <alignment horizontal="right"/>
    </xf>
    <xf numFmtId="167" fontId="3" fillId="8" borderId="0" xfId="13" applyNumberFormat="1" applyFont="1" applyFill="1" applyAlignment="1">
      <alignment horizontal="right"/>
    </xf>
    <xf numFmtId="168" fontId="36" fillId="0" borderId="0" xfId="13" applyNumberFormat="1" applyFont="1" applyFill="1" applyAlignment="1">
      <alignment horizontal="right"/>
    </xf>
    <xf numFmtId="165" fontId="36" fillId="0" borderId="1" xfId="8" applyFont="1" applyFill="1" applyBorder="1" applyAlignment="1">
      <alignment horizontal="right"/>
    </xf>
    <xf numFmtId="165" fontId="9" fillId="0" borderId="1" xfId="8" applyNumberFormat="1" applyFont="1" applyFill="1" applyBorder="1" applyAlignment="1">
      <alignment horizontal="right"/>
    </xf>
    <xf numFmtId="167" fontId="36" fillId="0" borderId="0" xfId="13" applyFont="1" applyFill="1" applyAlignment="1">
      <alignment horizontal="right"/>
    </xf>
    <xf numFmtId="167" fontId="43" fillId="0" borderId="0" xfId="13" applyFont="1" applyFill="1" applyAlignment="1">
      <alignment horizontal="right"/>
    </xf>
    <xf numFmtId="167" fontId="57" fillId="8" borderId="0" xfId="0" applyFont="1" applyFill="1"/>
    <xf numFmtId="167" fontId="57" fillId="0" borderId="0" xfId="0" applyFont="1" applyFill="1"/>
    <xf numFmtId="167" fontId="54" fillId="0" borderId="1" xfId="34" applyFont="1" applyFill="1" applyAlignment="1">
      <alignment horizontal="right"/>
    </xf>
    <xf numFmtId="167" fontId="54" fillId="0" borderId="0" xfId="0" applyFont="1" applyFill="1"/>
    <xf numFmtId="9" fontId="7" fillId="10" borderId="0" xfId="0" applyNumberFormat="1" applyFont="1" applyFill="1"/>
    <xf numFmtId="9" fontId="7" fillId="8" borderId="0" xfId="0" applyNumberFormat="1" applyFont="1" applyFill="1"/>
    <xf numFmtId="17" fontId="58" fillId="0" borderId="0" xfId="0" applyNumberFormat="1" applyFont="1" applyFill="1" applyBorder="1" applyAlignment="1">
      <alignment horizontal="center"/>
    </xf>
    <xf numFmtId="167" fontId="9" fillId="0" borderId="0" xfId="13" applyFont="1" applyFill="1" applyAlignment="1">
      <alignment horizontal="right"/>
    </xf>
    <xf numFmtId="167" fontId="54" fillId="8" borderId="0" xfId="13" applyFont="1" applyFill="1" applyAlignment="1">
      <alignment horizontal="right"/>
    </xf>
    <xf numFmtId="9" fontId="9" fillId="11" borderId="1" xfId="13" applyNumberFormat="1" applyFill="1" applyBorder="1" applyAlignment="1">
      <alignment horizontal="right"/>
    </xf>
    <xf numFmtId="167" fontId="9" fillId="0" borderId="0" xfId="27" applyFill="1" applyAlignment="1">
      <alignment horizontal="right"/>
    </xf>
    <xf numFmtId="9" fontId="8" fillId="0" borderId="0" xfId="36" applyNumberFormat="1" applyFont="1" applyFill="1" applyAlignment="1">
      <alignment horizontal="right"/>
    </xf>
    <xf numFmtId="9" fontId="11" fillId="0" borderId="5" xfId="24" applyFont="1" applyFill="1" applyBorder="1" applyAlignment="1">
      <alignment horizontal="right"/>
    </xf>
    <xf numFmtId="9" fontId="8" fillId="0" borderId="5" xfId="24" applyFont="1" applyFill="1" applyBorder="1" applyAlignment="1">
      <alignment horizontal="right"/>
    </xf>
    <xf numFmtId="4" fontId="11" fillId="0" borderId="5" xfId="36" applyNumberFormat="1" applyFont="1" applyFill="1" applyBorder="1" applyAlignment="1">
      <alignment horizontal="right"/>
    </xf>
    <xf numFmtId="9" fontId="11" fillId="0" borderId="5" xfId="36" applyNumberFormat="1" applyFont="1" applyFill="1" applyBorder="1" applyAlignment="1">
      <alignment horizontal="right"/>
    </xf>
    <xf numFmtId="9" fontId="11" fillId="0" borderId="7" xfId="36" applyNumberFormat="1" applyFont="1" applyFill="1" applyBorder="1" applyAlignment="1">
      <alignment horizontal="right"/>
    </xf>
    <xf numFmtId="10" fontId="43" fillId="0" borderId="10" xfId="36" applyFont="1" applyFill="1" applyBorder="1" applyAlignment="1">
      <alignment horizontal="right"/>
    </xf>
    <xf numFmtId="10" fontId="8" fillId="0" borderId="0" xfId="36" applyFont="1" applyFill="1" applyBorder="1" applyAlignment="1">
      <alignment horizontal="right"/>
    </xf>
    <xf numFmtId="10" fontId="3" fillId="0" borderId="0" xfId="36" applyFont="1" applyFill="1" applyBorder="1" applyAlignment="1">
      <alignment horizontal="right"/>
    </xf>
    <xf numFmtId="167" fontId="8" fillId="0" borderId="0" xfId="27" applyFont="1" applyFill="1" applyAlignment="1">
      <alignment horizontal="right"/>
    </xf>
    <xf numFmtId="167" fontId="9" fillId="12" borderId="0" xfId="13" applyFill="1" applyAlignment="1">
      <alignment horizontal="right"/>
    </xf>
    <xf numFmtId="10" fontId="8" fillId="12" borderId="0" xfId="36" applyFont="1" applyFill="1" applyAlignment="1">
      <alignment horizontal="right"/>
    </xf>
    <xf numFmtId="9" fontId="8" fillId="12" borderId="0" xfId="24" applyFont="1" applyFill="1" applyAlignment="1">
      <alignment horizontal="right"/>
    </xf>
    <xf numFmtId="10" fontId="3" fillId="12" borderId="0" xfId="36" applyFont="1" applyFill="1" applyAlignment="1">
      <alignment horizontal="right"/>
    </xf>
    <xf numFmtId="4" fontId="3" fillId="12" borderId="0" xfId="36" applyNumberFormat="1" applyFont="1" applyFill="1" applyAlignment="1">
      <alignment horizontal="right"/>
    </xf>
    <xf numFmtId="9" fontId="3" fillId="12" borderId="0" xfId="36" applyNumberFormat="1" applyFont="1" applyFill="1" applyAlignment="1">
      <alignment horizontal="right"/>
    </xf>
    <xf numFmtId="10" fontId="3" fillId="0" borderId="11" xfId="36" applyFont="1" applyFill="1" applyBorder="1" applyAlignment="1">
      <alignment horizontal="right"/>
    </xf>
    <xf numFmtId="168" fontId="39" fillId="0" borderId="1" xfId="24" applyNumberFormat="1" applyFont="1" applyFill="1" applyBorder="1" applyAlignment="1">
      <alignment horizontal="right"/>
    </xf>
    <xf numFmtId="168" fontId="7" fillId="0" borderId="1" xfId="24" applyNumberFormat="1" applyFont="1" applyFill="1" applyBorder="1" applyAlignment="1">
      <alignment horizontal="right"/>
    </xf>
    <xf numFmtId="167" fontId="0" fillId="0" borderId="4" xfId="0" applyFill="1" applyBorder="1"/>
    <xf numFmtId="10" fontId="59" fillId="8" borderId="9" xfId="36" applyFont="1" applyFill="1" applyBorder="1" applyAlignment="1">
      <alignment horizontal="right"/>
    </xf>
    <xf numFmtId="10" fontId="59" fillId="8" borderId="5" xfId="36" applyFont="1" applyFill="1" applyBorder="1" applyAlignment="1">
      <alignment horizontal="right"/>
    </xf>
    <xf numFmtId="4" fontId="59" fillId="8" borderId="5" xfId="36" applyNumberFormat="1" applyFont="1" applyFill="1" applyBorder="1" applyAlignment="1">
      <alignment horizontal="right"/>
    </xf>
    <xf numFmtId="9" fontId="59" fillId="8" borderId="5" xfId="36" applyNumberFormat="1" applyFont="1" applyFill="1" applyBorder="1" applyAlignment="1">
      <alignment horizontal="right"/>
    </xf>
    <xf numFmtId="9" fontId="59" fillId="8" borderId="7" xfId="36" applyNumberFormat="1" applyFont="1" applyFill="1" applyBorder="1" applyAlignment="1">
      <alignment horizontal="right"/>
    </xf>
    <xf numFmtId="10" fontId="59" fillId="8" borderId="0" xfId="36" applyFont="1" applyFill="1" applyAlignment="1">
      <alignment horizontal="right"/>
    </xf>
    <xf numFmtId="167" fontId="59" fillId="8" borderId="0" xfId="13" applyFont="1" applyFill="1" applyAlignment="1">
      <alignment horizontal="right"/>
    </xf>
    <xf numFmtId="167" fontId="58" fillId="3" borderId="1" xfId="35" applyFont="1" applyAlignment="1">
      <alignment horizontal="right"/>
    </xf>
    <xf numFmtId="9" fontId="9" fillId="0" borderId="1" xfId="13" applyNumberFormat="1" applyFill="1" applyBorder="1" applyAlignment="1">
      <alignment horizontal="right"/>
    </xf>
    <xf numFmtId="4" fontId="8" fillId="12" borderId="0" xfId="36" applyNumberFormat="1" applyFont="1" applyFill="1" applyAlignment="1">
      <alignment horizontal="right"/>
    </xf>
    <xf numFmtId="9" fontId="8" fillId="12" borderId="0" xfId="36" applyNumberFormat="1" applyFont="1" applyFill="1" applyAlignment="1">
      <alignment horizontal="right"/>
    </xf>
    <xf numFmtId="167" fontId="58" fillId="3" borderId="1" xfId="14" applyFont="1" applyAlignment="1">
      <alignment horizontal="right"/>
    </xf>
    <xf numFmtId="167" fontId="9" fillId="4" borderId="0" xfId="27" applyNumberFormat="1" applyAlignment="1">
      <alignment horizontal="right"/>
    </xf>
    <xf numFmtId="167" fontId="5" fillId="0" borderId="4" xfId="0" applyFont="1" applyFill="1" applyBorder="1" applyAlignment="1"/>
    <xf numFmtId="167" fontId="4" fillId="0" borderId="0" xfId="0" applyFont="1" applyFill="1"/>
    <xf numFmtId="9" fontId="0" fillId="0" borderId="0" xfId="24" applyFont="1" applyFill="1"/>
    <xf numFmtId="10" fontId="54" fillId="0" borderId="0" xfId="36" applyFont="1" applyFill="1" applyAlignment="1">
      <alignment horizontal="right"/>
    </xf>
    <xf numFmtId="167" fontId="0" fillId="0" borderId="0" xfId="0" applyFill="1" applyBorder="1" applyAlignment="1">
      <alignment horizontal="right"/>
    </xf>
    <xf numFmtId="10" fontId="3" fillId="0" borderId="5" xfId="36" applyFont="1" applyFill="1" applyBorder="1" applyAlignment="1">
      <alignment horizontal="right"/>
    </xf>
    <xf numFmtId="167" fontId="0" fillId="0" borderId="6" xfId="0" applyFill="1" applyBorder="1" applyAlignment="1">
      <alignment horizontal="right"/>
    </xf>
    <xf numFmtId="4" fontId="54" fillId="0" borderId="0" xfId="36" applyNumberFormat="1" applyFont="1" applyFill="1" applyAlignment="1">
      <alignment horizontal="right"/>
    </xf>
    <xf numFmtId="9" fontId="54" fillId="0" borderId="0" xfId="36" applyNumberFormat="1" applyFont="1" applyFill="1" applyAlignment="1">
      <alignment horizontal="right"/>
    </xf>
    <xf numFmtId="10" fontId="8" fillId="0" borderId="9" xfId="36" applyFont="1" applyFill="1" applyBorder="1" applyAlignment="1">
      <alignment horizontal="right"/>
    </xf>
    <xf numFmtId="4" fontId="8" fillId="0" borderId="5" xfId="36" applyNumberFormat="1" applyFont="1" applyFill="1" applyBorder="1" applyAlignment="1">
      <alignment horizontal="right"/>
    </xf>
    <xf numFmtId="9" fontId="8" fillId="0" borderId="5" xfId="36" applyNumberFormat="1" applyFont="1" applyFill="1" applyBorder="1" applyAlignment="1">
      <alignment horizontal="right"/>
    </xf>
    <xf numFmtId="9" fontId="8" fillId="0" borderId="7" xfId="36" applyNumberFormat="1" applyFont="1" applyFill="1" applyBorder="1" applyAlignment="1">
      <alignment horizontal="right"/>
    </xf>
    <xf numFmtId="167" fontId="44" fillId="0" borderId="0" xfId="0" applyFont="1" applyFill="1" applyAlignment="1">
      <alignment horizontal="right"/>
    </xf>
    <xf numFmtId="165" fontId="0" fillId="0" borderId="4" xfId="8" applyFont="1" applyFill="1" applyBorder="1" applyAlignment="1">
      <alignment horizontal="right"/>
    </xf>
    <xf numFmtId="10" fontId="4" fillId="0" borderId="1" xfId="14" applyNumberFormat="1" applyFont="1" applyFill="1" applyAlignment="1">
      <alignment horizontal="right"/>
    </xf>
    <xf numFmtId="9" fontId="0" fillId="0" borderId="4" xfId="0" applyNumberFormat="1" applyFill="1" applyBorder="1" applyAlignment="1">
      <alignment horizontal="right"/>
    </xf>
    <xf numFmtId="167" fontId="9" fillId="0" borderId="0" xfId="27" applyFont="1" applyFill="1" applyAlignment="1">
      <alignment horizontal="right"/>
    </xf>
    <xf numFmtId="167" fontId="60" fillId="0" borderId="0" xfId="13" applyFont="1" applyFill="1" applyAlignment="1">
      <alignment horizontal="right"/>
    </xf>
    <xf numFmtId="10" fontId="54" fillId="11" borderId="0" xfId="24" applyNumberFormat="1" applyFont="1" applyFill="1" applyAlignment="1">
      <alignment horizontal="right"/>
    </xf>
    <xf numFmtId="165" fontId="54" fillId="11" borderId="1" xfId="8" applyNumberFormat="1" applyFont="1" applyFill="1" applyBorder="1" applyAlignment="1">
      <alignment horizontal="right"/>
    </xf>
    <xf numFmtId="184" fontId="9" fillId="8" borderId="1" xfId="8" applyNumberFormat="1" applyFont="1" applyFill="1" applyBorder="1" applyAlignment="1">
      <alignment horizontal="right"/>
    </xf>
    <xf numFmtId="167" fontId="9" fillId="0" borderId="0" xfId="13" applyFont="1" applyFill="1">
      <alignment horizontal="right"/>
    </xf>
    <xf numFmtId="167" fontId="8" fillId="0" borderId="1" xfId="0" applyFont="1" applyFill="1" applyBorder="1" applyAlignment="1">
      <alignment horizontal="right"/>
    </xf>
    <xf numFmtId="167" fontId="7" fillId="0" borderId="0" xfId="0" applyFont="1" applyFill="1" applyAlignment="1">
      <alignment vertical="center"/>
    </xf>
    <xf numFmtId="167" fontId="9" fillId="11" borderId="0" xfId="13" applyFill="1" applyAlignment="1">
      <alignment horizontal="right"/>
    </xf>
    <xf numFmtId="167" fontId="54" fillId="11" borderId="0" xfId="13" applyFont="1" applyFill="1" applyAlignment="1">
      <alignment horizontal="right"/>
    </xf>
    <xf numFmtId="167" fontId="9" fillId="11" borderId="0" xfId="13" applyFont="1" applyFill="1" applyAlignment="1">
      <alignment horizontal="right"/>
    </xf>
    <xf numFmtId="167" fontId="54" fillId="11" borderId="0" xfId="0" applyFont="1" applyFill="1" applyAlignment="1">
      <alignment horizontal="right"/>
    </xf>
    <xf numFmtId="168" fontId="54" fillId="11" borderId="0" xfId="0" applyNumberFormat="1" applyFont="1" applyFill="1" applyAlignment="1">
      <alignment horizontal="right"/>
    </xf>
    <xf numFmtId="4" fontId="11" fillId="4" borderId="0" xfId="0" applyNumberFormat="1" applyFont="1" applyFill="1"/>
    <xf numFmtId="10" fontId="54" fillId="11" borderId="5" xfId="36" applyFont="1" applyFill="1" applyBorder="1" applyAlignment="1">
      <alignment horizontal="right"/>
    </xf>
    <xf numFmtId="184" fontId="9" fillId="0" borderId="1" xfId="8" applyNumberFormat="1" applyFont="1" applyFill="1" applyBorder="1" applyAlignment="1">
      <alignment horizontal="right"/>
    </xf>
    <xf numFmtId="167" fontId="54" fillId="0" borderId="0" xfId="13" applyFont="1" applyFill="1" applyAlignment="1">
      <alignment horizontal="right"/>
    </xf>
    <xf numFmtId="168" fontId="3" fillId="0" borderId="0" xfId="13" applyNumberFormat="1" applyFont="1" applyFill="1" applyAlignment="1">
      <alignment horizontal="right"/>
    </xf>
    <xf numFmtId="168" fontId="61" fillId="8" borderId="1" xfId="24" applyNumberFormat="1" applyFont="1" applyFill="1" applyBorder="1" applyAlignment="1">
      <alignment horizontal="right"/>
    </xf>
    <xf numFmtId="168" fontId="60" fillId="8" borderId="0" xfId="13" applyNumberFormat="1" applyFont="1" applyFill="1" applyAlignment="1">
      <alignment horizontal="right"/>
    </xf>
    <xf numFmtId="168" fontId="60" fillId="0" borderId="0" xfId="0" applyNumberFormat="1" applyFont="1" applyFill="1" applyAlignment="1">
      <alignment horizontal="right"/>
    </xf>
    <xf numFmtId="167" fontId="61" fillId="8" borderId="0" xfId="13" applyFont="1" applyFill="1">
      <alignment horizontal="right"/>
    </xf>
    <xf numFmtId="167" fontId="61" fillId="8" borderId="1" xfId="13" applyFont="1" applyFill="1" applyBorder="1">
      <alignment horizontal="right"/>
    </xf>
    <xf numFmtId="167" fontId="60" fillId="8" borderId="0" xfId="13" applyFont="1" applyFill="1" applyAlignment="1">
      <alignment horizontal="right"/>
    </xf>
    <xf numFmtId="168" fontId="60" fillId="8" borderId="0" xfId="13" applyNumberFormat="1" applyFont="1" applyFill="1">
      <alignment horizontal="right"/>
    </xf>
    <xf numFmtId="167" fontId="60" fillId="8" borderId="0" xfId="13" applyFont="1" applyFill="1">
      <alignment horizontal="right"/>
    </xf>
    <xf numFmtId="9" fontId="60" fillId="8" borderId="0" xfId="13" applyNumberFormat="1" applyFont="1" applyFill="1">
      <alignment horizontal="right"/>
    </xf>
    <xf numFmtId="167" fontId="60" fillId="8" borderId="0" xfId="13" applyNumberFormat="1" applyFont="1" applyFill="1" applyAlignment="1">
      <alignment horizontal="right"/>
    </xf>
    <xf numFmtId="168" fontId="62" fillId="3" borderId="1" xfId="35" applyNumberFormat="1" applyFont="1" applyAlignment="1">
      <alignment horizontal="right"/>
    </xf>
    <xf numFmtId="168" fontId="62" fillId="3" borderId="1" xfId="14" applyNumberFormat="1" applyFont="1" applyAlignment="1">
      <alignment horizontal="right"/>
    </xf>
    <xf numFmtId="10" fontId="60" fillId="8" borderId="0" xfId="24" applyNumberFormat="1" applyFont="1" applyFill="1" applyAlignment="1">
      <alignment horizontal="right"/>
    </xf>
    <xf numFmtId="4" fontId="60" fillId="8" borderId="0" xfId="13" applyNumberFormat="1" applyFont="1" applyFill="1" applyAlignment="1">
      <alignment horizontal="right"/>
    </xf>
    <xf numFmtId="165" fontId="8" fillId="8" borderId="1" xfId="8" applyNumberFormat="1" applyFont="1" applyFill="1" applyBorder="1" applyAlignment="1">
      <alignment horizontal="right"/>
    </xf>
    <xf numFmtId="9" fontId="60" fillId="0" borderId="1" xfId="13" applyNumberFormat="1" applyFont="1" applyFill="1" applyBorder="1" applyAlignment="1">
      <alignment horizontal="right"/>
    </xf>
    <xf numFmtId="9" fontId="60" fillId="8" borderId="1" xfId="13" applyNumberFormat="1" applyFont="1" applyFill="1" applyBorder="1" applyAlignment="1">
      <alignment horizontal="right"/>
    </xf>
    <xf numFmtId="167" fontId="60" fillId="11" borderId="0" xfId="13" applyFont="1" applyFill="1" applyAlignment="1">
      <alignment horizontal="right"/>
    </xf>
    <xf numFmtId="167" fontId="63" fillId="8" borderId="0" xfId="13" applyFont="1" applyFill="1" applyAlignment="1">
      <alignment horizontal="right"/>
    </xf>
    <xf numFmtId="167" fontId="60" fillId="4" borderId="0" xfId="27" applyFont="1" applyAlignment="1">
      <alignment horizontal="right"/>
    </xf>
    <xf numFmtId="167" fontId="62" fillId="3" borderId="1" xfId="14" applyFont="1" applyAlignment="1">
      <alignment horizontal="right"/>
    </xf>
    <xf numFmtId="10" fontId="60" fillId="8" borderId="0" xfId="36" applyFont="1" applyFill="1" applyAlignment="1">
      <alignment horizontal="right"/>
    </xf>
    <xf numFmtId="9" fontId="60" fillId="8" borderId="0" xfId="36" applyNumberFormat="1" applyFont="1" applyFill="1" applyAlignment="1">
      <alignment horizontal="right"/>
    </xf>
    <xf numFmtId="9" fontId="60" fillId="0" borderId="0" xfId="24" applyFont="1" applyFill="1" applyAlignment="1">
      <alignment horizontal="right"/>
    </xf>
    <xf numFmtId="4" fontId="60" fillId="8" borderId="0" xfId="36" applyNumberFormat="1" applyFont="1" applyFill="1" applyAlignment="1">
      <alignment horizontal="right"/>
    </xf>
    <xf numFmtId="10" fontId="60" fillId="8" borderId="5" xfId="36" applyFont="1" applyFill="1" applyBorder="1" applyAlignment="1">
      <alignment horizontal="right"/>
    </xf>
    <xf numFmtId="9" fontId="60" fillId="8" borderId="5" xfId="24" applyFont="1" applyFill="1" applyBorder="1" applyAlignment="1">
      <alignment horizontal="right"/>
    </xf>
    <xf numFmtId="9" fontId="60" fillId="8" borderId="0" xfId="24" applyFont="1" applyFill="1" applyAlignment="1">
      <alignment horizontal="right"/>
    </xf>
    <xf numFmtId="4" fontId="60" fillId="8" borderId="5" xfId="36" applyNumberFormat="1" applyFont="1" applyFill="1" applyBorder="1" applyAlignment="1">
      <alignment horizontal="right"/>
    </xf>
    <xf numFmtId="9" fontId="60" fillId="8" borderId="5" xfId="36" applyNumberFormat="1" applyFont="1" applyFill="1" applyBorder="1" applyAlignment="1">
      <alignment horizontal="right"/>
    </xf>
    <xf numFmtId="9" fontId="60" fillId="8" borderId="7" xfId="36" applyNumberFormat="1" applyFont="1" applyFill="1" applyBorder="1" applyAlignment="1">
      <alignment horizontal="right"/>
    </xf>
    <xf numFmtId="10" fontId="60" fillId="8" borderId="7" xfId="36" applyFont="1" applyFill="1" applyBorder="1" applyAlignment="1">
      <alignment horizontal="right"/>
    </xf>
    <xf numFmtId="167" fontId="60" fillId="0" borderId="0" xfId="27" applyFont="1" applyFill="1" applyAlignment="1">
      <alignment horizontal="right"/>
    </xf>
    <xf numFmtId="167" fontId="60" fillId="12" borderId="0" xfId="13" applyFont="1" applyFill="1" applyAlignment="1">
      <alignment horizontal="right"/>
    </xf>
    <xf numFmtId="9" fontId="60" fillId="0" borderId="0" xfId="36" applyNumberFormat="1" applyFont="1" applyFill="1" applyAlignment="1">
      <alignment horizontal="right"/>
    </xf>
    <xf numFmtId="167" fontId="60" fillId="8" borderId="0" xfId="0" applyFont="1" applyFill="1" applyAlignment="1">
      <alignment horizontal="right"/>
    </xf>
    <xf numFmtId="167" fontId="64" fillId="0" borderId="0" xfId="13" applyNumberFormat="1" applyFont="1" applyFill="1" applyBorder="1" applyAlignment="1">
      <alignment horizontal="right"/>
    </xf>
    <xf numFmtId="167" fontId="65" fillId="0" borderId="0" xfId="0" applyFont="1" applyFill="1"/>
    <xf numFmtId="168" fontId="7" fillId="0" borderId="0" xfId="24" applyNumberFormat="1" applyFont="1" applyFill="1" applyAlignment="1">
      <alignment horizontal="right"/>
    </xf>
    <xf numFmtId="168" fontId="7" fillId="8" borderId="0" xfId="24" applyNumberFormat="1" applyFont="1" applyFill="1" applyAlignment="1">
      <alignment horizontal="right"/>
    </xf>
    <xf numFmtId="167" fontId="8" fillId="8" borderId="0" xfId="13" applyFont="1" applyFill="1" applyAlignment="1">
      <alignment horizontal="right"/>
    </xf>
    <xf numFmtId="17" fontId="56" fillId="9" borderId="0" xfId="0" applyNumberFormat="1" applyFont="1" applyFill="1" applyBorder="1" applyAlignment="1">
      <alignment horizontal="right"/>
    </xf>
    <xf numFmtId="168" fontId="57" fillId="11" borderId="0" xfId="24" applyNumberFormat="1" applyFont="1" applyFill="1" applyAlignment="1">
      <alignment horizontal="center"/>
    </xf>
    <xf numFmtId="167" fontId="8" fillId="6" borderId="0" xfId="0" applyFont="1" applyFill="1"/>
    <xf numFmtId="167" fontId="31" fillId="0" borderId="0" xfId="0" applyFont="1" applyFill="1" applyBorder="1"/>
    <xf numFmtId="17" fontId="55" fillId="9" borderId="0" xfId="0" applyNumberFormat="1" applyFont="1" applyFill="1" applyBorder="1" applyAlignment="1">
      <alignment horizontal="right"/>
    </xf>
    <xf numFmtId="17" fontId="56" fillId="9" borderId="0" xfId="22" applyNumberFormat="1" applyFont="1" applyFill="1" applyBorder="1" applyAlignment="1">
      <alignment horizontal="right"/>
    </xf>
    <xf numFmtId="9" fontId="9" fillId="0" borderId="0" xfId="13" applyNumberFormat="1" applyFill="1" applyBorder="1" applyAlignment="1">
      <alignment horizontal="right"/>
    </xf>
    <xf numFmtId="9" fontId="0" fillId="0" borderId="1" xfId="0" applyNumberFormat="1" applyFill="1" applyBorder="1" applyAlignment="1">
      <alignment horizontal="right"/>
    </xf>
    <xf numFmtId="167" fontId="66" fillId="0" borderId="0" xfId="0" applyFont="1" applyFill="1" applyAlignment="1">
      <alignment horizontal="left"/>
    </xf>
    <xf numFmtId="167" fontId="37" fillId="0" borderId="0" xfId="0" applyFont="1" applyFill="1" applyAlignment="1">
      <alignment horizontal="right"/>
    </xf>
    <xf numFmtId="168" fontId="4" fillId="0" borderId="0" xfId="0" applyNumberFormat="1" applyFont="1" applyFill="1" applyAlignment="1">
      <alignment horizontal="left"/>
    </xf>
    <xf numFmtId="167" fontId="0" fillId="0" borderId="0" xfId="0" applyFill="1" applyAlignment="1">
      <alignment vertical="center"/>
    </xf>
    <xf numFmtId="167" fontId="8" fillId="0" borderId="0" xfId="0" applyFont="1" applyFill="1" applyAlignment="1">
      <alignment horizontal="right" vertical="center"/>
    </xf>
    <xf numFmtId="167" fontId="4" fillId="0" borderId="0" xfId="0" applyFont="1" applyFill="1" applyBorder="1" applyAlignment="1">
      <alignment vertical="center"/>
    </xf>
    <xf numFmtId="3" fontId="4" fillId="0" borderId="0" xfId="35" applyNumberFormat="1" applyFont="1" applyFill="1" applyBorder="1" applyAlignment="1">
      <alignment horizontal="right" vertical="center"/>
    </xf>
    <xf numFmtId="15" fontId="58" fillId="11" borderId="0" xfId="11" applyNumberFormat="1" applyFont="1" applyFill="1" applyBorder="1" applyAlignment="1">
      <alignment horizontal="right" vertical="center"/>
    </xf>
    <xf numFmtId="15" fontId="68" fillId="0" borderId="0" xfId="11" applyNumberFormat="1" applyFont="1" applyFill="1" applyBorder="1" applyAlignment="1">
      <alignment horizontal="right" vertical="center"/>
    </xf>
    <xf numFmtId="15" fontId="52" fillId="0" borderId="0" xfId="11" applyNumberFormat="1" applyFont="1" applyFill="1" applyBorder="1" applyAlignment="1">
      <alignment horizontal="right" vertical="center"/>
    </xf>
    <xf numFmtId="167" fontId="67" fillId="0" borderId="0" xfId="0" applyFont="1" applyFill="1" applyBorder="1" applyAlignment="1">
      <alignment horizontal="center" vertical="center"/>
    </xf>
    <xf numFmtId="167" fontId="58" fillId="11" borderId="0" xfId="0" applyFont="1" applyFill="1" applyBorder="1" applyAlignment="1">
      <alignment horizontal="center" vertical="center"/>
    </xf>
    <xf numFmtId="167" fontId="8" fillId="0" borderId="0" xfId="0" applyFont="1" applyFill="1" applyBorder="1" applyAlignment="1">
      <alignment vertical="center"/>
    </xf>
    <xf numFmtId="9" fontId="57" fillId="11" borderId="0" xfId="24" applyFont="1" applyFill="1" applyBorder="1" applyAlignment="1">
      <alignment horizontal="right"/>
    </xf>
    <xf numFmtId="9" fontId="7" fillId="0" borderId="0" xfId="24" applyFont="1" applyFill="1" applyBorder="1" applyAlignment="1">
      <alignment horizontal="right"/>
    </xf>
    <xf numFmtId="167" fontId="69" fillId="0" borderId="0" xfId="13" applyFont="1" applyFill="1" applyBorder="1" applyAlignment="1">
      <alignment horizontal="right"/>
    </xf>
    <xf numFmtId="165" fontId="54" fillId="11" borderId="0" xfId="8" applyFont="1" applyFill="1" applyAlignment="1">
      <alignment horizontal="right"/>
    </xf>
    <xf numFmtId="167" fontId="8" fillId="14" borderId="0" xfId="13" applyFont="1" applyFill="1" applyAlignment="1">
      <alignment horizontal="right"/>
    </xf>
    <xf numFmtId="167" fontId="67" fillId="3" borderId="1" xfId="35" applyFont="1" applyAlignment="1">
      <alignment horizontal="right"/>
    </xf>
    <xf numFmtId="10" fontId="60" fillId="4" borderId="0" xfId="24" applyNumberFormat="1" applyFont="1" applyFill="1" applyAlignment="1">
      <alignment horizontal="right"/>
    </xf>
    <xf numFmtId="9" fontId="60" fillId="4" borderId="0" xfId="24" applyNumberFormat="1" applyFont="1" applyFill="1" applyAlignment="1">
      <alignment horizontal="right"/>
    </xf>
    <xf numFmtId="10" fontId="60" fillId="0" borderId="0" xfId="24" applyNumberFormat="1" applyFont="1" applyFill="1" applyAlignment="1">
      <alignment horizontal="right"/>
    </xf>
    <xf numFmtId="10" fontId="59" fillId="0" borderId="9" xfId="36" applyFont="1" applyFill="1" applyBorder="1" applyAlignment="1">
      <alignment horizontal="right"/>
    </xf>
    <xf numFmtId="10" fontId="59" fillId="0" borderId="5" xfId="36" applyFont="1" applyFill="1" applyBorder="1" applyAlignment="1">
      <alignment horizontal="right"/>
    </xf>
    <xf numFmtId="9" fontId="59" fillId="0" borderId="5" xfId="24" applyFont="1" applyFill="1" applyBorder="1" applyAlignment="1">
      <alignment horizontal="right"/>
    </xf>
    <xf numFmtId="4" fontId="59" fillId="0" borderId="5" xfId="36" applyNumberFormat="1" applyFont="1" applyFill="1" applyBorder="1" applyAlignment="1">
      <alignment horizontal="right"/>
    </xf>
    <xf numFmtId="9" fontId="59" fillId="0" borderId="5" xfId="36" applyNumberFormat="1" applyFont="1" applyFill="1" applyBorder="1" applyAlignment="1">
      <alignment horizontal="right"/>
    </xf>
    <xf numFmtId="9" fontId="59" fillId="0" borderId="7" xfId="36" applyNumberFormat="1" applyFont="1" applyFill="1" applyBorder="1" applyAlignment="1">
      <alignment horizontal="right"/>
    </xf>
    <xf numFmtId="10" fontId="59" fillId="0" borderId="7" xfId="36" applyFont="1" applyFill="1" applyBorder="1" applyAlignment="1">
      <alignment horizontal="right"/>
    </xf>
    <xf numFmtId="167" fontId="0" fillId="9" borderId="0" xfId="0" applyFill="1" applyAlignment="1">
      <alignment vertical="center"/>
    </xf>
    <xf numFmtId="167" fontId="29" fillId="9" borderId="0" xfId="0" applyFont="1" applyFill="1" applyAlignment="1">
      <alignment vertical="center"/>
    </xf>
    <xf numFmtId="0" fontId="50" fillId="0" borderId="0" xfId="15" applyFont="1" applyFill="1" applyBorder="1" applyAlignment="1" applyProtection="1">
      <alignment vertical="center"/>
    </xf>
    <xf numFmtId="167" fontId="49" fillId="0" borderId="0" xfId="0" quotePrefix="1" applyFont="1" applyFill="1" applyBorder="1" applyAlignment="1">
      <alignment vertical="center"/>
    </xf>
    <xf numFmtId="167" fontId="4" fillId="4" borderId="0" xfId="0" applyFont="1" applyFill="1" applyBorder="1" applyAlignment="1">
      <alignment vertical="center"/>
    </xf>
    <xf numFmtId="167" fontId="43" fillId="8" borderId="0" xfId="0" applyFont="1" applyFill="1" applyBorder="1" applyAlignment="1">
      <alignment vertical="center"/>
    </xf>
    <xf numFmtId="0" fontId="5" fillId="0" borderId="4" xfId="21" applyFont="1" applyFill="1" applyBorder="1" applyAlignment="1"/>
    <xf numFmtId="0" fontId="3" fillId="0" borderId="4" xfId="21" applyFill="1" applyBorder="1"/>
    <xf numFmtId="0" fontId="5" fillId="0" borderId="0" xfId="21" applyFont="1" applyFill="1" applyBorder="1" applyAlignment="1"/>
    <xf numFmtId="167" fontId="10" fillId="0" borderId="4" xfId="0" applyFont="1" applyFill="1" applyBorder="1" applyAlignment="1">
      <alignment horizontal="center"/>
    </xf>
    <xf numFmtId="0" fontId="3" fillId="0" borderId="0" xfId="21" applyFill="1"/>
    <xf numFmtId="0" fontId="3" fillId="0" borderId="0" xfId="21" applyFill="1" applyBorder="1"/>
    <xf numFmtId="0" fontId="4" fillId="0" borderId="0" xfId="21" applyFont="1" applyFill="1"/>
    <xf numFmtId="167" fontId="4" fillId="0" borderId="4" xfId="0" applyFont="1" applyFill="1" applyBorder="1"/>
    <xf numFmtId="0" fontId="4" fillId="0" borderId="0" xfId="21" applyFont="1" applyFill="1" applyBorder="1"/>
    <xf numFmtId="167" fontId="14" fillId="0" borderId="0" xfId="0" applyFont="1" applyFill="1" applyAlignment="1">
      <alignment horizontal="left"/>
    </xf>
    <xf numFmtId="167" fontId="14" fillId="0" borderId="0" xfId="0" applyFont="1" applyFill="1" applyAlignment="1">
      <alignment horizontal="right"/>
    </xf>
    <xf numFmtId="167" fontId="60" fillId="0" borderId="0" xfId="0" applyFont="1" applyFill="1" applyAlignment="1">
      <alignment horizontal="right"/>
    </xf>
    <xf numFmtId="4" fontId="0" fillId="0" borderId="0" xfId="0" applyNumberFormat="1" applyFill="1"/>
    <xf numFmtId="167" fontId="0" fillId="0" borderId="0" xfId="0" applyFill="1" applyBorder="1" applyAlignment="1">
      <alignment horizontal="left"/>
    </xf>
    <xf numFmtId="167" fontId="3" fillId="0" borderId="0" xfId="0" applyNumberFormat="1" applyFont="1" applyFill="1" applyAlignment="1">
      <alignment horizontal="right"/>
    </xf>
    <xf numFmtId="168" fontId="3" fillId="0" borderId="0" xfId="0" applyNumberFormat="1" applyFont="1" applyFill="1" applyAlignment="1">
      <alignment horizontal="right"/>
    </xf>
    <xf numFmtId="181" fontId="3" fillId="0" borderId="0" xfId="21" applyNumberFormat="1" applyFill="1" applyAlignment="1">
      <alignment horizontal="right"/>
    </xf>
    <xf numFmtId="168" fontId="8" fillId="0" borderId="0" xfId="0" quotePrefix="1" applyNumberFormat="1" applyFont="1" applyFill="1" applyAlignment="1">
      <alignment horizontal="center"/>
    </xf>
    <xf numFmtId="168" fontId="8" fillId="0" borderId="0" xfId="0" applyNumberFormat="1" applyFont="1" applyFill="1" applyAlignment="1">
      <alignment horizontal="center"/>
    </xf>
    <xf numFmtId="167" fontId="4" fillId="0" borderId="4" xfId="0" applyFont="1" applyFill="1" applyBorder="1" applyAlignment="1">
      <alignment horizontal="right"/>
    </xf>
    <xf numFmtId="15" fontId="8" fillId="0" borderId="4" xfId="0" applyNumberFormat="1" applyFont="1" applyFill="1" applyBorder="1" applyAlignment="1">
      <alignment horizontal="right"/>
    </xf>
    <xf numFmtId="10" fontId="43" fillId="0" borderId="0" xfId="0" applyNumberFormat="1" applyFont="1" applyFill="1" applyAlignment="1">
      <alignment horizontal="right"/>
    </xf>
    <xf numFmtId="15" fontId="43" fillId="0" borderId="0" xfId="0" applyNumberFormat="1" applyFont="1" applyFill="1" applyAlignment="1">
      <alignment horizontal="right"/>
    </xf>
    <xf numFmtId="9" fontId="0" fillId="0" borderId="0" xfId="0" applyNumberFormat="1" applyFill="1"/>
    <xf numFmtId="167" fontId="8" fillId="0" borderId="0" xfId="0" applyNumberFormat="1" applyFont="1" applyFill="1"/>
    <xf numFmtId="9" fontId="8" fillId="0" borderId="0" xfId="0" applyNumberFormat="1" applyFont="1" applyFill="1"/>
    <xf numFmtId="3" fontId="8" fillId="0" borderId="0" xfId="0" applyNumberFormat="1" applyFont="1" applyFill="1"/>
    <xf numFmtId="10" fontId="35" fillId="0" borderId="0" xfId="0" applyNumberFormat="1" applyFont="1" applyFill="1" applyAlignment="1">
      <alignment horizontal="right"/>
    </xf>
    <xf numFmtId="15" fontId="8" fillId="0" borderId="0" xfId="0" applyNumberFormat="1" applyFont="1" applyFill="1" applyAlignment="1">
      <alignment horizontal="right"/>
    </xf>
    <xf numFmtId="167" fontId="4" fillId="0" borderId="0" xfId="13" applyNumberFormat="1" applyFont="1" applyFill="1" applyAlignment="1">
      <alignment horizontal="right"/>
    </xf>
    <xf numFmtId="0" fontId="37" fillId="0" borderId="0" xfId="21" applyFont="1" applyFill="1"/>
    <xf numFmtId="0" fontId="37" fillId="0" borderId="0" xfId="21" applyFont="1" applyFill="1" applyBorder="1"/>
    <xf numFmtId="10" fontId="37" fillId="0" borderId="0" xfId="0" applyNumberFormat="1" applyFont="1" applyFill="1" applyAlignment="1">
      <alignment horizontal="right"/>
    </xf>
    <xf numFmtId="15" fontId="37" fillId="0" borderId="0" xfId="0" applyNumberFormat="1" applyFont="1" applyFill="1" applyAlignment="1">
      <alignment horizontal="right"/>
    </xf>
    <xf numFmtId="9" fontId="37" fillId="0" borderId="0" xfId="0" applyNumberFormat="1" applyFont="1" applyFill="1"/>
    <xf numFmtId="167" fontId="4" fillId="0" borderId="0" xfId="0" applyFont="1" applyFill="1" applyBorder="1" applyAlignment="1">
      <alignment horizontal="right"/>
    </xf>
    <xf numFmtId="167" fontId="37" fillId="0" borderId="0" xfId="0" applyNumberFormat="1" applyFont="1" applyFill="1"/>
    <xf numFmtId="15" fontId="31" fillId="0" borderId="0" xfId="0" applyNumberFormat="1" applyFont="1" applyFill="1" applyAlignment="1">
      <alignment horizontal="right"/>
    </xf>
    <xf numFmtId="9" fontId="4" fillId="0" borderId="0" xfId="24" applyFont="1" applyFill="1" applyBorder="1"/>
    <xf numFmtId="167" fontId="8" fillId="0" borderId="0" xfId="0" applyFont="1" applyFill="1" applyBorder="1" applyAlignment="1">
      <alignment horizontal="right"/>
    </xf>
    <xf numFmtId="167" fontId="5" fillId="0" borderId="4" xfId="0" applyFont="1" applyFill="1" applyBorder="1" applyAlignment="1">
      <alignment vertical="center"/>
    </xf>
    <xf numFmtId="167" fontId="0" fillId="0" borderId="4" xfId="0" applyFill="1" applyBorder="1" applyAlignment="1">
      <alignment vertical="center"/>
    </xf>
    <xf numFmtId="167" fontId="0" fillId="0" borderId="4" xfId="0" applyFill="1" applyBorder="1" applyAlignment="1">
      <alignment horizontal="left" vertical="center"/>
    </xf>
    <xf numFmtId="167" fontId="0" fillId="0" borderId="4" xfId="0" applyFill="1" applyBorder="1" applyAlignment="1">
      <alignment horizontal="right" vertical="center"/>
    </xf>
    <xf numFmtId="167" fontId="0" fillId="0" borderId="0" xfId="0" applyFill="1" applyAlignment="1">
      <alignment horizontal="left" vertical="center"/>
    </xf>
    <xf numFmtId="167" fontId="49" fillId="0" borderId="0" xfId="0" applyFont="1" applyFill="1" applyAlignment="1">
      <alignment vertical="center"/>
    </xf>
    <xf numFmtId="167" fontId="0" fillId="0" borderId="0" xfId="0" applyFill="1" applyBorder="1" applyAlignment="1">
      <alignment vertical="center"/>
    </xf>
    <xf numFmtId="167" fontId="43" fillId="0" borderId="0" xfId="0" applyFont="1" applyFill="1" applyBorder="1" applyAlignment="1">
      <alignment vertical="center"/>
    </xf>
    <xf numFmtId="167" fontId="70" fillId="0" borderId="0" xfId="0" applyFont="1" applyFill="1" applyBorder="1" applyAlignment="1">
      <alignment vertical="center"/>
    </xf>
    <xf numFmtId="167" fontId="46" fillId="0" borderId="0" xfId="0" applyFont="1" applyFill="1" applyBorder="1" applyAlignment="1">
      <alignment vertical="center"/>
    </xf>
    <xf numFmtId="167" fontId="7" fillId="0" borderId="0" xfId="0" applyFont="1" applyFill="1" applyBorder="1" applyAlignment="1">
      <alignment vertical="center"/>
    </xf>
    <xf numFmtId="167" fontId="44" fillId="0" borderId="0" xfId="0" applyFont="1" applyFill="1" applyBorder="1" applyAlignment="1">
      <alignment vertical="center"/>
    </xf>
    <xf numFmtId="168" fontId="36" fillId="0" borderId="0" xfId="24" applyNumberFormat="1" applyFont="1" applyFill="1"/>
    <xf numFmtId="4" fontId="36" fillId="0" borderId="0" xfId="0" applyNumberFormat="1" applyFont="1" applyFill="1"/>
    <xf numFmtId="167" fontId="39" fillId="0" borderId="0" xfId="0" applyFont="1" applyFill="1"/>
    <xf numFmtId="167" fontId="39" fillId="0" borderId="0" xfId="13" applyFont="1" applyFill="1">
      <alignment horizontal="right"/>
    </xf>
    <xf numFmtId="9" fontId="39" fillId="0" borderId="0" xfId="0" applyNumberFormat="1" applyFont="1" applyFill="1"/>
    <xf numFmtId="168" fontId="4" fillId="0" borderId="0" xfId="24" applyNumberFormat="1" applyFont="1" applyFill="1"/>
    <xf numFmtId="167" fontId="4" fillId="0" borderId="4" xfId="0" applyFont="1" applyFill="1" applyBorder="1" applyAlignment="1">
      <alignment horizontal="center"/>
    </xf>
    <xf numFmtId="167" fontId="8" fillId="0" borderId="1" xfId="34" applyFont="1" applyFill="1"/>
    <xf numFmtId="167" fontId="58" fillId="0" borderId="0" xfId="0" applyFont="1" applyFill="1" applyAlignment="1">
      <alignment horizontal="center"/>
    </xf>
    <xf numFmtId="167" fontId="31" fillId="0" borderId="0" xfId="0" applyFont="1" applyFill="1"/>
    <xf numFmtId="9" fontId="7" fillId="0" borderId="0" xfId="0" applyNumberFormat="1" applyFont="1" applyFill="1"/>
    <xf numFmtId="167" fontId="61" fillId="0" borderId="0" xfId="13" applyFont="1" applyFill="1">
      <alignment horizontal="right"/>
    </xf>
    <xf numFmtId="167" fontId="31" fillId="0" borderId="4" xfId="0" applyFont="1" applyFill="1" applyBorder="1"/>
    <xf numFmtId="167" fontId="7" fillId="0" borderId="4" xfId="0" applyFont="1" applyFill="1" applyBorder="1"/>
    <xf numFmtId="168" fontId="7" fillId="0" borderId="0" xfId="0" applyNumberFormat="1" applyFont="1" applyFill="1"/>
    <xf numFmtId="167" fontId="11" fillId="0" borderId="0" xfId="0" applyFont="1" applyFill="1"/>
    <xf numFmtId="168" fontId="4" fillId="0" borderId="0" xfId="0" applyNumberFormat="1" applyFont="1" applyFill="1"/>
    <xf numFmtId="9" fontId="31" fillId="0" borderId="0" xfId="0" applyNumberFormat="1" applyFont="1" applyFill="1"/>
    <xf numFmtId="167" fontId="41" fillId="0" borderId="0" xfId="0" applyFont="1" applyFill="1"/>
    <xf numFmtId="168" fontId="7" fillId="0" borderId="12" xfId="0" applyNumberFormat="1" applyFont="1" applyFill="1" applyBorder="1"/>
    <xf numFmtId="168" fontId="7" fillId="0" borderId="1" xfId="0" applyNumberFormat="1" applyFont="1" applyFill="1" applyBorder="1"/>
    <xf numFmtId="168" fontId="7" fillId="0" borderId="13" xfId="0" applyNumberFormat="1" applyFont="1" applyFill="1" applyBorder="1"/>
    <xf numFmtId="168" fontId="0" fillId="0" borderId="0" xfId="0" applyNumberFormat="1" applyFill="1"/>
    <xf numFmtId="167" fontId="39" fillId="0" borderId="1" xfId="13" applyFont="1" applyFill="1" applyBorder="1">
      <alignment horizontal="right"/>
    </xf>
    <xf numFmtId="168" fontId="7" fillId="0" borderId="1" xfId="24" applyNumberFormat="1" applyFont="1" applyFill="1" applyBorder="1"/>
    <xf numFmtId="168" fontId="7" fillId="0" borderId="0" xfId="24" applyNumberFormat="1" applyFont="1" applyFill="1"/>
    <xf numFmtId="168" fontId="7" fillId="0" borderId="0" xfId="24" applyNumberFormat="1" applyFont="1" applyFill="1" applyBorder="1" applyAlignment="1">
      <alignment horizontal="right"/>
    </xf>
    <xf numFmtId="168" fontId="31" fillId="0" borderId="0" xfId="24" applyNumberFormat="1" applyFont="1" applyFill="1"/>
    <xf numFmtId="9" fontId="57" fillId="0" borderId="0" xfId="0" applyNumberFormat="1" applyFont="1" applyFill="1"/>
    <xf numFmtId="167" fontId="7" fillId="0" borderId="0" xfId="0" applyFont="1" applyFill="1" applyAlignment="1">
      <alignment horizontal="left" indent="1"/>
    </xf>
    <xf numFmtId="167" fontId="7" fillId="0" borderId="1" xfId="34" applyFont="1" applyFill="1"/>
    <xf numFmtId="167" fontId="7" fillId="0" borderId="1" xfId="34" applyFont="1" applyFill="1" applyAlignment="1">
      <alignment horizontal="right"/>
    </xf>
    <xf numFmtId="167" fontId="8" fillId="0" borderId="0" xfId="34" applyFill="1" applyBorder="1"/>
    <xf numFmtId="167" fontId="8" fillId="0" borderId="0" xfId="34" applyFont="1" applyFill="1" applyBorder="1" applyAlignment="1">
      <alignment horizontal="right"/>
    </xf>
    <xf numFmtId="167" fontId="8" fillId="0" borderId="0" xfId="34" applyFill="1" applyBorder="1" applyAlignment="1">
      <alignment horizontal="right"/>
    </xf>
    <xf numFmtId="167" fontId="36" fillId="0" borderId="0" xfId="13" applyFont="1" applyFill="1">
      <alignment horizontal="right"/>
    </xf>
    <xf numFmtId="167" fontId="4" fillId="0" borderId="0" xfId="0" applyFont="1" applyFill="1" applyAlignment="1">
      <alignment horizontal="left"/>
    </xf>
    <xf numFmtId="167" fontId="38" fillId="0" borderId="0" xfId="0" applyFont="1" applyFill="1" applyAlignment="1">
      <alignment horizontal="right"/>
    </xf>
    <xf numFmtId="167" fontId="42" fillId="0" borderId="0" xfId="0" applyFont="1" applyFill="1" applyAlignment="1">
      <alignment horizontal="right"/>
    </xf>
    <xf numFmtId="167" fontId="42" fillId="0" borderId="0" xfId="13" applyFont="1" applyFill="1">
      <alignment horizontal="right"/>
    </xf>
    <xf numFmtId="9" fontId="71" fillId="0" borderId="0" xfId="0" applyNumberFormat="1" applyFont="1" applyFill="1"/>
    <xf numFmtId="167" fontId="54" fillId="0" borderId="1" xfId="0" applyFont="1" applyFill="1" applyBorder="1" applyAlignment="1">
      <alignment horizontal="right"/>
    </xf>
    <xf numFmtId="167" fontId="48" fillId="0" borderId="0" xfId="0" applyFont="1" applyFill="1" applyAlignment="1">
      <alignment horizontal="right"/>
    </xf>
    <xf numFmtId="168" fontId="7" fillId="0" borderId="0" xfId="16" applyFill="1" applyAlignment="1">
      <alignment horizontal="right"/>
    </xf>
    <xf numFmtId="4" fontId="0" fillId="0" borderId="0" xfId="0" applyNumberFormat="1" applyFill="1" applyAlignment="1">
      <alignment horizontal="right"/>
    </xf>
    <xf numFmtId="4" fontId="11" fillId="0" borderId="0" xfId="0" applyNumberFormat="1" applyFont="1" applyFill="1"/>
    <xf numFmtId="168" fontId="7" fillId="0" borderId="0" xfId="0" applyNumberFormat="1" applyFont="1" applyFill="1" applyBorder="1"/>
    <xf numFmtId="4" fontId="4" fillId="0" borderId="0" xfId="0" applyNumberFormat="1" applyFont="1" applyFill="1" applyAlignment="1">
      <alignment horizontal="right"/>
    </xf>
    <xf numFmtId="4" fontId="0" fillId="0" borderId="4" xfId="0" applyNumberFormat="1" applyFill="1" applyBorder="1" applyAlignment="1">
      <alignment horizontal="right"/>
    </xf>
    <xf numFmtId="167" fontId="36" fillId="0" borderId="0" xfId="0" applyNumberFormat="1" applyFont="1" applyFill="1" applyAlignment="1">
      <alignment horizontal="right"/>
    </xf>
    <xf numFmtId="4" fontId="36" fillId="0" borderId="0" xfId="13" applyNumberFormat="1" applyFont="1" applyFill="1" applyAlignment="1">
      <alignment horizontal="right"/>
    </xf>
    <xf numFmtId="167" fontId="8" fillId="0" borderId="0" xfId="0" applyNumberFormat="1" applyFont="1" applyFill="1" applyAlignment="1">
      <alignment horizontal="right"/>
    </xf>
    <xf numFmtId="4" fontId="7" fillId="0" borderId="0" xfId="0" applyNumberFormat="1" applyFont="1" applyFill="1"/>
    <xf numFmtId="4" fontId="7" fillId="0" borderId="0" xfId="0" applyNumberFormat="1" applyFont="1" applyFill="1" applyAlignment="1">
      <alignment horizontal="right"/>
    </xf>
    <xf numFmtId="4" fontId="57" fillId="0" borderId="0" xfId="0" applyNumberFormat="1" applyFont="1" applyFill="1" applyAlignment="1">
      <alignment horizontal="right"/>
    </xf>
    <xf numFmtId="167" fontId="66" fillId="0" borderId="0" xfId="0" applyFont="1" applyFill="1" applyAlignment="1">
      <alignment horizontal="center"/>
    </xf>
    <xf numFmtId="4" fontId="3" fillId="0" borderId="0" xfId="0" applyNumberFormat="1" applyFont="1" applyFill="1" applyAlignment="1">
      <alignment horizontal="right"/>
    </xf>
    <xf numFmtId="168" fontId="8" fillId="0" borderId="0" xfId="0" applyNumberFormat="1" applyFont="1" applyFill="1" applyAlignment="1">
      <alignment horizontal="right"/>
    </xf>
    <xf numFmtId="168" fontId="54" fillId="0" borderId="0" xfId="0" applyNumberFormat="1" applyFont="1" applyFill="1" applyAlignment="1">
      <alignment horizontal="right"/>
    </xf>
    <xf numFmtId="168" fontId="54" fillId="0" borderId="0" xfId="13" applyNumberFormat="1" applyFont="1" applyFill="1" applyAlignment="1">
      <alignment horizontal="right"/>
    </xf>
    <xf numFmtId="167" fontId="0" fillId="0" borderId="0" xfId="0" applyNumberFormat="1" applyFill="1"/>
    <xf numFmtId="168" fontId="0" fillId="0" borderId="0" xfId="24" applyNumberFormat="1" applyFont="1" applyFill="1"/>
    <xf numFmtId="167" fontId="0" fillId="0" borderId="0" xfId="0" applyNumberFormat="1" applyFill="1" applyAlignment="1">
      <alignment horizontal="right"/>
    </xf>
    <xf numFmtId="167" fontId="36" fillId="0" borderId="0" xfId="13" applyNumberFormat="1" applyFont="1" applyFill="1" applyAlignment="1">
      <alignment horizontal="right"/>
    </xf>
    <xf numFmtId="10" fontId="8" fillId="0" borderId="0" xfId="24" applyNumberFormat="1" applyFont="1" applyFill="1" applyAlignment="1">
      <alignment horizontal="left"/>
    </xf>
    <xf numFmtId="10" fontId="0" fillId="0" borderId="0" xfId="24" applyNumberFormat="1" applyFont="1" applyFill="1"/>
    <xf numFmtId="10" fontId="0" fillId="0" borderId="0" xfId="24" applyNumberFormat="1" applyFont="1" applyFill="1" applyAlignment="1">
      <alignment horizontal="right"/>
    </xf>
    <xf numFmtId="10" fontId="42" fillId="0" borderId="0" xfId="24" applyNumberFormat="1" applyFont="1" applyFill="1" applyAlignment="1">
      <alignment horizontal="right"/>
    </xf>
    <xf numFmtId="10" fontId="7" fillId="0" borderId="0" xfId="24" applyNumberFormat="1" applyFont="1" applyFill="1"/>
    <xf numFmtId="167" fontId="3" fillId="0" borderId="0" xfId="0" applyFont="1" applyFill="1" applyBorder="1"/>
    <xf numFmtId="167" fontId="36" fillId="0" borderId="0" xfId="0" applyFont="1" applyFill="1" applyBorder="1" applyAlignment="1">
      <alignment horizontal="right"/>
    </xf>
    <xf numFmtId="167" fontId="3" fillId="0" borderId="0" xfId="0" applyFont="1" applyFill="1"/>
    <xf numFmtId="167" fontId="3" fillId="0" borderId="0" xfId="22" applyFill="1"/>
    <xf numFmtId="167" fontId="7" fillId="0" borderId="0" xfId="0" applyNumberFormat="1" applyFont="1" applyFill="1"/>
    <xf numFmtId="4" fontId="36" fillId="0" borderId="0" xfId="0" applyNumberFormat="1" applyFont="1" applyFill="1" applyAlignment="1">
      <alignment horizontal="right"/>
    </xf>
    <xf numFmtId="10" fontId="4" fillId="0" borderId="0" xfId="0" applyNumberFormat="1" applyFont="1" applyFill="1"/>
    <xf numFmtId="10" fontId="0" fillId="0" borderId="0" xfId="0" applyNumberFormat="1" applyFill="1"/>
    <xf numFmtId="9" fontId="4" fillId="0" borderId="0" xfId="0" applyNumberFormat="1" applyFont="1" applyFill="1"/>
    <xf numFmtId="169" fontId="36" fillId="0" borderId="0" xfId="0" applyNumberFormat="1" applyFont="1" applyFill="1" applyAlignment="1">
      <alignment horizontal="right"/>
    </xf>
    <xf numFmtId="169" fontId="36" fillId="0" borderId="0" xfId="0" applyNumberFormat="1" applyFont="1" applyFill="1"/>
    <xf numFmtId="183" fontId="36" fillId="0" borderId="0" xfId="8" applyNumberFormat="1" applyFont="1" applyFill="1"/>
    <xf numFmtId="167" fontId="0" fillId="0" borderId="1" xfId="0" applyFill="1" applyBorder="1" applyAlignment="1">
      <alignment horizontal="left"/>
    </xf>
    <xf numFmtId="167" fontId="0" fillId="0" borderId="1" xfId="0" applyFill="1" applyBorder="1"/>
    <xf numFmtId="167" fontId="37" fillId="0" borderId="0" xfId="0" applyFont="1" applyFill="1" applyAlignment="1">
      <alignment horizontal="left"/>
    </xf>
    <xf numFmtId="167" fontId="3" fillId="0" borderId="0" xfId="22" applyFont="1" applyFill="1"/>
    <xf numFmtId="4" fontId="39" fillId="0" borderId="0" xfId="0" applyNumberFormat="1" applyFont="1" applyFill="1"/>
    <xf numFmtId="4" fontId="37" fillId="0" borderId="0" xfId="0" applyNumberFormat="1" applyFont="1" applyFill="1" applyAlignment="1">
      <alignment horizontal="left"/>
    </xf>
    <xf numFmtId="4" fontId="37" fillId="0" borderId="0" xfId="0" applyNumberFormat="1" applyFont="1" applyFill="1"/>
    <xf numFmtId="4" fontId="37" fillId="0" borderId="0" xfId="0" applyNumberFormat="1" applyFont="1" applyFill="1" applyAlignment="1">
      <alignment horizontal="right"/>
    </xf>
    <xf numFmtId="167" fontId="14" fillId="0" borderId="0" xfId="0" applyFont="1" applyFill="1"/>
    <xf numFmtId="174" fontId="0" fillId="0" borderId="0" xfId="0" applyNumberFormat="1" applyFill="1" applyAlignment="1">
      <alignment horizontal="right"/>
    </xf>
    <xf numFmtId="174" fontId="0" fillId="0" borderId="0" xfId="0" applyNumberFormat="1" applyFill="1"/>
    <xf numFmtId="17" fontId="3" fillId="0" borderId="0" xfId="22" applyNumberFormat="1" applyFill="1" applyBorder="1"/>
    <xf numFmtId="17" fontId="3" fillId="0" borderId="0" xfId="22" applyNumberFormat="1" applyFill="1" applyBorder="1" applyAlignment="1">
      <alignment horizontal="right"/>
    </xf>
    <xf numFmtId="168" fontId="3" fillId="0" borderId="0" xfId="10" applyNumberFormat="1" applyFont="1" applyFill="1" applyAlignment="1">
      <alignment horizontal="right"/>
    </xf>
    <xf numFmtId="167" fontId="8" fillId="0" borderId="0" xfId="22" applyFont="1" applyFill="1"/>
    <xf numFmtId="167" fontId="8" fillId="0" borderId="1" xfId="34" applyFont="1" applyFill="1" applyAlignment="1">
      <alignment horizontal="right"/>
    </xf>
    <xf numFmtId="167" fontId="8" fillId="0" borderId="4" xfId="34" applyFont="1" applyFill="1" applyBorder="1" applyAlignment="1">
      <alignment horizontal="right"/>
    </xf>
    <xf numFmtId="167" fontId="8" fillId="0" borderId="1" xfId="34" applyFont="1" applyFill="1" applyBorder="1" applyAlignment="1">
      <alignment horizontal="right"/>
    </xf>
    <xf numFmtId="167" fontId="8" fillId="0" borderId="1" xfId="34" applyFont="1" applyFill="1" applyBorder="1"/>
    <xf numFmtId="167" fontId="3" fillId="0" borderId="1" xfId="22" applyFill="1" applyBorder="1" applyAlignment="1">
      <alignment horizontal="right"/>
    </xf>
    <xf numFmtId="175" fontId="0" fillId="0" borderId="0" xfId="0" applyNumberFormat="1" applyFill="1" applyAlignment="1">
      <alignment horizontal="right"/>
    </xf>
    <xf numFmtId="175" fontId="0" fillId="0" borderId="0" xfId="0" applyNumberFormat="1" applyFill="1"/>
    <xf numFmtId="167" fontId="3" fillId="0" borderId="0" xfId="22" applyFont="1" applyFill="1" applyAlignment="1">
      <alignment horizontal="left"/>
    </xf>
    <xf numFmtId="167" fontId="3" fillId="0" borderId="0" xfId="22" applyFill="1" applyAlignment="1">
      <alignment horizontal="left"/>
    </xf>
    <xf numFmtId="9" fontId="0" fillId="0" borderId="0" xfId="24" applyFont="1" applyFill="1" applyAlignment="1">
      <alignment horizontal="right"/>
    </xf>
    <xf numFmtId="168" fontId="36" fillId="0" borderId="1" xfId="0" applyNumberFormat="1" applyFont="1" applyFill="1" applyBorder="1" applyAlignment="1">
      <alignment horizontal="right"/>
    </xf>
    <xf numFmtId="167" fontId="0" fillId="0" borderId="0" xfId="0" applyFill="1" applyAlignment="1">
      <alignment horizontal="left" indent="1"/>
    </xf>
    <xf numFmtId="167" fontId="57" fillId="0" borderId="0" xfId="0" applyFont="1" applyFill="1" applyAlignment="1">
      <alignment horizontal="center"/>
    </xf>
    <xf numFmtId="168" fontId="7" fillId="0" borderId="0" xfId="24" applyNumberFormat="1" applyFont="1" applyFill="1" applyAlignment="1">
      <alignment horizontal="center"/>
    </xf>
    <xf numFmtId="167" fontId="45" fillId="0" borderId="0" xfId="0" applyFont="1" applyFill="1" applyBorder="1"/>
    <xf numFmtId="167" fontId="44" fillId="0" borderId="0" xfId="0" applyFont="1" applyFill="1"/>
    <xf numFmtId="167" fontId="45" fillId="0" borderId="0" xfId="0" applyFont="1" applyFill="1" applyAlignment="1">
      <alignment horizontal="right"/>
    </xf>
    <xf numFmtId="167" fontId="36" fillId="0" borderId="1" xfId="0" applyFont="1" applyFill="1" applyBorder="1" applyAlignment="1">
      <alignment horizontal="right"/>
    </xf>
    <xf numFmtId="9" fontId="36" fillId="0" borderId="1" xfId="0" applyNumberFormat="1" applyFont="1" applyFill="1" applyBorder="1" applyAlignment="1">
      <alignment horizontal="right"/>
    </xf>
    <xf numFmtId="167" fontId="4" fillId="0" borderId="1" xfId="0" applyFont="1" applyFill="1" applyBorder="1"/>
    <xf numFmtId="168" fontId="44" fillId="0" borderId="0" xfId="24" applyNumberFormat="1" applyFont="1" applyFill="1" applyAlignment="1">
      <alignment horizontal="right"/>
    </xf>
    <xf numFmtId="167" fontId="65" fillId="0" borderId="4" xfId="0" applyFont="1" applyFill="1" applyBorder="1"/>
    <xf numFmtId="167" fontId="36" fillId="0" borderId="0" xfId="27" applyFont="1" applyFill="1" applyAlignment="1">
      <alignment horizontal="right"/>
    </xf>
    <xf numFmtId="10" fontId="34" fillId="0" borderId="0" xfId="36" applyFont="1" applyFill="1" applyAlignment="1">
      <alignment horizontal="right"/>
    </xf>
    <xf numFmtId="9" fontId="60" fillId="0" borderId="0" xfId="24" applyFont="1" applyFill="1"/>
    <xf numFmtId="10" fontId="0" fillId="0" borderId="14" xfId="36" applyFont="1" applyFill="1" applyBorder="1" applyAlignment="1">
      <alignment horizontal="right"/>
    </xf>
    <xf numFmtId="10" fontId="59" fillId="0" borderId="0" xfId="36" applyFont="1" applyFill="1" applyAlignment="1">
      <alignment horizontal="right"/>
    </xf>
    <xf numFmtId="10" fontId="0" fillId="0" borderId="5" xfId="36" applyFont="1" applyFill="1" applyBorder="1" applyAlignment="1">
      <alignment horizontal="right"/>
    </xf>
    <xf numFmtId="185" fontId="0" fillId="0" borderId="5" xfId="36" applyNumberFormat="1" applyFont="1" applyFill="1" applyBorder="1" applyAlignment="1">
      <alignment horizontal="right"/>
    </xf>
    <xf numFmtId="10" fontId="0" fillId="0" borderId="7" xfId="36" applyFont="1" applyFill="1" applyBorder="1" applyAlignment="1">
      <alignment horizontal="right"/>
    </xf>
    <xf numFmtId="167" fontId="60" fillId="0" borderId="0" xfId="0" applyFont="1" applyFill="1"/>
    <xf numFmtId="10" fontId="0" fillId="0" borderId="0" xfId="0" applyNumberFormat="1" applyFill="1" applyAlignment="1">
      <alignment horizontal="right"/>
    </xf>
    <xf numFmtId="4" fontId="24" fillId="0" borderId="15" xfId="0" applyNumberFormat="1" applyFont="1" applyFill="1" applyBorder="1" applyAlignment="1">
      <alignment horizontal="right"/>
    </xf>
    <xf numFmtId="167" fontId="7" fillId="0" borderId="1" xfId="0" applyFont="1" applyFill="1" applyBorder="1"/>
    <xf numFmtId="9" fontId="54" fillId="0" borderId="1" xfId="13" applyNumberFormat="1" applyFont="1" applyFill="1" applyBorder="1" applyAlignment="1">
      <alignment horizontal="right"/>
    </xf>
    <xf numFmtId="168" fontId="0" fillId="0" borderId="0" xfId="24" applyNumberFormat="1" applyFont="1" applyFill="1" applyAlignment="1">
      <alignment horizontal="right"/>
    </xf>
    <xf numFmtId="168" fontId="72" fillId="0" borderId="0" xfId="24" applyNumberFormat="1" applyFont="1" applyFill="1" applyAlignment="1">
      <alignment horizontal="center"/>
    </xf>
    <xf numFmtId="10" fontId="3" fillId="0" borderId="14" xfId="36" applyFont="1" applyFill="1" applyBorder="1" applyAlignment="1">
      <alignment horizontal="right"/>
    </xf>
    <xf numFmtId="10" fontId="3" fillId="0" borderId="9" xfId="36" applyFont="1" applyFill="1" applyBorder="1" applyAlignment="1">
      <alignment horizontal="right"/>
    </xf>
    <xf numFmtId="10" fontId="6" fillId="0" borderId="0" xfId="0" applyNumberFormat="1" applyFont="1" applyFill="1" applyAlignment="1">
      <alignment horizontal="right"/>
    </xf>
    <xf numFmtId="168" fontId="0" fillId="0" borderId="1" xfId="0" applyNumberFormat="1" applyFill="1" applyBorder="1" applyAlignment="1">
      <alignment horizontal="right"/>
    </xf>
    <xf numFmtId="9" fontId="0" fillId="0" borderId="0" xfId="0" applyNumberFormat="1" applyFill="1" applyBorder="1" applyAlignment="1">
      <alignment horizontal="right"/>
    </xf>
    <xf numFmtId="9" fontId="54" fillId="0" borderId="0" xfId="13" applyNumberFormat="1" applyFont="1" applyFill="1" applyBorder="1" applyAlignment="1">
      <alignment horizontal="right"/>
    </xf>
    <xf numFmtId="169" fontId="0" fillId="0" borderId="1" xfId="0" applyNumberFormat="1" applyFill="1" applyBorder="1" applyAlignment="1">
      <alignment horizontal="right"/>
    </xf>
    <xf numFmtId="169" fontId="0" fillId="0" borderId="4" xfId="0" applyNumberFormat="1" applyFill="1" applyBorder="1" applyAlignment="1">
      <alignment horizontal="right"/>
    </xf>
    <xf numFmtId="10" fontId="60" fillId="0" borderId="9" xfId="36" applyFont="1" applyFill="1" applyBorder="1" applyAlignment="1">
      <alignment horizontal="right"/>
    </xf>
    <xf numFmtId="168" fontId="0" fillId="0" borderId="4" xfId="24" applyNumberFormat="1" applyFont="1" applyFill="1" applyBorder="1" applyAlignment="1">
      <alignment horizontal="right"/>
    </xf>
    <xf numFmtId="10" fontId="0" fillId="0" borderId="4" xfId="0" applyNumberFormat="1" applyFill="1" applyBorder="1" applyAlignment="1">
      <alignment horizontal="right"/>
    </xf>
    <xf numFmtId="167" fontId="38" fillId="0" borderId="0" xfId="0" applyFont="1" applyFill="1"/>
    <xf numFmtId="9" fontId="36" fillId="0" borderId="0" xfId="36" applyNumberFormat="1" applyFont="1" applyFill="1" applyBorder="1" applyAlignment="1">
      <alignment horizontal="right"/>
    </xf>
    <xf numFmtId="10" fontId="43" fillId="0" borderId="0" xfId="36" applyFont="1" applyFill="1" applyBorder="1" applyAlignment="1">
      <alignment horizontal="right"/>
    </xf>
    <xf numFmtId="4" fontId="25" fillId="0" borderId="0" xfId="0" applyNumberFormat="1" applyFont="1" applyFill="1" applyBorder="1" applyAlignment="1">
      <alignment horizontal="right"/>
    </xf>
    <xf numFmtId="167" fontId="4" fillId="0" borderId="0" xfId="0" applyFont="1" applyFill="1" applyBorder="1" applyAlignment="1">
      <alignment horizontal="left"/>
    </xf>
    <xf numFmtId="167" fontId="69" fillId="0" borderId="0" xfId="0" applyFont="1" applyFill="1" applyBorder="1" applyAlignment="1">
      <alignment horizontal="right"/>
    </xf>
    <xf numFmtId="167" fontId="4" fillId="0" borderId="1" xfId="0" applyFont="1" applyFill="1" applyBorder="1" applyAlignment="1">
      <alignment horizontal="right"/>
    </xf>
    <xf numFmtId="167" fontId="7" fillId="0" borderId="0" xfId="0" applyFont="1" applyFill="1" applyBorder="1" applyAlignment="1">
      <alignment horizontal="left" indent="1"/>
    </xf>
    <xf numFmtId="167" fontId="7" fillId="0" borderId="0" xfId="0" applyFont="1" applyFill="1" applyBorder="1" applyAlignment="1">
      <alignment horizontal="right"/>
    </xf>
    <xf numFmtId="10" fontId="68" fillId="0" borderId="0" xfId="24" applyNumberFormat="1" applyFont="1" applyFill="1"/>
    <xf numFmtId="39" fontId="64" fillId="0" borderId="0" xfId="36" applyNumberFormat="1" applyFont="1" applyFill="1" applyBorder="1" applyAlignment="1">
      <alignment horizontal="right"/>
    </xf>
    <xf numFmtId="167" fontId="64" fillId="0" borderId="0" xfId="0" applyNumberFormat="1" applyFont="1" applyFill="1" applyAlignment="1">
      <alignment horizontal="right"/>
    </xf>
    <xf numFmtId="167" fontId="64" fillId="0" borderId="0" xfId="0" applyNumberFormat="1" applyFont="1" applyFill="1"/>
    <xf numFmtId="167" fontId="65" fillId="0" borderId="0" xfId="0" applyFont="1" applyFill="1" applyAlignment="1">
      <alignment vertical="center"/>
    </xf>
    <xf numFmtId="0" fontId="26" fillId="0" borderId="4" xfId="21" applyFont="1" applyFill="1" applyBorder="1" applyAlignment="1">
      <alignment horizontal="right"/>
    </xf>
    <xf numFmtId="176" fontId="7" fillId="0" borderId="4" xfId="21" applyNumberFormat="1" applyFont="1" applyFill="1" applyBorder="1" applyAlignment="1">
      <alignment vertical="center"/>
    </xf>
    <xf numFmtId="0" fontId="7" fillId="0" borderId="4" xfId="21" applyFont="1" applyFill="1" applyBorder="1" applyAlignment="1">
      <alignment vertical="center"/>
    </xf>
    <xf numFmtId="172" fontId="4" fillId="0" borderId="1" xfId="21" applyNumberFormat="1" applyFont="1" applyFill="1" applyBorder="1" applyAlignment="1">
      <alignment horizontal="right" vertical="center"/>
    </xf>
    <xf numFmtId="0" fontId="8" fillId="0" borderId="0" xfId="21" quotePrefix="1" applyFont="1" applyFill="1" applyAlignment="1">
      <alignment vertical="center"/>
    </xf>
    <xf numFmtId="167" fontId="4" fillId="0" borderId="1" xfId="21" applyNumberFormat="1" applyFont="1" applyFill="1" applyBorder="1" applyAlignment="1">
      <alignment horizontal="right" vertical="center"/>
    </xf>
    <xf numFmtId="0" fontId="65" fillId="0" borderId="0" xfId="21" applyFont="1" applyFill="1" applyAlignment="1">
      <alignment vertical="center"/>
    </xf>
    <xf numFmtId="168" fontId="65" fillId="0" borderId="0" xfId="21" applyNumberFormat="1" applyFont="1" applyFill="1" applyAlignment="1">
      <alignment vertical="center"/>
    </xf>
    <xf numFmtId="168" fontId="7" fillId="0" borderId="0" xfId="21" applyNumberFormat="1" applyFont="1" applyFill="1" applyAlignment="1">
      <alignment horizontal="right" vertical="center"/>
    </xf>
    <xf numFmtId="0" fontId="8" fillId="0" borderId="11" xfId="21" applyFont="1" applyFill="1" applyBorder="1" applyAlignment="1">
      <alignment vertical="center"/>
    </xf>
    <xf numFmtId="0" fontId="8" fillId="0" borderId="0" xfId="21" applyFont="1" applyFill="1" applyBorder="1" applyAlignment="1">
      <alignment vertical="center"/>
    </xf>
    <xf numFmtId="167" fontId="8" fillId="0" borderId="4" xfId="0" applyFont="1" applyFill="1" applyBorder="1" applyAlignment="1">
      <alignment vertical="center"/>
    </xf>
    <xf numFmtId="0" fontId="54" fillId="0" borderId="0" xfId="21" applyFont="1" applyFill="1" applyAlignment="1">
      <alignment vertical="center"/>
    </xf>
    <xf numFmtId="0" fontId="4" fillId="0" borderId="4" xfId="21" applyFont="1" applyFill="1" applyBorder="1" applyAlignment="1">
      <alignment vertical="center"/>
    </xf>
    <xf numFmtId="9" fontId="7" fillId="0" borderId="0" xfId="21" applyNumberFormat="1" applyFont="1" applyFill="1" applyAlignment="1">
      <alignment horizontal="right" vertical="center"/>
    </xf>
    <xf numFmtId="9" fontId="7" fillId="0" borderId="11" xfId="21" applyNumberFormat="1" applyFont="1" applyFill="1" applyBorder="1" applyAlignment="1">
      <alignment horizontal="right" vertical="center"/>
    </xf>
    <xf numFmtId="168" fontId="7" fillId="0" borderId="0" xfId="21" applyNumberFormat="1" applyFont="1" applyFill="1" applyAlignment="1">
      <alignment vertical="center"/>
    </xf>
    <xf numFmtId="9" fontId="7" fillId="0" borderId="0" xfId="21" applyNumberFormat="1" applyFont="1" applyFill="1" applyAlignment="1">
      <alignment vertical="center"/>
    </xf>
    <xf numFmtId="172" fontId="8" fillId="0" borderId="0" xfId="21" applyNumberFormat="1" applyFont="1" applyFill="1" applyAlignment="1">
      <alignment vertical="center"/>
    </xf>
    <xf numFmtId="167" fontId="8" fillId="0" borderId="0" xfId="0" applyFont="1" applyFill="1" applyAlignment="1">
      <alignment vertical="center"/>
    </xf>
    <xf numFmtId="0" fontId="8" fillId="0" borderId="16" xfId="21" applyFont="1" applyFill="1" applyBorder="1" applyAlignment="1">
      <alignment vertical="center"/>
    </xf>
    <xf numFmtId="4" fontId="8" fillId="0" borderId="16" xfId="21" applyNumberFormat="1" applyFont="1" applyFill="1" applyBorder="1" applyAlignment="1">
      <alignment horizontal="right" vertical="center"/>
    </xf>
    <xf numFmtId="4" fontId="8" fillId="8" borderId="16" xfId="21" applyNumberFormat="1" applyFont="1" applyFill="1" applyBorder="1" applyAlignment="1">
      <alignment horizontal="right" vertical="center"/>
    </xf>
    <xf numFmtId="176" fontId="8" fillId="0" borderId="0" xfId="21" applyNumberFormat="1" applyFont="1" applyFill="1" applyAlignment="1">
      <alignment vertical="center"/>
    </xf>
    <xf numFmtId="9" fontId="8" fillId="0" borderId="0" xfId="21" applyNumberFormat="1" applyFont="1" applyFill="1" applyAlignment="1">
      <alignment vertical="center"/>
    </xf>
    <xf numFmtId="172" fontId="8" fillId="0" borderId="0" xfId="21" applyNumberFormat="1" applyFont="1" applyFill="1" applyAlignment="1">
      <alignment horizontal="right" vertical="center"/>
    </xf>
    <xf numFmtId="179" fontId="8" fillId="0" borderId="0" xfId="21" applyNumberFormat="1" applyFont="1" applyFill="1" applyAlignment="1">
      <alignment horizontal="right" vertical="center"/>
    </xf>
    <xf numFmtId="4" fontId="8" fillId="0" borderId="0" xfId="21" applyNumberFormat="1" applyFont="1" applyFill="1" applyAlignment="1">
      <alignment vertical="center"/>
    </xf>
    <xf numFmtId="170" fontId="8" fillId="0" borderId="0" xfId="21" applyNumberFormat="1" applyFont="1" applyFill="1" applyAlignment="1">
      <alignment vertical="center"/>
    </xf>
    <xf numFmtId="167" fontId="8" fillId="0" borderId="0" xfId="21" applyNumberFormat="1" applyFont="1" applyFill="1" applyAlignment="1">
      <alignment horizontal="right" vertical="center"/>
    </xf>
    <xf numFmtId="180" fontId="8" fillId="0" borderId="0" xfId="21" applyNumberFormat="1" applyFont="1" applyFill="1" applyAlignment="1">
      <alignment horizontal="right" vertical="center"/>
    </xf>
    <xf numFmtId="168" fontId="8" fillId="0" borderId="0" xfId="21" applyNumberFormat="1" applyFont="1" applyFill="1" applyAlignment="1">
      <alignment horizontal="right" vertical="center"/>
    </xf>
    <xf numFmtId="167" fontId="8" fillId="0" borderId="0" xfId="22" applyFont="1" applyFill="1" applyAlignment="1">
      <alignment horizontal="left" vertical="center"/>
    </xf>
    <xf numFmtId="9" fontId="8" fillId="0" borderId="0" xfId="21" applyNumberFormat="1" applyFont="1" applyFill="1" applyAlignment="1">
      <alignment horizontal="right" vertical="center"/>
    </xf>
    <xf numFmtId="173" fontId="8" fillId="0" borderId="0" xfId="21" applyNumberFormat="1" applyFont="1" applyFill="1" applyAlignment="1">
      <alignment horizontal="right" vertical="center"/>
    </xf>
    <xf numFmtId="9" fontId="8" fillId="0" borderId="11" xfId="21" applyNumberFormat="1" applyFont="1" applyFill="1" applyBorder="1" applyAlignment="1">
      <alignment horizontal="right" vertical="center"/>
    </xf>
    <xf numFmtId="9" fontId="8" fillId="0" borderId="0" xfId="21" applyNumberFormat="1" applyFont="1" applyFill="1" applyBorder="1" applyAlignment="1">
      <alignment horizontal="right" vertical="center"/>
    </xf>
    <xf numFmtId="0" fontId="8" fillId="0" borderId="4" xfId="21" applyFont="1" applyFill="1" applyBorder="1" applyAlignment="1">
      <alignment vertical="center"/>
    </xf>
    <xf numFmtId="9" fontId="8" fillId="0" borderId="4" xfId="21" applyNumberFormat="1" applyFont="1" applyFill="1" applyBorder="1" applyAlignment="1">
      <alignment horizontal="right" vertical="center"/>
    </xf>
    <xf numFmtId="4" fontId="8" fillId="0" borderId="0" xfId="21" applyNumberFormat="1" applyFont="1" applyFill="1" applyBorder="1" applyAlignment="1">
      <alignment horizontal="right" vertical="center"/>
    </xf>
    <xf numFmtId="168" fontId="8" fillId="0" borderId="0" xfId="21" applyNumberFormat="1" applyFont="1" applyFill="1" applyBorder="1" applyAlignment="1">
      <alignment horizontal="right" vertical="center"/>
    </xf>
    <xf numFmtId="168" fontId="8" fillId="0" borderId="4" xfId="21" applyNumberFormat="1" applyFont="1" applyFill="1" applyBorder="1" applyAlignment="1">
      <alignment horizontal="right" vertical="center"/>
    </xf>
    <xf numFmtId="168" fontId="8" fillId="0" borderId="1" xfId="21" applyNumberFormat="1" applyFont="1" applyFill="1" applyBorder="1" applyAlignment="1">
      <alignment horizontal="right" vertical="center"/>
    </xf>
    <xf numFmtId="9" fontId="8" fillId="0" borderId="1" xfId="21" applyNumberFormat="1" applyFont="1" applyFill="1" applyBorder="1" applyAlignment="1">
      <alignment horizontal="right" vertical="center"/>
    </xf>
    <xf numFmtId="0" fontId="8" fillId="0" borderId="1" xfId="21" applyFont="1" applyFill="1" applyBorder="1" applyAlignment="1">
      <alignment vertical="center"/>
    </xf>
    <xf numFmtId="168" fontId="8" fillId="0" borderId="1" xfId="21" applyNumberFormat="1" applyFont="1" applyFill="1" applyBorder="1" applyAlignment="1">
      <alignment vertical="center"/>
    </xf>
    <xf numFmtId="9" fontId="8" fillId="0" borderId="1" xfId="21" applyNumberFormat="1" applyFont="1" applyFill="1" applyBorder="1" applyAlignment="1">
      <alignment vertical="center"/>
    </xf>
    <xf numFmtId="167" fontId="51" fillId="0" borderId="0" xfId="0" applyFont="1" applyFill="1" applyAlignment="1">
      <alignment vertical="center"/>
    </xf>
    <xf numFmtId="0" fontId="25" fillId="0" borderId="0" xfId="21" applyFont="1" applyFill="1" applyAlignment="1">
      <alignment vertical="center"/>
    </xf>
    <xf numFmtId="0" fontId="10" fillId="0" borderId="0" xfId="21" applyFont="1" applyFill="1" applyAlignment="1">
      <alignment vertical="center"/>
    </xf>
    <xf numFmtId="0" fontId="10" fillId="0" borderId="0" xfId="21" applyFont="1" applyFill="1" applyAlignment="1">
      <alignment horizontal="right" vertical="center"/>
    </xf>
    <xf numFmtId="0" fontId="4" fillId="0" borderId="4" xfId="21" quotePrefix="1" applyFont="1" applyFill="1" applyBorder="1" applyAlignment="1">
      <alignment vertical="center"/>
    </xf>
    <xf numFmtId="167" fontId="9" fillId="8" borderId="0" xfId="13" applyFont="1" applyFill="1" applyAlignment="1">
      <alignment horizontal="right" vertical="center"/>
    </xf>
    <xf numFmtId="170" fontId="8" fillId="0" borderId="0" xfId="0" applyNumberFormat="1" applyFont="1" applyFill="1" applyAlignment="1">
      <alignment vertical="center"/>
    </xf>
    <xf numFmtId="167" fontId="8" fillId="0" borderId="0" xfId="0" applyFont="1" applyAlignment="1">
      <alignment vertical="center"/>
    </xf>
    <xf numFmtId="167" fontId="8" fillId="0" borderId="0" xfId="21" applyNumberFormat="1" applyFont="1" applyFill="1" applyBorder="1" applyAlignment="1">
      <alignment horizontal="right" vertical="center"/>
    </xf>
    <xf numFmtId="9" fontId="73" fillId="0" borderId="1" xfId="24" applyFont="1" applyFill="1" applyBorder="1"/>
    <xf numFmtId="167" fontId="74" fillId="0" borderId="0" xfId="13" applyFont="1" applyFill="1" applyAlignment="1">
      <alignment horizontal="right"/>
    </xf>
    <xf numFmtId="168" fontId="75" fillId="0" borderId="0" xfId="24" applyNumberFormat="1" applyFont="1" applyFill="1" applyAlignment="1">
      <alignment horizontal="center"/>
    </xf>
    <xf numFmtId="165" fontId="74" fillId="0" borderId="0" xfId="8" applyFont="1" applyFill="1" applyAlignment="1">
      <alignment horizontal="right"/>
    </xf>
    <xf numFmtId="167" fontId="75" fillId="0" borderId="0" xfId="13" applyFont="1" applyFill="1">
      <alignment horizontal="right"/>
    </xf>
    <xf numFmtId="168" fontId="74" fillId="0" borderId="0" xfId="13" applyNumberFormat="1" applyFont="1" applyFill="1" applyAlignment="1">
      <alignment horizontal="right"/>
    </xf>
    <xf numFmtId="183" fontId="74" fillId="0" borderId="0" xfId="8" applyNumberFormat="1" applyFont="1" applyFill="1" applyAlignment="1">
      <alignment horizontal="right"/>
    </xf>
    <xf numFmtId="4" fontId="74" fillId="0" borderId="0" xfId="0" applyNumberFormat="1" applyFont="1" applyFill="1" applyAlignment="1">
      <alignment horizontal="right"/>
    </xf>
    <xf numFmtId="167" fontId="74" fillId="0" borderId="0" xfId="0" applyFont="1" applyFill="1" applyAlignment="1">
      <alignment horizontal="right"/>
    </xf>
    <xf numFmtId="168" fontId="74" fillId="0" borderId="0" xfId="0" applyNumberFormat="1" applyFont="1" applyFill="1" applyAlignment="1">
      <alignment horizontal="right"/>
    </xf>
    <xf numFmtId="167" fontId="74" fillId="0" borderId="0" xfId="0" applyNumberFormat="1" applyFont="1" applyFill="1" applyAlignment="1">
      <alignment horizontal="right"/>
    </xf>
    <xf numFmtId="167" fontId="74" fillId="0" borderId="0" xfId="13" applyNumberFormat="1" applyFont="1" applyFill="1" applyAlignment="1">
      <alignment horizontal="right"/>
    </xf>
    <xf numFmtId="167" fontId="74" fillId="0" borderId="0" xfId="0" applyFont="1" applyFill="1" applyBorder="1" applyAlignment="1">
      <alignment horizontal="right"/>
    </xf>
    <xf numFmtId="167" fontId="74" fillId="0" borderId="1" xfId="34" applyFont="1" applyFill="1" applyAlignment="1">
      <alignment horizontal="right"/>
    </xf>
    <xf numFmtId="167" fontId="74" fillId="0" borderId="1" xfId="34" applyFont="1" applyFill="1"/>
    <xf numFmtId="167" fontId="74" fillId="0" borderId="0" xfId="0" applyFont="1" applyFill="1"/>
    <xf numFmtId="167" fontId="74" fillId="0" borderId="0" xfId="13" applyFont="1" applyFill="1" applyBorder="1" applyAlignment="1">
      <alignment horizontal="right"/>
    </xf>
    <xf numFmtId="168" fontId="75" fillId="0" borderId="0" xfId="0" applyNumberFormat="1" applyFont="1" applyFill="1" applyAlignment="1">
      <alignment horizontal="right"/>
    </xf>
    <xf numFmtId="167" fontId="75" fillId="0" borderId="0" xfId="0" applyFont="1" applyFill="1" applyAlignment="1">
      <alignment horizontal="right"/>
    </xf>
    <xf numFmtId="168" fontId="75" fillId="0" borderId="1" xfId="0" applyNumberFormat="1" applyFont="1" applyFill="1" applyBorder="1" applyAlignment="1">
      <alignment horizontal="right"/>
    </xf>
    <xf numFmtId="168" fontId="39" fillId="0" borderId="0" xfId="0" applyNumberFormat="1" applyFont="1" applyFill="1" applyAlignment="1">
      <alignment horizontal="right"/>
    </xf>
    <xf numFmtId="168" fontId="39" fillId="0" borderId="0" xfId="24" applyNumberFormat="1" applyFont="1" applyFill="1" applyAlignment="1">
      <alignment horizontal="right"/>
    </xf>
    <xf numFmtId="168" fontId="40" fillId="0" borderId="0" xfId="13" applyNumberFormat="1" applyFont="1" applyFill="1" applyAlignment="1">
      <alignment horizontal="right"/>
    </xf>
    <xf numFmtId="168" fontId="40" fillId="8" borderId="0" xfId="13" applyNumberFormat="1" applyFont="1" applyFill="1" applyAlignment="1">
      <alignment horizontal="right"/>
    </xf>
    <xf numFmtId="168" fontId="39" fillId="0" borderId="0" xfId="13" applyNumberFormat="1" applyFont="1" applyFill="1" applyAlignment="1">
      <alignment horizontal="right"/>
    </xf>
    <xf numFmtId="168" fontId="39" fillId="0" borderId="1" xfId="0" applyNumberFormat="1" applyFont="1" applyFill="1" applyBorder="1" applyAlignment="1">
      <alignment horizontal="right"/>
    </xf>
    <xf numFmtId="168" fontId="39" fillId="0" borderId="1" xfId="13" applyNumberFormat="1" applyFont="1" applyFill="1" applyBorder="1" applyAlignment="1">
      <alignment horizontal="right"/>
    </xf>
    <xf numFmtId="168" fontId="40" fillId="0" borderId="1" xfId="13" applyNumberFormat="1" applyFont="1" applyFill="1" applyBorder="1" applyAlignment="1">
      <alignment horizontal="right"/>
    </xf>
    <xf numFmtId="168" fontId="40" fillId="8" borderId="1" xfId="13" applyNumberFormat="1" applyFont="1" applyFill="1" applyBorder="1" applyAlignment="1">
      <alignment horizontal="right"/>
    </xf>
    <xf numFmtId="168" fontId="39" fillId="0" borderId="0" xfId="0" applyNumberFormat="1" applyFont="1" applyFill="1" applyBorder="1" applyAlignment="1">
      <alignment horizontal="right"/>
    </xf>
    <xf numFmtId="168" fontId="39" fillId="0" borderId="0" xfId="13" applyNumberFormat="1" applyFont="1" applyFill="1" applyBorder="1" applyAlignment="1">
      <alignment horizontal="right"/>
    </xf>
    <xf numFmtId="168" fontId="40" fillId="0" borderId="0" xfId="13" applyNumberFormat="1" applyFont="1" applyFill="1" applyBorder="1" applyAlignment="1">
      <alignment horizontal="right"/>
    </xf>
    <xf numFmtId="168" fontId="40" fillId="8" borderId="0" xfId="13" applyNumberFormat="1" applyFont="1" applyFill="1" applyBorder="1" applyAlignment="1">
      <alignment horizontal="right"/>
    </xf>
    <xf numFmtId="168" fontId="4" fillId="0" borderId="1" xfId="0" applyNumberFormat="1" applyFont="1" applyFill="1" applyBorder="1" applyAlignment="1">
      <alignment horizontal="left"/>
    </xf>
    <xf numFmtId="168" fontId="36" fillId="0" borderId="4" xfId="0" applyNumberFormat="1" applyFont="1" applyFill="1" applyBorder="1"/>
    <xf numFmtId="167" fontId="36" fillId="0" borderId="4" xfId="0" applyFont="1" applyFill="1" applyBorder="1"/>
    <xf numFmtId="9" fontId="4" fillId="11" borderId="1" xfId="24" applyFont="1" applyFill="1" applyBorder="1"/>
    <xf numFmtId="168" fontId="4" fillId="0" borderId="1" xfId="0" applyNumberFormat="1" applyFont="1" applyFill="1" applyBorder="1"/>
    <xf numFmtId="168" fontId="4" fillId="0" borderId="4" xfId="0" applyNumberFormat="1" applyFont="1" applyFill="1" applyBorder="1" applyAlignment="1">
      <alignment horizontal="left"/>
    </xf>
    <xf numFmtId="10" fontId="4" fillId="0" borderId="0" xfId="36" applyFont="1" applyFill="1" applyBorder="1" applyAlignment="1">
      <alignment horizontal="right"/>
    </xf>
    <xf numFmtId="10" fontId="4" fillId="0" borderId="0" xfId="36" applyNumberFormat="1" applyFont="1" applyFill="1" applyBorder="1" applyAlignment="1">
      <alignment horizontal="right"/>
    </xf>
    <xf numFmtId="10" fontId="4" fillId="3" borderId="1" xfId="24" applyNumberFormat="1" applyFont="1" applyFill="1" applyBorder="1" applyAlignment="1">
      <alignment horizontal="right"/>
    </xf>
    <xf numFmtId="9" fontId="76" fillId="0" borderId="0" xfId="24" applyFont="1" applyFill="1" applyBorder="1" applyAlignment="1">
      <alignment horizontal="right"/>
    </xf>
    <xf numFmtId="10" fontId="54" fillId="11" borderId="0" xfId="24" applyNumberFormat="1" applyFont="1" applyFill="1"/>
    <xf numFmtId="186" fontId="54" fillId="11" borderId="0" xfId="8" applyNumberFormat="1" applyFont="1" applyFill="1" applyBorder="1" applyAlignment="1">
      <alignment horizontal="right"/>
    </xf>
    <xf numFmtId="167" fontId="65" fillId="0" borderId="0" xfId="0" applyFont="1" applyFill="1" applyAlignment="1">
      <alignment horizontal="left"/>
    </xf>
    <xf numFmtId="167" fontId="67" fillId="0" borderId="0" xfId="0" applyFont="1" applyFill="1" applyBorder="1" applyAlignment="1">
      <alignment vertical="center"/>
    </xf>
    <xf numFmtId="167" fontId="4" fillId="11" borderId="0" xfId="0" applyFont="1" applyFill="1"/>
    <xf numFmtId="167" fontId="9" fillId="15" borderId="0" xfId="13" applyFill="1" applyAlignment="1">
      <alignment horizontal="right"/>
    </xf>
    <xf numFmtId="3" fontId="10" fillId="15" borderId="0" xfId="13" applyNumberFormat="1" applyFont="1" applyFill="1" applyAlignment="1">
      <alignment horizontal="right"/>
    </xf>
    <xf numFmtId="167" fontId="43" fillId="15" borderId="0" xfId="13" applyFont="1" applyFill="1" applyAlignment="1">
      <alignment horizontal="right"/>
    </xf>
    <xf numFmtId="3" fontId="67" fillId="15" borderId="0" xfId="13" applyNumberFormat="1" applyFont="1" applyFill="1" applyAlignment="1">
      <alignment horizontal="right"/>
    </xf>
    <xf numFmtId="3" fontId="58" fillId="15" borderId="0" xfId="13" applyNumberFormat="1" applyFont="1" applyFill="1" applyAlignment="1">
      <alignment horizontal="right"/>
    </xf>
    <xf numFmtId="4" fontId="8" fillId="0" borderId="0" xfId="0" applyNumberFormat="1" applyFont="1" applyFill="1" applyAlignment="1">
      <alignment vertical="center"/>
    </xf>
    <xf numFmtId="9" fontId="54" fillId="11" borderId="1" xfId="13" applyNumberFormat="1" applyFont="1" applyFill="1" applyBorder="1" applyAlignment="1">
      <alignment horizontal="right"/>
    </xf>
    <xf numFmtId="9" fontId="39" fillId="0" borderId="0" xfId="24" applyFont="1" applyFill="1" applyAlignment="1">
      <alignment horizontal="right"/>
    </xf>
    <xf numFmtId="167" fontId="8" fillId="11" borderId="0" xfId="13" applyFont="1" applyFill="1" applyAlignment="1">
      <alignment horizontal="right"/>
    </xf>
    <xf numFmtId="168" fontId="0" fillId="11" borderId="0" xfId="0" applyNumberFormat="1" applyFill="1" applyAlignment="1">
      <alignment horizontal="right"/>
    </xf>
    <xf numFmtId="3" fontId="9" fillId="15" borderId="0" xfId="13" applyNumberFormat="1" applyFill="1" applyAlignment="1">
      <alignment horizontal="right"/>
    </xf>
    <xf numFmtId="3" fontId="43" fillId="15" borderId="0" xfId="13" applyNumberFormat="1" applyFont="1" applyFill="1" applyAlignment="1">
      <alignment horizontal="right"/>
    </xf>
    <xf numFmtId="10" fontId="54" fillId="11" borderId="0" xfId="36" applyFont="1" applyFill="1" applyBorder="1" applyAlignment="1">
      <alignment horizontal="right"/>
    </xf>
    <xf numFmtId="10" fontId="58" fillId="11" borderId="0" xfId="36" applyFont="1" applyFill="1" applyBorder="1" applyAlignment="1">
      <alignment horizontal="right"/>
    </xf>
    <xf numFmtId="10" fontId="54" fillId="0" borderId="0" xfId="36" applyFont="1" applyFill="1" applyBorder="1" applyAlignment="1">
      <alignment horizontal="right"/>
    </xf>
    <xf numFmtId="9" fontId="54" fillId="0" borderId="0" xfId="36" applyNumberFormat="1" applyFont="1" applyFill="1" applyBorder="1" applyAlignment="1">
      <alignment horizontal="right"/>
    </xf>
    <xf numFmtId="10" fontId="54" fillId="11" borderId="0" xfId="24" applyNumberFormat="1" applyFont="1" applyFill="1" applyBorder="1" applyAlignment="1">
      <alignment horizontal="right"/>
    </xf>
    <xf numFmtId="167" fontId="4" fillId="0" borderId="1" xfId="0" applyFont="1" applyFill="1" applyBorder="1" applyAlignment="1">
      <alignment horizontal="left"/>
    </xf>
    <xf numFmtId="167" fontId="4" fillId="3" borderId="1" xfId="35" applyFont="1" applyAlignment="1">
      <alignment horizontal="left"/>
    </xf>
    <xf numFmtId="9" fontId="54" fillId="11" borderId="0" xfId="24" applyFont="1" applyFill="1" applyBorder="1" applyAlignment="1">
      <alignment horizontal="right"/>
    </xf>
    <xf numFmtId="167" fontId="3" fillId="0" borderId="4" xfId="0" applyFont="1" applyFill="1" applyBorder="1"/>
    <xf numFmtId="167" fontId="3" fillId="0" borderId="4" xfId="0" applyFont="1" applyFill="1" applyBorder="1" applyAlignment="1">
      <alignment horizontal="right"/>
    </xf>
    <xf numFmtId="17" fontId="3" fillId="0" borderId="0" xfId="0" applyNumberFormat="1" applyFont="1" applyFill="1" applyBorder="1"/>
    <xf numFmtId="17" fontId="3" fillId="0" borderId="0" xfId="0" applyNumberFormat="1" applyFont="1" applyFill="1" applyBorder="1" applyAlignment="1">
      <alignment horizontal="right"/>
    </xf>
    <xf numFmtId="167" fontId="3" fillId="0" borderId="0" xfId="0" applyFont="1" applyFill="1" applyAlignment="1">
      <alignment horizontal="left"/>
    </xf>
    <xf numFmtId="9" fontId="3" fillId="0" borderId="0" xfId="24" applyFont="1" applyFill="1" applyAlignment="1">
      <alignment horizontal="left"/>
    </xf>
    <xf numFmtId="168" fontId="3" fillId="0" borderId="0" xfId="0" applyNumberFormat="1" applyFont="1" applyFill="1" applyAlignment="1">
      <alignment horizontal="left"/>
    </xf>
    <xf numFmtId="4" fontId="3" fillId="0" borderId="0" xfId="0" applyNumberFormat="1" applyFont="1" applyFill="1"/>
    <xf numFmtId="167" fontId="3" fillId="0" borderId="0" xfId="0" applyFont="1" applyFill="1" applyBorder="1" applyAlignment="1">
      <alignment horizontal="right"/>
    </xf>
    <xf numFmtId="168" fontId="3" fillId="0" borderId="0" xfId="36" applyNumberFormat="1" applyFont="1" applyFill="1" applyBorder="1" applyAlignment="1">
      <alignment horizontal="right"/>
    </xf>
    <xf numFmtId="9" fontId="3" fillId="0" borderId="0" xfId="36" applyNumberFormat="1" applyFont="1" applyFill="1" applyBorder="1" applyAlignment="1">
      <alignment horizontal="right"/>
    </xf>
    <xf numFmtId="3" fontId="3" fillId="0" borderId="0" xfId="0" applyNumberFormat="1" applyFont="1" applyFill="1" applyBorder="1" applyAlignment="1">
      <alignment horizontal="right"/>
    </xf>
    <xf numFmtId="168" fontId="3" fillId="0" borderId="0" xfId="24" applyNumberFormat="1" applyFont="1" applyFill="1" applyBorder="1" applyAlignment="1">
      <alignment horizontal="right"/>
    </xf>
    <xf numFmtId="167" fontId="3" fillId="0" borderId="0" xfId="0" applyFont="1" applyFill="1" applyBorder="1" applyAlignment="1">
      <alignment horizontal="left"/>
    </xf>
    <xf numFmtId="167" fontId="3" fillId="0" borderId="1" xfId="34" applyFont="1" applyFill="1"/>
    <xf numFmtId="10" fontId="3" fillId="0" borderId="0" xfId="24" applyNumberFormat="1" applyFont="1" applyFill="1" applyBorder="1" applyAlignment="1">
      <alignment horizontal="right"/>
    </xf>
    <xf numFmtId="9" fontId="3" fillId="0" borderId="0" xfId="24" applyFont="1" applyFill="1" applyBorder="1" applyAlignment="1">
      <alignment horizontal="right"/>
    </xf>
    <xf numFmtId="167" fontId="4" fillId="3" borderId="1" xfId="35" applyFont="1" applyAlignment="1">
      <alignment horizontal="center"/>
    </xf>
    <xf numFmtId="167" fontId="3" fillId="0" borderId="0" xfId="0" quotePrefix="1" applyFont="1" applyFill="1" applyBorder="1" applyAlignment="1">
      <alignment horizontal="left"/>
    </xf>
    <xf numFmtId="9" fontId="3" fillId="0" borderId="0" xfId="0" applyNumberFormat="1" applyFont="1" applyFill="1"/>
    <xf numFmtId="4" fontId="3" fillId="0" borderId="0" xfId="13" applyNumberFormat="1" applyFont="1" applyFill="1" applyBorder="1" applyAlignment="1">
      <alignment horizontal="right"/>
    </xf>
    <xf numFmtId="167" fontId="3" fillId="0" borderId="0" xfId="13" applyNumberFormat="1" applyFont="1" applyFill="1" applyBorder="1" applyAlignment="1">
      <alignment horizontal="right"/>
    </xf>
    <xf numFmtId="167" fontId="3" fillId="0" borderId="0" xfId="0" applyNumberFormat="1" applyFont="1" applyFill="1"/>
    <xf numFmtId="167" fontId="3" fillId="0" borderId="0" xfId="0" applyFont="1" applyFill="1" applyAlignment="1">
      <alignment vertical="center"/>
    </xf>
    <xf numFmtId="167" fontId="3" fillId="0" borderId="0" xfId="0" applyFont="1" applyFill="1" applyAlignment="1">
      <alignment horizontal="right" vertical="center"/>
    </xf>
    <xf numFmtId="0" fontId="3" fillId="0" borderId="0" xfId="17" applyFont="1" applyFill="1" applyBorder="1" applyAlignment="1">
      <alignment vertical="center"/>
    </xf>
    <xf numFmtId="167" fontId="55" fillId="9" borderId="0" xfId="0" applyFont="1" applyFill="1" applyBorder="1" applyAlignment="1">
      <alignment vertical="center"/>
    </xf>
    <xf numFmtId="3" fontId="55" fillId="9" borderId="0" xfId="35" applyNumberFormat="1" applyFont="1" applyFill="1" applyBorder="1" applyAlignment="1">
      <alignment horizontal="right" vertical="center"/>
    </xf>
    <xf numFmtId="167" fontId="3" fillId="0" borderId="0" xfId="0" applyFont="1" applyFill="1" applyAlignment="1">
      <alignment horizontal="left" vertical="center"/>
    </xf>
    <xf numFmtId="187" fontId="3" fillId="0" borderId="0" xfId="8" applyNumberFormat="1" applyFont="1" applyFill="1" applyBorder="1" applyAlignment="1">
      <alignment horizontal="right" vertical="center"/>
    </xf>
    <xf numFmtId="182" fontId="3" fillId="0" borderId="0" xfId="0" applyNumberFormat="1" applyFont="1" applyFill="1" applyAlignment="1">
      <alignment horizontal="right"/>
    </xf>
    <xf numFmtId="3" fontId="3" fillId="0" borderId="0" xfId="35" applyNumberFormat="1" applyFont="1" applyFill="1" applyBorder="1" applyAlignment="1">
      <alignment horizontal="right" vertical="center"/>
    </xf>
    <xf numFmtId="188" fontId="4" fillId="0" borderId="0" xfId="35" applyNumberFormat="1" applyFont="1" applyFill="1" applyBorder="1" applyAlignment="1">
      <alignment horizontal="right" vertical="center"/>
    </xf>
    <xf numFmtId="189" fontId="3" fillId="0" borderId="0" xfId="8" applyNumberFormat="1" applyFont="1" applyFill="1" applyBorder="1" applyAlignment="1">
      <alignment horizontal="right" vertical="center"/>
    </xf>
    <xf numFmtId="168" fontId="4" fillId="0" borderId="0" xfId="24" applyNumberFormat="1" applyFont="1" applyFill="1" applyBorder="1" applyAlignment="1">
      <alignment horizontal="right" vertical="center"/>
    </xf>
    <xf numFmtId="167" fontId="3" fillId="0" borderId="0" xfId="0" applyFont="1" applyFill="1" applyBorder="1" applyAlignment="1">
      <alignment vertical="center"/>
    </xf>
    <xf numFmtId="190" fontId="3" fillId="0" borderId="0" xfId="0" applyNumberFormat="1" applyFont="1" applyFill="1" applyBorder="1" applyAlignment="1">
      <alignment horizontal="right" vertical="center"/>
    </xf>
    <xf numFmtId="10" fontId="3" fillId="0" borderId="0" xfId="24" applyNumberFormat="1" applyFont="1" applyFill="1" applyAlignment="1">
      <alignment horizontal="right" vertical="center"/>
    </xf>
    <xf numFmtId="9" fontId="3" fillId="0" borderId="0" xfId="24" applyFont="1" applyFill="1" applyAlignment="1">
      <alignment horizontal="right" vertical="center"/>
    </xf>
    <xf numFmtId="167" fontId="4" fillId="0" borderId="0" xfId="0" applyFont="1" applyFill="1" applyAlignment="1">
      <alignment horizontal="right" vertical="center"/>
    </xf>
    <xf numFmtId="165" fontId="3" fillId="0" borderId="0" xfId="8" applyFont="1" applyFill="1" applyBorder="1" applyAlignment="1">
      <alignment horizontal="left" vertical="center"/>
    </xf>
    <xf numFmtId="168" fontId="3" fillId="8" borderId="0" xfId="13" applyNumberFormat="1" applyFont="1" applyFill="1" applyAlignment="1">
      <alignment horizontal="right"/>
    </xf>
    <xf numFmtId="181" fontId="3" fillId="8" borderId="0" xfId="21" applyNumberFormat="1" applyFill="1" applyAlignment="1">
      <alignment horizontal="right"/>
    </xf>
    <xf numFmtId="17" fontId="55" fillId="9" borderId="0" xfId="0" applyNumberFormat="1" applyFont="1" applyFill="1" applyBorder="1"/>
    <xf numFmtId="17" fontId="55" fillId="9" borderId="0" xfId="22" applyNumberFormat="1" applyFont="1" applyFill="1" applyBorder="1"/>
    <xf numFmtId="17" fontId="55" fillId="9" borderId="0" xfId="22" applyNumberFormat="1" applyFont="1" applyFill="1" applyBorder="1" applyAlignment="1">
      <alignment horizontal="right"/>
    </xf>
    <xf numFmtId="167" fontId="3" fillId="0" borderId="0" xfId="0" applyFont="1" applyFill="1" applyAlignment="1">
      <alignment horizontal="left" indent="1"/>
    </xf>
    <xf numFmtId="167" fontId="77" fillId="0" borderId="0" xfId="0" applyFont="1" applyFill="1" applyAlignment="1">
      <alignment vertical="center"/>
    </xf>
    <xf numFmtId="167" fontId="78" fillId="0" borderId="0" xfId="0" applyFont="1" applyFill="1" applyAlignment="1">
      <alignment vertical="center"/>
    </xf>
    <xf numFmtId="167" fontId="77" fillId="0" borderId="0" xfId="0" applyFont="1" applyFill="1" applyAlignment="1">
      <alignment horizontal="right" vertical="center"/>
    </xf>
    <xf numFmtId="0" fontId="77" fillId="0" borderId="0" xfId="21" applyFont="1" applyFill="1" applyAlignment="1">
      <alignment vertical="center"/>
    </xf>
    <xf numFmtId="168" fontId="77" fillId="0" borderId="0" xfId="21" applyNumberFormat="1" applyFont="1" applyFill="1" applyAlignment="1">
      <alignment horizontal="right" vertical="center"/>
    </xf>
    <xf numFmtId="168" fontId="77" fillId="0" borderId="0" xfId="21" applyNumberFormat="1" applyFont="1" applyFill="1" applyAlignment="1">
      <alignment horizontal="center" vertical="center"/>
    </xf>
    <xf numFmtId="171" fontId="4" fillId="17" borderId="0" xfId="8" applyNumberFormat="1" applyFont="1" applyFill="1" applyBorder="1" applyAlignment="1">
      <alignment horizontal="right" vertical="center"/>
    </xf>
    <xf numFmtId="3" fontId="3" fillId="0" borderId="0" xfId="0" applyNumberFormat="1" applyFont="1" applyFill="1" applyBorder="1" applyAlignment="1">
      <alignment horizontal="right" vertical="center"/>
    </xf>
    <xf numFmtId="9" fontId="3" fillId="0" borderId="0" xfId="24" applyFont="1" applyFill="1" applyBorder="1" applyAlignment="1">
      <alignment horizontal="right" vertical="center"/>
    </xf>
    <xf numFmtId="37" fontId="0" fillId="0" borderId="0" xfId="0" applyNumberFormat="1" applyFill="1"/>
    <xf numFmtId="167" fontId="79" fillId="0" borderId="0" xfId="0" applyFont="1" applyFill="1" applyAlignment="1">
      <alignment horizontal="right"/>
    </xf>
    <xf numFmtId="167" fontId="79" fillId="0" borderId="0" xfId="0" applyFont="1" applyFill="1" applyBorder="1"/>
    <xf numFmtId="167" fontId="60" fillId="0" borderId="0" xfId="0" applyFont="1" applyFill="1" applyAlignment="1">
      <alignment horizontal="left" indent="1"/>
    </xf>
    <xf numFmtId="167" fontId="80" fillId="0" borderId="0" xfId="0" applyFont="1" applyFill="1" applyAlignment="1">
      <alignment horizontal="right" vertical="center"/>
    </xf>
    <xf numFmtId="37" fontId="0" fillId="0" borderId="0" xfId="0" applyNumberFormat="1" applyFill="1" applyAlignment="1">
      <alignment horizontal="right" vertical="center"/>
    </xf>
    <xf numFmtId="167" fontId="0" fillId="0" borderId="0" xfId="0" applyFill="1" applyAlignment="1">
      <alignment horizontal="right" vertical="center"/>
    </xf>
    <xf numFmtId="9" fontId="7" fillId="0" borderId="0" xfId="24" applyFont="1" applyFill="1"/>
    <xf numFmtId="167" fontId="61" fillId="0" borderId="0" xfId="0" applyFont="1" applyFill="1" applyAlignment="1">
      <alignment horizontal="left" indent="1"/>
    </xf>
    <xf numFmtId="9" fontId="31" fillId="0" borderId="0" xfId="24" applyFont="1" applyFill="1"/>
    <xf numFmtId="9" fontId="4" fillId="11" borderId="0" xfId="24" applyFont="1" applyFill="1"/>
    <xf numFmtId="9" fontId="54" fillId="0" borderId="0" xfId="0" applyNumberFormat="1" applyFont="1" applyFill="1" applyAlignment="1">
      <alignment horizontal="right"/>
    </xf>
    <xf numFmtId="168" fontId="54" fillId="0" borderId="0" xfId="0" applyNumberFormat="1" applyFont="1" applyFill="1"/>
    <xf numFmtId="167" fontId="65" fillId="0" borderId="0" xfId="0" quotePrefix="1" applyFont="1" applyFill="1" applyAlignment="1">
      <alignment horizontal="left" vertical="center"/>
    </xf>
    <xf numFmtId="4" fontId="65" fillId="0" borderId="0" xfId="0" applyNumberFormat="1" applyFont="1" applyFill="1" applyAlignment="1">
      <alignment horizontal="right" vertical="center"/>
    </xf>
    <xf numFmtId="9" fontId="3" fillId="0" borderId="0" xfId="24" applyFont="1" applyFill="1" applyAlignment="1">
      <alignment vertical="center"/>
    </xf>
    <xf numFmtId="191" fontId="54" fillId="0" borderId="0" xfId="0" applyNumberFormat="1" applyFont="1" applyAlignment="1">
      <alignment vertical="center"/>
    </xf>
    <xf numFmtId="165" fontId="3" fillId="0" borderId="0" xfId="0" applyNumberFormat="1" applyFont="1" applyAlignment="1">
      <alignment vertical="center"/>
    </xf>
    <xf numFmtId="165" fontId="54" fillId="0" borderId="0" xfId="8" applyNumberFormat="1" applyFont="1" applyAlignment="1">
      <alignment horizontal="right" vertical="center"/>
    </xf>
    <xf numFmtId="167" fontId="54" fillId="0" borderId="0" xfId="0" applyFont="1" applyAlignment="1">
      <alignment vertical="center"/>
    </xf>
    <xf numFmtId="187" fontId="54" fillId="0" borderId="0" xfId="8" applyNumberFormat="1" applyFont="1" applyAlignment="1">
      <alignment vertical="center"/>
    </xf>
    <xf numFmtId="187" fontId="54" fillId="0" borderId="0" xfId="8" applyNumberFormat="1" applyFont="1" applyAlignment="1">
      <alignment horizontal="right" vertical="center"/>
    </xf>
    <xf numFmtId="168" fontId="54" fillId="0" borderId="0" xfId="24" applyNumberFormat="1" applyFont="1" applyAlignment="1">
      <alignment vertical="center"/>
    </xf>
    <xf numFmtId="187" fontId="3" fillId="0" borderId="0" xfId="8" applyNumberFormat="1" applyFont="1" applyAlignment="1">
      <alignment horizontal="right" vertical="center"/>
    </xf>
    <xf numFmtId="165" fontId="3" fillId="0" borderId="0" xfId="8" applyFont="1" applyAlignment="1">
      <alignment horizontal="right" vertical="center"/>
    </xf>
    <xf numFmtId="165" fontId="54" fillId="0" borderId="0" xfId="8" applyFont="1" applyAlignment="1">
      <alignment horizontal="right" vertical="center"/>
    </xf>
    <xf numFmtId="167" fontId="64" fillId="0" borderId="0" xfId="0" applyFont="1" applyAlignment="1">
      <alignment vertical="center"/>
    </xf>
    <xf numFmtId="191" fontId="60" fillId="0" borderId="0" xfId="0" applyNumberFormat="1" applyFont="1" applyAlignment="1">
      <alignment vertical="center"/>
    </xf>
    <xf numFmtId="187" fontId="81" fillId="0" borderId="0" xfId="8" applyNumberFormat="1" applyFont="1" applyAlignment="1">
      <alignment vertical="center"/>
    </xf>
    <xf numFmtId="191" fontId="64" fillId="0" borderId="0" xfId="0" applyNumberFormat="1" applyFont="1" applyAlignment="1">
      <alignment vertical="center"/>
    </xf>
    <xf numFmtId="187" fontId="81" fillId="0" borderId="0" xfId="8" applyNumberFormat="1" applyFont="1" applyFill="1" applyAlignment="1">
      <alignment vertical="center"/>
    </xf>
    <xf numFmtId="187" fontId="64" fillId="0" borderId="0" xfId="8" applyNumberFormat="1" applyFont="1" applyAlignment="1">
      <alignment vertical="center"/>
    </xf>
    <xf numFmtId="187" fontId="54" fillId="0" borderId="0" xfId="8" applyNumberFormat="1" applyFont="1" applyFill="1" applyAlignment="1">
      <alignment vertical="center"/>
    </xf>
    <xf numFmtId="191" fontId="81" fillId="0" borderId="0" xfId="0" applyNumberFormat="1" applyFont="1" applyAlignment="1">
      <alignment vertical="center"/>
    </xf>
    <xf numFmtId="187" fontId="3" fillId="0" borderId="0" xfId="8" applyNumberFormat="1" applyFont="1" applyAlignment="1">
      <alignment vertical="center"/>
    </xf>
    <xf numFmtId="191" fontId="3" fillId="0" borderId="0" xfId="0" applyNumberFormat="1" applyFont="1" applyAlignment="1">
      <alignment vertical="center"/>
    </xf>
    <xf numFmtId="1" fontId="64" fillId="0" borderId="0" xfId="0" applyNumberFormat="1" applyFont="1" applyAlignment="1">
      <alignment vertical="center"/>
    </xf>
    <xf numFmtId="187" fontId="64" fillId="0" borderId="0" xfId="8" applyNumberFormat="1" applyFont="1" applyFill="1" applyAlignment="1">
      <alignment vertical="center"/>
    </xf>
    <xf numFmtId="191" fontId="54" fillId="0" borderId="0" xfId="8" applyNumberFormat="1" applyFont="1" applyAlignment="1">
      <alignment horizontal="right" vertical="center"/>
    </xf>
    <xf numFmtId="165" fontId="3" fillId="0" borderId="0" xfId="8" applyNumberFormat="1" applyFont="1" applyAlignment="1">
      <alignment horizontal="right" vertical="center"/>
    </xf>
    <xf numFmtId="187" fontId="82" fillId="0" borderId="0" xfId="8" applyNumberFormat="1" applyFont="1" applyAlignment="1">
      <alignment vertical="center"/>
    </xf>
    <xf numFmtId="187" fontId="54" fillId="0" borderId="0" xfId="8" quotePrefix="1" applyNumberFormat="1" applyFont="1" applyAlignment="1">
      <alignment vertical="center"/>
    </xf>
    <xf numFmtId="187" fontId="82" fillId="0" borderId="0" xfId="8" applyNumberFormat="1" applyFont="1" applyFill="1" applyAlignment="1">
      <alignment vertical="center"/>
    </xf>
    <xf numFmtId="165" fontId="60" fillId="0" borderId="0" xfId="8" applyFont="1" applyAlignment="1">
      <alignment horizontal="right" vertical="center"/>
    </xf>
    <xf numFmtId="191" fontId="56" fillId="0" borderId="0" xfId="0" applyNumberFormat="1" applyFont="1" applyAlignment="1">
      <alignment vertical="center"/>
    </xf>
    <xf numFmtId="167" fontId="60" fillId="0" borderId="0" xfId="0" applyFont="1" applyAlignment="1">
      <alignment vertical="center"/>
    </xf>
    <xf numFmtId="187" fontId="60" fillId="0" borderId="0" xfId="8" applyNumberFormat="1" applyFont="1" applyAlignment="1">
      <alignment vertical="center"/>
    </xf>
    <xf numFmtId="168" fontId="60" fillId="0" borderId="0" xfId="24" applyNumberFormat="1" applyFont="1" applyAlignment="1">
      <alignment vertical="center"/>
    </xf>
    <xf numFmtId="187" fontId="60" fillId="0" borderId="0" xfId="8" applyNumberFormat="1" applyFont="1" applyAlignment="1">
      <alignment horizontal="right" vertical="center"/>
    </xf>
    <xf numFmtId="187" fontId="60" fillId="0" borderId="0" xfId="8" applyNumberFormat="1" applyFont="1" applyAlignment="1">
      <alignment horizontal="left" vertical="center"/>
    </xf>
    <xf numFmtId="191" fontId="58" fillId="11" borderId="0" xfId="0" applyNumberFormat="1" applyFont="1" applyFill="1" applyAlignment="1">
      <alignment vertical="center"/>
    </xf>
    <xf numFmtId="0" fontId="83" fillId="0" borderId="0" xfId="37" applyFont="1" applyAlignment="1">
      <alignment vertical="center"/>
    </xf>
    <xf numFmtId="0" fontId="60" fillId="0" borderId="0" xfId="37" applyFont="1" applyAlignment="1">
      <alignment vertical="center"/>
    </xf>
    <xf numFmtId="9" fontId="60" fillId="0" borderId="0" xfId="38" applyFont="1" applyAlignment="1">
      <alignment vertical="center"/>
    </xf>
    <xf numFmtId="191" fontId="60" fillId="0" borderId="0" xfId="37" applyNumberFormat="1" applyFont="1" applyAlignment="1">
      <alignment vertical="center"/>
    </xf>
    <xf numFmtId="0" fontId="62" fillId="0" borderId="0" xfId="37" applyFont="1" applyAlignment="1">
      <alignment vertical="center"/>
    </xf>
    <xf numFmtId="0" fontId="61" fillId="0" borderId="4" xfId="37" applyFont="1" applyBorder="1" applyAlignment="1">
      <alignment vertical="center"/>
    </xf>
    <xf numFmtId="0" fontId="60" fillId="0" borderId="4" xfId="37" applyFont="1" applyBorder="1" applyAlignment="1">
      <alignment vertical="center"/>
    </xf>
    <xf numFmtId="9" fontId="60" fillId="0" borderId="4" xfId="38" applyFont="1" applyBorder="1" applyAlignment="1">
      <alignment vertical="center"/>
    </xf>
    <xf numFmtId="191" fontId="60" fillId="0" borderId="4" xfId="37" applyNumberFormat="1" applyFont="1" applyBorder="1" applyAlignment="1">
      <alignment vertical="center"/>
    </xf>
    <xf numFmtId="0" fontId="62" fillId="0" borderId="4" xfId="37" applyFont="1" applyBorder="1" applyAlignment="1">
      <alignment vertical="center"/>
    </xf>
    <xf numFmtId="183" fontId="60" fillId="8" borderId="4" xfId="37" applyNumberFormat="1" applyFont="1" applyFill="1" applyBorder="1" applyAlignment="1">
      <alignment vertical="center"/>
    </xf>
    <xf numFmtId="191" fontId="70" fillId="11" borderId="0" xfId="37" applyNumberFormat="1" applyFont="1" applyFill="1" applyAlignment="1">
      <alignment vertical="center"/>
    </xf>
    <xf numFmtId="17" fontId="55" fillId="9" borderId="0" xfId="37" applyNumberFormat="1" applyFont="1" applyFill="1" applyAlignment="1">
      <alignment vertical="center"/>
    </xf>
    <xf numFmtId="192" fontId="55" fillId="9" borderId="0" xfId="37" applyNumberFormat="1" applyFont="1" applyFill="1" applyAlignment="1">
      <alignment vertical="center"/>
    </xf>
    <xf numFmtId="0" fontId="2" fillId="0" borderId="0" xfId="37" applyAlignment="1">
      <alignment vertical="center"/>
    </xf>
    <xf numFmtId="0" fontId="62" fillId="0" borderId="1" xfId="37" applyFont="1" applyBorder="1" applyAlignment="1">
      <alignment vertical="center"/>
    </xf>
    <xf numFmtId="183" fontId="62" fillId="0" borderId="1" xfId="37" applyNumberFormat="1" applyFont="1" applyBorder="1" applyAlignment="1">
      <alignment vertical="center"/>
    </xf>
    <xf numFmtId="187" fontId="62" fillId="0" borderId="0" xfId="37" applyNumberFormat="1" applyFont="1" applyAlignment="1">
      <alignment vertical="center"/>
    </xf>
    <xf numFmtId="183" fontId="60" fillId="0" borderId="0" xfId="39" applyNumberFormat="1" applyFont="1" applyAlignment="1">
      <alignment vertical="center"/>
    </xf>
    <xf numFmtId="187" fontId="60" fillId="0" borderId="0" xfId="39" applyNumberFormat="1" applyFont="1" applyAlignment="1">
      <alignment horizontal="right" vertical="center"/>
    </xf>
    <xf numFmtId="167" fontId="3" fillId="0" borderId="0" xfId="0" pivotButton="1" applyFont="1" applyAlignment="1">
      <alignment vertical="center"/>
    </xf>
    <xf numFmtId="167" fontId="3" fillId="0" borderId="0" xfId="0" applyFont="1" applyAlignment="1">
      <alignment vertical="center"/>
    </xf>
    <xf numFmtId="187" fontId="3" fillId="0" borderId="0" xfId="0" applyNumberFormat="1" applyFont="1" applyAlignment="1">
      <alignment vertical="center"/>
    </xf>
    <xf numFmtId="187" fontId="3" fillId="0" borderId="0" xfId="0" applyNumberFormat="1" applyFont="1" applyAlignment="1">
      <alignment horizontal="left" vertical="center"/>
    </xf>
    <xf numFmtId="9" fontId="3" fillId="0" borderId="0" xfId="0" applyNumberFormat="1" applyFont="1" applyAlignment="1">
      <alignment vertical="center"/>
    </xf>
    <xf numFmtId="0" fontId="3" fillId="0" borderId="0" xfId="0" applyNumberFormat="1" applyFont="1" applyAlignment="1">
      <alignment vertical="center"/>
    </xf>
    <xf numFmtId="167" fontId="64" fillId="0" borderId="0" xfId="0" applyFont="1" applyAlignment="1">
      <alignment horizontal="right" vertical="center"/>
    </xf>
    <xf numFmtId="167" fontId="85" fillId="11" borderId="4" xfId="0" applyFont="1" applyFill="1" applyBorder="1" applyAlignment="1">
      <alignment vertical="center"/>
    </xf>
    <xf numFmtId="191" fontId="86" fillId="0" borderId="4" xfId="0" applyNumberFormat="1" applyFont="1" applyBorder="1" applyAlignment="1">
      <alignment vertical="center"/>
    </xf>
    <xf numFmtId="167" fontId="86" fillId="0" borderId="4" xfId="0" applyFont="1" applyBorder="1" applyAlignment="1">
      <alignment vertical="center"/>
    </xf>
    <xf numFmtId="0" fontId="87" fillId="0" borderId="0" xfId="43" applyFont="1" applyBorder="1"/>
    <xf numFmtId="0" fontId="86" fillId="0" borderId="4" xfId="43" applyFont="1" applyBorder="1"/>
    <xf numFmtId="0" fontId="88" fillId="0" borderId="4" xfId="43" applyFont="1" applyBorder="1"/>
    <xf numFmtId="0" fontId="88" fillId="0" borderId="0" xfId="43" applyFont="1" applyBorder="1"/>
    <xf numFmtId="0" fontId="84" fillId="0" borderId="0" xfId="43" applyFont="1" applyBorder="1" applyAlignment="1">
      <alignment vertical="center"/>
    </xf>
    <xf numFmtId="0" fontId="89" fillId="13" borderId="1" xfId="43" applyFont="1" applyFill="1" applyBorder="1" applyAlignment="1">
      <alignment vertical="center"/>
    </xf>
    <xf numFmtId="0" fontId="89" fillId="13" borderId="1" xfId="43" applyFont="1" applyFill="1" applyBorder="1" applyAlignment="1">
      <alignment horizontal="right" vertical="center"/>
    </xf>
    <xf numFmtId="0" fontId="84" fillId="0" borderId="0" xfId="43" applyFont="1" applyAlignment="1">
      <alignment vertical="center"/>
    </xf>
    <xf numFmtId="193" fontId="84" fillId="0" borderId="0" xfId="44" applyNumberFormat="1" applyFont="1" applyAlignment="1">
      <alignment horizontal="right" vertical="center"/>
    </xf>
    <xf numFmtId="193" fontId="84" fillId="11" borderId="0" xfId="44" applyNumberFormat="1" applyFont="1" applyFill="1" applyAlignment="1">
      <alignment horizontal="right" vertical="center"/>
    </xf>
    <xf numFmtId="194" fontId="84" fillId="0" borderId="0" xfId="43" applyNumberFormat="1" applyFont="1" applyAlignment="1">
      <alignment vertical="center"/>
    </xf>
    <xf numFmtId="0" fontId="88" fillId="0" borderId="0" xfId="43" applyFont="1" applyAlignment="1">
      <alignment vertical="center"/>
    </xf>
    <xf numFmtId="0" fontId="88" fillId="0" borderId="1" xfId="43" applyFont="1" applyBorder="1" applyAlignment="1">
      <alignment vertical="center"/>
    </xf>
    <xf numFmtId="193" fontId="88" fillId="0" borderId="1" xfId="44" applyNumberFormat="1" applyFont="1" applyBorder="1" applyAlignment="1">
      <alignment horizontal="right" vertical="center"/>
    </xf>
    <xf numFmtId="193" fontId="88" fillId="11" borderId="1" xfId="44" applyNumberFormat="1" applyFont="1" applyFill="1" applyBorder="1" applyAlignment="1">
      <alignment horizontal="right" vertical="center"/>
    </xf>
    <xf numFmtId="0" fontId="88" fillId="0" borderId="0" xfId="43" applyFont="1" applyBorder="1" applyAlignment="1">
      <alignment vertical="center"/>
    </xf>
    <xf numFmtId="193" fontId="88" fillId="0" borderId="0" xfId="44" applyNumberFormat="1" applyFont="1" applyBorder="1" applyAlignment="1">
      <alignment horizontal="right" vertical="center"/>
    </xf>
    <xf numFmtId="193" fontId="88" fillId="11" borderId="0" xfId="44" applyNumberFormat="1" applyFont="1" applyFill="1" applyBorder="1" applyAlignment="1">
      <alignment horizontal="right" vertical="center"/>
    </xf>
    <xf numFmtId="193" fontId="30" fillId="0" borderId="1" xfId="44" applyNumberFormat="1" applyFont="1" applyBorder="1" applyAlignment="1">
      <alignment horizontal="right" vertical="center"/>
    </xf>
    <xf numFmtId="193" fontId="84" fillId="11" borderId="0" xfId="44" applyNumberFormat="1" applyFont="1" applyFill="1" applyBorder="1" applyAlignment="1">
      <alignment horizontal="right" vertical="center"/>
    </xf>
    <xf numFmtId="9" fontId="84" fillId="0" borderId="0" xfId="45" applyFont="1" applyAlignment="1">
      <alignment vertical="center"/>
    </xf>
    <xf numFmtId="9" fontId="88" fillId="0" borderId="0" xfId="45" applyFont="1" applyAlignment="1">
      <alignment vertical="center"/>
    </xf>
    <xf numFmtId="0" fontId="88" fillId="0" borderId="11" xfId="43" applyFont="1" applyBorder="1" applyAlignment="1">
      <alignment vertical="center"/>
    </xf>
    <xf numFmtId="193" fontId="88" fillId="0" borderId="11" xfId="44" applyNumberFormat="1" applyFont="1" applyBorder="1" applyAlignment="1">
      <alignment horizontal="right" vertical="center"/>
    </xf>
    <xf numFmtId="193" fontId="88" fillId="11" borderId="11" xfId="44" applyNumberFormat="1" applyFont="1" applyFill="1" applyBorder="1" applyAlignment="1">
      <alignment horizontal="right" vertical="center"/>
    </xf>
    <xf numFmtId="0" fontId="88" fillId="0" borderId="8" xfId="43" applyFont="1" applyBorder="1" applyAlignment="1">
      <alignment vertical="center"/>
    </xf>
    <xf numFmtId="193" fontId="88" fillId="0" borderId="8" xfId="44" applyNumberFormat="1" applyFont="1" applyBorder="1" applyAlignment="1">
      <alignment horizontal="right" vertical="center"/>
    </xf>
    <xf numFmtId="193" fontId="88" fillId="11" borderId="8" xfId="44" applyNumberFormat="1" applyFont="1" applyFill="1" applyBorder="1" applyAlignment="1">
      <alignment horizontal="right" vertical="center"/>
    </xf>
    <xf numFmtId="195" fontId="90" fillId="0" borderId="0" xfId="44" applyNumberFormat="1" applyFont="1" applyAlignment="1">
      <alignment vertical="center"/>
    </xf>
    <xf numFmtId="195" fontId="91" fillId="0" borderId="0" xfId="44" applyNumberFormat="1" applyFont="1" applyAlignment="1">
      <alignment vertical="center"/>
    </xf>
    <xf numFmtId="0" fontId="84" fillId="0" borderId="0" xfId="43" applyFont="1"/>
    <xf numFmtId="43" fontId="84" fillId="0" borderId="0" xfId="43" applyNumberFormat="1" applyFont="1"/>
    <xf numFmtId="193" fontId="84" fillId="0" borderId="0" xfId="44" applyNumberFormat="1" applyFont="1"/>
    <xf numFmtId="193" fontId="84" fillId="0" borderId="0" xfId="43" applyNumberFormat="1" applyFont="1"/>
    <xf numFmtId="165" fontId="84" fillId="0" borderId="0" xfId="43" applyNumberFormat="1" applyFont="1"/>
    <xf numFmtId="43" fontId="90" fillId="0" borderId="0" xfId="44" applyFont="1"/>
    <xf numFmtId="0" fontId="90" fillId="0" borderId="0" xfId="43" applyFont="1"/>
    <xf numFmtId="165" fontId="90" fillId="0" borderId="0" xfId="43" applyNumberFormat="1" applyFont="1"/>
    <xf numFmtId="9" fontId="92" fillId="0" borderId="0" xfId="45" applyFont="1"/>
    <xf numFmtId="9" fontId="54" fillId="8" borderId="1" xfId="13" applyNumberFormat="1" applyFont="1" applyFill="1" applyBorder="1" applyAlignment="1">
      <alignment horizontal="right"/>
    </xf>
    <xf numFmtId="9" fontId="84" fillId="0" borderId="0" xfId="24" applyFont="1" applyAlignment="1">
      <alignment vertical="center"/>
    </xf>
    <xf numFmtId="3" fontId="54" fillId="0" borderId="0" xfId="0" applyNumberFormat="1" applyFont="1" applyFill="1" applyAlignment="1">
      <alignment vertical="center"/>
    </xf>
    <xf numFmtId="187" fontId="3" fillId="0" borderId="0" xfId="8" applyNumberFormat="1" applyFont="1" applyFill="1" applyAlignment="1">
      <alignment vertical="center"/>
    </xf>
    <xf numFmtId="9" fontId="7" fillId="0" borderId="0" xfId="24" applyFont="1" applyFill="1" applyAlignment="1">
      <alignment vertical="center"/>
    </xf>
    <xf numFmtId="9" fontId="0" fillId="0" borderId="0" xfId="24" applyFont="1" applyFill="1" applyAlignment="1">
      <alignment vertical="center"/>
    </xf>
    <xf numFmtId="187" fontId="86" fillId="8" borderId="4" xfId="8" applyNumberFormat="1" applyFont="1" applyFill="1" applyBorder="1" applyAlignment="1">
      <alignment horizontal="right" vertical="center"/>
    </xf>
    <xf numFmtId="167" fontId="0" fillId="0" borderId="0" xfId="0" applyAlignment="1">
      <alignment vertical="center"/>
    </xf>
    <xf numFmtId="167" fontId="62" fillId="0" borderId="0" xfId="0" applyFont="1" applyAlignment="1">
      <alignment vertical="center"/>
    </xf>
    <xf numFmtId="168" fontId="54" fillId="11" borderId="0" xfId="0" applyNumberFormat="1" applyFont="1" applyFill="1" applyAlignment="1">
      <alignment vertical="center"/>
    </xf>
    <xf numFmtId="168" fontId="54" fillId="0" borderId="0" xfId="0" applyNumberFormat="1" applyFont="1" applyAlignment="1">
      <alignment vertical="center"/>
    </xf>
    <xf numFmtId="168" fontId="60" fillId="0" borderId="0" xfId="0" applyNumberFormat="1" applyFont="1" applyAlignment="1">
      <alignment vertical="center"/>
    </xf>
    <xf numFmtId="2" fontId="54" fillId="11" borderId="0" xfId="0" applyNumberFormat="1" applyFont="1" applyFill="1" applyAlignment="1">
      <alignment vertical="center"/>
    </xf>
    <xf numFmtId="165" fontId="60" fillId="0" borderId="0" xfId="8" applyFont="1" applyAlignment="1">
      <alignment vertical="center"/>
    </xf>
    <xf numFmtId="10" fontId="3" fillId="0" borderId="0" xfId="24" applyNumberFormat="1" applyFont="1" applyAlignment="1">
      <alignment vertical="center"/>
    </xf>
    <xf numFmtId="165" fontId="3" fillId="0" borderId="0" xfId="8" applyFont="1" applyAlignment="1">
      <alignment vertical="center"/>
    </xf>
    <xf numFmtId="192" fontId="55" fillId="9" borderId="0" xfId="0" applyNumberFormat="1" applyFont="1" applyFill="1" applyAlignment="1">
      <alignment vertical="center"/>
    </xf>
    <xf numFmtId="0" fontId="93" fillId="0" borderId="0" xfId="37" applyFont="1" applyAlignment="1">
      <alignment vertical="center"/>
    </xf>
    <xf numFmtId="183" fontId="62" fillId="0" borderId="0" xfId="39" applyNumberFormat="1" applyFont="1" applyAlignment="1">
      <alignment vertical="center"/>
    </xf>
    <xf numFmtId="167" fontId="4" fillId="0" borderId="0" xfId="0" applyFont="1" applyAlignment="1">
      <alignment vertical="center"/>
    </xf>
    <xf numFmtId="4" fontId="3" fillId="0" borderId="0" xfId="0" applyNumberFormat="1" applyFont="1" applyFill="1" applyAlignment="1">
      <alignment vertical="center"/>
    </xf>
    <xf numFmtId="0" fontId="3" fillId="0" borderId="0" xfId="21" applyFont="1" applyFill="1" applyAlignment="1">
      <alignment vertical="center"/>
    </xf>
    <xf numFmtId="9" fontId="3" fillId="8" borderId="0" xfId="13" applyNumberFormat="1" applyFont="1" applyFill="1" applyAlignment="1">
      <alignment horizontal="right"/>
    </xf>
    <xf numFmtId="17" fontId="55" fillId="9" borderId="0" xfId="0" applyNumberFormat="1" applyFont="1" applyFill="1" applyBorder="1" applyAlignment="1">
      <alignment vertical="center"/>
    </xf>
    <xf numFmtId="17" fontId="55" fillId="9" borderId="0" xfId="0" applyNumberFormat="1" applyFont="1" applyFill="1" applyBorder="1" applyAlignment="1">
      <alignment horizontal="right" vertical="center"/>
    </xf>
    <xf numFmtId="17" fontId="0" fillId="0" borderId="0" xfId="0" applyNumberFormat="1" applyFill="1" applyBorder="1" applyAlignment="1">
      <alignment vertical="center"/>
    </xf>
    <xf numFmtId="17" fontId="0" fillId="0" borderId="0" xfId="0" applyNumberFormat="1" applyFill="1" applyBorder="1" applyAlignment="1">
      <alignment horizontal="right" vertical="center"/>
    </xf>
    <xf numFmtId="167" fontId="8" fillId="0" borderId="0" xfId="0" applyFont="1" applyFill="1" applyAlignment="1">
      <alignment horizontal="left" vertical="center"/>
    </xf>
    <xf numFmtId="168" fontId="3" fillId="0" borderId="0" xfId="0" applyNumberFormat="1" applyFont="1" applyFill="1" applyAlignment="1">
      <alignment horizontal="right" vertical="center"/>
    </xf>
    <xf numFmtId="168" fontId="3" fillId="0" borderId="0" xfId="13" applyNumberFormat="1" applyFont="1" applyFill="1" applyAlignment="1">
      <alignment horizontal="right" vertical="center"/>
    </xf>
    <xf numFmtId="168" fontId="3" fillId="8" borderId="0" xfId="13" applyNumberFormat="1" applyFont="1" applyFill="1" applyAlignment="1">
      <alignment horizontal="right" vertical="center"/>
    </xf>
    <xf numFmtId="181" fontId="3" fillId="0" borderId="0" xfId="21" applyNumberFormat="1" applyFill="1" applyAlignment="1">
      <alignment horizontal="right" vertical="center"/>
    </xf>
    <xf numFmtId="173" fontId="3" fillId="0" borderId="0" xfId="21" applyNumberFormat="1" applyFill="1" applyAlignment="1">
      <alignment horizontal="right" vertical="center"/>
    </xf>
    <xf numFmtId="173" fontId="3" fillId="8" borderId="0" xfId="21" applyNumberFormat="1" applyFill="1" applyAlignment="1">
      <alignment horizontal="right" vertical="center"/>
    </xf>
    <xf numFmtId="9" fontId="3" fillId="0" borderId="0" xfId="13" applyNumberFormat="1" applyFont="1" applyFill="1" applyAlignment="1">
      <alignment horizontal="right" vertical="center"/>
    </xf>
    <xf numFmtId="9" fontId="3" fillId="8" borderId="0" xfId="13" applyNumberFormat="1" applyFont="1" applyFill="1" applyAlignment="1">
      <alignment horizontal="right" vertical="center"/>
    </xf>
    <xf numFmtId="196" fontId="55" fillId="9" borderId="0" xfId="0" applyNumberFormat="1" applyFont="1" applyFill="1" applyBorder="1" applyAlignment="1">
      <alignment horizontal="right" vertical="center"/>
    </xf>
    <xf numFmtId="168" fontId="54" fillId="0" borderId="0" xfId="36" applyNumberFormat="1" applyFont="1" applyFill="1" applyBorder="1" applyAlignment="1">
      <alignment horizontal="right"/>
    </xf>
    <xf numFmtId="167" fontId="54" fillId="0" borderId="0" xfId="36" applyNumberFormat="1" applyFont="1" applyFill="1" applyBorder="1" applyAlignment="1">
      <alignment horizontal="right"/>
    </xf>
    <xf numFmtId="165" fontId="0" fillId="0" borderId="0" xfId="8" applyFont="1" applyFill="1" applyAlignment="1">
      <alignment horizontal="right"/>
    </xf>
    <xf numFmtId="173" fontId="3" fillId="0" borderId="0" xfId="0" applyNumberFormat="1" applyFont="1" applyFill="1" applyAlignment="1">
      <alignment horizontal="right" vertical="center"/>
    </xf>
    <xf numFmtId="167" fontId="3" fillId="0" borderId="17" xfId="0" applyFont="1" applyFill="1" applyBorder="1" applyAlignment="1">
      <alignment horizontal="right" vertical="center"/>
    </xf>
    <xf numFmtId="167" fontId="3" fillId="0" borderId="11" xfId="0" applyFont="1" applyFill="1" applyBorder="1" applyAlignment="1">
      <alignment horizontal="right" vertical="center"/>
    </xf>
    <xf numFmtId="173" fontId="3" fillId="0" borderId="11" xfId="0" applyNumberFormat="1" applyFont="1" applyFill="1" applyBorder="1" applyAlignment="1">
      <alignment horizontal="right" vertical="center"/>
    </xf>
    <xf numFmtId="165" fontId="3" fillId="0" borderId="18" xfId="8" applyFont="1" applyFill="1" applyBorder="1" applyAlignment="1">
      <alignment vertical="center"/>
    </xf>
    <xf numFmtId="167" fontId="3" fillId="0" borderId="19" xfId="0" applyFont="1" applyFill="1" applyBorder="1" applyAlignment="1">
      <alignment horizontal="right" vertical="center"/>
    </xf>
    <xf numFmtId="167" fontId="3" fillId="0" borderId="0" xfId="0" applyFont="1" applyFill="1" applyBorder="1" applyAlignment="1">
      <alignment horizontal="right" vertical="center"/>
    </xf>
    <xf numFmtId="173" fontId="3" fillId="0" borderId="0" xfId="0" applyNumberFormat="1" applyFont="1" applyFill="1" applyBorder="1" applyAlignment="1">
      <alignment horizontal="right" vertical="center"/>
    </xf>
    <xf numFmtId="165" fontId="3" fillId="0" borderId="20" xfId="8" applyFont="1" applyFill="1" applyBorder="1" applyAlignment="1">
      <alignment vertical="center"/>
    </xf>
    <xf numFmtId="187" fontId="64" fillId="0" borderId="19" xfId="8" applyNumberFormat="1" applyFont="1" applyFill="1" applyBorder="1"/>
    <xf numFmtId="167" fontId="3" fillId="0" borderId="19" xfId="0" applyFont="1" applyFill="1" applyBorder="1"/>
    <xf numFmtId="173" fontId="54" fillId="11" borderId="0" xfId="0" applyNumberFormat="1" applyFont="1" applyFill="1" applyBorder="1" applyAlignment="1">
      <alignment horizontal="right" vertical="center"/>
    </xf>
    <xf numFmtId="167" fontId="3" fillId="0" borderId="21" xfId="0" applyFont="1" applyFill="1" applyBorder="1"/>
    <xf numFmtId="173" fontId="3" fillId="0" borderId="4" xfId="0" applyNumberFormat="1" applyFont="1" applyFill="1" applyBorder="1" applyAlignment="1">
      <alignment horizontal="right" vertical="center"/>
    </xf>
    <xf numFmtId="165" fontId="3" fillId="0" borderId="22" xfId="8" applyFont="1" applyFill="1" applyBorder="1" applyAlignment="1">
      <alignment vertical="center"/>
    </xf>
    <xf numFmtId="165" fontId="3" fillId="0" borderId="0" xfId="8" applyFont="1" applyFill="1" applyBorder="1" applyAlignment="1">
      <alignment horizontal="right" vertical="center"/>
    </xf>
    <xf numFmtId="167" fontId="3" fillId="0" borderId="20" xfId="0" applyFont="1" applyFill="1" applyBorder="1" applyAlignment="1">
      <alignment vertical="center"/>
    </xf>
    <xf numFmtId="167" fontId="3" fillId="0" borderId="22" xfId="0" applyFont="1" applyFill="1" applyBorder="1" applyAlignment="1">
      <alignment vertical="center"/>
    </xf>
    <xf numFmtId="167" fontId="65" fillId="0" borderId="0" xfId="0" applyFont="1" applyFill="1" applyAlignment="1">
      <alignment horizontal="right"/>
    </xf>
    <xf numFmtId="0" fontId="16" fillId="0" borderId="0" xfId="17"/>
    <xf numFmtId="168" fontId="61" fillId="0" borderId="0" xfId="16" applyFont="1" applyFill="1" applyAlignment="1">
      <alignment horizontal="right"/>
    </xf>
    <xf numFmtId="167" fontId="62" fillId="3" borderId="1" xfId="35" applyFont="1" applyAlignment="1">
      <alignment horizontal="right"/>
    </xf>
    <xf numFmtId="9" fontId="94" fillId="0" borderId="0" xfId="0" applyNumberFormat="1" applyFont="1" applyFill="1"/>
    <xf numFmtId="9" fontId="61" fillId="0" borderId="0" xfId="0" applyNumberFormat="1" applyFont="1" applyFill="1"/>
    <xf numFmtId="168" fontId="3" fillId="0" borderId="0" xfId="24" applyNumberFormat="1" applyFont="1" applyFill="1" applyAlignment="1">
      <alignment vertical="center"/>
    </xf>
    <xf numFmtId="165" fontId="3" fillId="0" borderId="19" xfId="8" applyFont="1" applyFill="1" applyBorder="1" applyAlignment="1">
      <alignment horizontal="right" vertical="center"/>
    </xf>
    <xf numFmtId="168" fontId="54" fillId="11" borderId="17" xfId="24" applyNumberFormat="1" applyFont="1" applyFill="1" applyBorder="1" applyAlignment="1">
      <alignment horizontal="right" vertical="center"/>
    </xf>
    <xf numFmtId="165" fontId="3" fillId="0" borderId="11" xfId="8" applyFont="1" applyFill="1" applyBorder="1" applyAlignment="1">
      <alignment horizontal="left" vertical="center"/>
    </xf>
    <xf numFmtId="167" fontId="3" fillId="0" borderId="11" xfId="0" applyFont="1" applyFill="1" applyBorder="1" applyAlignment="1">
      <alignment vertical="center"/>
    </xf>
    <xf numFmtId="167" fontId="3" fillId="0" borderId="18" xfId="0" applyFont="1" applyFill="1" applyBorder="1" applyAlignment="1">
      <alignment vertical="center"/>
    </xf>
    <xf numFmtId="167" fontId="95" fillId="0" borderId="0" xfId="0" applyFont="1" applyFill="1" applyBorder="1" applyAlignment="1">
      <alignment horizontal="center" vertical="center"/>
    </xf>
    <xf numFmtId="167" fontId="95" fillId="0" borderId="4" xfId="0" applyFont="1" applyFill="1" applyBorder="1" applyAlignment="1">
      <alignment horizontal="center" vertical="center"/>
    </xf>
    <xf numFmtId="165" fontId="3" fillId="0" borderId="4" xfId="8" applyFont="1" applyFill="1" applyBorder="1" applyAlignment="1">
      <alignment horizontal="right" vertical="center"/>
    </xf>
    <xf numFmtId="165" fontId="54" fillId="11" borderId="21" xfId="8" applyFont="1" applyFill="1" applyBorder="1" applyAlignment="1">
      <alignment horizontal="right" vertical="center"/>
    </xf>
    <xf numFmtId="167" fontId="89" fillId="9" borderId="0" xfId="0" applyFont="1" applyFill="1" applyBorder="1" applyAlignment="1">
      <alignment vertical="center"/>
    </xf>
    <xf numFmtId="3" fontId="89" fillId="9" borderId="0" xfId="35" applyNumberFormat="1" applyFont="1" applyFill="1" applyBorder="1" applyAlignment="1">
      <alignment horizontal="right" vertical="center"/>
    </xf>
    <xf numFmtId="3" fontId="30" fillId="0" borderId="0" xfId="35" applyNumberFormat="1" applyFont="1" applyFill="1" applyBorder="1" applyAlignment="1">
      <alignment horizontal="right" vertical="center"/>
    </xf>
    <xf numFmtId="167" fontId="49" fillId="0" borderId="0" xfId="0" applyFont="1" applyFill="1" applyAlignment="1">
      <alignment horizontal="right" vertical="center"/>
    </xf>
    <xf numFmtId="4" fontId="49" fillId="0" borderId="0" xfId="0" applyNumberFormat="1" applyFont="1" applyFill="1" applyAlignment="1">
      <alignment horizontal="right" vertical="center"/>
    </xf>
    <xf numFmtId="167" fontId="49" fillId="0" borderId="0" xfId="0" applyFont="1" applyFill="1" applyAlignment="1">
      <alignment horizontal="left" vertical="center"/>
    </xf>
    <xf numFmtId="167" fontId="30" fillId="0" borderId="0" xfId="0" applyFont="1" applyFill="1" applyBorder="1" applyAlignment="1">
      <alignment vertical="center"/>
    </xf>
    <xf numFmtId="187" fontId="49" fillId="0" borderId="0" xfId="8" applyNumberFormat="1" applyFont="1" applyFill="1" applyBorder="1" applyAlignment="1">
      <alignment horizontal="right" vertical="center"/>
    </xf>
    <xf numFmtId="167" fontId="96" fillId="0" borderId="0" xfId="0" applyFont="1" applyFill="1" applyBorder="1" applyAlignment="1">
      <alignment vertical="center"/>
    </xf>
    <xf numFmtId="4" fontId="30" fillId="0" borderId="0" xfId="35" applyNumberFormat="1" applyFont="1" applyFill="1" applyBorder="1" applyAlignment="1">
      <alignment horizontal="right" vertical="center"/>
    </xf>
    <xf numFmtId="167" fontId="97" fillId="0" borderId="0" xfId="0" applyFont="1" applyFill="1" applyAlignment="1">
      <alignment horizontal="right" vertical="center"/>
    </xf>
    <xf numFmtId="167" fontId="97" fillId="0" borderId="0" xfId="0" applyFont="1" applyFill="1" applyAlignment="1">
      <alignment horizontal="left" vertical="center"/>
    </xf>
    <xf numFmtId="9" fontId="49" fillId="0" borderId="0" xfId="24" applyFont="1" applyFill="1" applyAlignment="1">
      <alignment vertical="center"/>
    </xf>
    <xf numFmtId="167" fontId="30" fillId="16" borderId="1" xfId="0" applyFont="1" applyFill="1" applyBorder="1" applyAlignment="1">
      <alignment vertical="center"/>
    </xf>
    <xf numFmtId="187" fontId="30" fillId="16" borderId="1" xfId="8" applyNumberFormat="1" applyFont="1" applyFill="1" applyBorder="1" applyAlignment="1">
      <alignment horizontal="right" vertical="center"/>
    </xf>
    <xf numFmtId="167" fontId="30" fillId="0" borderId="0" xfId="0" applyFont="1" applyFill="1" applyAlignment="1">
      <alignment vertical="center"/>
    </xf>
    <xf numFmtId="167" fontId="89" fillId="9" borderId="0" xfId="0" applyFont="1" applyFill="1" applyBorder="1" applyAlignment="1">
      <alignment horizontal="left" vertical="center"/>
    </xf>
    <xf numFmtId="167" fontId="89" fillId="9" borderId="0" xfId="0" applyFont="1" applyFill="1" applyBorder="1" applyAlignment="1">
      <alignment horizontal="center" vertical="center"/>
    </xf>
    <xf numFmtId="4" fontId="91" fillId="11" borderId="0" xfId="0" applyNumberFormat="1" applyFont="1" applyFill="1" applyAlignment="1">
      <alignment vertical="center"/>
    </xf>
    <xf numFmtId="190" fontId="49" fillId="0" borderId="0" xfId="0" applyNumberFormat="1" applyFont="1" applyFill="1" applyBorder="1" applyAlignment="1">
      <alignment horizontal="right" vertical="center"/>
    </xf>
    <xf numFmtId="3" fontId="49" fillId="0" borderId="0" xfId="0" applyNumberFormat="1" applyFont="1" applyFill="1" applyAlignment="1">
      <alignment horizontal="right" vertical="center"/>
    </xf>
    <xf numFmtId="173" fontId="49" fillId="0" borderId="0" xfId="0" applyNumberFormat="1" applyFont="1" applyFill="1" applyAlignment="1">
      <alignment horizontal="right" vertical="center"/>
    </xf>
    <xf numFmtId="168" fontId="49" fillId="0" borderId="0" xfId="24" applyNumberFormat="1" applyFont="1" applyFill="1" applyAlignment="1">
      <alignment horizontal="right" vertical="center"/>
    </xf>
    <xf numFmtId="3" fontId="91" fillId="0" borderId="0" xfId="0" applyNumberFormat="1" applyFont="1" applyFill="1" applyAlignment="1">
      <alignment vertical="center"/>
    </xf>
    <xf numFmtId="187" fontId="49" fillId="0" borderId="0" xfId="8" applyNumberFormat="1" applyFont="1" applyFill="1" applyAlignment="1">
      <alignment vertical="center"/>
    </xf>
    <xf numFmtId="4" fontId="49" fillId="0" borderId="0" xfId="0" applyNumberFormat="1" applyFont="1" applyFill="1" applyAlignment="1">
      <alignment vertical="center"/>
    </xf>
    <xf numFmtId="167" fontId="92" fillId="0" borderId="0" xfId="0" applyFont="1" applyFill="1" applyAlignment="1">
      <alignment vertical="center"/>
    </xf>
    <xf numFmtId="4" fontId="91" fillId="0" borderId="0" xfId="0" applyNumberFormat="1" applyFont="1" applyFill="1" applyAlignment="1">
      <alignment vertical="center"/>
    </xf>
    <xf numFmtId="9" fontId="92" fillId="0" borderId="0" xfId="24" applyFont="1" applyFill="1" applyAlignment="1">
      <alignment vertical="center"/>
    </xf>
    <xf numFmtId="167" fontId="30" fillId="11" borderId="1" xfId="0" applyFont="1" applyFill="1" applyBorder="1" applyAlignment="1">
      <alignment vertical="center"/>
    </xf>
    <xf numFmtId="165" fontId="30" fillId="11" borderId="1" xfId="8" applyFont="1" applyFill="1" applyBorder="1" applyAlignment="1">
      <alignment horizontal="right" vertical="center"/>
    </xf>
    <xf numFmtId="190" fontId="4" fillId="0" borderId="0" xfId="0" applyNumberFormat="1" applyFont="1" applyFill="1" applyBorder="1" applyAlignment="1">
      <alignment horizontal="right" vertical="center"/>
    </xf>
    <xf numFmtId="9" fontId="61" fillId="0" borderId="0" xfId="24" applyFont="1" applyAlignment="1">
      <alignment vertical="center"/>
    </xf>
    <xf numFmtId="165" fontId="49" fillId="17" borderId="0" xfId="8" applyFont="1" applyFill="1" applyBorder="1" applyAlignment="1">
      <alignment horizontal="right" vertical="center"/>
    </xf>
    <xf numFmtId="3" fontId="55" fillId="9" borderId="0" xfId="35" applyNumberFormat="1" applyFont="1" applyFill="1" applyBorder="1" applyAlignment="1">
      <alignment horizontal="left" vertical="center"/>
    </xf>
    <xf numFmtId="3" fontId="54" fillId="11" borderId="0" xfId="35" applyNumberFormat="1" applyFont="1" applyFill="1" applyBorder="1" applyAlignment="1">
      <alignment horizontal="right" vertical="center"/>
    </xf>
    <xf numFmtId="169" fontId="4" fillId="3" borderId="1" xfId="35" applyNumberFormat="1" applyAlignment="1">
      <alignment horizontal="right"/>
    </xf>
    <xf numFmtId="167" fontId="54" fillId="0" borderId="0" xfId="0" applyNumberFormat="1" applyFont="1" applyFill="1"/>
    <xf numFmtId="10" fontId="9" fillId="0" borderId="0" xfId="24" applyNumberFormat="1" applyFont="1" applyFill="1" applyAlignment="1">
      <alignment horizontal="right"/>
    </xf>
    <xf numFmtId="10" fontId="8" fillId="0" borderId="7" xfId="36" applyFont="1" applyFill="1" applyBorder="1" applyAlignment="1">
      <alignment horizontal="right"/>
    </xf>
    <xf numFmtId="10" fontId="8" fillId="0" borderId="5" xfId="36" applyNumberFormat="1" applyFont="1" applyFill="1" applyBorder="1" applyAlignment="1">
      <alignment horizontal="right"/>
    </xf>
    <xf numFmtId="10" fontId="8" fillId="18" borderId="0" xfId="36" applyFont="1" applyFill="1" applyAlignment="1">
      <alignment horizontal="right"/>
    </xf>
    <xf numFmtId="10" fontId="60" fillId="18" borderId="0" xfId="36" applyFont="1" applyFill="1" applyAlignment="1">
      <alignment horizontal="right"/>
    </xf>
    <xf numFmtId="10" fontId="60" fillId="18" borderId="11" xfId="36" applyFont="1" applyFill="1" applyBorder="1" applyAlignment="1">
      <alignment horizontal="right"/>
    </xf>
    <xf numFmtId="10" fontId="60" fillId="18" borderId="0" xfId="36" applyFont="1" applyFill="1" applyBorder="1" applyAlignment="1">
      <alignment horizontal="right"/>
    </xf>
    <xf numFmtId="10" fontId="8" fillId="18" borderId="0" xfId="36" applyFont="1" applyFill="1" applyBorder="1" applyAlignment="1">
      <alignment horizontal="right"/>
    </xf>
    <xf numFmtId="9" fontId="60" fillId="18" borderId="0" xfId="36" applyNumberFormat="1" applyFont="1" applyFill="1" applyAlignment="1">
      <alignment horizontal="right"/>
    </xf>
    <xf numFmtId="9" fontId="60" fillId="18" borderId="0" xfId="36" applyNumberFormat="1" applyFont="1" applyFill="1" applyBorder="1" applyAlignment="1">
      <alignment horizontal="right"/>
    </xf>
    <xf numFmtId="9" fontId="8" fillId="18" borderId="0" xfId="36" applyNumberFormat="1" applyFont="1" applyFill="1" applyBorder="1" applyAlignment="1">
      <alignment horizontal="right"/>
    </xf>
    <xf numFmtId="4" fontId="60" fillId="18" borderId="0" xfId="36" applyNumberFormat="1" applyFont="1" applyFill="1" applyAlignment="1">
      <alignment horizontal="right"/>
    </xf>
    <xf numFmtId="4" fontId="60" fillId="18" borderId="0" xfId="36" applyNumberFormat="1" applyFont="1" applyFill="1" applyBorder="1" applyAlignment="1">
      <alignment horizontal="right"/>
    </xf>
    <xf numFmtId="10" fontId="9" fillId="18" borderId="0" xfId="24" applyNumberFormat="1" applyFont="1" applyFill="1" applyAlignment="1">
      <alignment horizontal="right"/>
    </xf>
    <xf numFmtId="10" fontId="3" fillId="18" borderId="0" xfId="36" applyFont="1" applyFill="1" applyAlignment="1">
      <alignment horizontal="right"/>
    </xf>
    <xf numFmtId="10" fontId="60" fillId="0" borderId="9" xfId="24" applyNumberFormat="1" applyFont="1" applyFill="1" applyBorder="1" applyAlignment="1">
      <alignment horizontal="right"/>
    </xf>
    <xf numFmtId="167" fontId="9" fillId="18" borderId="0" xfId="13" applyFill="1" applyAlignment="1">
      <alignment horizontal="right"/>
    </xf>
    <xf numFmtId="10" fontId="63" fillId="0" borderId="5" xfId="36" applyFont="1" applyFill="1" applyBorder="1" applyAlignment="1">
      <alignment horizontal="right"/>
    </xf>
    <xf numFmtId="10" fontId="63" fillId="0" borderId="0" xfId="36" applyFont="1" applyFill="1" applyAlignment="1">
      <alignment horizontal="right"/>
    </xf>
    <xf numFmtId="9" fontId="63" fillId="0" borderId="0" xfId="24" applyFont="1" applyFill="1" applyAlignment="1">
      <alignment horizontal="right"/>
    </xf>
    <xf numFmtId="9" fontId="63" fillId="0" borderId="0" xfId="36" applyNumberFormat="1" applyFont="1" applyFill="1" applyAlignment="1">
      <alignment horizontal="right"/>
    </xf>
    <xf numFmtId="4" fontId="63" fillId="0" borderId="0" xfId="36" applyNumberFormat="1" applyFont="1" applyFill="1" applyAlignment="1">
      <alignment horizontal="right"/>
    </xf>
    <xf numFmtId="167" fontId="80" fillId="3" borderId="1" xfId="14" applyFont="1" applyAlignment="1">
      <alignment horizontal="right"/>
    </xf>
    <xf numFmtId="167" fontId="63" fillId="12" borderId="0" xfId="13" applyFont="1" applyFill="1" applyAlignment="1">
      <alignment horizontal="right"/>
    </xf>
    <xf numFmtId="10" fontId="54" fillId="8" borderId="0" xfId="24" applyNumberFormat="1" applyFont="1" applyFill="1" applyAlignment="1">
      <alignment horizontal="right"/>
    </xf>
    <xf numFmtId="167" fontId="3" fillId="6" borderId="0" xfId="0" applyFont="1" applyFill="1"/>
    <xf numFmtId="167" fontId="3" fillId="0" borderId="1" xfId="0" applyFont="1" applyFill="1" applyBorder="1"/>
    <xf numFmtId="168" fontId="7" fillId="11" borderId="0" xfId="24" applyNumberFormat="1" applyFont="1" applyFill="1" applyAlignment="1">
      <alignment horizontal="center"/>
    </xf>
    <xf numFmtId="3" fontId="10" fillId="11" borderId="0" xfId="13" applyNumberFormat="1" applyFont="1" applyFill="1" applyAlignment="1">
      <alignment horizontal="right"/>
    </xf>
    <xf numFmtId="4" fontId="3" fillId="0" borderId="0" xfId="0" applyNumberFormat="1" applyFont="1" applyFill="1" applyAlignment="1">
      <alignment horizontal="right" vertical="center"/>
    </xf>
    <xf numFmtId="165" fontId="49" fillId="0" borderId="0" xfId="8" applyFont="1" applyFill="1" applyBorder="1" applyAlignment="1">
      <alignment horizontal="right" vertical="center"/>
    </xf>
    <xf numFmtId="165" fontId="49" fillId="0" borderId="0" xfId="8" applyNumberFormat="1" applyFont="1" applyFill="1" applyBorder="1" applyAlignment="1">
      <alignment horizontal="right" vertical="center"/>
    </xf>
    <xf numFmtId="167" fontId="49" fillId="0" borderId="0" xfId="0" applyFont="1" applyFill="1" applyBorder="1" applyAlignment="1">
      <alignment vertical="center"/>
    </xf>
    <xf numFmtId="169" fontId="70" fillId="0" borderId="0" xfId="0" applyNumberFormat="1" applyFont="1" applyFill="1" applyAlignment="1">
      <alignment vertical="center"/>
    </xf>
    <xf numFmtId="197" fontId="64" fillId="17" borderId="0" xfId="8" applyNumberFormat="1" applyFont="1" applyFill="1" applyBorder="1" applyAlignment="1">
      <alignment horizontal="right" vertical="center"/>
    </xf>
    <xf numFmtId="197" fontId="98" fillId="17" borderId="0" xfId="8" applyNumberFormat="1" applyFont="1" applyFill="1" applyBorder="1" applyAlignment="1">
      <alignment horizontal="right" vertical="center"/>
    </xf>
    <xf numFmtId="4" fontId="3" fillId="0" borderId="17" xfId="0" applyNumberFormat="1" applyFont="1" applyFill="1" applyBorder="1" applyAlignment="1">
      <alignment horizontal="right" vertical="center"/>
    </xf>
    <xf numFmtId="4" fontId="3" fillId="0" borderId="11" xfId="0" applyNumberFormat="1" applyFont="1" applyFill="1" applyBorder="1" applyAlignment="1">
      <alignment vertical="center"/>
    </xf>
    <xf numFmtId="4" fontId="3" fillId="0" borderId="18" xfId="0" applyNumberFormat="1" applyFont="1" applyFill="1" applyBorder="1" applyAlignment="1">
      <alignment vertical="center"/>
    </xf>
    <xf numFmtId="4" fontId="54" fillId="0" borderId="19" xfId="0" applyNumberFormat="1" applyFont="1" applyFill="1" applyBorder="1" applyAlignment="1">
      <alignment horizontal="righ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20" xfId="0" applyNumberFormat="1" applyFont="1" applyFill="1" applyBorder="1" applyAlignment="1">
      <alignment vertical="center"/>
    </xf>
    <xf numFmtId="4" fontId="54" fillId="0" borderId="19" xfId="0" applyNumberFormat="1" applyFont="1" applyFill="1" applyBorder="1" applyAlignment="1">
      <alignment vertical="center"/>
    </xf>
    <xf numFmtId="4" fontId="3" fillId="0" borderId="19" xfId="0" applyNumberFormat="1" applyFont="1" applyFill="1" applyBorder="1" applyAlignment="1">
      <alignment horizontal="right"/>
    </xf>
    <xf numFmtId="4" fontId="3" fillId="0" borderId="0" xfId="0" applyNumberFormat="1" applyFont="1" applyFill="1" applyBorder="1"/>
    <xf numFmtId="4" fontId="3" fillId="0" borderId="20" xfId="0" applyNumberFormat="1" applyFont="1" applyFill="1" applyBorder="1"/>
    <xf numFmtId="167" fontId="3" fillId="0" borderId="19" xfId="0" applyFont="1" applyFill="1" applyBorder="1" applyAlignment="1">
      <alignment horizontal="right"/>
    </xf>
    <xf numFmtId="167" fontId="3" fillId="0" borderId="20" xfId="0" applyFont="1" applyFill="1" applyBorder="1"/>
    <xf numFmtId="167" fontId="3" fillId="0" borderId="21" xfId="0" applyFont="1" applyFill="1" applyBorder="1" applyAlignment="1">
      <alignment horizontal="right"/>
    </xf>
    <xf numFmtId="167" fontId="3" fillId="0" borderId="22" xfId="0" applyFont="1" applyFill="1" applyBorder="1"/>
    <xf numFmtId="0" fontId="16" fillId="19" borderId="0" xfId="47" applyFont="1" applyFill="1" applyAlignment="1">
      <alignment vertical="top"/>
    </xf>
    <xf numFmtId="0" fontId="16" fillId="19" borderId="0" xfId="17" applyFill="1" applyAlignment="1">
      <alignment vertical="top"/>
    </xf>
    <xf numFmtId="0" fontId="16" fillId="19" borderId="0" xfId="17" applyFill="1"/>
    <xf numFmtId="0" fontId="28" fillId="19" borderId="0" xfId="47" applyFont="1" applyFill="1" applyAlignment="1">
      <alignment horizontal="left" vertical="top"/>
    </xf>
    <xf numFmtId="0" fontId="16" fillId="19" borderId="0" xfId="17" applyFont="1" applyFill="1" applyAlignment="1">
      <alignment vertical="top"/>
    </xf>
    <xf numFmtId="0" fontId="102" fillId="19" borderId="0" xfId="47" applyFont="1" applyFill="1" applyAlignment="1">
      <alignment vertical="top"/>
    </xf>
    <xf numFmtId="167" fontId="0" fillId="19" borderId="0" xfId="0" applyFill="1" applyAlignment="1">
      <alignment vertical="top"/>
    </xf>
    <xf numFmtId="167" fontId="100" fillId="19" borderId="0" xfId="0" applyFont="1" applyFill="1" applyAlignment="1">
      <alignment vertical="top"/>
    </xf>
    <xf numFmtId="167" fontId="99" fillId="19" borderId="0" xfId="0" applyFont="1" applyFill="1" applyAlignment="1">
      <alignment vertical="top"/>
    </xf>
    <xf numFmtId="167" fontId="100" fillId="19" borderId="23" xfId="0" applyFont="1" applyFill="1" applyBorder="1" applyAlignment="1">
      <alignment vertical="top"/>
    </xf>
    <xf numFmtId="2" fontId="16" fillId="0" borderId="0" xfId="17" applyNumberFormat="1" applyAlignment="1">
      <alignment horizontal="left"/>
    </xf>
    <xf numFmtId="0" fontId="16" fillId="0" borderId="0" xfId="17" applyNumberFormat="1" applyAlignment="1">
      <alignment horizontal="left"/>
    </xf>
    <xf numFmtId="1" fontId="16" fillId="0" borderId="0" xfId="17" applyNumberFormat="1" applyAlignment="1">
      <alignment horizontal="left"/>
    </xf>
    <xf numFmtId="0" fontId="16" fillId="0" borderId="0" xfId="17" applyFont="1"/>
    <xf numFmtId="198" fontId="16" fillId="0" borderId="0" xfId="17" applyNumberFormat="1" applyAlignment="1">
      <alignment horizontal="left"/>
    </xf>
    <xf numFmtId="49" fontId="16" fillId="0" borderId="0" xfId="17" applyNumberFormat="1"/>
    <xf numFmtId="167" fontId="0" fillId="19" borderId="28" xfId="0" applyFill="1" applyBorder="1" applyAlignment="1">
      <alignment vertical="top"/>
    </xf>
    <xf numFmtId="167" fontId="100" fillId="19" borderId="0" xfId="0" applyFont="1" applyFill="1" applyAlignment="1">
      <alignment vertical="top"/>
    </xf>
    <xf numFmtId="167" fontId="100" fillId="19" borderId="24" xfId="0" applyFont="1" applyFill="1" applyBorder="1" applyAlignment="1">
      <alignment vertical="top"/>
    </xf>
    <xf numFmtId="167" fontId="100" fillId="19" borderId="25" xfId="0" applyFont="1" applyFill="1" applyBorder="1" applyAlignment="1">
      <alignment vertical="top"/>
    </xf>
    <xf numFmtId="167" fontId="100" fillId="19" borderId="26" xfId="0" applyFont="1" applyFill="1" applyBorder="1" applyAlignment="1">
      <alignment vertical="top"/>
    </xf>
    <xf numFmtId="167" fontId="99" fillId="19" borderId="0" xfId="0" applyFont="1" applyFill="1" applyAlignment="1">
      <alignment vertical="top"/>
    </xf>
    <xf numFmtId="167" fontId="0" fillId="19" borderId="0" xfId="0" applyFill="1" applyAlignment="1">
      <alignment vertical="top"/>
    </xf>
    <xf numFmtId="167" fontId="0" fillId="19" borderId="27" xfId="0" applyFill="1" applyBorder="1" applyAlignment="1">
      <alignment vertical="top"/>
    </xf>
    <xf numFmtId="167" fontId="49" fillId="0" borderId="0" xfId="0" applyFont="1" applyFill="1" applyAlignment="1">
      <alignment horizontal="center" vertical="center"/>
    </xf>
  </cellXfs>
  <cellStyles count="48">
    <cellStyle name=" 1" xfId="1"/>
    <cellStyle name="—_GS_Cash " xfId="2"/>
    <cellStyle name="_SUMMARY " xfId="3"/>
    <cellStyle name="0_Capex &amp; Depreciation " xfId="4"/>
    <cellStyle name="0_Valuing BP " xfId="5"/>
    <cellStyle name="_x001e__x001e_ƁƁ_x001e__x001e_RY " xfId="6"/>
    <cellStyle name="c_HardInc " xfId="7"/>
    <cellStyle name="Comma" xfId="8" builtinId="3"/>
    <cellStyle name="Comma 2" xfId="39"/>
    <cellStyle name="Comma 3" xfId="44"/>
    <cellStyle name="Comma 5" xfId="9"/>
    <cellStyle name="Comma 7" xfId="40"/>
    <cellStyle name="Comma_DUET" xfId="10"/>
    <cellStyle name="Comma_Patrick Model shift" xfId="11"/>
    <cellStyle name="Currency 2" xfId="12"/>
    <cellStyle name="Currency 3" xfId="46"/>
    <cellStyle name="Forecast" xfId="13"/>
    <cellStyle name="ForecastTotal" xfId="14"/>
    <cellStyle name="Hyperlink" xfId="15" builtinId="8"/>
    <cellStyle name="Margin" xfId="16"/>
    <cellStyle name="Normal" xfId="0" builtinId="0"/>
    <cellStyle name="Normal 18" xfId="41"/>
    <cellStyle name="Normal 2" xfId="17"/>
    <cellStyle name="Normal 3" xfId="37"/>
    <cellStyle name="Normal 4" xfId="18"/>
    <cellStyle name="Normal 5" xfId="43"/>
    <cellStyle name="Normal 6" xfId="19"/>
    <cellStyle name="Normal 7" xfId="20"/>
    <cellStyle name="Normal_DisclaimerSheet Samples" xfId="47"/>
    <cellStyle name="Normal_Financials_2" xfId="21"/>
    <cellStyle name="Normal_SPN_NEW_130913" xfId="22"/>
    <cellStyle name="p " xfId="23"/>
    <cellStyle name="Percent" xfId="24" builtinId="5"/>
    <cellStyle name="Percent 2" xfId="38"/>
    <cellStyle name="Percent 2 2" xfId="25"/>
    <cellStyle name="Percent 3" xfId="26"/>
    <cellStyle name="Percent 4" xfId="45"/>
    <cellStyle name="Percent 8" xfId="42"/>
    <cellStyle name="Regulated" xfId="27"/>
    <cellStyle name="RRSInstruction" xfId="28"/>
    <cellStyle name="RRSInstruction 2" xfId="29"/>
    <cellStyle name="s_HardInc " xfId="30"/>
    <cellStyle name="s_Valuation " xfId="31"/>
    <cellStyle name="ssp " xfId="32"/>
    <cellStyle name="Style 1 2" xfId="33"/>
    <cellStyle name="SubTotal" xfId="34"/>
    <cellStyle name="Total" xfId="35" builtinId="25" customBuiltin="1"/>
    <cellStyle name="WACC" xfId="36"/>
  </cellStyles>
  <dxfs count="127">
    <dxf>
      <alignment vertical="center" readingOrder="0"/>
    </dxf>
    <dxf>
      <numFmt numFmtId="13" formatCode="0%"/>
    </dxf>
    <dxf>
      <numFmt numFmtId="13" formatCode="0%"/>
    </dxf>
    <dxf>
      <font>
        <sz val="8"/>
      </font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91" formatCode="[$-409]mmm\-yyyy;@"/>
    </dxf>
    <dxf>
      <numFmt numFmtId="191" formatCode="[$-409]mmm\-yyyy;@"/>
    </dxf>
    <dxf>
      <numFmt numFmtId="191" formatCode="[$-409]mmm\-yyyy;@"/>
    </dxf>
    <dxf>
      <numFmt numFmtId="191" formatCode="[$-409]mmm\-yyyy;@"/>
    </dxf>
    <dxf>
      <numFmt numFmtId="187" formatCode="_(* #,##0_);_(* \(#,##0\);_(* &quot;-&quot;??_);_(@_)"/>
    </dxf>
    <dxf>
      <numFmt numFmtId="187" formatCode="_(* #,##0_);_(* \(#,##0\);_(* &quot;-&quot;??_);_(@_)"/>
    </dxf>
    <dxf>
      <numFmt numFmtId="187" formatCode="_(* #,##0_);_(* \(#,##0\);_(* &quot;-&quot;??_);_(@_)"/>
    </dxf>
    <dxf>
      <alignment vertical="center" indent="0" readingOrder="0"/>
    </dxf>
    <dxf>
      <font>
        <sz val="9"/>
      </font>
    </dxf>
    <dxf>
      <font>
        <name val="Arial"/>
        <scheme val="none"/>
      </font>
    </dxf>
    <dxf>
      <fill>
        <patternFill>
          <bgColor rgb="FFA8D7E2"/>
        </patternFill>
      </fill>
    </dxf>
    <dxf>
      <fill>
        <patternFill>
          <bgColor rgb="FFE58061"/>
        </patternFill>
      </fill>
    </dxf>
    <dxf>
      <fill>
        <patternFill>
          <bgColor rgb="FFF3A7A9"/>
        </patternFill>
      </fill>
    </dxf>
    <dxf>
      <fill>
        <patternFill>
          <bgColor rgb="FFA8D7E2"/>
        </patternFill>
      </fill>
    </dxf>
    <dxf>
      <fill>
        <patternFill>
          <bgColor rgb="FFE58061"/>
        </patternFill>
      </fill>
    </dxf>
    <dxf>
      <fill>
        <patternFill>
          <bgColor rgb="FFF3A7A9"/>
        </patternFill>
      </fill>
    </dxf>
    <dxf>
      <fill>
        <patternFill>
          <bgColor rgb="FFA8D7E2"/>
        </patternFill>
      </fill>
    </dxf>
    <dxf>
      <fill>
        <patternFill>
          <bgColor rgb="FFE58061"/>
        </patternFill>
      </fill>
    </dxf>
    <dxf>
      <fill>
        <patternFill>
          <bgColor rgb="FFF3A7A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 patternType="lightUp"/>
      </fill>
    </dxf>
    <dxf>
      <fill>
        <patternFill>
          <bgColor theme="4" tint="0.79998168889431442"/>
        </patternFill>
      </fill>
    </dxf>
    <dxf>
      <fill>
        <patternFill patternType="lightUp"/>
      </fill>
    </dxf>
    <dxf>
      <fill>
        <patternFill>
          <bgColor theme="4" tint="0.79998168889431442"/>
        </patternFill>
      </fill>
    </dxf>
    <dxf>
      <fill>
        <patternFill patternType="lightUp"/>
      </fill>
    </dxf>
    <dxf>
      <fill>
        <patternFill>
          <bgColor theme="4" tint="0.79998168889431442"/>
        </patternFill>
      </fill>
    </dxf>
    <dxf>
      <fill>
        <patternFill patternType="lightUp"/>
      </fill>
    </dxf>
    <dxf>
      <font>
        <color rgb="FFFF0000"/>
      </font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FF0000"/>
      </font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4"/>
        <name val="Arial"/>
        <scheme val="none"/>
      </font>
      <numFmt numFmtId="191" formatCode="[$-409]mmm\-yyyy;@"/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5" formatCode="_(* #,##0.00_);_(* \(#,##0.00\);_(* &quot;-&quot;??_);_(@_)"/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4"/>
        <name val="Arial"/>
        <scheme val="none"/>
      </font>
      <numFmt numFmtId="165" formatCode="_(* #,##0.00_);_(* \(#,##0.00\);_(* &quot;-&quot;??_);_(@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4"/>
        <name val="Arial"/>
        <scheme val="none"/>
      </font>
      <numFmt numFmtId="191" formatCode="[$-409]mmm\-yyyy;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4"/>
        <name val="Arial"/>
        <scheme val="none"/>
      </font>
      <numFmt numFmtId="191" formatCode="[$-409]mmm\-yyyy;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4"/>
        <name val="Aria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4"/>
        <name val="Aria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4"/>
        <name val="Aria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4"/>
        <name val="Arial"/>
        <scheme val="none"/>
      </font>
      <numFmt numFmtId="191" formatCode="[$-409]mmm\-yyyy;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4"/>
        <name val="Arial"/>
        <scheme val="none"/>
      </font>
      <numFmt numFmtId="187" formatCode="_(* #,##0_);_(* \(#,##0\);_(* &quot;-&quot;??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4"/>
        <name val="Aria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4"/>
        <name val="Arial"/>
        <scheme val="none"/>
      </font>
      <numFmt numFmtId="187" formatCode="_(* #,##0_);_(* \(#,##0\);_(* &quot;-&quot;??_);_(@_)"/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4"/>
        <name val="Arial"/>
        <scheme val="none"/>
      </font>
      <numFmt numFmtId="191" formatCode="[$-409]mmm\-yyyy;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4"/>
        <name val="Arial"/>
        <scheme val="none"/>
      </font>
      <numFmt numFmtId="191" formatCode="[$-409]mmm\-yyyy;@"/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4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4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4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4"/>
        <name val="Arial"/>
        <scheme val="none"/>
      </font>
      <numFmt numFmtId="187" formatCode="_(* #,##0_);_(* \(#,##0\);_(* &quot;-&quot;??_);_(@_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4"/>
        <name val="Arial"/>
        <scheme val="none"/>
      </font>
      <numFmt numFmtId="187" formatCode="_(* #,##0_);_(* \(#,##0\);_(* &quot;-&quot;??_);_(@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4"/>
        <name val="Aria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4"/>
        <name val="Arial"/>
        <scheme val="none"/>
      </font>
      <numFmt numFmtId="187" formatCode="_(* #,##0_);_(* \(#,##0\);_(* &quot;-&quot;??_);_(@_)"/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4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4"/>
        <name val="Aria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4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4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4"/>
        <name val="Arial"/>
        <scheme val="none"/>
      </font>
      <numFmt numFmtId="168" formatCode="0.0%"/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4"/>
        <name val="Aria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4"/>
        <name val="Aria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4"/>
        <name val="Aria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vertical="center" textRotation="0" wrapText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  <mruColors>
      <color rgb="FF137CB1"/>
      <color rgb="FF0000FF"/>
      <color rgb="FFFF99CC"/>
      <color rgb="FFFFCCFF"/>
      <color rgb="FFEACC80"/>
      <color rgb="FFF3A7A9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worksheets/sheet11.xml" Type="http://schemas.openxmlformats.org/officeDocument/2006/relationships/worksheet"/>
<Relationship Id="rId12" Target="worksheets/sheet12.xml" Type="http://schemas.openxmlformats.org/officeDocument/2006/relationships/worksheet"/>
<Relationship Id="rId13" Target="worksheets/sheet13.xml" Type="http://schemas.openxmlformats.org/officeDocument/2006/relationships/worksheet"/>
<Relationship Id="rId14" Target="worksheets/sheet14.xml" Type="http://schemas.openxmlformats.org/officeDocument/2006/relationships/worksheet"/>
<Relationship Id="rId15" Target="worksheets/sheet15.xml" Type="http://schemas.openxmlformats.org/officeDocument/2006/relationships/worksheet"/>
<Relationship Id="rId16" Target="externalLinks/externalLink1.xml" Type="http://schemas.openxmlformats.org/officeDocument/2006/relationships/externalLink"/>
<Relationship Id="rId17" Target="pivotCache/pivotCacheDefinition1.xml" Type="http://schemas.openxmlformats.org/officeDocument/2006/relationships/pivotCacheDefinition"/>
<Relationship Id="rId18" Target="theme/theme1.xml" Type="http://schemas.openxmlformats.org/officeDocument/2006/relationships/theme"/>
<Relationship Id="rId19" Target="styles.xml" Type="http://schemas.openxmlformats.org/officeDocument/2006/relationships/styles"/>
<Relationship Id="rId2" Target="worksheets/sheet2.xml" Type="http://schemas.openxmlformats.org/officeDocument/2006/relationships/worksheet"/>
<Relationship Id="rId20" Target="sharedStrings.xml" Type="http://schemas.openxmlformats.org/officeDocument/2006/relationships/sharedStrings"/>
<Relationship Id="rId21" Target="calcChain.xml" Type="http://schemas.openxmlformats.org/officeDocument/2006/relationships/calcChain"/>
<Relationship Id="rId22" Target="../customXml/item1.xml" Type="http://schemas.openxmlformats.org/officeDocument/2006/relationships/customXml"/>
<Relationship Id="rId23" Target="../customXml/item2.xml" Type="http://schemas.openxmlformats.org/officeDocument/2006/relationships/customXml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5762613006712E-2"/>
          <c:y val="7.6370844269466318E-2"/>
          <c:w val="0.88481007582385551"/>
          <c:h val="0.7844247594050743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'EBITDA by Asset'!$B$36</c:f>
              <c:strCache>
                <c:ptCount val="1"/>
                <c:pt idx="0">
                  <c:v>Regulated</c:v>
                </c:pt>
              </c:strCache>
            </c:strRef>
          </c:tx>
          <c:spPr>
            <a:solidFill>
              <a:srgbClr val="137CB1"/>
            </a:solidFill>
            <a:ln w="25400">
              <a:noFill/>
            </a:ln>
          </c:spPr>
          <c:invertIfNegative val="0"/>
          <c:dLbls>
            <c:dLbl>
              <c:idx val="6"/>
              <c:layout/>
              <c:tx>
                <c:strRef>
                  <c:f>'EBITDA by Asset'!$X$41</c:f>
                  <c:strCache>
                    <c:ptCount val="1"/>
                    <c:pt idx="0">
                      <c:v>21%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'EBITDA by Asset'!$F$4:$X$4</c:f>
              <c:strCache>
                <c:ptCount val="7"/>
                <c:pt idx="0">
                  <c:v>FY11</c:v>
                </c:pt>
                <c:pt idx="1">
                  <c:v>FY12</c:v>
                </c:pt>
                <c:pt idx="2">
                  <c:v>FY13</c:v>
                </c:pt>
                <c:pt idx="3">
                  <c:v>FY14</c:v>
                </c:pt>
                <c:pt idx="4">
                  <c:v>FY15</c:v>
                </c:pt>
                <c:pt idx="5">
                  <c:v>FY16</c:v>
                </c:pt>
                <c:pt idx="6">
                  <c:v>FY17</c:v>
                </c:pt>
              </c:strCache>
            </c:strRef>
          </c:cat>
          <c:val>
            <c:numRef>
              <c:f>'EBITDA by Asset'!$D$36:$X$36</c:f>
              <c:numCache>
                <c:formatCode>_-* #,##0.0_-;\-* #,##0.0_-;_-* "-"??_-;_-@_-</c:formatCode>
                <c:ptCount val="7"/>
                <c:pt idx="0">
                  <c:v>230.95714285714521</c:v>
                </c:pt>
                <c:pt idx="1">
                  <c:v>251.21364942528751</c:v>
                </c:pt>
                <c:pt idx="2">
                  <c:v>267.11074380165763</c:v>
                </c:pt>
                <c:pt idx="3">
                  <c:v>300.30854166666325</c:v>
                </c:pt>
                <c:pt idx="4">
                  <c:v>323.92038161318317</c:v>
                </c:pt>
                <c:pt idx="5">
                  <c:v>316.06010186758101</c:v>
                </c:pt>
                <c:pt idx="6">
                  <c:v>312.18811953777663</c:v>
                </c:pt>
              </c:numCache>
            </c:numRef>
          </c:val>
        </c:ser>
        <c:ser>
          <c:idx val="1"/>
          <c:order val="1"/>
          <c:tx>
            <c:strRef>
              <c:f>'EBITDA by Asset'!$B$37</c:f>
              <c:strCache>
                <c:ptCount val="1"/>
                <c:pt idx="0">
                  <c:v>Light Regulation</c:v>
                </c:pt>
              </c:strCache>
            </c:strRef>
          </c:tx>
          <c:spPr>
            <a:solidFill>
              <a:srgbClr val="EACC80"/>
            </a:solidFill>
            <a:ln w="25400">
              <a:noFill/>
            </a:ln>
          </c:spPr>
          <c:invertIfNegative val="0"/>
          <c:dLbls>
            <c:dLbl>
              <c:idx val="6"/>
              <c:layout/>
              <c:tx>
                <c:strRef>
                  <c:f>'EBITDA by Asset'!$X$42</c:f>
                  <c:strCache>
                    <c:ptCount val="1"/>
                    <c:pt idx="0">
                      <c:v>2%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'EBITDA by Asset'!$F$4:$X$4</c:f>
              <c:strCache>
                <c:ptCount val="7"/>
                <c:pt idx="0">
                  <c:v>FY11</c:v>
                </c:pt>
                <c:pt idx="1">
                  <c:v>FY12</c:v>
                </c:pt>
                <c:pt idx="2">
                  <c:v>FY13</c:v>
                </c:pt>
                <c:pt idx="3">
                  <c:v>FY14</c:v>
                </c:pt>
                <c:pt idx="4">
                  <c:v>FY15</c:v>
                </c:pt>
                <c:pt idx="5">
                  <c:v>FY16</c:v>
                </c:pt>
                <c:pt idx="6">
                  <c:v>FY17</c:v>
                </c:pt>
              </c:strCache>
            </c:strRef>
          </c:cat>
          <c:val>
            <c:numRef>
              <c:f>'EBITDA by Asset'!$D$37:$X$37</c:f>
              <c:numCache>
                <c:formatCode>_-* #,##0.0_-;\-* #,##0.0_-;_-* "-"??_-;_-@_-</c:formatCode>
                <c:ptCount val="7"/>
                <c:pt idx="0">
                  <c:v>43.539448051948327</c:v>
                </c:pt>
                <c:pt idx="1">
                  <c:v>41.250718390804991</c:v>
                </c:pt>
                <c:pt idx="2">
                  <c:v>43.372018890200351</c:v>
                </c:pt>
                <c:pt idx="3">
                  <c:v>44.900625000000005</c:v>
                </c:pt>
                <c:pt idx="4">
                  <c:v>46.430182133564777</c:v>
                </c:pt>
                <c:pt idx="5">
                  <c:v>41.282512733445898</c:v>
                </c:pt>
                <c:pt idx="6">
                  <c:v>34.620243734221795</c:v>
                </c:pt>
              </c:numCache>
            </c:numRef>
          </c:val>
        </c:ser>
        <c:ser>
          <c:idx val="2"/>
          <c:order val="2"/>
          <c:tx>
            <c:strRef>
              <c:f>'EBITDA by Asset'!$B$38</c:f>
              <c:strCache>
                <c:ptCount val="1"/>
                <c:pt idx="0">
                  <c:v>Unregulated</c:v>
                </c:pt>
              </c:strCache>
            </c:strRef>
          </c:tx>
          <c:spPr>
            <a:solidFill>
              <a:srgbClr val="4AAC6B"/>
            </a:solidFill>
            <a:ln w="25400">
              <a:noFill/>
            </a:ln>
          </c:spPr>
          <c:invertIfNegative val="0"/>
          <c:dLbls>
            <c:dLbl>
              <c:idx val="6"/>
              <c:layout/>
              <c:tx>
                <c:strRef>
                  <c:f>'EBITDA by Asset'!$X$43</c:f>
                  <c:strCache>
                    <c:ptCount val="1"/>
                    <c:pt idx="0">
                      <c:v>68%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'EBITDA by Asset'!$F$4:$X$4</c:f>
              <c:strCache>
                <c:ptCount val="7"/>
                <c:pt idx="0">
                  <c:v>FY11</c:v>
                </c:pt>
                <c:pt idx="1">
                  <c:v>FY12</c:v>
                </c:pt>
                <c:pt idx="2">
                  <c:v>FY13</c:v>
                </c:pt>
                <c:pt idx="3">
                  <c:v>FY14</c:v>
                </c:pt>
                <c:pt idx="4">
                  <c:v>FY15</c:v>
                </c:pt>
                <c:pt idx="5">
                  <c:v>FY16</c:v>
                </c:pt>
                <c:pt idx="6">
                  <c:v>FY17</c:v>
                </c:pt>
              </c:strCache>
            </c:strRef>
          </c:cat>
          <c:val>
            <c:numRef>
              <c:f>'EBITDA by Asset'!$D$38:$X$38</c:f>
              <c:numCache>
                <c:formatCode>_-* #,##0.0_-;\-* #,##0.0_-;_-* "-"??_-;_-@_-</c:formatCode>
                <c:ptCount val="7"/>
                <c:pt idx="0">
                  <c:v>114.20340909090646</c:v>
                </c:pt>
                <c:pt idx="1">
                  <c:v>130.73146551724133</c:v>
                </c:pt>
                <c:pt idx="2">
                  <c:v>223.13364817000917</c:v>
                </c:pt>
                <c:pt idx="3">
                  <c:v>319.03500000000281</c:v>
                </c:pt>
                <c:pt idx="4">
                  <c:v>429.67718993929122</c:v>
                </c:pt>
                <c:pt idx="5">
                  <c:v>957.94923599319907</c:v>
                </c:pt>
                <c:pt idx="6">
                  <c:v>992.76087771747291</c:v>
                </c:pt>
              </c:numCache>
            </c:numRef>
          </c:val>
        </c:ser>
        <c:ser>
          <c:idx val="3"/>
          <c:order val="3"/>
          <c:tx>
            <c:strRef>
              <c:f>'EBITDA by Asset'!$B$39</c:f>
              <c:strCache>
                <c:ptCount val="1"/>
                <c:pt idx="0">
                  <c:v>Power</c:v>
                </c:pt>
              </c:strCache>
            </c:strRef>
          </c:tx>
          <c:spPr>
            <a:solidFill>
              <a:srgbClr val="A8D7E2"/>
            </a:solidFill>
            <a:ln w="25400">
              <a:noFill/>
            </a:ln>
          </c:spPr>
          <c:invertIfNegative val="0"/>
          <c:dLbls>
            <c:dLbl>
              <c:idx val="6"/>
              <c:layout/>
              <c:tx>
                <c:strRef>
                  <c:f>'EBITDA by Asset'!$X$44</c:f>
                  <c:strCache>
                    <c:ptCount val="1"/>
                    <c:pt idx="0">
                      <c:v>8%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'EBITDA by Asset'!$F$4:$X$4</c:f>
              <c:strCache>
                <c:ptCount val="7"/>
                <c:pt idx="0">
                  <c:v>FY11</c:v>
                </c:pt>
                <c:pt idx="1">
                  <c:v>FY12</c:v>
                </c:pt>
                <c:pt idx="2">
                  <c:v>FY13</c:v>
                </c:pt>
                <c:pt idx="3">
                  <c:v>FY14</c:v>
                </c:pt>
                <c:pt idx="4">
                  <c:v>FY15</c:v>
                </c:pt>
                <c:pt idx="5">
                  <c:v>FY16</c:v>
                </c:pt>
                <c:pt idx="6">
                  <c:v>FY17</c:v>
                </c:pt>
              </c:strCache>
            </c:strRef>
          </c:cat>
          <c:val>
            <c:numRef>
              <c:f>'EBITDA by Asset'!$D$39:$X$39</c:f>
              <c:numCache>
                <c:formatCode>_-* #,##0.0_-;\-* #,##0.0_-;_-* "-"??_-;_-@_-</c:formatCode>
                <c:ptCount val="7"/>
                <c:pt idx="0">
                  <c:v>0</c:v>
                </c:pt>
                <c:pt idx="1">
                  <c:v>18.404166666666168</c:v>
                </c:pt>
                <c:pt idx="2">
                  <c:v>16.183589138132845</c:v>
                </c:pt>
                <c:pt idx="3">
                  <c:v>19.955833333333963</c:v>
                </c:pt>
                <c:pt idx="4">
                  <c:v>23.572246313960914</c:v>
                </c:pt>
                <c:pt idx="5">
                  <c:v>20.408149405770018</c:v>
                </c:pt>
                <c:pt idx="6">
                  <c:v>114.10845131822113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825808384"/>
        <c:axId val="825809920"/>
      </c:barChart>
      <c:catAx>
        <c:axId val="82580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12700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400" b="0" i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25809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25809920"/>
        <c:scaling>
          <c:orientation val="minMax"/>
        </c:scaling>
        <c:delete val="0"/>
        <c:axPos val="l"/>
        <c:majorGridlines>
          <c:spPr>
            <a:ln w="12700">
              <a:solidFill>
                <a:srgbClr val="C0C0C0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400" b="0" i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2580838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/>
      <c:overlay val="0"/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/>
        <a:lstStyle/>
        <a:p>
          <a:pPr>
            <a:defRPr sz="1400" b="0" i="0">
              <a:solidFill>
                <a:srgbClr val="80808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300" b="1" i="0">
          <a:solidFill>
            <a:srgbClr val="333333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 algn="l">
              <a:defRPr sz="1400" b="0" i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FY17 unregulated gas pipeline EBITDA</a:t>
            </a:r>
          </a:p>
        </c:rich>
      </c:tx>
      <c:layout>
        <c:manualLayout>
          <c:xMode val="edge"/>
          <c:yMode val="edge"/>
          <c:x val="0"/>
          <c:y val="0"/>
        </c:manualLayout>
      </c:layout>
      <c:overlay val="0"/>
      <c:spPr>
        <a:noFill/>
        <a:ln w="25400"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title>
    <c:autoTitleDeleted val="0"/>
    <c:plotArea>
      <c:layout>
        <c:manualLayout>
          <c:xMode val="edge"/>
          <c:yMode val="edge"/>
          <c:x val="3.1041235739572288E-3"/>
          <c:y val="0.10225041689475421"/>
          <c:w val="0.83785806782430339"/>
          <c:h val="0.850188575846478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'EBITDA by Asset'!$AO$5</c:f>
              <c:strCache>
                <c:ptCount val="1"/>
                <c:pt idx="0">
                  <c:v>WGP</c:v>
                </c:pt>
              </c:strCache>
            </c:strRef>
          </c:tx>
          <c:spPr>
            <a:solidFill>
              <a:srgbClr val="137CB1"/>
            </a:solidFill>
            <a:ln w="25400">
              <a:noFill/>
            </a:ln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val>
            <c:numRef>
              <c:f>'EBITDA by Asset'!$AP$5</c:f>
              <c:numCache>
                <c:formatCode>0.0</c:formatCode>
                <c:ptCount val="1"/>
                <c:pt idx="0">
                  <c:v>487.34465536267294</c:v>
                </c:pt>
              </c:numCache>
            </c:numRef>
          </c:val>
        </c:ser>
        <c:ser>
          <c:idx val="1"/>
          <c:order val="1"/>
          <c:tx>
            <c:strRef>
              <c:f>'EBITDA by Asset'!$AO$6</c:f>
              <c:strCache>
                <c:ptCount val="1"/>
                <c:pt idx="0">
                  <c:v>SWQP</c:v>
                </c:pt>
              </c:strCache>
            </c:strRef>
          </c:tx>
          <c:spPr>
            <a:solidFill>
              <a:srgbClr val="EACC80"/>
            </a:solidFill>
            <a:ln w="25400"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val>
            <c:numRef>
              <c:f>'EBITDA by Asset'!$AP$6</c:f>
              <c:numCache>
                <c:formatCode>0.0</c:formatCode>
                <c:ptCount val="1"/>
                <c:pt idx="0">
                  <c:v>240.83647815110749</c:v>
                </c:pt>
              </c:numCache>
            </c:numRef>
          </c:val>
        </c:ser>
        <c:ser>
          <c:idx val="5"/>
          <c:order val="2"/>
          <c:tx>
            <c:strRef>
              <c:f>'EBITDA by Asset'!$AO$10</c:f>
              <c:strCache>
                <c:ptCount val="1"/>
                <c:pt idx="0">
                  <c:v>Other (Qld)</c:v>
                </c:pt>
              </c:strCache>
            </c:strRef>
          </c:tx>
          <c:spPr>
            <a:solidFill>
              <a:srgbClr val="4AAC6B"/>
            </a:solidFill>
            <a:ln w="25400">
              <a:noFill/>
            </a:ln>
          </c:spPr>
          <c:invertIfNegative val="0"/>
          <c:val>
            <c:numRef>
              <c:f>'EBITDA by Asset'!$AP$10</c:f>
              <c:numCache>
                <c:formatCode>0.0</c:formatCode>
                <c:ptCount val="1"/>
                <c:pt idx="0">
                  <c:v>13.547051896000005</c:v>
                </c:pt>
              </c:numCache>
            </c:numRef>
          </c:val>
        </c:ser>
        <c:ser>
          <c:idx val="8"/>
          <c:order val="3"/>
          <c:tx>
            <c:strRef>
              <c:f>'EBITDA by Asset'!$AO$13</c:f>
              <c:strCache>
                <c:ptCount val="1"/>
                <c:pt idx="0">
                  <c:v>MSP</c:v>
                </c:pt>
              </c:strCache>
            </c:strRef>
          </c:tx>
          <c:spPr>
            <a:solidFill>
              <a:srgbClr val="A8D7E2"/>
            </a:solidFill>
            <a:ln w="25400">
              <a:noFill/>
            </a:ln>
          </c:spPr>
          <c:invertIfNegative val="0"/>
          <c:dLbls>
            <c:dLbl>
              <c:idx val="0"/>
              <c:layout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'EBITDA by Asset'!$AP$13</c:f>
              <c:numCache>
                <c:formatCode>0.0</c:formatCode>
                <c:ptCount val="1"/>
                <c:pt idx="0">
                  <c:v>149.48400000000001</c:v>
                </c:pt>
              </c:numCache>
            </c:numRef>
          </c:val>
        </c:ser>
        <c:ser>
          <c:idx val="14"/>
          <c:order val="4"/>
          <c:tx>
            <c:strRef>
              <c:f>'EBITDA by Asset'!$AO$19</c:f>
              <c:strCache>
                <c:ptCount val="1"/>
                <c:pt idx="0">
                  <c:v>SESA</c:v>
                </c:pt>
              </c:strCache>
            </c:strRef>
          </c:tx>
          <c:spPr>
            <a:solidFill>
              <a:srgbClr val="E58061"/>
            </a:solidFill>
            <a:ln w="25400">
              <a:noFill/>
            </a:ln>
          </c:spPr>
          <c:invertIfNegative val="0"/>
          <c:val>
            <c:numRef>
              <c:f>'EBITDA by Asset'!$AP$19</c:f>
              <c:numCache>
                <c:formatCode>0.0</c:formatCode>
                <c:ptCount val="1"/>
                <c:pt idx="0">
                  <c:v>2.319</c:v>
                </c:pt>
              </c:numCache>
            </c:numRef>
          </c:val>
        </c:ser>
        <c:ser>
          <c:idx val="21"/>
          <c:order val="5"/>
          <c:tx>
            <c:strRef>
              <c:f>'EBITDA by Asset'!$AO$26</c:f>
              <c:strCache>
                <c:ptCount val="1"/>
                <c:pt idx="0">
                  <c:v>EGP</c:v>
                </c:pt>
              </c:strCache>
            </c:strRef>
          </c:tx>
          <c:spPr>
            <a:solidFill>
              <a:srgbClr val="BCE3A1"/>
            </a:solidFill>
            <a:ln w="25400">
              <a:noFill/>
            </a:ln>
          </c:spPr>
          <c:invertIfNegative val="0"/>
          <c:val>
            <c:numRef>
              <c:f>'EBITDA by Asset'!$AP$26</c:f>
              <c:numCache>
                <c:formatCode>0.0</c:formatCode>
                <c:ptCount val="1"/>
                <c:pt idx="0">
                  <c:v>32.5</c:v>
                </c:pt>
              </c:numCache>
            </c:numRef>
          </c:val>
        </c:ser>
        <c:ser>
          <c:idx val="23"/>
          <c:order val="6"/>
          <c:tx>
            <c:strRef>
              <c:f>'EBITDA by Asset'!$AO$28</c:f>
              <c:strCache>
                <c:ptCount val="1"/>
                <c:pt idx="0">
                  <c:v>PPS</c:v>
                </c:pt>
              </c:strCache>
            </c:strRef>
          </c:tx>
          <c:spPr>
            <a:solidFill>
              <a:srgbClr val="8E466A"/>
            </a:solidFill>
            <a:ln w="25400">
              <a:noFill/>
            </a:ln>
          </c:spPr>
          <c:invertIfNegative val="0"/>
          <c:val>
            <c:numRef>
              <c:f>'EBITDA by Asset'!$AP$28</c:f>
              <c:numCache>
                <c:formatCode>0.0</c:formatCode>
                <c:ptCount val="1"/>
                <c:pt idx="0">
                  <c:v>26.829692307692582</c:v>
                </c:pt>
              </c:numCache>
            </c:numRef>
          </c:val>
        </c:ser>
        <c:ser>
          <c:idx val="24"/>
          <c:order val="7"/>
          <c:tx>
            <c:strRef>
              <c:f>'EBITDA by Asset'!$AO$29</c:f>
              <c:strCache>
                <c:ptCount val="1"/>
                <c:pt idx="0">
                  <c:v>Mondarra</c:v>
                </c:pt>
              </c:strCache>
            </c:strRef>
          </c:tx>
          <c:spPr>
            <a:solidFill>
              <a:srgbClr val="F3A7A9"/>
            </a:solidFill>
            <a:ln w="25400">
              <a:noFill/>
            </a:ln>
          </c:spPr>
          <c:invertIfNegative val="0"/>
          <c:val>
            <c:numRef>
              <c:f>'EBITDA by Asset'!$AP$29</c:f>
              <c:numCache>
                <c:formatCode>0.0</c:formatCode>
                <c:ptCount val="1"/>
                <c:pt idx="0">
                  <c:v>34.4</c:v>
                </c:pt>
              </c:numCache>
            </c:numRef>
          </c:val>
        </c:ser>
        <c:ser>
          <c:idx val="25"/>
          <c:order val="8"/>
          <c:tx>
            <c:strRef>
              <c:f>'EBITDA by Asset'!$AO$30</c:f>
              <c:strCache>
                <c:ptCount val="1"/>
                <c:pt idx="0">
                  <c:v>Other (WA)</c:v>
                </c:pt>
              </c:strCache>
            </c:strRef>
          </c:tx>
          <c:spPr>
            <a:solidFill>
              <a:srgbClr val="1275A6"/>
            </a:solidFill>
            <a:ln w="25400">
              <a:noFill/>
            </a:ln>
          </c:spPr>
          <c:invertIfNegative val="0"/>
          <c:val>
            <c:numRef>
              <c:f>'EBITDA by Asset'!$AP$30</c:f>
              <c:numCache>
                <c:formatCode>0.0</c:formatCode>
                <c:ptCount val="1"/>
                <c:pt idx="0">
                  <c:v>5.5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825875072"/>
        <c:axId val="826032512"/>
      </c:barChart>
      <c:catAx>
        <c:axId val="825875072"/>
        <c:scaling>
          <c:orientation val="minMax"/>
        </c:scaling>
        <c:delete val="1"/>
        <c:axPos val="b"/>
        <c:majorTickMark val="out"/>
        <c:minorTickMark val="none"/>
        <c:tickLblPos val="nextTo"/>
        <c:crossAx val="826032512"/>
        <c:crosses val="autoZero"/>
        <c:auto val="1"/>
        <c:lblAlgn val="ctr"/>
        <c:lblOffset val="100"/>
        <c:noMultiLvlLbl val="0"/>
      </c:catAx>
      <c:valAx>
        <c:axId val="826032512"/>
        <c:scaling>
          <c:orientation val="minMax"/>
          <c:max val="1000"/>
        </c:scaling>
        <c:delete val="0"/>
        <c:axPos val="l"/>
        <c:majorGridlines>
          <c:spPr>
            <a:ln w="12700">
              <a:solidFill>
                <a:srgbClr val="C0C0C0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400" b="0" i="0">
                <a:solidFill>
                  <a:srgbClr val="808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2587507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300" b="1" i="0">
          <a:solidFill>
            <a:srgbClr val="333333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2.xml.rels><?xml version="1.0" encoding="UTF-8" standalone="yes"?>
<Relationships xmlns="http://schemas.openxmlformats.org/package/2006/relationships">
<Relationship Id="rId1" Target="../charts/chart1.xml" Type="http://schemas.openxmlformats.org/officeDocument/2006/relationships/chart"/>
<Relationship Id="rId2" Target="../charts/chart2.xml" Type="http://schemas.openxmlformats.org/officeDocument/2006/relationships/chart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1</xdr:col>
      <xdr:colOff>104775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2</xdr:col>
      <xdr:colOff>228600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187</xdr:row>
      <xdr:rowOff>0</xdr:rowOff>
    </xdr:from>
    <xdr:to>
      <xdr:col>9</xdr:col>
      <xdr:colOff>114300</xdr:colOff>
      <xdr:row>210</xdr:row>
      <xdr:rowOff>104775</xdr:rowOff>
    </xdr:to>
    <xdr:pic>
      <xdr:nvPicPr>
        <xdr:cNvPr id="1459201" name="Picture 1" descr="C:\Users\khaniqb\AppData\Local\Temp\MercuryPriceRatingHistoryChart\APA.AX_2018_02_27_14_01_26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07030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3</xdr:row>
      <xdr:rowOff>0</xdr:rowOff>
    </xdr:from>
    <xdr:to>
      <xdr:col>39</xdr:col>
      <xdr:colOff>304800</xdr:colOff>
      <xdr:row>31</xdr:row>
      <xdr:rowOff>152400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57150</xdr:colOff>
      <xdr:row>4</xdr:row>
      <xdr:rowOff>19050</xdr:rowOff>
    </xdr:from>
    <xdr:to>
      <xdr:col>52</xdr:col>
      <xdr:colOff>95250</xdr:colOff>
      <xdr:row>21</xdr:row>
      <xdr:rowOff>95250</xdr:rowOff>
    </xdr:to>
    <xdr:graphicFrame macro="">
      <xdr:nvGraphicFramePr>
        <xdr:cNvPr id="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SRI/Framework/Consumer/HPC/HPC_ESG_Data.xls" TargetMode="External" Type="http://schemas.microsoft.com/office/2006/relationships/xlExternalLinkPath/xlAlternate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iersdorf"/>
      <sheetName val="Henkel"/>
      <sheetName val="Loreal"/>
      <sheetName val="Oriflame S.A"/>
      <sheetName val="Reckitt Benckiser"/>
      <sheetName val="Svenska Cellulosa AB"/>
      <sheetName val="Unilever"/>
      <sheetName val="Carbon Intensity"/>
      <sheetName val="Governance"/>
      <sheetName val="Average"/>
      <sheetName val="FX"/>
      <sheetName val="MW-Cache"/>
      <sheetName val="MW"/>
      <sheetName val="Comps"/>
      <sheetName val="Data_List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2">
          <cell r="B2" t="str">
            <v>Energy Intensity (GJ / revenue €mn)</v>
          </cell>
        </row>
        <row r="3">
          <cell r="B3" t="str">
            <v>CO2 intensity  (tCO2e / revenue €mn)</v>
          </cell>
        </row>
        <row r="4">
          <cell r="B4" t="str">
            <v>Waste Intensity (t / revenue €mn)</v>
          </cell>
        </row>
        <row r="5">
          <cell r="B5" t="str">
            <v>% Waste recycled</v>
          </cell>
        </row>
        <row r="6">
          <cell r="B6" t="str">
            <v>Water intensity (m3 / revenue €mn)</v>
          </cell>
        </row>
        <row r="7">
          <cell r="B7" t="str">
            <v>% of water recycled</v>
          </cell>
        </row>
        <row r="8">
          <cell r="B8" t="str">
            <v>Employee turnover (%)</v>
          </cell>
        </row>
        <row r="9">
          <cell r="B9" t="str">
            <v>Employee satisfaction (%)</v>
          </cell>
        </row>
        <row r="10">
          <cell r="B10" t="str">
            <v>Lost Tim Injury Rate (Employees)</v>
          </cell>
        </row>
        <row r="11">
          <cell r="B11" t="str">
            <v>Training days per employee</v>
          </cell>
        </row>
        <row r="12">
          <cell r="B12" t="str">
            <v>Women in management position</v>
          </cell>
        </row>
        <row r="13">
          <cell r="B13" t="str">
            <v>Women employees (%)</v>
          </cell>
        </row>
        <row r="14">
          <cell r="B14" t="str">
            <v>Average Labour cost per employee (€000s)</v>
          </cell>
        </row>
        <row r="15">
          <cell r="B15" t="str">
            <v>Independent board members (%)</v>
          </cell>
        </row>
        <row r="16">
          <cell r="B16" t="str">
            <v>Women on board (%)</v>
          </cell>
        </row>
        <row r="17">
          <cell r="B17" t="str">
            <v>Is the Chairman the CEO? Has the Chairman been the CEO?</v>
          </cell>
        </row>
        <row r="18">
          <cell r="B18" t="str">
            <v>CEO-Chairman Separation</v>
          </cell>
        </row>
        <row r="19">
          <cell r="B19" t="str">
            <v>Board meeting attendance (%)</v>
          </cell>
        </row>
        <row r="20">
          <cell r="B20" t="str">
            <v>Senior Executive Long-term Compensation incentives</v>
          </cell>
        </row>
        <row r="21">
          <cell r="B21" t="str">
            <v>Vesting of Stock Options.Restricted Stock</v>
          </cell>
        </row>
        <row r="22">
          <cell r="B22" t="str">
            <v>Independence of Audit Committee</v>
          </cell>
        </row>
      </sheetData>
      <sheetData sheetId="15" refreshError="1"/>
    </sheetDataSet>
  </externalBook>
</externalLink>
</file>

<file path=xl/pivotCache/_rels/pivotCacheDefinition1.xml.rels><?xml version="1.0" encoding="UTF-8" standalone="yes"?>
<Relationships xmlns="http://schemas.openxmlformats.org/package/2006/relationships">
<Relationship Id="rId1" Target="pivotCacheRecords1.xml" Type="http://schemas.openxmlformats.org/officeDocument/2006/relationships/pivotCacheRecords"/>
</Relationships>
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han, Iqbal (Research)" refreshedDate="43084.732237037038" createdVersion="4" refreshedVersion="4" minRefreshableVersion="3" recordCount="64">
  <cacheSource type="worksheet">
    <worksheetSource name="APA_projects"/>
  </cacheSource>
  <cacheFields count="28">
    <cacheField name="Project1" numFmtId="167">
      <sharedItems containsBlank="1" count="63">
        <s v="Directlink"/>
        <s v="Central Ranges Pipeline"/>
        <s v="Moomba Sydney Pipeline"/>
        <s v="Moomba Sydney Pipeline expansion"/>
        <s v="Moomba Sydney Pipeline expansion2"/>
        <s v="Central West Pipeline"/>
        <s v="Western Slopes Pipeline"/>
        <s v="Bonaparte Gas Pipeline"/>
        <s v="Amadeus Gas Pipeline"/>
        <s v="Roma Brisbane Pipeline"/>
        <s v="Roma Brisbane Pipeline expansion"/>
        <s v="Carpentaria Gas Pipeline"/>
        <s v="Carpentaria Gas Pipeline expansion"/>
        <s v="Kogan North Gas Processing Facility"/>
        <s v="Allgas"/>
        <s v="Daandine Power Station"/>
        <s v="Tipton West Gas Processing Facility"/>
        <s v="X41 Power Station"/>
        <s v="Berwyndale Wallumbilla Pipeline"/>
        <s v="Diamantina Power Station"/>
        <s v="Leichardt Power Station"/>
        <s v="Southwest Queensland Pipeline"/>
        <s v="Southwest Queensland Pipeline expansion"/>
        <s v="Southwest Queensland Pipeline expansion2"/>
        <s v="Wallumbilla Gladstone Pipeline"/>
        <s v="Darling Downs Solar Farm"/>
        <s v="NORGAS pipeline infrastructure"/>
        <s v="Reedy Creek Wallumbilla pipeline"/>
        <s v="Bowen Pipeline"/>
        <s v="SEA Gas Pipeline"/>
        <s v="North Brown Hill Wind Farm"/>
        <s v="South East South Australia Pipeline"/>
        <s v="Murraylink"/>
        <s v="Victorian Transmission System"/>
        <s v="Victorian Transmission System expansion"/>
        <s v="Victorian Transmission System expansion2"/>
        <s v="Victorian Transmission System expansion3"/>
        <s v="Brooklyn Lara Pipeline"/>
        <s v="Dandenong LNG Storage Facility"/>
        <s v="Goldfields Gas Pipeline"/>
        <s v="Goldfields Gas Pipeline expansion"/>
        <s v="Goldfields Gas Pipeline expansion2"/>
        <s v="Goldfields Gas Pipeline expansion3"/>
        <s v="Parmelia Gas Pipeline"/>
        <s v="Mondarra Gas Storage Facility"/>
        <s v="Mondarra Gas Storage Facility expansion"/>
        <s v="Emu Downs Wind Farm"/>
        <s v="Emu Downs Solar Farm"/>
        <s v="Mid West Pipeline"/>
        <s v="Eastern Goldfields Pipeline"/>
        <s v="Kalgoorlie to Kambalda Pipeline "/>
        <s v="Yamarna Gas Pipeline"/>
        <s v="Yamarna Gas-fired Power Station"/>
        <s v="Badgingarra Wind Farm"/>
        <s v="Telfer Pipeline"/>
        <s v="Nifty Pipeline"/>
        <s v="Pilbara Pipeline System"/>
        <s v="Pilbara Pipeline System expansion"/>
        <s v="Pilbara Pipeline System expansion2"/>
        <s v="Ethane Pipeline"/>
        <s v="Mortlake Pipeline"/>
        <s v="Orbost Gas Plant"/>
        <m/>
      </sharedItems>
    </cacheField>
    <cacheField name="Project2" numFmtId="167">
      <sharedItems containsBlank="1"/>
    </cacheField>
    <cacheField name="APA o'ship (%)" numFmtId="168">
      <sharedItems containsString="0" containsBlank="1" containsNumber="1" minValue="0.19900000000000001" maxValue="1"/>
    </cacheField>
    <cacheField name="State" numFmtId="167">
      <sharedItems containsBlank="1"/>
    </cacheField>
    <cacheField name="Status" numFmtId="167">
      <sharedItems containsString="0" containsBlank="1" containsNumber="1" containsInteger="1" minValue="0" maxValue="1" count="3">
        <n v="1"/>
        <n v="0"/>
        <m/>
      </sharedItems>
    </cacheField>
    <cacheField name="Type" numFmtId="167">
      <sharedItems containsBlank="1" count="6">
        <s v="interconnector"/>
        <s v="pipeline"/>
        <s v="gas processing"/>
        <s v="power station"/>
        <s v="gas storage"/>
        <m/>
      </sharedItems>
    </cacheField>
    <cacheField name="Regulated" numFmtId="0">
      <sharedItems containsString="0" containsBlank="1" containsNumber="1" containsInteger="1" minValue="0" maxValue="2" count="4">
        <n v="2"/>
        <n v="1"/>
        <n v="0"/>
        <m/>
      </sharedItems>
    </cacheField>
    <cacheField name="Construction cost" numFmtId="187">
      <sharedItems containsString="0" containsBlank="1" containsNumber="1" minValue="3.3316951432888815" maxValue="5984.5999999999995"/>
    </cacheField>
    <cacheField name="Acquisition cost" numFmtId="0">
      <sharedItems containsString="0" containsBlank="1" containsNumber="1" minValue="20" maxValue="5984.5999999999995"/>
    </cacheField>
    <cacheField name="Book Value" numFmtId="187">
      <sharedItems containsBlank="1" containsMixedTypes="1" containsNumber="1" minValue="2.4526068493150688" maxValue="4787.6799999999994"/>
    </cacheField>
    <cacheField name="Size1" numFmtId="187">
      <sharedItems containsBlank="1" containsMixedTypes="1" containsNumber="1" minValue="3" maxValue="2475"/>
    </cacheField>
    <cacheField name="Size1 Units" numFmtId="167">
      <sharedItems containsBlank="1"/>
    </cacheField>
    <cacheField name="Size2" numFmtId="0">
      <sharedItems containsBlank="1" containsMixedTypes="1" containsNumber="1" minValue="7" maxValue="1530"/>
    </cacheField>
    <cacheField name="Size2 Units" numFmtId="167">
      <sharedItems containsBlank="1"/>
    </cacheField>
    <cacheField name="Acquisition/announcement date" numFmtId="191">
      <sharedItems containsNonDate="0" containsDate="1" containsString="0" containsBlank="1" minDate="2001-02-01T00:00:00" maxDate="2017-06-02T00:00:00"/>
    </cacheField>
    <cacheField name="Commissioning" numFmtId="191">
      <sharedItems containsNonDate="0" containsDate="1" containsString="0" containsBlank="1" minDate="1969-03-01T00:00:00" maxDate="2019-06-02T00:00:00"/>
    </cacheField>
    <cacheField name="Useful life" numFmtId="0">
      <sharedItems containsString="0" containsBlank="1" containsNumber="1" containsInteger="1" minValue="20" maxValue="70"/>
    </cacheField>
    <cacheField name="Tax life" numFmtId="0">
      <sharedItems containsString="0" containsBlank="1" containsNumber="1" containsInteger="1" minValue="20" maxValue="25"/>
    </cacheField>
    <cacheField name="Contract life" numFmtId="187">
      <sharedItems containsString="0" containsBlank="1" containsNumber="1" minValue="6" maxValue="30"/>
    </cacheField>
    <cacheField name="Useful life2" numFmtId="0">
      <sharedItems containsSemiMixedTypes="0" containsDate="1" containsString="0" containsMixedTypes="1" minDate="1899-12-31T00:00:00" maxDate="2088-11-14T00:00:00"/>
    </cacheField>
    <cacheField name="Contract expiry" numFmtId="0">
      <sharedItems containsNonDate="0" containsDate="1" containsString="0" containsBlank="1" minDate="2019-07-07T00:00:00" maxDate="2038-05-28T00:00:00"/>
    </cacheField>
    <cacheField name="Counterparty1" numFmtId="167">
      <sharedItems containsBlank="1"/>
    </cacheField>
    <cacheField name="Counterparty2" numFmtId="167">
      <sharedItems containsBlank="1"/>
    </cacheField>
    <cacheField name="Source1" numFmtId="191">
      <sharedItems containsBlank="1"/>
    </cacheField>
    <cacheField name="Source2" numFmtId="191">
      <sharedItems containsBlank="1"/>
    </cacheField>
    <cacheField name="Construction cost/km" numFmtId="165">
      <sharedItems containsBlank="1" containsMixedTypes="1" containsNumber="1" minValue="0" maxValue="11.02136279926335"/>
    </cacheField>
    <cacheField name="Construction cost/km (estimated)" numFmtId="165">
      <sharedItems containsBlank="1" containsMixedTypes="1" containsNumber="1" minValue="2.5114155251141551E-2" maxValue="1.0160284699608089"/>
    </cacheField>
    <cacheField name="Age" numFmtId="0">
      <sharedItems containsDate="1" containsBlank="1" containsMixedTypes="1" minDate="1900-01-07T01:41:11" maxDate="1899-12-30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4">
  <r>
    <x v="0"/>
    <s v="DirectLink"/>
    <n v="0.19900000000000001"/>
    <s v="NSW"/>
    <x v="0"/>
    <x v="0"/>
    <x v="0"/>
    <n v="110.49723756906079"/>
    <n v="170"/>
    <n v="12.041209414970107"/>
    <n v="63"/>
    <s v="km"/>
    <n v="180"/>
    <s v="MW"/>
    <d v="2007-02-28T00:00:00"/>
    <d v="1999-12-01T00:00:00"/>
    <n v="40"/>
    <n v="25"/>
    <m/>
    <d v="2039-11-21T00:00:00"/>
    <m/>
    <m/>
    <m/>
    <s v="https://en.wikipedia.org/wiki/Terranora_interconnector"/>
    <m/>
    <s v="n.a."/>
    <s v="n.a."/>
    <n v="18.095890410958905"/>
  </r>
  <r>
    <x v="1"/>
    <s v="CRGP"/>
    <n v="1"/>
    <s v="NSW"/>
    <x v="0"/>
    <x v="1"/>
    <x v="1"/>
    <n v="66"/>
    <n v="23.5"/>
    <n v="55.228180039138948"/>
    <n v="294"/>
    <s v="km"/>
    <n v="7"/>
    <s v="TJ/day"/>
    <d v="2008-08-01T00:00:00"/>
    <d v="2006-08-01T00:00:00"/>
    <n v="70"/>
    <n v="25"/>
    <n v="20"/>
    <d v="2076-07-14T00:00:00"/>
    <d v="2026-07-27T00:00:00"/>
    <m/>
    <m/>
    <s v="https://www.aer.gov.au/networks-pipelines/service-providers-assets/central-ranges-pipeline-gas-distribution-network"/>
    <s v="http://www.asx.com.au/asxpdf/20080811/pdf/31bmrdr0ct60zn.pdf"/>
    <n v="0.22448979591836735"/>
    <n v="0.56939624323836702"/>
    <n v="11.424657534246576"/>
  </r>
  <r>
    <x v="2"/>
    <s v="MSP"/>
    <n v="1"/>
    <s v="NSW"/>
    <x v="0"/>
    <x v="1"/>
    <x v="2"/>
    <n v="118.85688121014719"/>
    <n v="834.66"/>
    <n v="49.15697314080726"/>
    <n v="2081"/>
    <s v="km"/>
    <n v="439"/>
    <s v="TJ/day"/>
    <m/>
    <d v="1976-12-23T00:00:00"/>
    <n v="70"/>
    <n v="25"/>
    <n v="6"/>
    <d v="2046-12-06T00:00:00"/>
    <d v="2019-12-01T00:00:00"/>
    <s v="AGL, Santos, ORG"/>
    <s v="Origin Energy"/>
    <m/>
    <m/>
    <m/>
    <n v="5.711527208560653E-2"/>
    <n v="41.049315068493151"/>
  </r>
  <r>
    <x v="3"/>
    <s v="MSP"/>
    <n v="1"/>
    <s v="NSW"/>
    <x v="0"/>
    <x v="1"/>
    <x v="1"/>
    <n v="96"/>
    <m/>
    <n v="86.050567514677098"/>
    <n v="218"/>
    <s v="km"/>
    <m/>
    <m/>
    <d v="2009-10-01T00:00:00"/>
    <d v="2010-10-01T00:00:00"/>
    <n v="70"/>
    <n v="25"/>
    <n v="10"/>
    <d v="2080-09-13T00:00:00"/>
    <d v="2020-09-28T00:00:00"/>
    <s v="ERM, Visy"/>
    <m/>
    <s v="https://www.pipeliner.com.au/2009/10/09/apa-commences-a90-million-capacity-expansion/"/>
    <m/>
    <n v="0.44036697247706424"/>
    <n v="0.70289205579741487"/>
    <n v="7.2547945205479456"/>
  </r>
  <r>
    <x v="4"/>
    <s v="MSP"/>
    <n v="1"/>
    <s v="NSW"/>
    <x v="0"/>
    <x v="1"/>
    <x v="1"/>
    <n v="86"/>
    <m/>
    <n v="76.985988258317036"/>
    <n v="61"/>
    <s v="km"/>
    <m/>
    <m/>
    <m/>
    <d v="2010-09-01T00:00:00"/>
    <n v="70"/>
    <n v="25"/>
    <n v="10"/>
    <d v="2080-08-14T00:00:00"/>
    <d v="2020-08-29T00:00:00"/>
    <s v="Covau, Quenos, Tarac, Weston"/>
    <m/>
    <s v="https://www.pipeliner.com.au/2010/03/09/apa-expanding-pipeline-system-capacity-across-victoria-and-new-south-wales/"/>
    <m/>
    <n v="1.4098360655737705"/>
    <n v="0.70289205579741487"/>
    <n v="7.3369863013698629"/>
  </r>
  <r>
    <x v="5"/>
    <s v="CWP"/>
    <n v="1"/>
    <s v="NSW"/>
    <x v="0"/>
    <x v="1"/>
    <x v="1"/>
    <n v="30"/>
    <m/>
    <n v="22.459491193737769"/>
    <n v="255"/>
    <s v="km"/>
    <n v="10"/>
    <s v="TJ/day"/>
    <m/>
    <d v="2000-06-01T00:00:00"/>
    <n v="70"/>
    <n v="25"/>
    <n v="20"/>
    <d v="2070-05-15T00:00:00"/>
    <d v="2020-05-27T00:00:00"/>
    <m/>
    <m/>
    <s v="https://www.pc.gov.au/inquiries/completed/gas/submissions/...pipeline.../sub074.rtf"/>
    <m/>
    <n v="0.11764705882352941"/>
    <n v="0.40842388973024024"/>
    <n v="17.594520547945205"/>
  </r>
  <r>
    <x v="6"/>
    <s v="WSP"/>
    <n v="1"/>
    <s v="NSW"/>
    <x v="1"/>
    <x v="1"/>
    <x v="2"/>
    <n v="500"/>
    <m/>
    <s v="n.a."/>
    <n v="450"/>
    <s v="km"/>
    <m/>
    <m/>
    <m/>
    <m/>
    <n v="70"/>
    <n v="25"/>
    <m/>
    <d v="1969-12-13T00:00:00"/>
    <m/>
    <s v="Santos"/>
    <m/>
    <s v="https://www.pipeliner.com.au/2017/02/01/apa-develop-new-pipeline/"/>
    <m/>
    <n v="1.1111111111111112"/>
    <e v="#N/A"/>
    <s v="n.a."/>
  </r>
  <r>
    <x v="7"/>
    <s v="BGP"/>
    <n v="0.19900000000000001"/>
    <s v="NT"/>
    <x v="0"/>
    <x v="1"/>
    <x v="2"/>
    <n v="170"/>
    <m/>
    <n v="29.43805831702544"/>
    <n v="287"/>
    <s v="km"/>
    <n v="80"/>
    <s v="TJ/day"/>
    <m/>
    <d v="2008-12-01T00:00:00"/>
    <n v="70"/>
    <n v="25"/>
    <n v="25"/>
    <d v="2078-11-14T00:00:00"/>
    <d v="2033-11-25T00:00:00"/>
    <s v="PWC"/>
    <m/>
    <m/>
    <m/>
    <n v="0.59233449477351918"/>
    <n v="0.63873922842778252"/>
    <n v="9.087671232876712"/>
  </r>
  <r>
    <x v="8"/>
    <s v="ABDP"/>
    <n v="1"/>
    <s v="NT"/>
    <x v="0"/>
    <x v="1"/>
    <x v="0"/>
    <n v="313.69141357725471"/>
    <n v="63"/>
    <n v="176.53889768404483"/>
    <n v="1630"/>
    <s v="km"/>
    <n v="44"/>
    <s v="TJ/day"/>
    <d v="2011-06-11T00:00:00"/>
    <d v="1987-06-01T00:00:00"/>
    <n v="70"/>
    <n v="25"/>
    <m/>
    <d v="2057-05-14T00:00:00"/>
    <m/>
    <m/>
    <m/>
    <s v="https://www.apa.com.au/globalassets/asx-releases/2011/apa-asx-release---agp-acquisition.pdf"/>
    <m/>
    <m/>
    <n v="0.19244871998604585"/>
    <n v="30.605479452054794"/>
  </r>
  <r>
    <x v="9"/>
    <s v="RBP"/>
    <n v="1"/>
    <s v="Qld"/>
    <x v="0"/>
    <x v="1"/>
    <x v="0"/>
    <n v="11"/>
    <m/>
    <n v="3.3206653620352249"/>
    <n v="438"/>
    <s v="km"/>
    <n v="233"/>
    <s v="TJ/day"/>
    <d v="2001-02-01T00:00:00"/>
    <d v="1969-03-01T00:00:00"/>
    <n v="70"/>
    <n v="25"/>
    <n v="20"/>
    <d v="2039-02-12T00:00:00"/>
    <d v="2021-01-27T00:00:00"/>
    <s v="Santos, ORG, ERM, AGL"/>
    <m/>
    <s v="http://www.gasbb.com.au/~/media/Documents/BB%20Shipper%20List/BB%20Shipper%20List%20-%2020161006%20-%20Roma%20to%20Brisbane%20Pipeline.pdf"/>
    <m/>
    <n v="2.5114155251141551E-2"/>
    <n v="2.5114155251141551E-2"/>
    <n v="48.868493150684934"/>
  </r>
  <r>
    <x v="10"/>
    <s v="RBP"/>
    <n v="1"/>
    <s v="Qld"/>
    <x v="0"/>
    <x v="1"/>
    <x v="0"/>
    <n v="50"/>
    <m/>
    <n v="47.140900195694719"/>
    <n v="6"/>
    <s v="km"/>
    <m/>
    <m/>
    <d v="2012-12-31T00:00:00"/>
    <d v="2013-12-31T00:00:00"/>
    <n v="70"/>
    <n v="25"/>
    <n v="20"/>
    <d v="2083-12-14T00:00:00"/>
    <d v="2032-12-26T00:00:00"/>
    <s v="IPL, GLNG, Caltex, Stanwell, Caltex, QGC, Weston"/>
    <m/>
    <s v="https://www.pipeliner.com.au/2011/04/29/apa-to-expand-roma-brisbane-pipeline/"/>
    <m/>
    <n v="8.3333333333333339"/>
    <n v="0.81522444387080661"/>
    <n v="4.0027397260273974"/>
  </r>
  <r>
    <x v="11"/>
    <s v="CGP"/>
    <n v="1"/>
    <s v="Qld"/>
    <x v="0"/>
    <x v="1"/>
    <x v="1"/>
    <n v="308.04297443315062"/>
    <n v="326.66666666666669"/>
    <n v="222.15263588670189"/>
    <n v="840"/>
    <s v="km"/>
    <n v="119"/>
    <s v="TJ/day"/>
    <d v="2005-02-01T00:00:00"/>
    <d v="1998-06-30T00:00:00"/>
    <n v="70"/>
    <n v="25"/>
    <n v="24.271232876712329"/>
    <d v="2068-06-12T00:00:00"/>
    <d v="2022-10-01T00:00:00"/>
    <s v="IPL, S32, AGK"/>
    <s v="Origin Energy, Delhi Petroleum"/>
    <m/>
    <m/>
    <m/>
    <n v="0.36671782670613168"/>
    <n v="19.517808219178082"/>
  </r>
  <r>
    <x v="12"/>
    <s v="CGP"/>
    <n v="1"/>
    <s v="Qld"/>
    <x v="0"/>
    <x v="1"/>
    <x v="1"/>
    <n v="40"/>
    <m/>
    <n v="31.410958904109592"/>
    <s v="+compression"/>
    <m/>
    <n v="17"/>
    <s v="TJ/day"/>
    <m/>
    <d v="2009-06-01T00:00:00"/>
    <n v="40"/>
    <n v="25"/>
    <n v="20"/>
    <d v="2049-05-22T00:00:00"/>
    <d v="2029-05-27T00:00:00"/>
    <s v="Chinova Resources, IPL, MMG"/>
    <m/>
    <s v="http://www.gasbb.com.au/~/media/Documents/BB%20Shipper%20List/BB%20Shipper%20List%20-%2020161006%20-%20Carpentaria%20Gas%20Pipeline.pdf"/>
    <s v="https://www.apa.com.au/globalassets/asx-releases/2010/apa-group-presentation---expanding-nsw-gas-infrastructure.pdf"/>
    <s v="n.a."/>
    <n v="0.66633902865777628"/>
    <d v="1900-01-07T14:08:13"/>
  </r>
  <r>
    <x v="13"/>
    <s v="KNCGPF"/>
    <n v="0.19900000000000001"/>
    <s v="Qld"/>
    <x v="0"/>
    <x v="2"/>
    <x v="2"/>
    <n v="50"/>
    <m/>
    <n v="7.0038458904109584"/>
    <n v="12.05"/>
    <s v="TJ/day"/>
    <m/>
    <m/>
    <m/>
    <d v="2006-03-01T00:00:00"/>
    <n v="40"/>
    <n v="25"/>
    <n v="15"/>
    <d v="2046-02-19T00:00:00"/>
    <d v="2021-02-25T00:00:00"/>
    <s v="Stanwell"/>
    <m/>
    <s v="http://mininglink.com.au/site/kogan-north"/>
    <m/>
    <m/>
    <s v="n.a."/>
    <n v="11.843835616438357"/>
  </r>
  <r>
    <x v="14"/>
    <s v="Allgas"/>
    <n v="0.2"/>
    <s v="Qld"/>
    <x v="0"/>
    <x v="1"/>
    <x v="0"/>
    <n v="88.289999999999992"/>
    <n v="521"/>
    <n v="5.3941561643835616"/>
    <n v="2475"/>
    <s v="km"/>
    <n v="468"/>
    <s v="km"/>
    <d v="2006-11-01T00:00:00"/>
    <d v="1969-06-01T00:00:00"/>
    <n v="70"/>
    <n v="25"/>
    <m/>
    <d v="2039-05-15T00:00:00"/>
    <m/>
    <m/>
    <m/>
    <m/>
    <m/>
    <m/>
    <n v="2.5114155251141551E-2"/>
    <n v="48.61643835616438"/>
  </r>
  <r>
    <x v="15"/>
    <s v="Daandine"/>
    <n v="0.19900000000000001"/>
    <s v="Qld"/>
    <x v="0"/>
    <x v="3"/>
    <x v="2"/>
    <n v="29"/>
    <m/>
    <n v="3.2304951232876711"/>
    <n v="27"/>
    <s v="MW"/>
    <m/>
    <m/>
    <m/>
    <d v="2007-01-01T00:00:00"/>
    <n v="25"/>
    <n v="25"/>
    <n v="20"/>
    <d v="2031-12-26T00:00:00"/>
    <d v="2026-12-27T00:00:00"/>
    <s v="Xstrata"/>
    <m/>
    <s v="https://www.apa.com.au/media/31884/xstrata.pdf"/>
    <m/>
    <s v="n.a."/>
    <s v="n.a."/>
    <n v="11.005479452054795"/>
  </r>
  <r>
    <x v="16"/>
    <s v="Tipton"/>
    <n v="0.19900000000000001"/>
    <s v="Qld"/>
    <x v="0"/>
    <x v="2"/>
    <x v="2"/>
    <n v="31"/>
    <m/>
    <n v="4.4966094520547948"/>
    <n v="10"/>
    <s v="PJ"/>
    <m/>
    <m/>
    <m/>
    <d v="2007-03-01T00:00:00"/>
    <n v="40"/>
    <n v="25"/>
    <n v="15"/>
    <d v="2047-02-19T00:00:00"/>
    <d v="2022-02-25T00:00:00"/>
    <s v="Braemer Power Station"/>
    <m/>
    <s v="https://www.apa.com.au/globalassets/asx-releases/2006/2006-11-01-apa-invests-in-second-queensland-coal-seam-gas-processing-facility.pdf"/>
    <m/>
    <s v="n.a."/>
    <s v="n.a."/>
    <n v="10.843835616438357"/>
  </r>
  <r>
    <x v="17"/>
    <s v="X41"/>
    <n v="0.19900000000000001"/>
    <s v="Qld"/>
    <x v="0"/>
    <x v="3"/>
    <x v="2"/>
    <n v="38"/>
    <m/>
    <n v="4.4849911232876716"/>
    <n v="30"/>
    <s v="MW"/>
    <m/>
    <m/>
    <m/>
    <d v="2007-11-01T00:00:00"/>
    <n v="25"/>
    <n v="25"/>
    <n v="20"/>
    <d v="2032-10-25T00:00:00"/>
    <d v="2027-10-27T00:00:00"/>
    <s v="Xstrata"/>
    <m/>
    <m/>
    <m/>
    <s v="n.a."/>
    <s v="n.a."/>
    <n v="10.172602739726027"/>
  </r>
  <r>
    <x v="18"/>
    <s v="BWP"/>
    <n v="1"/>
    <s v="Qld"/>
    <x v="0"/>
    <x v="1"/>
    <x v="2"/>
    <n v="70"/>
    <n v="82.6"/>
    <n v="61.208219178082189"/>
    <n v="112"/>
    <s v="km"/>
    <n v="150"/>
    <s v="TJ/day"/>
    <d v="2009-03-01T00:00:00"/>
    <d v="2009-03-19T00:00:00"/>
    <n v="70"/>
    <n v="25"/>
    <n v="17"/>
    <d v="2079-03-02T00:00:00"/>
    <d v="2026-03-15T00:00:00"/>
    <s v="AGL"/>
    <m/>
    <s v="https://www.pipeliner.com.au/2016/03/16/berwyndale-to-wallumbilla-pipeline-completed-in-record-time/"/>
    <m/>
    <n v="0.625"/>
    <n v="0.66633902865777628"/>
    <n v="8.7917808219178077"/>
  </r>
  <r>
    <x v="19"/>
    <s v="DPS"/>
    <n v="1"/>
    <s v="Qld"/>
    <x v="0"/>
    <x v="3"/>
    <x v="2"/>
    <n v="570"/>
    <n v="302"/>
    <n v="488.23232876712325"/>
    <n v="242"/>
    <s v="MW"/>
    <m/>
    <m/>
    <d v="2011-07-01T00:00:00"/>
    <d v="2014-06-01T00:00:00"/>
    <n v="25"/>
    <n v="25"/>
    <n v="16.010958904109589"/>
    <d v="2039-05-26T00:00:00"/>
    <d v="2030-06-01T00:00:00"/>
    <s v="Xstrata"/>
    <s v="North West Power System"/>
    <s v="http://www.power-technology.com/news/newssiemens-energy-secures-supply-order-for-australian-combined-cycle-power-station/"/>
    <m/>
    <s v="n.a."/>
    <s v="n.a."/>
    <n v="3.5863013698630137"/>
  </r>
  <r>
    <x v="20"/>
    <s v="DPS"/>
    <n v="1"/>
    <s v="Qld"/>
    <x v="0"/>
    <x v="3"/>
    <x v="2"/>
    <n v="130"/>
    <m/>
    <n v="111.35123287671232"/>
    <n v="60"/>
    <s v="MW"/>
    <m/>
    <m/>
    <d v="2012-11-01T00:00:00"/>
    <d v="2014-06-01T00:00:00"/>
    <n v="25"/>
    <n v="25"/>
    <n v="16.010958904109589"/>
    <d v="2039-05-26T00:00:00"/>
    <d v="2030-06-01T00:00:00"/>
    <s v="Xstrata"/>
    <m/>
    <m/>
    <m/>
    <m/>
    <s v="n.a."/>
    <n v="3.5863013698630137"/>
  </r>
  <r>
    <x v="21"/>
    <s v="SWQP"/>
    <n v="1"/>
    <s v="Qld"/>
    <x v="0"/>
    <x v="1"/>
    <x v="2"/>
    <n v="220"/>
    <m/>
    <n v="153.69863013698628"/>
    <n v="756"/>
    <s v="km"/>
    <n v="168"/>
    <s v="TJ/day"/>
    <d v="2012-12-01T00:00:00"/>
    <d v="1996-12-01T00:00:00"/>
    <n v="70"/>
    <n v="25"/>
    <n v="15"/>
    <d v="2066-11-14T00:00:00"/>
    <d v="2030-12-31T00:00:00"/>
    <s v="Santos, AGL"/>
    <m/>
    <s v="http://www.asx.com.au/asxpdf/20111229/pdf/423k5w909tccwp.pdf"/>
    <m/>
    <n v="0.29100529100529099"/>
    <n v="0.34526850605844212"/>
    <n v="21.095890410958905"/>
  </r>
  <r>
    <x v="22"/>
    <s v="SWQP"/>
    <n v="1"/>
    <s v="Qld"/>
    <x v="0"/>
    <x v="1"/>
    <x v="2"/>
    <n v="125"/>
    <m/>
    <n v="108.77201565557731"/>
    <s v="+compression"/>
    <m/>
    <m/>
    <m/>
    <m/>
    <d v="2008-12-01T00:00:00"/>
    <n v="70"/>
    <n v="25"/>
    <n v="15"/>
    <d v="2078-11-14T00:00:00"/>
    <d v="2023-11-28T00:00:00"/>
    <s v="Santos, GLNG, ERM, IPL"/>
    <m/>
    <m/>
    <m/>
    <s v="n.a."/>
    <n v="0.63873922842778252"/>
    <n v="9.087671232876712"/>
  </r>
  <r>
    <x v="23"/>
    <s v="SWQP"/>
    <n v="1"/>
    <s v="Qld"/>
    <x v="0"/>
    <x v="1"/>
    <x v="2"/>
    <n v="732"/>
    <m/>
    <n v="647.42606653620351"/>
    <n v="938"/>
    <s v="km"/>
    <n v="212"/>
    <s v="TJ/day"/>
    <m/>
    <d v="2009-12-01T00:00:00"/>
    <n v="70"/>
    <n v="25"/>
    <n v="22"/>
    <d v="2079-11-14T00:00:00"/>
    <d v="2033-12-01T00:00:00"/>
    <s v="Origin Energy"/>
    <m/>
    <s v="https://www.pipeliner.com.au/2010/03/09/an-exercise-in-logistics-qsn-3/"/>
    <m/>
    <n v="0.78038379530916846"/>
    <n v="0.66633902865777628"/>
    <n v="8.087671232876712"/>
  </r>
  <r>
    <x v="24"/>
    <s v="WGP"/>
    <n v="1"/>
    <s v="Qld"/>
    <x v="0"/>
    <x v="1"/>
    <x v="2"/>
    <n v="5984.5999999999995"/>
    <n v="5984.5999999999995"/>
    <n v="4787.6799999999994"/>
    <n v="543"/>
    <s v="km"/>
    <n v="1530"/>
    <s v="TJ/day"/>
    <d v="2013-01-01T00:00:00"/>
    <d v="2014-01-01T00:00:00"/>
    <n v="20"/>
    <n v="20"/>
    <n v="20"/>
    <d v="2033-12-27T00:00:00"/>
    <d v="2032-12-27T00:00:00"/>
    <s v="BG Group"/>
    <s v="CNOOC"/>
    <s v="https://www.apa.com.au/globalassets/documents/presentations/2014-12-10-qclng-presentation.pdf"/>
    <s v="https://www.apa.com.au/news/asx-releases/2015/apa-completes-lng-pipeline-acquisition/"/>
    <n v="11.02136279926335"/>
    <n v="0.85643463025082656"/>
    <n v="4"/>
  </r>
  <r>
    <x v="25"/>
    <s v="DDSF"/>
    <n v="1"/>
    <s v="Qld"/>
    <x v="1"/>
    <x v="3"/>
    <x v="2"/>
    <n v="220"/>
    <m/>
    <s v="n.a."/>
    <n v="110"/>
    <s v="MW"/>
    <m/>
    <m/>
    <d v="2017-05-01T00:00:00"/>
    <d v="2018-12-31T00:00:00"/>
    <n v="25"/>
    <n v="25"/>
    <n v="12"/>
    <d v="2043-12-25T00:00:00"/>
    <d v="2030-12-28T00:00:00"/>
    <s v="Origin Energy"/>
    <m/>
    <m/>
    <m/>
    <s v="n.a."/>
    <s v="n.a."/>
    <s v="n.a."/>
  </r>
  <r>
    <x v="26"/>
    <s v="NORGAS"/>
    <n v="1"/>
    <s v="Qld"/>
    <x v="1"/>
    <x v="1"/>
    <x v="2"/>
    <m/>
    <m/>
    <s v="n.a."/>
    <n v="350"/>
    <s v="km"/>
    <m/>
    <m/>
    <d v="2013-06-01T00:00:00"/>
    <m/>
    <n v="70"/>
    <n v="25"/>
    <m/>
    <d v="1969-12-13T00:00:00"/>
    <m/>
    <s v="Armour Energy"/>
    <m/>
    <m/>
    <m/>
    <n v="0"/>
    <e v="#N/A"/>
    <s v="n.a."/>
  </r>
  <r>
    <x v="27"/>
    <s v="RCWP"/>
    <n v="1"/>
    <s v="Qld"/>
    <x v="0"/>
    <x v="1"/>
    <x v="2"/>
    <n v="80"/>
    <m/>
    <n v="80.475929549902148"/>
    <n v="50"/>
    <s v="km"/>
    <m/>
    <m/>
    <m/>
    <d v="2018-06-01T00:00:00"/>
    <n v="70"/>
    <n v="25"/>
    <n v="20"/>
    <d v="2088-05-14T00:00:00"/>
    <d v="2038-05-27T00:00:00"/>
    <s v="APLNG"/>
    <m/>
    <m/>
    <m/>
    <n v="1.6"/>
    <n v="1.0160284699608089"/>
    <n v="-0.41643835616438357"/>
  </r>
  <r>
    <x v="28"/>
    <s v="Bowen P"/>
    <n v="1"/>
    <s v="Qld"/>
    <x v="1"/>
    <x v="1"/>
    <x v="2"/>
    <n v="800"/>
    <m/>
    <s v="n.a."/>
    <n v="750"/>
    <s v="km"/>
    <m/>
    <m/>
    <m/>
    <m/>
    <n v="70"/>
    <n v="25"/>
    <m/>
    <d v="1969-12-13T00:00:00"/>
    <m/>
    <s v="Blue Energy"/>
    <m/>
    <s v="https://www.pipeliner.com.au/2017/06/20/apa-bowen-pipeline-talks/"/>
    <m/>
    <n v="1.0666666666666667"/>
    <e v="#N/A"/>
    <s v="n.a."/>
  </r>
  <r>
    <x v="29"/>
    <s v="SEA Gas"/>
    <n v="0.5"/>
    <s v="SA"/>
    <x v="0"/>
    <x v="1"/>
    <x v="2"/>
    <n v="346.53118870659239"/>
    <n v="277.24550898203591"/>
    <n v="138.59213118584401"/>
    <n v="680"/>
    <s v="km"/>
    <n v="314"/>
    <s v="TJ/day"/>
    <d v="2010-11-12T00:00:00"/>
    <d v="2004-01-01T00:00:00"/>
    <n v="70"/>
    <n v="25"/>
    <n v="20"/>
    <d v="2073-12-14T00:00:00"/>
    <d v="2023-12-27T00:00:00"/>
    <s v="Energy Australia, Origin Energy, International Power"/>
    <m/>
    <m/>
    <m/>
    <m/>
    <n v="0.50960468927440061"/>
    <n v="14.008219178082191"/>
  </r>
  <r>
    <x v="30"/>
    <s v="Hallet 4"/>
    <n v="0.19900000000000001"/>
    <s v="SA"/>
    <x v="0"/>
    <x v="3"/>
    <x v="2"/>
    <n v="334"/>
    <m/>
    <n v="47.622433753424659"/>
    <n v="132.30000000000001"/>
    <s v="MW"/>
    <m/>
    <m/>
    <d v="2009-10-01T00:00:00"/>
    <d v="2010-12-01T00:00:00"/>
    <n v="25"/>
    <n v="25"/>
    <n v="25.432876712328767"/>
    <d v="2035-11-25T00:00:00"/>
    <d v="2036-05-01T00:00:00"/>
    <s v="AGL"/>
    <m/>
    <m/>
    <m/>
    <s v="n.a."/>
    <s v="n.a."/>
    <n v="7.087671232876712"/>
  </r>
  <r>
    <x v="31"/>
    <s v="SESA"/>
    <n v="1"/>
    <s v="SA"/>
    <x v="0"/>
    <x v="1"/>
    <x v="2"/>
    <n v="16"/>
    <m/>
    <n v="13.121878669275929"/>
    <n v="45"/>
    <s v="km"/>
    <m/>
    <m/>
    <d v="2007-07-01T00:00:00"/>
    <d v="2005-06-01T00:00:00"/>
    <n v="70"/>
    <n v="25"/>
    <n v="20"/>
    <d v="2075-05-15T00:00:00"/>
    <d v="2025-05-27T00:00:00"/>
    <s v="Origin Energy"/>
    <m/>
    <s v="http://www.aemc.gov.au/Energy-Rules/National-gas-rules/Gas-scheme-register/SA-Moomba-to-Queensland-border"/>
    <s v="https://www.originenergy.com.au/content/dam/origin/about/investors-media/senate-submission-carbon-risk-disclosure-160331/annual-report-2005.pdf"/>
    <n v="0.35555555555555557"/>
    <n v="0.53643777282041472"/>
    <n v="12.591780821917808"/>
  </r>
  <r>
    <x v="32"/>
    <s v="Murraylink"/>
    <n v="0.19900000000000001"/>
    <s v="Vic"/>
    <x v="0"/>
    <x v="0"/>
    <x v="0"/>
    <n v="200"/>
    <n v="153"/>
    <n v="28.266178082191782"/>
    <n v="176"/>
    <s v="km"/>
    <n v="220"/>
    <s v="MW"/>
    <d v="2006-03-30T00:00:00"/>
    <d v="2006-06-01T00:00:00"/>
    <n v="40"/>
    <n v="25"/>
    <m/>
    <d v="2046-05-22T00:00:00"/>
    <m/>
    <m/>
    <m/>
    <s v="https://www.apa.com.au/globalassets/asx-releases/2006/2006-03-30-apa-acquires-murraylink.pdf"/>
    <s v="http://www.marubenifinance.com.au/pdf/marubeni-group-australia"/>
    <s v="n.a."/>
    <s v="n.a."/>
    <n v="11.591780821917808"/>
  </r>
  <r>
    <x v="33"/>
    <s v="VTS"/>
    <n v="1"/>
    <s v="Vic"/>
    <x v="0"/>
    <x v="1"/>
    <x v="0"/>
    <n v="51.107305936073054"/>
    <m/>
    <n v="15.612231813348345"/>
    <n v="2035"/>
    <s v="km"/>
    <n v="1030"/>
    <s v="TJ/day"/>
    <d v="2006-12-01T00:00:00"/>
    <d v="1969-06-01T00:00:00"/>
    <n v="70"/>
    <n v="25"/>
    <m/>
    <d v="2039-05-15T00:00:00"/>
    <m/>
    <m/>
    <m/>
    <s v="http://ppo.com.au/projects/victorian_transmission_system/30335?a=V"/>
    <m/>
    <m/>
    <n v="2.5114155251141551E-2"/>
    <n v="48.61643835616438"/>
  </r>
  <r>
    <x v="34"/>
    <s v="VTS"/>
    <n v="1"/>
    <s v="Vic"/>
    <x v="0"/>
    <x v="1"/>
    <x v="0"/>
    <n v="25"/>
    <m/>
    <n v="23.898238747553815"/>
    <s v="+compression"/>
    <m/>
    <m/>
    <m/>
    <d v="2013-12-01T00:00:00"/>
    <d v="2014-12-01T00:00:00"/>
    <n v="70"/>
    <n v="25"/>
    <m/>
    <d v="2084-11-13T00:00:00"/>
    <m/>
    <m/>
    <m/>
    <s v="https://www.pipeliner.com.au/2013/11/12/apa-to-proceed-with-vic-nsw-interconnect-expansion/"/>
    <m/>
    <s v="n.a."/>
    <n v="0.85643463025082656"/>
    <n v="3.0849315068493151"/>
  </r>
  <r>
    <x v="35"/>
    <s v="VTS"/>
    <n v="1"/>
    <s v="Vic"/>
    <x v="0"/>
    <x v="1"/>
    <x v="0"/>
    <n v="65"/>
    <m/>
    <n v="62.519569471624266"/>
    <n v="162.69999999999999"/>
    <s v="km"/>
    <s v="+compressor"/>
    <m/>
    <m/>
    <d v="2015-05-01T00:00:00"/>
    <n v="70"/>
    <n v="25"/>
    <n v="6"/>
    <d v="2085-04-13T00:00:00"/>
    <d v="2021-04-29T00:00:00"/>
    <s v="Origin Energy"/>
    <m/>
    <s v="https://www.pipeliner.com.au/2014/05/10/lifting-the-victorian-northern-interconnect-expansion-project/"/>
    <s v="https://www.apa.com.au/news/asx-releases/2013/apa-recontracts-gas-transportation-services-with-origin-energy-on-moomba-sydney-pipeline/"/>
    <m/>
    <n v="0.8910860012259072"/>
    <n v="2.6712328767123288"/>
  </r>
  <r>
    <x v="36"/>
    <s v="VTS"/>
    <n v="1"/>
    <s v="Vic"/>
    <x v="0"/>
    <x v="1"/>
    <x v="0"/>
    <n v="85"/>
    <m/>
    <n v="83.077103718199609"/>
    <s v="+30"/>
    <s v="TJ/day"/>
    <m/>
    <m/>
    <m/>
    <d v="2016-06-01T00:00:00"/>
    <n v="70"/>
    <n v="25"/>
    <m/>
    <d v="2086-05-15T00:00:00"/>
    <m/>
    <m/>
    <m/>
    <s v="https://www.pipeliner.com.au/2015/07/26/apa-agrees-to-new-pipeline-deal/"/>
    <m/>
    <n v="2.8333333333333335"/>
    <n v="0.92498376341500088"/>
    <n v="1.5835616438356164"/>
  </r>
  <r>
    <x v="37"/>
    <s v="BLP"/>
    <n v="1"/>
    <s v="Vic"/>
    <x v="0"/>
    <x v="1"/>
    <x v="0"/>
    <n v="43"/>
    <m/>
    <n v="36.954755381604699"/>
    <n v="58"/>
    <s v="km"/>
    <n v="500"/>
    <s v="mm"/>
    <m/>
    <d v="2008-03-01T00:00:00"/>
    <n v="70"/>
    <n v="25"/>
    <m/>
    <d v="2078-02-12T00:00:00"/>
    <m/>
    <m/>
    <m/>
    <s v="https://www.pipeliner.com.au/2016/03/16/brooklyn-lara-pipeline/"/>
    <m/>
    <n v="0.74137931034482762"/>
    <n v="0.63873922842778252"/>
    <n v="9.8410958904109584"/>
  </r>
  <r>
    <x v="38"/>
    <s v="Dandenong"/>
    <n v="1"/>
    <s v="Vic"/>
    <x v="0"/>
    <x v="4"/>
    <x v="2"/>
    <n v="65"/>
    <m/>
    <n v="55.922260273972604"/>
    <n v="12"/>
    <s v="kt"/>
    <m/>
    <m/>
    <d v="2010-05-01T00:00:00"/>
    <d v="2012-06-01T00:00:00"/>
    <n v="40"/>
    <n v="25"/>
    <n v="20"/>
    <d v="2052-05-22T00:00:00"/>
    <d v="2032-05-27T00:00:00"/>
    <s v="BOC"/>
    <m/>
    <s v="http://www.bocworldofwelding.com.au/media/pdf/file/100430_boc_investment_in_vic_final.pdf"/>
    <m/>
    <s v="n.a."/>
    <s v="n.a."/>
    <n v="5.5863013698630137"/>
  </r>
  <r>
    <x v="39"/>
    <s v="GGP"/>
    <n v="0.88200000000000001"/>
    <s v="WA"/>
    <x v="0"/>
    <x v="1"/>
    <x v="0"/>
    <n v="400"/>
    <m/>
    <n v="243.94980821917807"/>
    <n v="993.59999999999991"/>
    <s v="km"/>
    <n v="150"/>
    <s v="TJ/day"/>
    <d v="2004-08-01T00:00:00"/>
    <d v="1996-06-01T00:00:00"/>
    <n v="70"/>
    <n v="25"/>
    <m/>
    <d v="2066-05-15T00:00:00"/>
    <d v="2025-06-01T00:00:00"/>
    <s v="Rio, BHP, Glencore"/>
    <s v="Alinta"/>
    <m/>
    <m/>
    <n v="0.40257648953301128"/>
    <n v="0.34526850605844212"/>
    <n v="21.597260273972601"/>
  </r>
  <r>
    <x v="40"/>
    <s v="GGP"/>
    <n v="0.88200000000000001"/>
    <s v="WA"/>
    <x v="0"/>
    <x v="1"/>
    <x v="0"/>
    <n v="139.27904160461512"/>
    <m/>
    <n v="113.91567943150861"/>
    <n v="179.4"/>
    <s v="km"/>
    <n v="19.5"/>
    <s v="TJ/day"/>
    <d v="2011-12-01T00:00:00"/>
    <d v="2012-11-30T00:00:00"/>
    <n v="70"/>
    <n v="25"/>
    <n v="20"/>
    <d v="2082-11-13T00:00:00"/>
    <d v="2032-11-25T00:00:00"/>
    <s v="Rio, BHP, Glencore"/>
    <s v="Alinta"/>
    <m/>
    <m/>
    <m/>
    <n v="0.77636032109595943"/>
    <n v="5.087671232876712"/>
  </r>
  <r>
    <x v="41"/>
    <s v="GGP"/>
    <n v="0.88200000000000001"/>
    <s v="WA"/>
    <x v="0"/>
    <x v="1"/>
    <x v="0"/>
    <n v="160.7065864668636"/>
    <m/>
    <n v="131.61314663693804"/>
    <n v="207"/>
    <s v="km"/>
    <n v="22.5"/>
    <s v="TJ/day"/>
    <d v="2012-01-01T00:00:00"/>
    <d v="2012-12-31T00:00:00"/>
    <n v="70"/>
    <n v="25"/>
    <n v="20"/>
    <d v="2082-12-14T00:00:00"/>
    <d v="2032-12-26T00:00:00"/>
    <s v="Rio, BHP, Glencore"/>
    <s v="Alinta"/>
    <m/>
    <m/>
    <m/>
    <n v="0.77636032109595943"/>
    <n v="5.0027397260273974"/>
  </r>
  <r>
    <x v="42"/>
    <s v="GGP"/>
    <n v="0.88200000000000001"/>
    <s v="WA"/>
    <x v="0"/>
    <x v="1"/>
    <x v="0"/>
    <n v="61.38"/>
    <m/>
    <n v="52.071260547945208"/>
    <s v="+compression"/>
    <m/>
    <m/>
    <m/>
    <d v="2014-05-01T00:00:00"/>
    <d v="2015-05-01T00:00:00"/>
    <n v="70"/>
    <n v="25"/>
    <n v="10"/>
    <d v="2085-04-13T00:00:00"/>
    <d v="2025-04-28T00:00:00"/>
    <s v="Rio, BHP, Glencore"/>
    <s v="Alinta"/>
    <m/>
    <m/>
    <m/>
    <n v="0.8910860012259072"/>
    <n v="2.6712328767123288"/>
  </r>
  <r>
    <x v="43"/>
    <s v="PGP"/>
    <n v="1"/>
    <s v="WA"/>
    <x v="0"/>
    <x v="1"/>
    <x v="2"/>
    <n v="12.056609117924186"/>
    <n v="206"/>
    <n v="4.0416773814098104"/>
    <n v="416"/>
    <s v="km"/>
    <n v="70"/>
    <s v="TJ/day"/>
    <d v="2004-08-18T00:00:00"/>
    <d v="1971-07-01T00:00:00"/>
    <n v="70"/>
    <n v="25"/>
    <n v="19.8"/>
    <d v="2041-06-13T00:00:00"/>
    <d v="2024-06-01T00:00:00"/>
    <s v="Synergy"/>
    <m/>
    <m/>
    <m/>
    <m/>
    <n v="2.8982233456548524E-2"/>
    <n v="46.534246575342465"/>
  </r>
  <r>
    <x v="44"/>
    <s v="MGSF"/>
    <n v="1"/>
    <s v="WA"/>
    <x v="0"/>
    <x v="4"/>
    <x v="2"/>
    <n v="50"/>
    <m/>
    <n v="20.499999999999996"/>
    <n v="3"/>
    <s v="PJ"/>
    <m/>
    <m/>
    <m/>
    <d v="1994-06-01T00:00:00"/>
    <n v="40"/>
    <n v="25"/>
    <n v="20"/>
    <d v="2034-05-22T00:00:00"/>
    <d v="2033-06-01T00:00:00"/>
    <s v="Synergy"/>
    <m/>
    <m/>
    <m/>
    <m/>
    <s v="n.a."/>
    <n v="23.6"/>
  </r>
  <r>
    <x v="45"/>
    <s v="MGSF"/>
    <n v="1"/>
    <s v="WA"/>
    <x v="0"/>
    <x v="4"/>
    <x v="2"/>
    <n v="140"/>
    <m/>
    <n v="133.57534246575344"/>
    <n v="12"/>
    <s v="PJ"/>
    <m/>
    <m/>
    <m/>
    <d v="2016-03-01T00:00:00"/>
    <n v="40"/>
    <n v="25"/>
    <n v="20"/>
    <d v="2056-02-20T00:00:00"/>
    <d v="2036-02-25T00:00:00"/>
    <s v="Synergy"/>
    <m/>
    <s v="https://www.pipeliner.com.au/2016/03/16/powering-to-the-finish-line-mondarra-expansion-update/"/>
    <s v="https://www.apa.com.au/globalassets/asx-releases/2011/apa-asx-release---mondarra-expansion---2011-05-26-9am.pdf"/>
    <s v="n.a."/>
    <s v="n.a."/>
    <n v="1.8356164383561644"/>
  </r>
  <r>
    <x v="46"/>
    <s v="EDWF"/>
    <n v="1"/>
    <s v="WA"/>
    <x v="0"/>
    <x v="3"/>
    <x v="2"/>
    <n v="180"/>
    <m/>
    <n v="92.357260273972585"/>
    <n v="80"/>
    <s v="MW"/>
    <m/>
    <m/>
    <d v="2011-07-01T00:00:00"/>
    <d v="2005-11-01T00:00:00"/>
    <n v="25"/>
    <n v="25"/>
    <n v="20"/>
    <d v="2030-10-26T00:00:00"/>
    <d v="2025-10-27T00:00:00"/>
    <s v="Synergy"/>
    <m/>
    <m/>
    <m/>
    <s v="n.a."/>
    <s v="n.a."/>
    <n v="12.172602739726027"/>
  </r>
  <r>
    <x v="47"/>
    <s v="EDWF"/>
    <n v="1"/>
    <s v="WA"/>
    <x v="0"/>
    <x v="3"/>
    <x v="2"/>
    <n v="50"/>
    <m/>
    <n v="50.005479452054793"/>
    <n v="20"/>
    <s v="MW"/>
    <m/>
    <m/>
    <m/>
    <d v="2018-01-01T00:00:00"/>
    <n v="25"/>
    <n v="25"/>
    <n v="12"/>
    <d v="2042-12-26T00:00:00"/>
    <d v="2029-12-29T00:00:00"/>
    <s v="Synergy"/>
    <m/>
    <m/>
    <m/>
    <s v="n.a."/>
    <s v="n.a."/>
    <n v="-2.7397260273972603E-3"/>
  </r>
  <r>
    <x v="48"/>
    <s v="MWP"/>
    <n v="0.5"/>
    <s v="WA"/>
    <x v="0"/>
    <x v="1"/>
    <x v="2"/>
    <n v="134.65546168543602"/>
    <m/>
    <n v="49.922656000598536"/>
    <n v="353"/>
    <s v="km"/>
    <m/>
    <m/>
    <m/>
    <d v="1999-12-01T00:00:00"/>
    <n v="70"/>
    <n v="25"/>
    <n v="30"/>
    <d v="2069-11-13T00:00:00"/>
    <d v="2029-11-23T00:00:00"/>
    <s v="Mt Magnet"/>
    <m/>
    <s v="https://www.pipeliner.com.au/2016/03/16/west-coast-developments-pipelines-in-western-australia/"/>
    <m/>
    <m/>
    <n v="0.38146023140350149"/>
    <n v="18.095890410958905"/>
  </r>
  <r>
    <x v="49"/>
    <s v="EGP"/>
    <n v="1"/>
    <s v="WA"/>
    <x v="0"/>
    <x v="1"/>
    <x v="2"/>
    <n v="140"/>
    <m/>
    <n v="136.21917808219177"/>
    <n v="293"/>
    <s v="km"/>
    <m/>
    <m/>
    <m/>
    <d v="2016-02-10T00:00:00"/>
    <n v="70"/>
    <n v="25"/>
    <n v="10.5"/>
    <d v="2086-01-23T00:00:00"/>
    <d v="2026-08-08T12:00:00"/>
    <s v="Dacian Gold Limited"/>
    <s v="AngloGold Ashanti"/>
    <m/>
    <m/>
    <n v="0.47781569965870307"/>
    <n v="0.92498376341500088"/>
    <n v="1.8904109589041096"/>
  </r>
  <r>
    <x v="50"/>
    <s v="KKP"/>
    <n v="1"/>
    <s v="WA"/>
    <x v="0"/>
    <x v="1"/>
    <x v="1"/>
    <n v="15.191814266571454"/>
    <m/>
    <n v="10.504649027300113"/>
    <n v="44"/>
    <s v="km"/>
    <n v="26"/>
    <s v="TJ/day"/>
    <m/>
    <d v="1996-06-01T00:00:00"/>
    <n v="70"/>
    <n v="25"/>
    <n v="30"/>
    <d v="2066-05-15T00:00:00"/>
    <d v="2026-05-25T00:00:00"/>
    <s v="Kalgoorlie miners?"/>
    <m/>
    <s v="https://www.erawa.com.au/gas/gas-access/kalgoorlie-to-kambalda-pipeline"/>
    <m/>
    <m/>
    <n v="0.34526850605844212"/>
    <n v="21.597260273972601"/>
  </r>
  <r>
    <x v="51"/>
    <s v="YGP"/>
    <n v="1"/>
    <s v="WA"/>
    <x v="1"/>
    <x v="1"/>
    <x v="2"/>
    <n v="174.17363705224017"/>
    <m/>
    <s v="n.a."/>
    <n v="198"/>
    <s v="km"/>
    <m/>
    <m/>
    <m/>
    <d v="2018-12-01T00:00:00"/>
    <n v="70"/>
    <n v="25"/>
    <n v="15"/>
    <d v="2088-11-13T00:00:00"/>
    <d v="2033-11-27T00:00:00"/>
    <s v="Gruyere JV"/>
    <m/>
    <m/>
    <m/>
    <m/>
    <n v="1.0160284699608089"/>
    <s v="n.a."/>
  </r>
  <r>
    <x v="52"/>
    <s v="YGPS"/>
    <n v="1"/>
    <s v="WA"/>
    <x v="1"/>
    <x v="3"/>
    <x v="2"/>
    <n v="27"/>
    <m/>
    <s v="n.a."/>
    <n v="45"/>
    <s v="MW"/>
    <m/>
    <m/>
    <m/>
    <d v="2018-12-01T00:00:00"/>
    <n v="25"/>
    <n v="25"/>
    <n v="15"/>
    <d v="2043-11-25T00:00:00"/>
    <d v="2033-11-27T00:00:00"/>
    <s v="Gruyere JV"/>
    <m/>
    <m/>
    <m/>
    <m/>
    <s v="n.a."/>
    <s v="n.a."/>
  </r>
  <r>
    <x v="53"/>
    <s v="BWF"/>
    <n v="1"/>
    <s v="WA"/>
    <x v="1"/>
    <x v="3"/>
    <x v="2"/>
    <n v="315"/>
    <m/>
    <s v="n.a."/>
    <n v="130"/>
    <s v="MW"/>
    <m/>
    <m/>
    <m/>
    <d v="2019-01-01T00:00:00"/>
    <n v="25"/>
    <n v="25"/>
    <n v="12"/>
    <d v="2043-12-26T00:00:00"/>
    <d v="2030-12-29T00:00:00"/>
    <s v="Alinta Sales Pty Ltd."/>
    <m/>
    <m/>
    <m/>
    <s v="n.a."/>
    <s v="n.a."/>
    <s v="n.a."/>
  </r>
  <r>
    <x v="54"/>
    <s v="Telfer"/>
    <n v="0.19900000000000001"/>
    <s v="WA"/>
    <x v="0"/>
    <x v="1"/>
    <x v="2"/>
    <n v="237.37371447303352"/>
    <m/>
    <n v="38.462866083111585"/>
    <n v="442.5"/>
    <s v="km"/>
    <n v="25"/>
    <s v="TJ/day"/>
    <m/>
    <d v="2005-01-02T00:00:00"/>
    <n v="70"/>
    <n v="25"/>
    <n v="20"/>
    <d v="2074-12-16T00:00:00"/>
    <d v="2024-12-28T00:00:00"/>
    <s v="Newcrest"/>
    <m/>
    <s v="https://www.pipeliner.com.au/2016/03/16/telfer-pipeline-pumping-gas/"/>
    <m/>
    <m/>
    <n v="0.53643777282041472"/>
    <n v="13.002739726027396"/>
  </r>
  <r>
    <x v="55"/>
    <s v="Nifty"/>
    <n v="0.19900000000000001"/>
    <s v="WA"/>
    <x v="0"/>
    <x v="1"/>
    <x v="2"/>
    <n v="15"/>
    <m/>
    <n v="2.4526068493150688"/>
    <n v="45"/>
    <s v="km"/>
    <m/>
    <m/>
    <m/>
    <d v="2005-07-10T00:00:00"/>
    <n v="70"/>
    <n v="25"/>
    <n v="14"/>
    <d v="2075-06-23T00:00:00"/>
    <d v="2019-07-07T00:00:00"/>
    <s v="Bria Nifty"/>
    <m/>
    <s v="http://www.cordellconnect.com.au/public/project/ProjectDetails.aspx?uid=587693"/>
    <m/>
    <n v="0.33333333333333331"/>
    <n v="0.53643777282041472"/>
    <n v="12.484931506849316"/>
  </r>
  <r>
    <x v="56"/>
    <s v="PPS"/>
    <n v="1"/>
    <s v="WA"/>
    <x v="0"/>
    <x v="1"/>
    <x v="2"/>
    <n v="71.889379950150641"/>
    <m/>
    <n v="48.679380137673427"/>
    <n v="219"/>
    <s v="km"/>
    <n v="188"/>
    <s v="TJ/day"/>
    <m/>
    <d v="1995-06-01T00:00:00"/>
    <n v="70"/>
    <n v="25"/>
    <n v="30"/>
    <d v="2065-05-14T00:00:00"/>
    <d v="2025-05-24T00:00:00"/>
    <s v="Horizon?"/>
    <m/>
    <m/>
    <m/>
    <m/>
    <n v="0.32826200890479745"/>
    <n v="22.6"/>
  </r>
  <r>
    <x v="57"/>
    <s v="PPS"/>
    <n v="1"/>
    <s v="WA"/>
    <x v="0"/>
    <x v="1"/>
    <x v="2"/>
    <n v="8.8012278409471598"/>
    <m/>
    <n v="6.3372285162389392"/>
    <n v="24"/>
    <s v="km"/>
    <m/>
    <m/>
    <m/>
    <d v="1998-06-01T00:00:00"/>
    <n v="70"/>
    <n v="25"/>
    <n v="30"/>
    <d v="2068-05-14T00:00:00"/>
    <d v="2028-05-24T00:00:00"/>
    <s v="DBNGP"/>
    <m/>
    <m/>
    <m/>
    <m/>
    <n v="0.36671782670613168"/>
    <n v="19.597260273972601"/>
  </r>
  <r>
    <x v="58"/>
    <s v="PPS"/>
    <n v="1"/>
    <s v="WA"/>
    <x v="0"/>
    <x v="1"/>
    <x v="2"/>
    <n v="3.3316951432888815"/>
    <m/>
    <n v="2.922894193221929"/>
    <n v="5"/>
    <s v="km"/>
    <m/>
    <m/>
    <m/>
    <d v="2009-06-01T00:00:00"/>
    <n v="70"/>
    <n v="25"/>
    <n v="20"/>
    <d v="2079-05-15T00:00:00"/>
    <d v="2029-05-27T00:00:00"/>
    <s v="ATCO"/>
    <m/>
    <m/>
    <m/>
    <m/>
    <n v="0.66633902865777628"/>
    <n v="8.5890410958904102"/>
  </r>
  <r>
    <x v="59"/>
    <s v="EPX"/>
    <n v="1"/>
    <s v="NSW"/>
    <x v="0"/>
    <x v="1"/>
    <x v="2"/>
    <n v="118.68604895758948"/>
    <n v="130.30000000000001"/>
    <n v="82.067570525782131"/>
    <n v="1375"/>
    <s v="km"/>
    <n v="219"/>
    <s v="mm"/>
    <d v="2016-06-01T00:00:00"/>
    <d v="1996-06-01T00:00:00"/>
    <n v="70"/>
    <n v="25"/>
    <n v="30"/>
    <d v="2066-05-15T00:00:00"/>
    <d v="2026-05-25T00:00:00"/>
    <s v="Qenos"/>
    <m/>
    <s v="https://www.pipeliner.com.au/2016/03/16/the-moomba-to-sydney-ethane-pipeline/"/>
    <m/>
    <m/>
    <n v="0.34526850605844212"/>
    <n v="21.597260273972601"/>
  </r>
  <r>
    <x v="60"/>
    <s v="Mortlake P"/>
    <n v="0.5"/>
    <s v="Vic"/>
    <x v="0"/>
    <x v="1"/>
    <x v="2"/>
    <n v="64.437906650964635"/>
    <n v="245"/>
    <n v="29.647742138372397"/>
    <n v="83"/>
    <s v="km"/>
    <m/>
    <m/>
    <d v="2016-05-01T00:00:00"/>
    <d v="2012-06-01T00:00:00"/>
    <n v="70"/>
    <n v="25"/>
    <n v="15"/>
    <d v="2082-05-15T00:00:00"/>
    <d v="2027-05-29T00:00:00"/>
    <s v="Origin Energy"/>
    <m/>
    <s v="http://ppo.com.au/projects/mortlake_pipeline/29332"/>
    <m/>
    <m/>
    <n v="0.77636032109595943"/>
    <n v="5.5863013698630137"/>
  </r>
  <r>
    <x v="61"/>
    <s v="Orbost"/>
    <n v="1"/>
    <s v="Vic"/>
    <x v="1"/>
    <x v="2"/>
    <x v="2"/>
    <n v="250"/>
    <n v="20"/>
    <s v="n.a."/>
    <m/>
    <m/>
    <m/>
    <m/>
    <d v="2017-06-01T00:00:00"/>
    <d v="2019-06-01T00:00:00"/>
    <n v="40"/>
    <n v="25"/>
    <n v="15"/>
    <d v="2059-05-22T00:00:00"/>
    <d v="2034-05-28T00:00:00"/>
    <s v="Cooper Energy (AGL, EA, Alinta, OI)"/>
    <m/>
    <s v="http://www.adelaidenow.com.au/business/cooper-energys-355-million-sole-gas-project-off-the-victorian-coast-has-been-approved-by-the-company/news-story/ed67c6ea13ca64666aa648377d039229"/>
    <m/>
    <m/>
    <m/>
    <m/>
  </r>
  <r>
    <x v="62"/>
    <m/>
    <m/>
    <m/>
    <x v="2"/>
    <x v="5"/>
    <x v="3"/>
    <m/>
    <m/>
    <m/>
    <m/>
    <m/>
    <m/>
    <m/>
    <m/>
    <m/>
    <m/>
    <m/>
    <m/>
    <n v="0"/>
    <m/>
    <m/>
    <m/>
    <m/>
    <m/>
    <m/>
    <m/>
    <m/>
  </r>
  <r>
    <x v="62"/>
    <m/>
    <m/>
    <m/>
    <x v="2"/>
    <x v="5"/>
    <x v="3"/>
    <m/>
    <m/>
    <m/>
    <m/>
    <m/>
    <m/>
    <m/>
    <m/>
    <m/>
    <m/>
    <m/>
    <m/>
    <n v="0"/>
    <m/>
    <m/>
    <m/>
    <m/>
    <m/>
    <m/>
    <m/>
    <m/>
  </r>
</pivotCacheRecords>
</file>

<file path=xl/pivotTables/_rels/pivotTable1.xml.rels><?xml version="1.0" encoding="UTF-8" standalone="yes"?>
<Relationships xmlns="http://schemas.openxmlformats.org/package/2006/relationships">
<Relationship Id="rId1" Target="../pivotCache/pivotCacheDefinition1.xml" Type="http://schemas.openxmlformats.org/officeDocument/2006/relationships/pivotCacheDefinition"/>
</Relationships>

</file>

<file path=xl/pivotTables/pivotTable1.xml><?xml version="1.0" encoding="utf-8"?>
<pivotTableDefinition xmlns="http://schemas.openxmlformats.org/spreadsheetml/2006/main" name="Project Table" cacheId="2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>
  <location ref="B12:H84" firstHeaderRow="0" firstDataRow="1" firstDataCol="1" rowPageCount="1" colPageCount="1"/>
  <pivotFields count="28">
    <pivotField axis="axisRow" showAll="0" sortType="ascending" defaultSubtotal="0">
      <items count="63">
        <item x="14"/>
        <item x="8"/>
        <item x="53"/>
        <item x="18"/>
        <item x="7"/>
        <item x="28"/>
        <item x="37"/>
        <item x="11"/>
        <item x="12"/>
        <item x="1"/>
        <item x="5"/>
        <item x="15"/>
        <item x="38"/>
        <item x="25"/>
        <item x="19"/>
        <item x="0"/>
        <item x="49"/>
        <item x="47"/>
        <item x="46"/>
        <item x="59"/>
        <item x="39"/>
        <item x="40"/>
        <item x="41"/>
        <item x="42"/>
        <item x="50"/>
        <item x="13"/>
        <item x="20"/>
        <item x="48"/>
        <item x="44"/>
        <item x="45"/>
        <item x="2"/>
        <item x="3"/>
        <item x="4"/>
        <item x="60"/>
        <item x="32"/>
        <item x="55"/>
        <item x="26"/>
        <item x="30"/>
        <item x="61"/>
        <item x="43"/>
        <item x="56"/>
        <item x="57"/>
        <item x="58"/>
        <item x="27"/>
        <item x="9"/>
        <item x="10"/>
        <item x="29"/>
        <item x="31"/>
        <item x="21"/>
        <item x="22"/>
        <item x="23"/>
        <item x="54"/>
        <item x="16"/>
        <item x="33"/>
        <item x="34"/>
        <item x="35"/>
        <item x="36"/>
        <item x="24"/>
        <item x="6"/>
        <item x="17"/>
        <item x="51"/>
        <item x="52"/>
        <item x="62"/>
      </items>
    </pivotField>
    <pivotField showAll="0" defaultSubtotal="0"/>
    <pivotField dataField="1" showAll="0" defaultSubtotal="0"/>
    <pivotField showAll="0" defaultSubtotal="0"/>
    <pivotField axis="axisPage" multipleItemSelectionAllowed="1" showAll="0" defaultSubtotal="0">
      <items count="3">
        <item x="1"/>
        <item x="0"/>
        <item x="2"/>
      </items>
    </pivotField>
    <pivotField axis="axisRow" showAll="0" defaultSubtotal="0">
      <items count="6">
        <item x="2"/>
        <item x="4"/>
        <item x="0"/>
        <item x="1"/>
        <item x="3"/>
        <item h="1" x="5"/>
      </items>
    </pivotField>
    <pivotField axis="axisRow" dataField="1" multipleItemSelectionAllowed="1" showAll="0" sortType="ascending" defaultSubtotal="0">
      <items count="4">
        <item x="2"/>
        <item x="1"/>
        <item x="0"/>
        <item h="1" x="3"/>
      </items>
    </pivotField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3">
    <field x="6"/>
    <field x="5"/>
    <field x="0"/>
  </rowFields>
  <rowItems count="72">
    <i>
      <x/>
    </i>
    <i r="1">
      <x/>
    </i>
    <i r="2">
      <x v="25"/>
    </i>
    <i r="2">
      <x v="38"/>
    </i>
    <i r="2">
      <x v="52"/>
    </i>
    <i r="1">
      <x v="1"/>
    </i>
    <i r="2">
      <x v="12"/>
    </i>
    <i r="2">
      <x v="28"/>
    </i>
    <i r="2">
      <x v="29"/>
    </i>
    <i r="1">
      <x v="3"/>
    </i>
    <i r="2">
      <x v="3"/>
    </i>
    <i r="2">
      <x v="4"/>
    </i>
    <i r="2">
      <x v="5"/>
    </i>
    <i r="2">
      <x v="16"/>
    </i>
    <i r="2">
      <x v="19"/>
    </i>
    <i r="2">
      <x v="27"/>
    </i>
    <i r="2">
      <x v="30"/>
    </i>
    <i r="2">
      <x v="33"/>
    </i>
    <i r="2">
      <x v="35"/>
    </i>
    <i r="2">
      <x v="36"/>
    </i>
    <i r="2">
      <x v="39"/>
    </i>
    <i r="2">
      <x v="40"/>
    </i>
    <i r="2">
      <x v="41"/>
    </i>
    <i r="2">
      <x v="42"/>
    </i>
    <i r="2">
      <x v="43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7"/>
    </i>
    <i r="2">
      <x v="58"/>
    </i>
    <i r="2">
      <x v="60"/>
    </i>
    <i r="1">
      <x v="4"/>
    </i>
    <i r="2">
      <x v="2"/>
    </i>
    <i r="2">
      <x v="11"/>
    </i>
    <i r="2">
      <x v="13"/>
    </i>
    <i r="2">
      <x v="14"/>
    </i>
    <i r="2">
      <x v="17"/>
    </i>
    <i r="2">
      <x v="18"/>
    </i>
    <i r="2">
      <x v="26"/>
    </i>
    <i r="2">
      <x v="37"/>
    </i>
    <i r="2">
      <x v="59"/>
    </i>
    <i r="2">
      <x v="61"/>
    </i>
    <i>
      <x v="1"/>
    </i>
    <i r="1">
      <x v="3"/>
    </i>
    <i r="2">
      <x v="7"/>
    </i>
    <i r="2">
      <x v="8"/>
    </i>
    <i r="2">
      <x v="9"/>
    </i>
    <i r="2">
      <x v="10"/>
    </i>
    <i r="2">
      <x v="24"/>
    </i>
    <i r="2">
      <x v="31"/>
    </i>
    <i r="2">
      <x v="32"/>
    </i>
    <i>
      <x v="2"/>
    </i>
    <i r="1">
      <x v="2"/>
    </i>
    <i r="2">
      <x v="15"/>
    </i>
    <i r="2">
      <x v="34"/>
    </i>
    <i r="1">
      <x v="3"/>
    </i>
    <i r="2">
      <x/>
    </i>
    <i r="2">
      <x v="1"/>
    </i>
    <i r="2">
      <x v="6"/>
    </i>
    <i r="2">
      <x v="20"/>
    </i>
    <i r="2">
      <x v="21"/>
    </i>
    <i r="2">
      <x v="22"/>
    </i>
    <i r="2">
      <x v="23"/>
    </i>
    <i r="2">
      <x v="44"/>
    </i>
    <i r="2">
      <x v="45"/>
    </i>
    <i r="2">
      <x v="53"/>
    </i>
    <i r="2">
      <x v="54"/>
    </i>
    <i r="2">
      <x v="55"/>
    </i>
    <i r="2">
      <x v="56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4" hier="-1"/>
  </pageFields>
  <dataFields count="6">
    <dataField name="Average of APA o'ship (%)" fld="2" subtotal="average" baseField="0" baseItem="0" numFmtId="9"/>
    <dataField name="Sum of Construction cost" fld="7" baseField="0" baseItem="0" numFmtId="187"/>
    <dataField name="Sum of Commissioning" fld="15" baseField="0" baseItem="0" numFmtId="191"/>
    <dataField name="Sum of Useful life" fld="16" baseField="0" baseItem="0"/>
    <dataField name="Average of Contract expiry" fld="20" subtotal="average" baseField="0" baseItem="0" numFmtId="191"/>
    <dataField name="Sum of Regulated" fld="6" baseField="0" baseItem="0"/>
  </dataFields>
  <formats count="18">
    <format dxfId="17">
      <pivotArea type="all" dataOnly="0" outline="0" fieldPosition="0"/>
    </format>
    <format dxfId="16">
      <pivotArea type="all" dataOnly="0" outline="0" fieldPosition="0"/>
    </format>
    <format dxfId="15">
      <pivotArea type="all" dataOnly="0" outline="0" fieldPosition="0"/>
    </format>
    <format dxfId="1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">
      <pivotArea dataOnly="0" labelOnly="1" outline="0" fieldPosition="0">
        <references count="1">
          <reference field="6" count="0"/>
        </references>
      </pivotArea>
    </format>
    <format dxfId="1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9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8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7">
      <pivotArea collapsedLevelsAreSubtotals="1" fieldPosition="0">
        <references count="2">
          <reference field="4294967294" count="1" selected="0">
            <x v="0"/>
          </reference>
          <reference field="5" count="1">
            <x v="1"/>
          </reference>
        </references>
      </pivotArea>
    </format>
    <format dxfId="6">
      <pivotArea collapsedLevelsAreSubtotals="1" fieldPosition="0">
        <references count="2">
          <reference field="4294967294" count="1" selected="0">
            <x v="0"/>
          </reference>
          <reference field="5" count="1">
            <x v="2"/>
          </reference>
        </references>
      </pivotArea>
    </format>
    <format dxfId="5">
      <pivotArea collapsedLevelsAreSubtotals="1" fieldPosition="0">
        <references count="2">
          <reference field="4294967294" count="1" selected="0">
            <x v="0"/>
          </reference>
          <reference field="5" count="1">
            <x v="3"/>
          </reference>
        </references>
      </pivotArea>
    </format>
    <format dxfId="4">
      <pivotArea collapsedLevelsAreSubtotals="1" fieldPosition="0">
        <references count="2">
          <reference field="4294967294" count="1" selected="0">
            <x v="0"/>
          </reference>
          <reference field="5" count="1">
            <x v="4"/>
          </reference>
        </references>
      </pivotArea>
    </format>
    <format dxfId="3">
      <pivotArea type="all" dataOnly="0" outline="0" fieldPosition="0"/>
    </format>
    <format dxfId="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0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APA_projects" displayName="APA_projects" ref="B26:AC90" totalsRowShown="0" headerRowDxfId="126" dataDxfId="125">
  <autoFilter ref="B26:AC90"/>
  <sortState ref="B28:AB91">
    <sortCondition ref="E8:E71"/>
  </sortState>
  <tableColumns count="28">
    <tableColumn id="1" name="Project1" dataDxfId="124"/>
    <tableColumn id="22" name="Project2" dataDxfId="123"/>
    <tableColumn id="2" name="APA o'ship (%)" dataDxfId="122" dataCellStyle="Percent"/>
    <tableColumn id="3" name="State" dataDxfId="121"/>
    <tableColumn id="4" name="Status" dataDxfId="120"/>
    <tableColumn id="5" name="Type" dataDxfId="119"/>
    <tableColumn id="6" name="Regulated" dataDxfId="118"/>
    <tableColumn id="7" name="Construction cost" dataDxfId="117" dataCellStyle="Comma"/>
    <tableColumn id="8" name="Acquisition cost" dataDxfId="116"/>
    <tableColumn id="25" name="Book Value" dataDxfId="115" dataCellStyle="Comma">
      <calculatedColumnFormula>IF(APA_projects[[#This Row],[Status]]=1,IF(ISNUMBER(APA_projects[[#This Row],[Acquisition cost]]),APA_projects[[#This Row],[Acquisition cost]]*(1-APA_projects[[#This Row],[Age]]/APA_projects[[#This Row],[Useful life]]),APA_projects[[#This Row],[Construction cost]]*(1-APA_projects[[#This Row],[Age]]/APA_projects[[#This Row],[Useful life]])),"n.a.")</calculatedColumnFormula>
    </tableColumn>
    <tableColumn id="9" name="Size1" dataDxfId="114" dataCellStyle="Comma"/>
    <tableColumn id="10" name="Size1 Units" dataDxfId="113"/>
    <tableColumn id="21" name="Size2" dataDxfId="112"/>
    <tableColumn id="20" name="Size2 Units" dataDxfId="111"/>
    <tableColumn id="26" name="Acquisition/announcement date" dataDxfId="110"/>
    <tableColumn id="11" name="Commissioning" dataDxfId="109"/>
    <tableColumn id="12" name="Useful life" dataDxfId="108">
      <calculatedColumnFormula>IF(APA_projects[[#This Row],[Type]]="pipeline",$R$20,IF(APA_projects[[#This Row],[Type]]="power station",25,40))</calculatedColumnFormula>
    </tableColumn>
    <tableColumn id="19" name="Tax life" dataDxfId="107"/>
    <tableColumn id="13" name="Contract life" dataDxfId="106" dataCellStyle="Comma"/>
    <tableColumn id="17" name="Useful life2" dataDxfId="105" dataCellStyle="Comma">
      <calculatedColumnFormula>(APA_projects[[#This Row],[Commissioning]]+APA_projects[[#This Row],[Useful life]]*365)</calculatedColumnFormula>
    </tableColumn>
    <tableColumn id="24" name="Contract expiry" dataDxfId="104"/>
    <tableColumn id="14" name="Counterparty1" dataDxfId="103"/>
    <tableColumn id="15" name="Counterparty2" dataDxfId="102"/>
    <tableColumn id="16" name="Source1" dataDxfId="101"/>
    <tableColumn id="30" name="Source2" dataDxfId="100"/>
    <tableColumn id="28" name="Construction cost/km" dataDxfId="99" dataCellStyle="Comma">
      <calculatedColumnFormula>IF(APA_projects[[#This Row],[Size1 Units]]="km",IFERROR(APA_projects[[#This Row],[Construction cost]]/APA_projects[[#This Row],[Size1]],"n.a."),"n.a.")</calculatedColumnFormula>
    </tableColumn>
    <tableColumn id="27" name="Construction cost/km (estimated)" dataDxfId="98"/>
    <tableColumn id="31" name="Age" dataDxfId="97">
      <calculatedColumnFormula>($B$22-APA_projects[[#This Row],[Commissioning]])/365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3.xml.rels><?xml version="1.0" encoding="UTF-8" standalone="yes"?>
<Relationships xmlns="http://schemas.openxmlformats.org/package/2006/relationships">
<Relationship Id="rId1" Target="mailto:Rob.Koh@morganstanley.com" TargetMode="External" Type="http://schemas.openxmlformats.org/officeDocument/2006/relationships/hyperlink"/>
<Relationship Id="rId2" Target="mailto:Annika.Li@morganstanley.com" TargetMode="External" Type="http://schemas.openxmlformats.org/officeDocument/2006/relationships/hyperlink"/>
<Relationship Id="rId3" Target="../printerSettings/printerSettings3.bin" Type="http://schemas.openxmlformats.org/officeDocument/2006/relationships/printerSettings"/>
<Relationship Id="rId4" Target="../drawings/vmlDrawing1.vml" Type="http://schemas.openxmlformats.org/officeDocument/2006/relationships/vmlDrawing"/>
<Relationship Id="rId5" Target="../tables/table1.xml" Type="http://schemas.openxmlformats.org/officeDocument/2006/relationships/table"/>
<Relationship Id="rId6" Target="../comments1.xml" Type="http://schemas.openxmlformats.org/officeDocument/2006/relationships/comment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Relationship Id="rId2" Target="../drawings/vmlDrawing2.vml" Type="http://schemas.openxmlformats.org/officeDocument/2006/relationships/vmlDrawing"/>
<Relationship Id="rId3" Target="../comments2.xml" Type="http://schemas.openxmlformats.org/officeDocument/2006/relationships/comment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Relationship Id="rId2" Target="../drawings/vmlDrawing3.vml" Type="http://schemas.openxmlformats.org/officeDocument/2006/relationships/vmlDrawing"/>
<Relationship Id="rId3" Target="../comments3.xml" Type="http://schemas.openxmlformats.org/officeDocument/2006/relationships/comment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Relationship Id="rId2" Target="../drawings/vmlDrawing4.vml" Type="http://schemas.openxmlformats.org/officeDocument/2006/relationships/vmlDrawing"/>
<Relationship Id="rId3" Target="../comments4.xml" Type="http://schemas.openxmlformats.org/officeDocument/2006/relationships/comment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Relationship Id="rId2" Target="../drawings/vmlDrawing5.vml" Type="http://schemas.openxmlformats.org/officeDocument/2006/relationships/vmlDrawing"/>
<Relationship Id="rId3" Target="../comments5.xml" Type="http://schemas.openxmlformats.org/officeDocument/2006/relationships/comment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Relationship Id="rId2" Target="../drawings/vmlDrawing6.vml" Type="http://schemas.openxmlformats.org/officeDocument/2006/relationships/vmlDrawing"/>
<Relationship Id="rId3" Target="../comments6.xml" Type="http://schemas.openxmlformats.org/officeDocument/2006/relationships/comment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9.bin" Type="http://schemas.openxmlformats.org/officeDocument/2006/relationships/printerSettings"/>
<Relationship Id="rId2" Target="../drawings/vmlDrawing7.vml" Type="http://schemas.openxmlformats.org/officeDocument/2006/relationships/vmlDrawing"/>
<Relationship Id="rId3" Target="../comments7.xml" Type="http://schemas.openxmlformats.org/officeDocument/2006/relationships/comments"/>
</Relationships>

</file>

<file path=xl/worksheets/_rels/sheet10.xml.rels><?xml version="1.0" encoding="UTF-8" standalone="yes"?>
<Relationships xmlns="http://schemas.openxmlformats.org/package/2006/relationships">
<Relationship Id="rId1" Target="../printerSettings/printerSettings10.bin" Type="http://schemas.openxmlformats.org/officeDocument/2006/relationships/printerSettings"/>
<Relationship Id="rId2" Target="../drawings/vmlDrawing8.vml" Type="http://schemas.openxmlformats.org/officeDocument/2006/relationships/vmlDrawing"/>
<Relationship Id="rId3" Target="../comments8.xml" Type="http://schemas.openxmlformats.org/officeDocument/2006/relationships/comments"/>
</Relationships>

</file>

<file path=xl/worksheets/_rels/sheet11.xml.rels><?xml version="1.0" encoding="UTF-8" standalone="yes"?>
<Relationships xmlns="http://schemas.openxmlformats.org/package/2006/relationships">
<Relationship Id="rId1" Target="../printerSettings/printerSettings11.bin" Type="http://schemas.openxmlformats.org/officeDocument/2006/relationships/printerSettings"/>
<Relationship Id="rId2" Target="../drawings/vmlDrawing9.vml" Type="http://schemas.openxmlformats.org/officeDocument/2006/relationships/vmlDrawing"/>
<Relationship Id="rId3" Target="../comments9.xml" Type="http://schemas.openxmlformats.org/officeDocument/2006/relationships/comments"/>
</Relationships>

</file>

<file path=xl/worksheets/_rels/sheet12.xml.rels><?xml version="1.0" encoding="UTF-8" standalone="yes"?>
<Relationships xmlns="http://schemas.openxmlformats.org/package/2006/relationships">
<Relationship Id="rId1" Target="../pivotTables/pivotTable1.xml" Type="http://schemas.openxmlformats.org/officeDocument/2006/relationships/pivotTable"/>
<Relationship Id="rId2" Target="../printerSettings/printerSettings12.bin" Type="http://schemas.openxmlformats.org/officeDocument/2006/relationships/printerSettings"/>
<Relationship Id="rId3" Target="../drawings/vmlDrawing10.vml" Type="http://schemas.openxmlformats.org/officeDocument/2006/relationships/vmlDrawing"/>
<Relationship Id="rId4" Target="../comments10.xml" Type="http://schemas.openxmlformats.org/officeDocument/2006/relationships/comments"/>
</Relationships>

</file>

<file path=xl/worksheets/_rels/sheet13.xml.rels><?xml version="1.0" encoding="UTF-8" standalone="yes"?>
<Relationships xmlns="http://schemas.openxmlformats.org/package/2006/relationships">
<Relationship Id="rId1" Target="../printerSettings/printerSettings13.bin" Type="http://schemas.openxmlformats.org/officeDocument/2006/relationships/printerSettings"/>
<Relationship Id="rId2" Target="../drawings/drawing2.xml" Type="http://schemas.openxmlformats.org/officeDocument/2006/relationships/drawing"/>
<Relationship Id="rId3" Target="../drawings/vmlDrawing11.vml" Type="http://schemas.openxmlformats.org/officeDocument/2006/relationships/vmlDrawing"/>
<Relationship Id="rId4" Target="../comments11.xml" Type="http://schemas.openxmlformats.org/officeDocument/2006/relationships/comments"/>
</Relationships>

</file>

<file path=xl/worksheets/_rels/sheet14.xml.rels><?xml version="1.0" encoding="UTF-8" standalone="yes"?>
<Relationships xmlns="http://schemas.openxmlformats.org/package/2006/relationships">
<Relationship Id="rId1" Target="../printerSettings/printerSettings14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B2"/>
  <sheetViews>
    <sheetView workbookViewId="0"/>
  </sheetViews>
  <sheetFormatPr defaultRowHeight="11.25" x14ac:dyDescent="0.2"/>
  <sheetData>
    <row r="1" spans="1:28" x14ac:dyDescent="0.2">
      <c r="A1" t="s">
        <v>1000</v>
      </c>
    </row>
    <row r="2" spans="1:28" x14ac:dyDescent="0.2">
      <c r="A2" s="16" t="s">
        <v>989</v>
      </c>
      <c r="B2" s="16" t="s">
        <v>991</v>
      </c>
      <c r="C2" s="16" t="s">
        <v>994</v>
      </c>
      <c r="D2" s="16" t="s">
        <v>1001</v>
      </c>
      <c r="E2" s="16" t="s">
        <v>293</v>
      </c>
      <c r="F2" s="16" t="s">
        <v>993</v>
      </c>
      <c r="G2" s="16" t="s">
        <v>291</v>
      </c>
      <c r="H2" s="16" t="s">
        <v>292</v>
      </c>
      <c r="I2" s="16" t="s">
        <v>995</v>
      </c>
      <c r="J2" s="16" t="s">
        <v>1002</v>
      </c>
      <c r="K2" s="16" t="s">
        <v>996</v>
      </c>
      <c r="L2" s="16" t="s">
        <v>1002</v>
      </c>
      <c r="M2" s="16" t="s">
        <v>260</v>
      </c>
      <c r="N2" s="16" t="s">
        <v>1017</v>
      </c>
      <c r="O2" s="16" t="s">
        <v>998</v>
      </c>
      <c r="P2" s="16" t="s">
        <v>1003</v>
      </c>
      <c r="Q2" s="16" t="s">
        <v>999</v>
      </c>
      <c r="R2" s="16" t="s">
        <v>1001</v>
      </c>
      <c r="S2" s="16" t="s">
        <v>419</v>
      </c>
      <c r="T2" s="16" t="s">
        <v>993</v>
      </c>
      <c r="U2" s="16" t="s">
        <v>977</v>
      </c>
      <c r="V2" s="16" t="s">
        <v>978</v>
      </c>
      <c r="W2" s="16" t="s">
        <v>997</v>
      </c>
      <c r="X2" s="16" t="s">
        <v>1003</v>
      </c>
      <c r="Y2" s="16" t="s">
        <v>990</v>
      </c>
      <c r="Z2" s="16" t="s">
        <v>992</v>
      </c>
      <c r="AA2" s="16" t="s">
        <v>290</v>
      </c>
      <c r="AB2" s="16" t="s">
        <v>113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04"/>
  <sheetViews>
    <sheetView showGridLines="0" tabSelected="1" workbookViewId="0">
      <selection activeCell="A16" sqref="A16"/>
    </sheetView>
  </sheetViews>
  <sheetFormatPr defaultRowHeight="12.75" x14ac:dyDescent="0.2"/>
  <cols>
    <col min="1" max="1" width="25.83203125" style="1025" customWidth="1"/>
    <col min="2" max="5" width="9.33203125" style="1025"/>
    <col min="6" max="6" width="18.83203125" style="1025" customWidth="1"/>
    <col min="7" max="256" width="9.33203125" style="1025"/>
    <col min="257" max="257" width="117.5" style="1025" customWidth="1"/>
    <col min="258" max="512" width="9.33203125" style="1025"/>
    <col min="513" max="513" width="117.5" style="1025" customWidth="1"/>
    <col min="514" max="768" width="9.33203125" style="1025"/>
    <col min="769" max="769" width="117.5" style="1025" customWidth="1"/>
    <col min="770" max="1024" width="9.33203125" style="1025"/>
    <col min="1025" max="1025" width="117.5" style="1025" customWidth="1"/>
    <col min="1026" max="1280" width="9.33203125" style="1025"/>
    <col min="1281" max="1281" width="117.5" style="1025" customWidth="1"/>
    <col min="1282" max="1536" width="9.33203125" style="1025"/>
    <col min="1537" max="1537" width="117.5" style="1025" customWidth="1"/>
    <col min="1538" max="1792" width="9.33203125" style="1025"/>
    <col min="1793" max="1793" width="117.5" style="1025" customWidth="1"/>
    <col min="1794" max="2048" width="9.33203125" style="1025"/>
    <col min="2049" max="2049" width="117.5" style="1025" customWidth="1"/>
    <col min="2050" max="2304" width="9.33203125" style="1025"/>
    <col min="2305" max="2305" width="117.5" style="1025" customWidth="1"/>
    <col min="2306" max="2560" width="9.33203125" style="1025"/>
    <col min="2561" max="2561" width="117.5" style="1025" customWidth="1"/>
    <col min="2562" max="2816" width="9.33203125" style="1025"/>
    <col min="2817" max="2817" width="117.5" style="1025" customWidth="1"/>
    <col min="2818" max="3072" width="9.33203125" style="1025"/>
    <col min="3073" max="3073" width="117.5" style="1025" customWidth="1"/>
    <col min="3074" max="3328" width="9.33203125" style="1025"/>
    <col min="3329" max="3329" width="117.5" style="1025" customWidth="1"/>
    <col min="3330" max="3584" width="9.33203125" style="1025"/>
    <col min="3585" max="3585" width="117.5" style="1025" customWidth="1"/>
    <col min="3586" max="3840" width="9.33203125" style="1025"/>
    <col min="3841" max="3841" width="117.5" style="1025" customWidth="1"/>
    <col min="3842" max="4096" width="9.33203125" style="1025"/>
    <col min="4097" max="4097" width="117.5" style="1025" customWidth="1"/>
    <col min="4098" max="4352" width="9.33203125" style="1025"/>
    <col min="4353" max="4353" width="117.5" style="1025" customWidth="1"/>
    <col min="4354" max="4608" width="9.33203125" style="1025"/>
    <col min="4609" max="4609" width="117.5" style="1025" customWidth="1"/>
    <col min="4610" max="4864" width="9.33203125" style="1025"/>
    <col min="4865" max="4865" width="117.5" style="1025" customWidth="1"/>
    <col min="4866" max="5120" width="9.33203125" style="1025"/>
    <col min="5121" max="5121" width="117.5" style="1025" customWidth="1"/>
    <col min="5122" max="5376" width="9.33203125" style="1025"/>
    <col min="5377" max="5377" width="117.5" style="1025" customWidth="1"/>
    <col min="5378" max="5632" width="9.33203125" style="1025"/>
    <col min="5633" max="5633" width="117.5" style="1025" customWidth="1"/>
    <col min="5634" max="5888" width="9.33203125" style="1025"/>
    <col min="5889" max="5889" width="117.5" style="1025" customWidth="1"/>
    <col min="5890" max="6144" width="9.33203125" style="1025"/>
    <col min="6145" max="6145" width="117.5" style="1025" customWidth="1"/>
    <col min="6146" max="6400" width="9.33203125" style="1025"/>
    <col min="6401" max="6401" width="117.5" style="1025" customWidth="1"/>
    <col min="6402" max="6656" width="9.33203125" style="1025"/>
    <col min="6657" max="6657" width="117.5" style="1025" customWidth="1"/>
    <col min="6658" max="6912" width="9.33203125" style="1025"/>
    <col min="6913" max="6913" width="117.5" style="1025" customWidth="1"/>
    <col min="6914" max="7168" width="9.33203125" style="1025"/>
    <col min="7169" max="7169" width="117.5" style="1025" customWidth="1"/>
    <col min="7170" max="7424" width="9.33203125" style="1025"/>
    <col min="7425" max="7425" width="117.5" style="1025" customWidth="1"/>
    <col min="7426" max="7680" width="9.33203125" style="1025"/>
    <col min="7681" max="7681" width="117.5" style="1025" customWidth="1"/>
    <col min="7682" max="7936" width="9.33203125" style="1025"/>
    <col min="7937" max="7937" width="117.5" style="1025" customWidth="1"/>
    <col min="7938" max="8192" width="9.33203125" style="1025"/>
    <col min="8193" max="8193" width="117.5" style="1025" customWidth="1"/>
    <col min="8194" max="8448" width="9.33203125" style="1025"/>
    <col min="8449" max="8449" width="117.5" style="1025" customWidth="1"/>
    <col min="8450" max="8704" width="9.33203125" style="1025"/>
    <col min="8705" max="8705" width="117.5" style="1025" customWidth="1"/>
    <col min="8706" max="8960" width="9.33203125" style="1025"/>
    <col min="8961" max="8961" width="117.5" style="1025" customWidth="1"/>
    <col min="8962" max="9216" width="9.33203125" style="1025"/>
    <col min="9217" max="9217" width="117.5" style="1025" customWidth="1"/>
    <col min="9218" max="9472" width="9.33203125" style="1025"/>
    <col min="9473" max="9473" width="117.5" style="1025" customWidth="1"/>
    <col min="9474" max="9728" width="9.33203125" style="1025"/>
    <col min="9729" max="9729" width="117.5" style="1025" customWidth="1"/>
    <col min="9730" max="9984" width="9.33203125" style="1025"/>
    <col min="9985" max="9985" width="117.5" style="1025" customWidth="1"/>
    <col min="9986" max="10240" width="9.33203125" style="1025"/>
    <col min="10241" max="10241" width="117.5" style="1025" customWidth="1"/>
    <col min="10242" max="10496" width="9.33203125" style="1025"/>
    <col min="10497" max="10497" width="117.5" style="1025" customWidth="1"/>
    <col min="10498" max="10752" width="9.33203125" style="1025"/>
    <col min="10753" max="10753" width="117.5" style="1025" customWidth="1"/>
    <col min="10754" max="11008" width="9.33203125" style="1025"/>
    <col min="11009" max="11009" width="117.5" style="1025" customWidth="1"/>
    <col min="11010" max="11264" width="9.33203125" style="1025"/>
    <col min="11265" max="11265" width="117.5" style="1025" customWidth="1"/>
    <col min="11266" max="11520" width="9.33203125" style="1025"/>
    <col min="11521" max="11521" width="117.5" style="1025" customWidth="1"/>
    <col min="11522" max="11776" width="9.33203125" style="1025"/>
    <col min="11777" max="11777" width="117.5" style="1025" customWidth="1"/>
    <col min="11778" max="12032" width="9.33203125" style="1025"/>
    <col min="12033" max="12033" width="117.5" style="1025" customWidth="1"/>
    <col min="12034" max="12288" width="9.33203125" style="1025"/>
    <col min="12289" max="12289" width="117.5" style="1025" customWidth="1"/>
    <col min="12290" max="12544" width="9.33203125" style="1025"/>
    <col min="12545" max="12545" width="117.5" style="1025" customWidth="1"/>
    <col min="12546" max="12800" width="9.33203125" style="1025"/>
    <col min="12801" max="12801" width="117.5" style="1025" customWidth="1"/>
    <col min="12802" max="13056" width="9.33203125" style="1025"/>
    <col min="13057" max="13057" width="117.5" style="1025" customWidth="1"/>
    <col min="13058" max="13312" width="9.33203125" style="1025"/>
    <col min="13313" max="13313" width="117.5" style="1025" customWidth="1"/>
    <col min="13314" max="13568" width="9.33203125" style="1025"/>
    <col min="13569" max="13569" width="117.5" style="1025" customWidth="1"/>
    <col min="13570" max="13824" width="9.33203125" style="1025"/>
    <col min="13825" max="13825" width="117.5" style="1025" customWidth="1"/>
    <col min="13826" max="14080" width="9.33203125" style="1025"/>
    <col min="14081" max="14081" width="117.5" style="1025" customWidth="1"/>
    <col min="14082" max="14336" width="9.33203125" style="1025"/>
    <col min="14337" max="14337" width="117.5" style="1025" customWidth="1"/>
    <col min="14338" max="14592" width="9.33203125" style="1025"/>
    <col min="14593" max="14593" width="117.5" style="1025" customWidth="1"/>
    <col min="14594" max="14848" width="9.33203125" style="1025"/>
    <col min="14849" max="14849" width="117.5" style="1025" customWidth="1"/>
    <col min="14850" max="15104" width="9.33203125" style="1025"/>
    <col min="15105" max="15105" width="117.5" style="1025" customWidth="1"/>
    <col min="15106" max="15360" width="9.33203125" style="1025"/>
    <col min="15361" max="15361" width="117.5" style="1025" customWidth="1"/>
    <col min="15362" max="15616" width="9.33203125" style="1025"/>
    <col min="15617" max="15617" width="117.5" style="1025" customWidth="1"/>
    <col min="15618" max="15872" width="9.33203125" style="1025"/>
    <col min="15873" max="15873" width="117.5" style="1025" customWidth="1"/>
    <col min="15874" max="16128" width="9.33203125" style="1025"/>
    <col min="16129" max="16129" width="117.5" style="1025" customWidth="1"/>
    <col min="16130" max="16384" width="9.33203125" style="1025"/>
  </cols>
  <sheetData>
    <row r="1" spans="1:8" ht="30" customHeight="1" x14ac:dyDescent="0.2">
      <c r="A1" s="1023"/>
      <c r="B1" s="1024"/>
      <c r="C1" s="1024"/>
      <c r="D1" s="1024"/>
      <c r="E1" s="1024"/>
      <c r="F1" s="1024"/>
      <c r="G1" s="1024"/>
      <c r="H1" s="1024"/>
    </row>
    <row r="2" spans="1:8" ht="14.25" x14ac:dyDescent="0.2">
      <c r="A2" s="1026" t="s">
        <v>1047</v>
      </c>
      <c r="B2" s="1024"/>
      <c r="C2" s="1024"/>
      <c r="D2" s="1024"/>
      <c r="E2" s="1024"/>
      <c r="F2" s="1024"/>
      <c r="G2" s="1024"/>
      <c r="H2" s="1024"/>
    </row>
    <row r="3" spans="1:8" ht="14.25" x14ac:dyDescent="0.2">
      <c r="A3" s="1026" t="s">
        <v>1048</v>
      </c>
      <c r="B3" s="1024"/>
      <c r="C3" s="1024"/>
      <c r="D3" s="1024"/>
      <c r="E3" s="1024"/>
      <c r="F3" s="1024"/>
      <c r="G3" s="1024"/>
      <c r="H3" s="1024"/>
    </row>
    <row r="4" spans="1:8" ht="14.25" x14ac:dyDescent="0.2">
      <c r="A4" s="1026" t="s">
        <v>1049</v>
      </c>
      <c r="B4" s="1024"/>
      <c r="C4" s="1024"/>
      <c r="D4" s="1024"/>
      <c r="E4" s="1024"/>
      <c r="F4" s="1024"/>
      <c r="G4" s="1024"/>
      <c r="H4" s="1024"/>
    </row>
    <row r="5" spans="1:8" ht="14.25" x14ac:dyDescent="0.2">
      <c r="A5" s="1026" t="s">
        <v>1050</v>
      </c>
      <c r="B5" s="1024"/>
      <c r="C5" s="1024"/>
      <c r="D5" s="1024"/>
      <c r="E5" s="1024"/>
      <c r="F5" s="1024"/>
      <c r="G5" s="1024"/>
      <c r="H5" s="1024"/>
    </row>
    <row r="6" spans="1:8" ht="14.25" x14ac:dyDescent="0.2">
      <c r="A6" s="1026"/>
      <c r="B6" s="1024"/>
      <c r="C6" s="1024"/>
      <c r="D6" s="1024"/>
      <c r="E6" s="1024"/>
      <c r="F6" s="1024"/>
      <c r="G6" s="1024"/>
      <c r="H6" s="1024"/>
    </row>
    <row r="7" spans="1:8" x14ac:dyDescent="0.2">
      <c r="A7" s="1023" t="s">
        <v>1051</v>
      </c>
      <c r="B7" s="1024"/>
      <c r="C7" s="1024"/>
      <c r="D7" s="1024"/>
      <c r="E7" s="1024"/>
      <c r="F7" s="1024"/>
      <c r="G7" s="1024"/>
      <c r="H7" s="1024"/>
    </row>
    <row r="8" spans="1:8" x14ac:dyDescent="0.2">
      <c r="A8" s="1023" t="s">
        <v>1052</v>
      </c>
      <c r="B8" s="1024"/>
      <c r="C8" s="1024"/>
      <c r="D8" s="1024"/>
      <c r="E8" s="1024"/>
      <c r="F8" s="1024"/>
      <c r="G8" s="1024"/>
      <c r="H8" s="1024"/>
    </row>
    <row r="9" spans="1:8" x14ac:dyDescent="0.2">
      <c r="A9" s="1023"/>
      <c r="B9" s="1024"/>
      <c r="C9" s="1024"/>
      <c r="D9" s="1024"/>
      <c r="E9" s="1024"/>
      <c r="F9" s="1024"/>
      <c r="G9" s="1024"/>
      <c r="H9" s="1024"/>
    </row>
    <row r="10" spans="1:8" x14ac:dyDescent="0.2">
      <c r="A10" s="1027" t="s">
        <v>1053</v>
      </c>
      <c r="B10" s="1024"/>
      <c r="C10" s="1024"/>
      <c r="D10" s="1024"/>
      <c r="E10" s="1024"/>
      <c r="F10" s="1024"/>
      <c r="G10" s="1024"/>
      <c r="H10" s="1024"/>
    </row>
    <row r="11" spans="1:8" x14ac:dyDescent="0.2">
      <c r="A11" s="1027" t="s">
        <v>1054</v>
      </c>
      <c r="B11" s="1024"/>
      <c r="C11" s="1024"/>
      <c r="D11" s="1024"/>
      <c r="E11" s="1024"/>
      <c r="F11" s="1024"/>
      <c r="G11" s="1024"/>
      <c r="H11" s="1024"/>
    </row>
    <row r="12" spans="1:8" x14ac:dyDescent="0.2">
      <c r="A12" s="1027" t="s">
        <v>1055</v>
      </c>
      <c r="B12" s="1024"/>
      <c r="C12" s="1024"/>
      <c r="D12" s="1024"/>
      <c r="E12" s="1024"/>
      <c r="F12" s="1024"/>
      <c r="G12" s="1024"/>
      <c r="H12" s="1024"/>
    </row>
    <row r="13" spans="1:8" x14ac:dyDescent="0.2">
      <c r="A13" s="1027" t="s">
        <v>1056</v>
      </c>
      <c r="B13" s="1024"/>
      <c r="C13" s="1024"/>
      <c r="D13" s="1024"/>
      <c r="E13" s="1024"/>
      <c r="F13" s="1024"/>
      <c r="G13" s="1024"/>
      <c r="H13" s="1024"/>
    </row>
    <row r="14" spans="1:8" x14ac:dyDescent="0.2">
      <c r="A14" s="1027" t="s">
        <v>1057</v>
      </c>
      <c r="B14" s="1024"/>
      <c r="C14" s="1024"/>
      <c r="D14" s="1024"/>
      <c r="E14" s="1024"/>
      <c r="F14" s="1024"/>
      <c r="G14" s="1024"/>
      <c r="H14" s="1024"/>
    </row>
    <row r="15" spans="1:8" x14ac:dyDescent="0.2">
      <c r="A15" s="1027" t="s">
        <v>1394</v>
      </c>
      <c r="B15" s="1024"/>
      <c r="C15" s="1024"/>
      <c r="D15" s="1024"/>
      <c r="E15" s="1024"/>
      <c r="F15" s="1024"/>
      <c r="G15" s="1024"/>
      <c r="H15" s="1024"/>
    </row>
    <row r="16" spans="1:8" x14ac:dyDescent="0.2">
      <c r="A16" s="1027"/>
      <c r="B16" s="1024"/>
      <c r="C16" s="1024"/>
      <c r="D16" s="1024"/>
      <c r="E16" s="1024"/>
      <c r="F16" s="1024"/>
      <c r="G16" s="1024"/>
      <c r="H16" s="1024"/>
    </row>
    <row r="17" spans="1:8" x14ac:dyDescent="0.2">
      <c r="A17" s="1027" t="s">
        <v>1044</v>
      </c>
      <c r="B17" s="1024"/>
      <c r="C17" s="1024"/>
      <c r="D17" s="1024"/>
      <c r="E17" s="1024"/>
      <c r="F17" s="1024"/>
      <c r="G17" s="1024"/>
      <c r="H17" s="1024"/>
    </row>
    <row r="18" spans="1:8" x14ac:dyDescent="0.2">
      <c r="A18" s="1027"/>
      <c r="B18" s="1024"/>
      <c r="C18" s="1024"/>
      <c r="D18" s="1024"/>
      <c r="E18" s="1024"/>
      <c r="F18" s="1024"/>
      <c r="G18" s="1024"/>
      <c r="H18" s="1024"/>
    </row>
    <row r="19" spans="1:8" x14ac:dyDescent="0.2">
      <c r="A19" s="1027" t="s">
        <v>1045</v>
      </c>
      <c r="B19" s="1024"/>
      <c r="C19" s="1024"/>
      <c r="D19" s="1024"/>
      <c r="E19" s="1024"/>
      <c r="F19" s="1024"/>
      <c r="G19" s="1024"/>
      <c r="H19" s="1024"/>
    </row>
    <row r="20" spans="1:8" x14ac:dyDescent="0.2">
      <c r="A20" s="1023"/>
      <c r="B20" s="1024"/>
      <c r="C20" s="1024"/>
      <c r="D20" s="1024"/>
      <c r="E20" s="1024"/>
      <c r="F20" s="1024"/>
      <c r="G20" s="1024"/>
      <c r="H20" s="1024"/>
    </row>
    <row r="21" spans="1:8" x14ac:dyDescent="0.2">
      <c r="A21" s="1028" t="s">
        <v>1046</v>
      </c>
      <c r="B21" s="1024"/>
      <c r="C21" s="1024"/>
      <c r="D21" s="1024"/>
      <c r="E21" s="1024"/>
      <c r="F21" s="1024"/>
      <c r="G21" s="1024"/>
      <c r="H21" s="1024"/>
    </row>
    <row r="22" spans="1:8" x14ac:dyDescent="0.2">
      <c r="A22" s="1029"/>
      <c r="B22" s="1029"/>
      <c r="C22" s="1029"/>
      <c r="D22" s="1029"/>
      <c r="E22" s="1029"/>
      <c r="F22" s="1029"/>
      <c r="G22" s="1029"/>
      <c r="H22" s="1029"/>
    </row>
    <row r="23" spans="1:8" x14ac:dyDescent="0.2">
      <c r="A23" s="1030" t="s">
        <v>1324</v>
      </c>
      <c r="B23" s="1029"/>
      <c r="C23" s="1029"/>
      <c r="D23" s="1029"/>
      <c r="E23" s="1029"/>
      <c r="F23" s="1029"/>
      <c r="G23" s="1029"/>
      <c r="H23" s="1029"/>
    </row>
    <row r="24" spans="1:8" x14ac:dyDescent="0.2">
      <c r="A24" s="1030" t="s">
        <v>1325</v>
      </c>
      <c r="B24" s="1029"/>
      <c r="C24" s="1029"/>
      <c r="D24" s="1029"/>
      <c r="E24" s="1029"/>
      <c r="F24" s="1029"/>
      <c r="G24" s="1029"/>
      <c r="H24" s="1029"/>
    </row>
    <row r="25" spans="1:8" x14ac:dyDescent="0.2">
      <c r="A25" s="1030" t="s">
        <v>1326</v>
      </c>
      <c r="B25" s="1029"/>
      <c r="C25" s="1029"/>
      <c r="D25" s="1029"/>
      <c r="E25" s="1029"/>
      <c r="F25" s="1029"/>
      <c r="G25" s="1029"/>
      <c r="H25" s="1029"/>
    </row>
    <row r="26" spans="1:8" x14ac:dyDescent="0.2">
      <c r="A26" s="1030" t="s">
        <v>1327</v>
      </c>
      <c r="B26" s="1029"/>
      <c r="C26" s="1029"/>
      <c r="D26" s="1029"/>
      <c r="E26" s="1029"/>
      <c r="F26" s="1029"/>
      <c r="G26" s="1029"/>
      <c r="H26" s="1029"/>
    </row>
    <row r="27" spans="1:8" x14ac:dyDescent="0.2">
      <c r="A27" s="1029"/>
      <c r="B27" s="1029"/>
      <c r="C27" s="1029"/>
      <c r="D27" s="1029"/>
      <c r="E27" s="1029"/>
      <c r="F27" s="1029"/>
      <c r="G27" s="1029"/>
      <c r="H27" s="1029"/>
    </row>
    <row r="28" spans="1:8" x14ac:dyDescent="0.2">
      <c r="A28" s="1029"/>
      <c r="B28" s="1029"/>
      <c r="C28" s="1029"/>
      <c r="D28" s="1029"/>
      <c r="E28" s="1029"/>
      <c r="F28" s="1029"/>
      <c r="G28" s="1029"/>
      <c r="H28" s="1029"/>
    </row>
    <row r="29" spans="1:8" x14ac:dyDescent="0.2">
      <c r="A29" s="1030" t="s">
        <v>1307</v>
      </c>
      <c r="B29" s="1029"/>
      <c r="C29" s="1029"/>
      <c r="D29" s="1029"/>
      <c r="E29" s="1029"/>
      <c r="F29" s="1029"/>
      <c r="G29" s="1029"/>
      <c r="H29" s="1029"/>
    </row>
    <row r="30" spans="1:8" x14ac:dyDescent="0.2">
      <c r="A30" s="1030" t="s">
        <v>1308</v>
      </c>
      <c r="B30" s="1029"/>
      <c r="C30" s="1029"/>
      <c r="D30" s="1029"/>
      <c r="E30" s="1029"/>
      <c r="F30" s="1029"/>
      <c r="G30" s="1029"/>
      <c r="H30" s="1029"/>
    </row>
    <row r="31" spans="1:8" x14ac:dyDescent="0.2">
      <c r="A31" s="1030" t="s">
        <v>1309</v>
      </c>
      <c r="B31" s="1029"/>
      <c r="C31" s="1029"/>
      <c r="D31" s="1029"/>
      <c r="E31" s="1029"/>
      <c r="F31" s="1029"/>
      <c r="G31" s="1029"/>
      <c r="H31" s="1029"/>
    </row>
    <row r="32" spans="1:8" x14ac:dyDescent="0.2">
      <c r="A32" s="1030" t="s">
        <v>1310</v>
      </c>
      <c r="B32" s="1029"/>
      <c r="C32" s="1029"/>
      <c r="D32" s="1029"/>
      <c r="E32" s="1029"/>
      <c r="F32" s="1029"/>
      <c r="G32" s="1029"/>
      <c r="H32" s="1029"/>
    </row>
    <row r="33" spans="1:8" x14ac:dyDescent="0.2">
      <c r="A33" s="1030" t="s">
        <v>1311</v>
      </c>
      <c r="B33" s="1029"/>
      <c r="C33" s="1029"/>
      <c r="D33" s="1029"/>
      <c r="E33" s="1029"/>
      <c r="F33" s="1029"/>
      <c r="G33" s="1029"/>
      <c r="H33" s="1029"/>
    </row>
    <row r="34" spans="1:8" x14ac:dyDescent="0.2">
      <c r="A34" s="1030" t="s">
        <v>1312</v>
      </c>
      <c r="B34" s="1029"/>
      <c r="C34" s="1029"/>
      <c r="D34" s="1029"/>
      <c r="E34" s="1029"/>
      <c r="F34" s="1029"/>
      <c r="G34" s="1029"/>
      <c r="H34" s="1029"/>
    </row>
    <row r="35" spans="1:8" x14ac:dyDescent="0.2">
      <c r="A35" s="1030" t="s">
        <v>1313</v>
      </c>
      <c r="B35" s="1029"/>
      <c r="C35" s="1029"/>
      <c r="D35" s="1029"/>
      <c r="E35" s="1029"/>
      <c r="F35" s="1029"/>
      <c r="G35" s="1029"/>
      <c r="H35" s="1029"/>
    </row>
    <row r="36" spans="1:8" x14ac:dyDescent="0.2">
      <c r="A36" s="1030" t="s">
        <v>1314</v>
      </c>
      <c r="B36" s="1029"/>
      <c r="C36" s="1029"/>
      <c r="D36" s="1029"/>
      <c r="E36" s="1029"/>
      <c r="F36" s="1029"/>
      <c r="G36" s="1029"/>
      <c r="H36" s="1029"/>
    </row>
    <row r="37" spans="1:8" x14ac:dyDescent="0.2">
      <c r="A37" s="1030" t="s">
        <v>1315</v>
      </c>
      <c r="B37" s="1029"/>
      <c r="C37" s="1029"/>
      <c r="D37" s="1029"/>
      <c r="E37" s="1029"/>
      <c r="F37" s="1029"/>
      <c r="G37" s="1029"/>
      <c r="H37" s="1029"/>
    </row>
    <row r="38" spans="1:8" x14ac:dyDescent="0.2">
      <c r="A38" s="1030" t="s">
        <v>1316</v>
      </c>
      <c r="B38" s="1029"/>
      <c r="C38" s="1029"/>
      <c r="D38" s="1029"/>
      <c r="E38" s="1029"/>
      <c r="F38" s="1029"/>
      <c r="G38" s="1029"/>
      <c r="H38" s="1029"/>
    </row>
    <row r="39" spans="1:8" x14ac:dyDescent="0.2">
      <c r="A39" s="1030" t="s">
        <v>1317</v>
      </c>
      <c r="B39" s="1029"/>
      <c r="C39" s="1029"/>
      <c r="D39" s="1029"/>
      <c r="E39" s="1029"/>
      <c r="F39" s="1029"/>
      <c r="G39" s="1029"/>
      <c r="H39" s="1029"/>
    </row>
    <row r="40" spans="1:8" x14ac:dyDescent="0.2">
      <c r="A40" s="1030" t="s">
        <v>1318</v>
      </c>
      <c r="B40" s="1029"/>
      <c r="C40" s="1029"/>
      <c r="D40" s="1029"/>
      <c r="E40" s="1029"/>
      <c r="F40" s="1029"/>
      <c r="G40" s="1029"/>
      <c r="H40" s="1029"/>
    </row>
    <row r="41" spans="1:8" x14ac:dyDescent="0.2">
      <c r="A41" s="1030" t="s">
        <v>1319</v>
      </c>
      <c r="B41" s="1029"/>
      <c r="C41" s="1029"/>
      <c r="D41" s="1029"/>
      <c r="E41" s="1029"/>
      <c r="F41" s="1029"/>
      <c r="G41" s="1029"/>
      <c r="H41" s="1029"/>
    </row>
    <row r="42" spans="1:8" x14ac:dyDescent="0.2">
      <c r="A42" s="1030" t="s">
        <v>1320</v>
      </c>
      <c r="B42" s="1029"/>
      <c r="C42" s="1029"/>
      <c r="D42" s="1029"/>
      <c r="E42" s="1029"/>
      <c r="F42" s="1029"/>
      <c r="G42" s="1029"/>
      <c r="H42" s="1029"/>
    </row>
    <row r="43" spans="1:8" x14ac:dyDescent="0.2">
      <c r="A43" s="1030" t="s">
        <v>1321</v>
      </c>
      <c r="B43" s="1029"/>
      <c r="C43" s="1029"/>
      <c r="D43" s="1029"/>
      <c r="E43" s="1029"/>
      <c r="F43" s="1029"/>
      <c r="G43" s="1029"/>
      <c r="H43" s="1029"/>
    </row>
    <row r="44" spans="1:8" x14ac:dyDescent="0.2">
      <c r="A44" s="1030" t="s">
        <v>1322</v>
      </c>
      <c r="B44" s="1029"/>
      <c r="C44" s="1029"/>
      <c r="D44" s="1029"/>
      <c r="E44" s="1029"/>
      <c r="F44" s="1029"/>
      <c r="G44" s="1029"/>
      <c r="H44" s="1029"/>
    </row>
    <row r="45" spans="1:8" x14ac:dyDescent="0.2">
      <c r="A45" s="1030" t="s">
        <v>1323</v>
      </c>
      <c r="B45" s="1029"/>
      <c r="C45" s="1029"/>
      <c r="D45" s="1029"/>
      <c r="E45" s="1029"/>
      <c r="F45" s="1029"/>
      <c r="G45" s="1029"/>
      <c r="H45" s="1029"/>
    </row>
    <row r="46" spans="1:8" x14ac:dyDescent="0.2">
      <c r="A46" s="1029"/>
      <c r="B46" s="1029"/>
      <c r="C46" s="1029"/>
      <c r="D46" s="1029"/>
      <c r="E46" s="1029"/>
      <c r="F46" s="1029"/>
      <c r="G46" s="1029"/>
      <c r="H46" s="1029"/>
    </row>
    <row r="47" spans="1:8" x14ac:dyDescent="0.2">
      <c r="A47" s="1030" t="s">
        <v>1303</v>
      </c>
      <c r="B47" s="1029"/>
      <c r="C47" s="1029"/>
      <c r="D47" s="1029"/>
      <c r="E47" s="1029"/>
      <c r="F47" s="1029"/>
      <c r="G47" s="1029"/>
      <c r="H47" s="1029"/>
    </row>
    <row r="48" spans="1:8" x14ac:dyDescent="0.2">
      <c r="A48" s="1030" t="s">
        <v>1304</v>
      </c>
      <c r="B48" s="1029"/>
      <c r="C48" s="1029"/>
      <c r="D48" s="1029"/>
      <c r="E48" s="1029"/>
      <c r="F48" s="1029"/>
      <c r="G48" s="1029"/>
      <c r="H48" s="1029"/>
    </row>
    <row r="49" spans="1:8" x14ac:dyDescent="0.2">
      <c r="A49" s="1030" t="s">
        <v>1305</v>
      </c>
      <c r="B49" s="1029"/>
      <c r="C49" s="1029"/>
      <c r="D49" s="1029"/>
      <c r="E49" s="1029"/>
      <c r="F49" s="1029"/>
      <c r="G49" s="1029"/>
      <c r="H49" s="1029"/>
    </row>
    <row r="50" spans="1:8" x14ac:dyDescent="0.2">
      <c r="A50" s="1030" t="s">
        <v>1306</v>
      </c>
      <c r="B50" s="1029"/>
      <c r="C50" s="1029"/>
      <c r="D50" s="1029"/>
      <c r="E50" s="1029"/>
      <c r="F50" s="1029"/>
      <c r="G50" s="1029"/>
      <c r="H50" s="1029"/>
    </row>
    <row r="51" spans="1:8" x14ac:dyDescent="0.2">
      <c r="A51" s="1029"/>
      <c r="B51" s="1029"/>
      <c r="C51" s="1029"/>
      <c r="D51" s="1029"/>
      <c r="E51" s="1029"/>
      <c r="F51" s="1029"/>
      <c r="G51" s="1029"/>
      <c r="H51" s="1029"/>
    </row>
    <row r="52" spans="1:8" x14ac:dyDescent="0.2">
      <c r="A52" s="1030" t="s">
        <v>1297</v>
      </c>
      <c r="B52" s="1029"/>
      <c r="C52" s="1029"/>
      <c r="D52" s="1029"/>
      <c r="E52" s="1029"/>
      <c r="F52" s="1029"/>
      <c r="G52" s="1029"/>
      <c r="H52" s="1029"/>
    </row>
    <row r="53" spans="1:8" x14ac:dyDescent="0.2">
      <c r="A53" s="1030" t="s">
        <v>1298</v>
      </c>
      <c r="B53" s="1029"/>
      <c r="C53" s="1029"/>
      <c r="D53" s="1029"/>
      <c r="E53" s="1029"/>
      <c r="F53" s="1029"/>
      <c r="G53" s="1029"/>
      <c r="H53" s="1029"/>
    </row>
    <row r="54" spans="1:8" x14ac:dyDescent="0.2">
      <c r="A54" s="1030" t="s">
        <v>1299</v>
      </c>
      <c r="B54" s="1029"/>
      <c r="C54" s="1029"/>
      <c r="D54" s="1029"/>
      <c r="E54" s="1029"/>
      <c r="F54" s="1029"/>
      <c r="G54" s="1029"/>
      <c r="H54" s="1029"/>
    </row>
    <row r="55" spans="1:8" x14ac:dyDescent="0.2">
      <c r="A55" s="1030" t="s">
        <v>1300</v>
      </c>
      <c r="B55" s="1029"/>
      <c r="C55" s="1029"/>
      <c r="D55" s="1029"/>
      <c r="E55" s="1029"/>
      <c r="F55" s="1029"/>
      <c r="G55" s="1029"/>
      <c r="H55" s="1029"/>
    </row>
    <row r="56" spans="1:8" x14ac:dyDescent="0.2">
      <c r="A56" s="1030" t="s">
        <v>1301</v>
      </c>
      <c r="B56" s="1029"/>
      <c r="C56" s="1029"/>
      <c r="D56" s="1029"/>
      <c r="E56" s="1029"/>
      <c r="F56" s="1029"/>
      <c r="G56" s="1029"/>
      <c r="H56" s="1029"/>
    </row>
    <row r="57" spans="1:8" x14ac:dyDescent="0.2">
      <c r="A57" s="1030" t="s">
        <v>1302</v>
      </c>
      <c r="B57" s="1029"/>
      <c r="C57" s="1029"/>
      <c r="D57" s="1029"/>
      <c r="E57" s="1029"/>
      <c r="F57" s="1029"/>
      <c r="G57" s="1029"/>
      <c r="H57" s="1029"/>
    </row>
    <row r="58" spans="1:8" x14ac:dyDescent="0.2">
      <c r="A58" s="1029"/>
      <c r="B58" s="1029"/>
      <c r="C58" s="1029"/>
      <c r="D58" s="1029"/>
      <c r="E58" s="1029"/>
      <c r="F58" s="1029"/>
      <c r="G58" s="1029"/>
      <c r="H58" s="1029"/>
    </row>
    <row r="59" spans="1:8" ht="15.75" x14ac:dyDescent="0.2">
      <c r="A59" s="1031" t="s">
        <v>1018</v>
      </c>
      <c r="B59" s="1029"/>
      <c r="C59" s="1029"/>
      <c r="D59" s="1029"/>
      <c r="E59" s="1029"/>
      <c r="F59" s="1029"/>
      <c r="G59" s="1029"/>
      <c r="H59" s="1029"/>
    </row>
    <row r="60" spans="1:8" x14ac:dyDescent="0.2">
      <c r="A60" s="1029"/>
      <c r="B60" s="1029"/>
      <c r="C60" s="1029"/>
      <c r="D60" s="1029"/>
      <c r="E60" s="1029"/>
      <c r="F60" s="1029"/>
      <c r="G60" s="1029"/>
      <c r="H60" s="1029"/>
    </row>
    <row r="61" spans="1:8" x14ac:dyDescent="0.2">
      <c r="A61" s="1030" t="s">
        <v>1293</v>
      </c>
      <c r="B61" s="1029"/>
      <c r="C61" s="1029"/>
      <c r="D61" s="1029"/>
      <c r="E61" s="1029"/>
      <c r="F61" s="1029"/>
      <c r="G61" s="1029"/>
      <c r="H61" s="1029"/>
    </row>
    <row r="62" spans="1:8" x14ac:dyDescent="0.2">
      <c r="A62" s="1030" t="s">
        <v>1294</v>
      </c>
      <c r="B62" s="1029"/>
      <c r="C62" s="1029"/>
      <c r="D62" s="1029"/>
      <c r="E62" s="1029"/>
      <c r="F62" s="1029"/>
      <c r="G62" s="1029"/>
      <c r="H62" s="1029"/>
    </row>
    <row r="63" spans="1:8" x14ac:dyDescent="0.2">
      <c r="A63" s="1030" t="s">
        <v>1295</v>
      </c>
      <c r="B63" s="1029"/>
      <c r="C63" s="1029"/>
      <c r="D63" s="1029"/>
      <c r="E63" s="1029"/>
      <c r="F63" s="1029"/>
      <c r="G63" s="1029"/>
      <c r="H63" s="1029"/>
    </row>
    <row r="64" spans="1:8" x14ac:dyDescent="0.2">
      <c r="A64" s="1030" t="s">
        <v>1296</v>
      </c>
      <c r="B64" s="1029"/>
      <c r="C64" s="1029"/>
      <c r="D64" s="1029"/>
      <c r="E64" s="1029"/>
      <c r="F64" s="1029"/>
      <c r="G64" s="1029"/>
      <c r="H64" s="1029"/>
    </row>
    <row r="65" spans="1:8" x14ac:dyDescent="0.2">
      <c r="A65" s="1029"/>
      <c r="B65" s="1029"/>
      <c r="C65" s="1029"/>
      <c r="D65" s="1029"/>
      <c r="E65" s="1029"/>
      <c r="F65" s="1029"/>
      <c r="G65" s="1029"/>
      <c r="H65" s="1029"/>
    </row>
    <row r="66" spans="1:8" x14ac:dyDescent="0.2">
      <c r="A66" s="1030" t="s">
        <v>1019</v>
      </c>
      <c r="B66" s="1029"/>
      <c r="C66" s="1029"/>
      <c r="D66" s="1029"/>
      <c r="E66" s="1029"/>
      <c r="F66" s="1029"/>
      <c r="G66" s="1029"/>
      <c r="H66" s="1029"/>
    </row>
    <row r="67" spans="1:8" x14ac:dyDescent="0.2">
      <c r="A67" s="1029"/>
      <c r="B67" s="1029"/>
      <c r="C67" s="1029"/>
      <c r="D67" s="1029"/>
      <c r="E67" s="1029"/>
      <c r="F67" s="1029"/>
      <c r="G67" s="1029"/>
      <c r="H67" s="1029"/>
    </row>
    <row r="68" spans="1:8" ht="15.75" x14ac:dyDescent="0.2">
      <c r="A68" s="1031" t="s">
        <v>1020</v>
      </c>
      <c r="B68" s="1029"/>
      <c r="C68" s="1029"/>
      <c r="D68" s="1029"/>
      <c r="E68" s="1029"/>
      <c r="F68" s="1029"/>
      <c r="G68" s="1029"/>
      <c r="H68" s="1029"/>
    </row>
    <row r="69" spans="1:8" x14ac:dyDescent="0.2">
      <c r="A69" s="1029"/>
      <c r="B69" s="1029"/>
      <c r="C69" s="1029"/>
      <c r="D69" s="1029"/>
      <c r="E69" s="1029"/>
      <c r="F69" s="1029"/>
      <c r="G69" s="1029"/>
      <c r="H69" s="1029"/>
    </row>
    <row r="70" spans="1:8" x14ac:dyDescent="0.2">
      <c r="A70" s="1030" t="s">
        <v>1291</v>
      </c>
      <c r="B70" s="1029"/>
      <c r="C70" s="1029"/>
      <c r="D70" s="1029"/>
      <c r="E70" s="1029"/>
      <c r="F70" s="1029"/>
      <c r="G70" s="1029"/>
      <c r="H70" s="1029"/>
    </row>
    <row r="71" spans="1:8" x14ac:dyDescent="0.2">
      <c r="A71" s="1030" t="s">
        <v>1292</v>
      </c>
      <c r="B71" s="1029"/>
      <c r="C71" s="1029"/>
      <c r="D71" s="1029"/>
      <c r="E71" s="1029"/>
      <c r="F71" s="1029"/>
      <c r="G71" s="1029"/>
      <c r="H71" s="1029"/>
    </row>
    <row r="72" spans="1:8" x14ac:dyDescent="0.2">
      <c r="A72" s="1029"/>
      <c r="B72" s="1029"/>
      <c r="C72" s="1029"/>
      <c r="D72" s="1029"/>
      <c r="E72" s="1029"/>
      <c r="F72" s="1029"/>
      <c r="G72" s="1029"/>
      <c r="H72" s="1029"/>
    </row>
    <row r="73" spans="1:8" ht="15.75" x14ac:dyDescent="0.2">
      <c r="A73" s="1031" t="s">
        <v>1021</v>
      </c>
      <c r="B73" s="1029"/>
      <c r="C73" s="1029"/>
      <c r="D73" s="1029"/>
      <c r="E73" s="1029"/>
      <c r="F73" s="1029"/>
      <c r="G73" s="1029"/>
      <c r="H73" s="1029"/>
    </row>
    <row r="74" spans="1:8" x14ac:dyDescent="0.2">
      <c r="A74" s="1029"/>
      <c r="B74" s="1029"/>
      <c r="C74" s="1029"/>
      <c r="D74" s="1029"/>
      <c r="E74" s="1029"/>
      <c r="F74" s="1029"/>
      <c r="G74" s="1029"/>
      <c r="H74" s="1029"/>
    </row>
    <row r="75" spans="1:8" x14ac:dyDescent="0.2">
      <c r="A75" s="1030" t="s">
        <v>1289</v>
      </c>
      <c r="B75" s="1029"/>
      <c r="C75" s="1029"/>
      <c r="D75" s="1029"/>
      <c r="E75" s="1029"/>
      <c r="F75" s="1029"/>
      <c r="G75" s="1029"/>
      <c r="H75" s="1029"/>
    </row>
    <row r="76" spans="1:8" x14ac:dyDescent="0.2">
      <c r="A76" s="1030" t="s">
        <v>1290</v>
      </c>
      <c r="B76" s="1029"/>
      <c r="C76" s="1029"/>
      <c r="D76" s="1029"/>
      <c r="E76" s="1029"/>
      <c r="F76" s="1029"/>
      <c r="G76" s="1029"/>
      <c r="H76" s="1029"/>
    </row>
    <row r="77" spans="1:8" x14ac:dyDescent="0.2">
      <c r="A77" s="1029"/>
      <c r="B77" s="1029"/>
      <c r="C77" s="1029"/>
      <c r="D77" s="1029"/>
      <c r="E77" s="1029"/>
      <c r="F77" s="1029"/>
      <c r="G77" s="1029"/>
      <c r="H77" s="1029"/>
    </row>
    <row r="78" spans="1:8" x14ac:dyDescent="0.2">
      <c r="A78" s="1030" t="s">
        <v>1287</v>
      </c>
      <c r="B78" s="1029"/>
      <c r="C78" s="1029"/>
      <c r="D78" s="1029"/>
      <c r="E78" s="1029"/>
      <c r="F78" s="1029"/>
      <c r="G78" s="1029"/>
      <c r="H78" s="1029"/>
    </row>
    <row r="79" spans="1:8" x14ac:dyDescent="0.2">
      <c r="A79" s="1030" t="s">
        <v>1288</v>
      </c>
      <c r="B79" s="1029"/>
      <c r="C79" s="1029"/>
      <c r="D79" s="1029"/>
      <c r="E79" s="1029"/>
      <c r="F79" s="1029"/>
      <c r="G79" s="1029"/>
      <c r="H79" s="1029"/>
    </row>
    <row r="80" spans="1:8" x14ac:dyDescent="0.2">
      <c r="A80" s="1029"/>
      <c r="B80" s="1029"/>
      <c r="C80" s="1029"/>
      <c r="D80" s="1029"/>
      <c r="E80" s="1029"/>
      <c r="F80" s="1029"/>
      <c r="G80" s="1029"/>
      <c r="H80" s="1029"/>
    </row>
    <row r="81" spans="1:8" x14ac:dyDescent="0.2">
      <c r="A81" s="1030" t="s">
        <v>1285</v>
      </c>
      <c r="B81" s="1029"/>
      <c r="C81" s="1029"/>
      <c r="D81" s="1029"/>
      <c r="E81" s="1029"/>
      <c r="F81" s="1029"/>
      <c r="G81" s="1029"/>
      <c r="H81" s="1029"/>
    </row>
    <row r="82" spans="1:8" x14ac:dyDescent="0.2">
      <c r="A82" s="1030" t="s">
        <v>1286</v>
      </c>
      <c r="B82" s="1029"/>
      <c r="C82" s="1029"/>
      <c r="D82" s="1029"/>
      <c r="E82" s="1029"/>
      <c r="F82" s="1029"/>
      <c r="G82" s="1029"/>
      <c r="H82" s="1029"/>
    </row>
    <row r="83" spans="1:8" x14ac:dyDescent="0.2">
      <c r="A83" s="1029"/>
      <c r="B83" s="1029"/>
      <c r="C83" s="1029"/>
      <c r="D83" s="1029"/>
      <c r="E83" s="1029"/>
      <c r="F83" s="1029"/>
      <c r="G83" s="1029"/>
      <c r="H83" s="1029"/>
    </row>
    <row r="84" spans="1:8" x14ac:dyDescent="0.2">
      <c r="A84" s="1030" t="s">
        <v>1283</v>
      </c>
      <c r="B84" s="1029"/>
      <c r="C84" s="1029"/>
      <c r="D84" s="1029"/>
      <c r="E84" s="1029"/>
      <c r="F84" s="1029"/>
      <c r="G84" s="1029"/>
      <c r="H84" s="1029"/>
    </row>
    <row r="85" spans="1:8" x14ac:dyDescent="0.2">
      <c r="A85" s="1030" t="s">
        <v>1284</v>
      </c>
      <c r="B85" s="1029"/>
      <c r="C85" s="1029"/>
      <c r="D85" s="1029"/>
      <c r="E85" s="1029"/>
      <c r="F85" s="1029"/>
      <c r="G85" s="1029"/>
      <c r="H85" s="1029"/>
    </row>
    <row r="86" spans="1:8" x14ac:dyDescent="0.2">
      <c r="A86" s="1029"/>
      <c r="B86" s="1029"/>
      <c r="C86" s="1029"/>
      <c r="D86" s="1029"/>
      <c r="E86" s="1029"/>
      <c r="F86" s="1029"/>
      <c r="G86" s="1029"/>
      <c r="H86" s="1029"/>
    </row>
    <row r="87" spans="1:8" x14ac:dyDescent="0.2">
      <c r="A87" s="1030" t="s">
        <v>1280</v>
      </c>
      <c r="B87" s="1029"/>
      <c r="C87" s="1029"/>
      <c r="D87" s="1029"/>
      <c r="E87" s="1029"/>
      <c r="F87" s="1029"/>
      <c r="G87" s="1029"/>
      <c r="H87" s="1029"/>
    </row>
    <row r="88" spans="1:8" x14ac:dyDescent="0.2">
      <c r="A88" s="1030" t="s">
        <v>1281</v>
      </c>
      <c r="B88" s="1029"/>
      <c r="C88" s="1029"/>
      <c r="D88" s="1029"/>
      <c r="E88" s="1029"/>
      <c r="F88" s="1029"/>
      <c r="G88" s="1029"/>
      <c r="H88" s="1029"/>
    </row>
    <row r="89" spans="1:8" x14ac:dyDescent="0.2">
      <c r="A89" s="1030" t="s">
        <v>1282</v>
      </c>
      <c r="B89" s="1029"/>
      <c r="C89" s="1029"/>
      <c r="D89" s="1029"/>
      <c r="E89" s="1029"/>
      <c r="F89" s="1029"/>
      <c r="G89" s="1029"/>
      <c r="H89" s="1029"/>
    </row>
    <row r="90" spans="1:8" x14ac:dyDescent="0.2">
      <c r="A90" s="1029"/>
      <c r="B90" s="1029"/>
      <c r="C90" s="1029"/>
      <c r="D90" s="1029"/>
      <c r="E90" s="1029"/>
      <c r="F90" s="1029"/>
      <c r="G90" s="1029"/>
      <c r="H90" s="1029"/>
    </row>
    <row r="91" spans="1:8" x14ac:dyDescent="0.2">
      <c r="A91" s="1030" t="s">
        <v>1275</v>
      </c>
      <c r="B91" s="1029"/>
      <c r="C91" s="1029"/>
      <c r="D91" s="1029"/>
      <c r="E91" s="1029"/>
      <c r="F91" s="1029"/>
      <c r="G91" s="1029"/>
      <c r="H91" s="1029"/>
    </row>
    <row r="92" spans="1:8" x14ac:dyDescent="0.2">
      <c r="A92" s="1030" t="s">
        <v>1276</v>
      </c>
      <c r="B92" s="1029"/>
      <c r="C92" s="1029"/>
      <c r="D92" s="1029"/>
      <c r="E92" s="1029"/>
      <c r="F92" s="1029"/>
      <c r="G92" s="1029"/>
      <c r="H92" s="1029"/>
    </row>
    <row r="93" spans="1:8" x14ac:dyDescent="0.2">
      <c r="A93" s="1030" t="s">
        <v>1277</v>
      </c>
      <c r="B93" s="1029"/>
      <c r="C93" s="1029"/>
      <c r="D93" s="1029"/>
      <c r="E93" s="1029"/>
      <c r="F93" s="1029"/>
      <c r="G93" s="1029"/>
      <c r="H93" s="1029"/>
    </row>
    <row r="94" spans="1:8" x14ac:dyDescent="0.2">
      <c r="A94" s="1030" t="s">
        <v>1278</v>
      </c>
      <c r="B94" s="1029"/>
      <c r="C94" s="1029"/>
      <c r="D94" s="1029"/>
      <c r="E94" s="1029"/>
      <c r="F94" s="1029"/>
      <c r="G94" s="1029"/>
      <c r="H94" s="1029"/>
    </row>
    <row r="95" spans="1:8" x14ac:dyDescent="0.2">
      <c r="A95" s="1030" t="s">
        <v>1279</v>
      </c>
      <c r="B95" s="1029"/>
      <c r="C95" s="1029"/>
      <c r="D95" s="1029"/>
      <c r="E95" s="1029"/>
      <c r="F95" s="1029"/>
      <c r="G95" s="1029"/>
      <c r="H95" s="1029"/>
    </row>
    <row r="96" spans="1:8" x14ac:dyDescent="0.2">
      <c r="A96" s="1030" t="s">
        <v>1164</v>
      </c>
      <c r="B96" s="1029"/>
      <c r="C96" s="1029"/>
      <c r="D96" s="1029"/>
      <c r="E96" s="1029"/>
      <c r="F96" s="1029"/>
      <c r="G96" s="1029"/>
      <c r="H96" s="1029"/>
    </row>
    <row r="97" spans="1:8" x14ac:dyDescent="0.2">
      <c r="A97" s="1029"/>
      <c r="B97" s="1029"/>
      <c r="C97" s="1029"/>
      <c r="D97" s="1029"/>
      <c r="E97" s="1029"/>
      <c r="F97" s="1029"/>
      <c r="G97" s="1029"/>
      <c r="H97" s="1029"/>
    </row>
    <row r="98" spans="1:8" x14ac:dyDescent="0.2">
      <c r="A98" s="1030" t="s">
        <v>1268</v>
      </c>
      <c r="B98" s="1029"/>
      <c r="C98" s="1029"/>
      <c r="D98" s="1029"/>
      <c r="E98" s="1029"/>
      <c r="F98" s="1029"/>
      <c r="G98" s="1029"/>
      <c r="H98" s="1029"/>
    </row>
    <row r="99" spans="1:8" x14ac:dyDescent="0.2">
      <c r="A99" s="1030" t="s">
        <v>1269</v>
      </c>
      <c r="B99" s="1029"/>
      <c r="C99" s="1029"/>
      <c r="D99" s="1029"/>
      <c r="E99" s="1029"/>
      <c r="F99" s="1029"/>
      <c r="G99" s="1029"/>
      <c r="H99" s="1029"/>
    </row>
    <row r="100" spans="1:8" x14ac:dyDescent="0.2">
      <c r="A100" s="1030" t="s">
        <v>1270</v>
      </c>
      <c r="B100" s="1029"/>
      <c r="C100" s="1029"/>
      <c r="D100" s="1029"/>
      <c r="E100" s="1029"/>
      <c r="F100" s="1029"/>
      <c r="G100" s="1029"/>
      <c r="H100" s="1029"/>
    </row>
    <row r="101" spans="1:8" x14ac:dyDescent="0.2">
      <c r="A101" s="1030" t="s">
        <v>1271</v>
      </c>
      <c r="B101" s="1029"/>
      <c r="C101" s="1029"/>
      <c r="D101" s="1029"/>
      <c r="E101" s="1029"/>
      <c r="F101" s="1029"/>
      <c r="G101" s="1029"/>
      <c r="H101" s="1029"/>
    </row>
    <row r="102" spans="1:8" x14ac:dyDescent="0.2">
      <c r="A102" s="1030" t="s">
        <v>1272</v>
      </c>
      <c r="B102" s="1029"/>
      <c r="C102" s="1029"/>
      <c r="D102" s="1029"/>
      <c r="E102" s="1029"/>
      <c r="F102" s="1029"/>
      <c r="G102" s="1029"/>
      <c r="H102" s="1029"/>
    </row>
    <row r="103" spans="1:8" x14ac:dyDescent="0.2">
      <c r="A103" s="1030" t="s">
        <v>1273</v>
      </c>
      <c r="B103" s="1029"/>
      <c r="C103" s="1029"/>
      <c r="D103" s="1029"/>
      <c r="E103" s="1029"/>
      <c r="F103" s="1029"/>
      <c r="G103" s="1029"/>
      <c r="H103" s="1029"/>
    </row>
    <row r="104" spans="1:8" x14ac:dyDescent="0.2">
      <c r="A104" s="1030" t="s">
        <v>1274</v>
      </c>
      <c r="B104" s="1029"/>
      <c r="C104" s="1029"/>
      <c r="D104" s="1029"/>
      <c r="E104" s="1029"/>
      <c r="F104" s="1029"/>
      <c r="G104" s="1029"/>
      <c r="H104" s="1029"/>
    </row>
    <row r="105" spans="1:8" x14ac:dyDescent="0.2">
      <c r="A105" s="1029"/>
      <c r="B105" s="1029"/>
      <c r="C105" s="1029"/>
      <c r="D105" s="1029"/>
      <c r="E105" s="1029"/>
      <c r="F105" s="1029"/>
      <c r="G105" s="1029"/>
      <c r="H105" s="1029"/>
    </row>
    <row r="106" spans="1:8" x14ac:dyDescent="0.2">
      <c r="A106" s="1030" t="s">
        <v>1266</v>
      </c>
      <c r="B106" s="1029"/>
      <c r="C106" s="1029"/>
      <c r="D106" s="1029"/>
      <c r="E106" s="1029"/>
      <c r="F106" s="1029"/>
      <c r="G106" s="1029"/>
      <c r="H106" s="1029"/>
    </row>
    <row r="107" spans="1:8" x14ac:dyDescent="0.2">
      <c r="A107" s="1030" t="s">
        <v>1267</v>
      </c>
      <c r="B107" s="1029"/>
      <c r="C107" s="1029"/>
      <c r="D107" s="1029"/>
      <c r="E107" s="1029"/>
      <c r="F107" s="1029"/>
      <c r="G107" s="1029"/>
      <c r="H107" s="1029"/>
    </row>
    <row r="108" spans="1:8" x14ac:dyDescent="0.2">
      <c r="A108" s="1029"/>
      <c r="B108" s="1029"/>
      <c r="C108" s="1029"/>
      <c r="D108" s="1029"/>
      <c r="E108" s="1029"/>
      <c r="F108" s="1029"/>
      <c r="G108" s="1029"/>
      <c r="H108" s="1029"/>
    </row>
    <row r="109" spans="1:8" ht="15.75" x14ac:dyDescent="0.2">
      <c r="A109" s="1031" t="s">
        <v>1022</v>
      </c>
      <c r="B109" s="1029"/>
      <c r="C109" s="1029"/>
      <c r="D109" s="1029"/>
      <c r="E109" s="1029"/>
      <c r="F109" s="1029"/>
      <c r="G109" s="1029"/>
      <c r="H109" s="1029"/>
    </row>
    <row r="110" spans="1:8" x14ac:dyDescent="0.2">
      <c r="A110" s="1029"/>
      <c r="B110" s="1029"/>
      <c r="C110" s="1029"/>
      <c r="D110" s="1029"/>
      <c r="E110" s="1029"/>
      <c r="F110" s="1029"/>
      <c r="G110" s="1029"/>
      <c r="H110" s="1029"/>
    </row>
    <row r="111" spans="1:8" x14ac:dyDescent="0.2">
      <c r="A111" s="1030" t="s">
        <v>1257</v>
      </c>
      <c r="B111" s="1029"/>
      <c r="C111" s="1029"/>
      <c r="D111" s="1029"/>
      <c r="E111" s="1029"/>
      <c r="F111" s="1029"/>
      <c r="G111" s="1029"/>
      <c r="H111" s="1029"/>
    </row>
    <row r="112" spans="1:8" x14ac:dyDescent="0.2">
      <c r="A112" s="1030" t="s">
        <v>1258</v>
      </c>
      <c r="B112" s="1029"/>
      <c r="C112" s="1029"/>
      <c r="D112" s="1029"/>
      <c r="E112" s="1029"/>
      <c r="F112" s="1029"/>
      <c r="G112" s="1029"/>
      <c r="H112" s="1029"/>
    </row>
    <row r="113" spans="1:8" x14ac:dyDescent="0.2">
      <c r="A113" s="1030" t="s">
        <v>1259</v>
      </c>
      <c r="B113" s="1029"/>
      <c r="C113" s="1029"/>
      <c r="D113" s="1029"/>
      <c r="E113" s="1029"/>
      <c r="F113" s="1029"/>
      <c r="G113" s="1029"/>
      <c r="H113" s="1029"/>
    </row>
    <row r="114" spans="1:8" x14ac:dyDescent="0.2">
      <c r="A114" s="1030" t="s">
        <v>1260</v>
      </c>
      <c r="B114" s="1029"/>
      <c r="C114" s="1029"/>
      <c r="D114" s="1029"/>
      <c r="E114" s="1029"/>
      <c r="F114" s="1029"/>
      <c r="G114" s="1029"/>
      <c r="H114" s="1029"/>
    </row>
    <row r="115" spans="1:8" x14ac:dyDescent="0.2">
      <c r="A115" s="1030" t="s">
        <v>1261</v>
      </c>
      <c r="B115" s="1029"/>
      <c r="C115" s="1029"/>
      <c r="D115" s="1029"/>
      <c r="E115" s="1029"/>
      <c r="F115" s="1029"/>
      <c r="G115" s="1029"/>
      <c r="H115" s="1029"/>
    </row>
    <row r="116" spans="1:8" x14ac:dyDescent="0.2">
      <c r="A116" s="1030" t="s">
        <v>1262</v>
      </c>
      <c r="B116" s="1029"/>
      <c r="C116" s="1029"/>
      <c r="D116" s="1029"/>
      <c r="E116" s="1029"/>
      <c r="F116" s="1029"/>
      <c r="G116" s="1029"/>
      <c r="H116" s="1029"/>
    </row>
    <row r="117" spans="1:8" x14ac:dyDescent="0.2">
      <c r="A117" s="1030" t="s">
        <v>1263</v>
      </c>
      <c r="B117" s="1029"/>
      <c r="C117" s="1029"/>
      <c r="D117" s="1029"/>
      <c r="E117" s="1029"/>
      <c r="F117" s="1029"/>
      <c r="G117" s="1029"/>
      <c r="H117" s="1029"/>
    </row>
    <row r="118" spans="1:8" x14ac:dyDescent="0.2">
      <c r="A118" s="1030" t="s">
        <v>1264</v>
      </c>
      <c r="B118" s="1029"/>
      <c r="C118" s="1029"/>
      <c r="D118" s="1029"/>
      <c r="E118" s="1029"/>
      <c r="F118" s="1029"/>
      <c r="G118" s="1029"/>
      <c r="H118" s="1029"/>
    </row>
    <row r="119" spans="1:8" x14ac:dyDescent="0.2">
      <c r="A119" s="1030" t="s">
        <v>1265</v>
      </c>
      <c r="B119" s="1029"/>
      <c r="C119" s="1029"/>
      <c r="D119" s="1029"/>
      <c r="E119" s="1029"/>
      <c r="F119" s="1029"/>
      <c r="G119" s="1029"/>
      <c r="H119" s="1029"/>
    </row>
    <row r="120" spans="1:8" x14ac:dyDescent="0.2">
      <c r="A120" s="1029"/>
      <c r="B120" s="1029"/>
      <c r="C120" s="1029"/>
      <c r="D120" s="1029"/>
      <c r="E120" s="1029"/>
      <c r="F120" s="1029"/>
      <c r="G120" s="1029"/>
      <c r="H120" s="1029"/>
    </row>
    <row r="121" spans="1:8" ht="15.75" x14ac:dyDescent="0.2">
      <c r="A121" s="1044" t="s">
        <v>1023</v>
      </c>
      <c r="B121" s="1044"/>
      <c r="C121" s="1044"/>
      <c r="D121" s="1044"/>
      <c r="E121" s="1044"/>
      <c r="F121" s="1044"/>
      <c r="G121" s="1044"/>
      <c r="H121" s="1044"/>
    </row>
    <row r="122" spans="1:8" x14ac:dyDescent="0.2">
      <c r="A122" s="1040" t="s">
        <v>1024</v>
      </c>
      <c r="B122" s="1040"/>
      <c r="C122" s="1040"/>
      <c r="D122" s="1040"/>
      <c r="E122" s="1040"/>
      <c r="F122" s="1040"/>
      <c r="G122" s="1040"/>
      <c r="H122" s="1040"/>
    </row>
    <row r="123" spans="1:8" x14ac:dyDescent="0.2">
      <c r="A123" s="1045"/>
      <c r="B123" s="1045"/>
      <c r="C123" s="1045"/>
      <c r="D123" s="1045"/>
      <c r="E123" s="1045"/>
      <c r="F123" s="1045"/>
      <c r="G123" s="1045"/>
      <c r="H123" s="1045"/>
    </row>
    <row r="124" spans="1:8" x14ac:dyDescent="0.2">
      <c r="A124" s="1040" t="s">
        <v>1255</v>
      </c>
      <c r="B124" s="1040"/>
      <c r="C124" s="1040"/>
      <c r="D124" s="1040"/>
      <c r="E124" s="1040"/>
      <c r="F124" s="1040"/>
      <c r="G124" s="1040"/>
      <c r="H124" s="1040"/>
    </row>
    <row r="125" spans="1:8" x14ac:dyDescent="0.2">
      <c r="A125" s="1030" t="s">
        <v>1256</v>
      </c>
      <c r="B125" s="1030"/>
      <c r="C125" s="1030"/>
      <c r="D125" s="1030"/>
      <c r="E125" s="1030"/>
      <c r="F125" s="1030"/>
      <c r="G125" s="1030"/>
      <c r="H125" s="1030"/>
    </row>
    <row r="126" spans="1:8" x14ac:dyDescent="0.2">
      <c r="A126" s="1045"/>
      <c r="B126" s="1045"/>
      <c r="C126" s="1045"/>
      <c r="D126" s="1045"/>
      <c r="E126" s="1045"/>
      <c r="F126" s="1045"/>
      <c r="G126" s="1045"/>
      <c r="H126" s="1045"/>
    </row>
    <row r="127" spans="1:8" x14ac:dyDescent="0.2">
      <c r="A127" s="1040" t="s">
        <v>1248</v>
      </c>
      <c r="B127" s="1040"/>
      <c r="C127" s="1040"/>
      <c r="D127" s="1040"/>
      <c r="E127" s="1040"/>
      <c r="F127" s="1040"/>
      <c r="G127" s="1040"/>
      <c r="H127" s="1040"/>
    </row>
    <row r="128" spans="1:8" x14ac:dyDescent="0.2">
      <c r="A128" s="1030" t="s">
        <v>1249</v>
      </c>
      <c r="B128" s="1030"/>
      <c r="C128" s="1030"/>
      <c r="D128" s="1030"/>
      <c r="E128" s="1030"/>
      <c r="F128" s="1030"/>
      <c r="G128" s="1030"/>
      <c r="H128" s="1030"/>
    </row>
    <row r="129" spans="1:8" x14ac:dyDescent="0.2">
      <c r="A129" s="1030" t="s">
        <v>1250</v>
      </c>
      <c r="B129" s="1030"/>
      <c r="C129" s="1030"/>
      <c r="D129" s="1030"/>
      <c r="E129" s="1030"/>
      <c r="F129" s="1030"/>
      <c r="G129" s="1030"/>
      <c r="H129" s="1030"/>
    </row>
    <row r="130" spans="1:8" x14ac:dyDescent="0.2">
      <c r="A130" s="1030" t="s">
        <v>1251</v>
      </c>
      <c r="B130" s="1030"/>
      <c r="C130" s="1030"/>
      <c r="D130" s="1030"/>
      <c r="E130" s="1030"/>
      <c r="F130" s="1030"/>
      <c r="G130" s="1030"/>
      <c r="H130" s="1030"/>
    </row>
    <row r="131" spans="1:8" x14ac:dyDescent="0.2">
      <c r="A131" s="1030" t="s">
        <v>1252</v>
      </c>
      <c r="B131" s="1030"/>
      <c r="C131" s="1030"/>
      <c r="D131" s="1030"/>
      <c r="E131" s="1030"/>
      <c r="F131" s="1030"/>
      <c r="G131" s="1030"/>
      <c r="H131" s="1030"/>
    </row>
    <row r="132" spans="1:8" x14ac:dyDescent="0.2">
      <c r="A132" s="1030" t="s">
        <v>1253</v>
      </c>
      <c r="B132" s="1030"/>
      <c r="C132" s="1030"/>
      <c r="D132" s="1030"/>
      <c r="E132" s="1030"/>
      <c r="F132" s="1030"/>
      <c r="G132" s="1030"/>
      <c r="H132" s="1030"/>
    </row>
    <row r="133" spans="1:8" x14ac:dyDescent="0.2">
      <c r="A133" s="1030" t="s">
        <v>1254</v>
      </c>
      <c r="B133" s="1030"/>
      <c r="C133" s="1030"/>
      <c r="D133" s="1030"/>
      <c r="E133" s="1030"/>
      <c r="F133" s="1030"/>
      <c r="G133" s="1030"/>
      <c r="H133" s="1030"/>
    </row>
    <row r="134" spans="1:8" x14ac:dyDescent="0.2">
      <c r="A134" s="1046"/>
      <c r="B134" s="1046"/>
      <c r="C134" s="1046"/>
      <c r="D134" s="1046"/>
      <c r="E134" s="1046"/>
      <c r="F134" s="1046"/>
      <c r="G134" s="1046"/>
      <c r="H134" s="1046"/>
    </row>
    <row r="135" spans="1:8" x14ac:dyDescent="0.2">
      <c r="A135" s="1032"/>
      <c r="B135" s="1041" t="s">
        <v>1025</v>
      </c>
      <c r="C135" s="1042"/>
      <c r="D135" s="1041" t="s">
        <v>1026</v>
      </c>
      <c r="E135" s="1043"/>
      <c r="F135" s="1042"/>
      <c r="G135" s="1041" t="s">
        <v>1027</v>
      </c>
      <c r="H135" s="1042"/>
    </row>
    <row r="136" spans="1:8" x14ac:dyDescent="0.2">
      <c r="A136" s="1032" t="s">
        <v>1028</v>
      </c>
      <c r="B136" s="1032" t="s">
        <v>288</v>
      </c>
      <c r="C136" s="1032" t="s">
        <v>1029</v>
      </c>
      <c r="D136" s="1032" t="s">
        <v>288</v>
      </c>
      <c r="E136" s="1032" t="s">
        <v>1030</v>
      </c>
      <c r="F136" s="1032" t="s">
        <v>1031</v>
      </c>
      <c r="G136" s="1032" t="s">
        <v>288</v>
      </c>
      <c r="H136" s="1032" t="s">
        <v>1032</v>
      </c>
    </row>
    <row r="137" spans="1:8" x14ac:dyDescent="0.2">
      <c r="A137" s="1032" t="s">
        <v>1033</v>
      </c>
      <c r="B137" s="1032">
        <v>1173</v>
      </c>
      <c r="C137" s="1032">
        <v>0.37</v>
      </c>
      <c r="D137" s="1032">
        <v>318</v>
      </c>
      <c r="E137" s="1032">
        <v>0.41</v>
      </c>
      <c r="F137" s="1032">
        <v>0.27</v>
      </c>
      <c r="G137" s="1032">
        <v>571</v>
      </c>
      <c r="H137" s="1032">
        <v>0.39</v>
      </c>
    </row>
    <row r="138" spans="1:8" x14ac:dyDescent="0.2">
      <c r="A138" s="1032" t="s">
        <v>1034</v>
      </c>
      <c r="B138" s="1032">
        <v>1390</v>
      </c>
      <c r="C138" s="1032">
        <v>0.44</v>
      </c>
      <c r="D138" s="1032">
        <v>359</v>
      </c>
      <c r="E138" s="1032">
        <v>0.47</v>
      </c>
      <c r="F138" s="1032">
        <v>0.26</v>
      </c>
      <c r="G138" s="1032">
        <v>653</v>
      </c>
      <c r="H138" s="1032">
        <v>0.45</v>
      </c>
    </row>
    <row r="139" spans="1:8" x14ac:dyDescent="0.2">
      <c r="A139" s="1032" t="s">
        <v>1035</v>
      </c>
      <c r="B139" s="1032">
        <v>53</v>
      </c>
      <c r="C139" s="1032">
        <v>0.02</v>
      </c>
      <c r="D139" s="1032">
        <v>5</v>
      </c>
      <c r="E139" s="1032">
        <v>0.01</v>
      </c>
      <c r="F139" s="1032">
        <v>0.09</v>
      </c>
      <c r="G139" s="1032">
        <v>8</v>
      </c>
      <c r="H139" s="1032">
        <v>0.01</v>
      </c>
    </row>
    <row r="140" spans="1:8" x14ac:dyDescent="0.2">
      <c r="A140" s="1032" t="s">
        <v>1036</v>
      </c>
      <c r="B140" s="1032">
        <v>564</v>
      </c>
      <c r="C140" s="1032">
        <v>0.18</v>
      </c>
      <c r="D140" s="1032">
        <v>90</v>
      </c>
      <c r="E140" s="1032">
        <v>0.12</v>
      </c>
      <c r="F140" s="1032">
        <v>0.16</v>
      </c>
      <c r="G140" s="1032">
        <v>219</v>
      </c>
      <c r="H140" s="1032">
        <v>0.15</v>
      </c>
    </row>
    <row r="141" spans="1:8" x14ac:dyDescent="0.2">
      <c r="A141" s="1032" t="s">
        <v>966</v>
      </c>
      <c r="B141" s="1032">
        <v>3180</v>
      </c>
      <c r="C141" s="1032"/>
      <c r="D141" s="1032">
        <v>772</v>
      </c>
      <c r="E141" s="1032"/>
      <c r="F141" s="1032"/>
      <c r="G141" s="1032">
        <v>1451</v>
      </c>
      <c r="H141" s="1032"/>
    </row>
    <row r="142" spans="1:8" x14ac:dyDescent="0.2">
      <c r="A142" s="1039"/>
      <c r="B142" s="1039"/>
      <c r="C142" s="1039"/>
      <c r="D142" s="1039"/>
      <c r="E142" s="1039"/>
      <c r="F142" s="1039"/>
      <c r="G142" s="1039"/>
      <c r="H142" s="1039"/>
    </row>
    <row r="143" spans="1:8" x14ac:dyDescent="0.2">
      <c r="A143" s="1040" t="s">
        <v>1244</v>
      </c>
      <c r="B143" s="1040"/>
      <c r="C143" s="1040"/>
      <c r="D143" s="1040"/>
      <c r="E143" s="1040"/>
      <c r="F143" s="1040"/>
      <c r="G143" s="1040"/>
      <c r="H143" s="1040"/>
    </row>
    <row r="144" spans="1:8" x14ac:dyDescent="0.2">
      <c r="A144" s="1030" t="s">
        <v>1245</v>
      </c>
      <c r="B144" s="1030"/>
      <c r="C144" s="1030"/>
      <c r="D144" s="1030"/>
      <c r="E144" s="1030"/>
      <c r="F144" s="1030"/>
      <c r="G144" s="1030"/>
      <c r="H144" s="1030"/>
    </row>
    <row r="145" spans="1:8" x14ac:dyDescent="0.2">
      <c r="A145" s="1030" t="s">
        <v>1246</v>
      </c>
      <c r="B145" s="1030"/>
      <c r="C145" s="1030"/>
      <c r="D145" s="1030"/>
      <c r="E145" s="1030"/>
      <c r="F145" s="1030"/>
      <c r="G145" s="1030"/>
      <c r="H145" s="1030"/>
    </row>
    <row r="146" spans="1:8" x14ac:dyDescent="0.2">
      <c r="A146" s="1030" t="s">
        <v>1247</v>
      </c>
      <c r="B146" s="1030"/>
      <c r="C146" s="1030"/>
      <c r="D146" s="1030"/>
      <c r="E146" s="1030"/>
      <c r="F146" s="1030"/>
      <c r="G146" s="1030"/>
      <c r="H146" s="1030"/>
    </row>
    <row r="147" spans="1:8" x14ac:dyDescent="0.2">
      <c r="A147" s="1029"/>
      <c r="B147" s="1029"/>
      <c r="C147" s="1029"/>
      <c r="D147" s="1029"/>
      <c r="E147" s="1029"/>
      <c r="F147" s="1029"/>
      <c r="G147" s="1029"/>
      <c r="H147" s="1029"/>
    </row>
    <row r="148" spans="1:8" ht="15.75" x14ac:dyDescent="0.2">
      <c r="A148" s="1031" t="s">
        <v>1037</v>
      </c>
      <c r="B148" s="1029"/>
      <c r="C148" s="1029"/>
      <c r="D148" s="1029"/>
      <c r="E148" s="1029"/>
      <c r="F148" s="1029"/>
      <c r="G148" s="1029"/>
      <c r="H148" s="1029"/>
    </row>
    <row r="149" spans="1:8" x14ac:dyDescent="0.2">
      <c r="A149" s="1029"/>
      <c r="B149" s="1029"/>
      <c r="C149" s="1029"/>
      <c r="D149" s="1029"/>
      <c r="E149" s="1029"/>
      <c r="F149" s="1029"/>
      <c r="G149" s="1029"/>
      <c r="H149" s="1029"/>
    </row>
    <row r="150" spans="1:8" x14ac:dyDescent="0.2">
      <c r="A150" s="1030" t="s">
        <v>1242</v>
      </c>
      <c r="B150" s="1029"/>
      <c r="C150" s="1029"/>
      <c r="D150" s="1029"/>
      <c r="E150" s="1029"/>
      <c r="F150" s="1029"/>
      <c r="G150" s="1029"/>
      <c r="H150" s="1029"/>
    </row>
    <row r="151" spans="1:8" x14ac:dyDescent="0.2">
      <c r="A151" s="1030" t="s">
        <v>1243</v>
      </c>
      <c r="B151" s="1029"/>
      <c r="C151" s="1029"/>
      <c r="D151" s="1029"/>
      <c r="E151" s="1029"/>
      <c r="F151" s="1029"/>
      <c r="G151" s="1029"/>
      <c r="H151" s="1029"/>
    </row>
    <row r="152" spans="1:8" x14ac:dyDescent="0.2">
      <c r="A152" s="1029"/>
      <c r="B152" s="1029"/>
      <c r="C152" s="1029"/>
      <c r="D152" s="1029"/>
      <c r="E152" s="1029"/>
      <c r="F152" s="1029"/>
      <c r="G152" s="1029"/>
      <c r="H152" s="1029"/>
    </row>
    <row r="153" spans="1:8" x14ac:dyDescent="0.2">
      <c r="A153" s="1030" t="s">
        <v>1239</v>
      </c>
      <c r="B153" s="1029"/>
      <c r="C153" s="1029"/>
      <c r="D153" s="1029"/>
      <c r="E153" s="1029"/>
      <c r="F153" s="1029"/>
      <c r="G153" s="1029"/>
      <c r="H153" s="1029"/>
    </row>
    <row r="154" spans="1:8" x14ac:dyDescent="0.2">
      <c r="A154" s="1030" t="s">
        <v>1240</v>
      </c>
      <c r="B154" s="1029"/>
      <c r="C154" s="1029"/>
      <c r="D154" s="1029"/>
      <c r="E154" s="1029"/>
      <c r="F154" s="1029"/>
      <c r="G154" s="1029"/>
      <c r="H154" s="1029"/>
    </row>
    <row r="155" spans="1:8" x14ac:dyDescent="0.2">
      <c r="A155" s="1030" t="s">
        <v>1241</v>
      </c>
      <c r="B155" s="1029"/>
      <c r="C155" s="1029"/>
      <c r="D155" s="1029"/>
      <c r="E155" s="1029"/>
      <c r="F155" s="1029"/>
      <c r="G155" s="1029"/>
      <c r="H155" s="1029"/>
    </row>
    <row r="156" spans="1:8" x14ac:dyDescent="0.2">
      <c r="A156" s="1029"/>
      <c r="B156" s="1029"/>
      <c r="C156" s="1029"/>
      <c r="D156" s="1029"/>
      <c r="E156" s="1029"/>
      <c r="F156" s="1029"/>
      <c r="G156" s="1029"/>
      <c r="H156" s="1029"/>
    </row>
    <row r="157" spans="1:8" x14ac:dyDescent="0.2">
      <c r="A157" s="1030" t="s">
        <v>1236</v>
      </c>
      <c r="B157" s="1029"/>
      <c r="C157" s="1029"/>
      <c r="D157" s="1029"/>
      <c r="E157" s="1029"/>
      <c r="F157" s="1029"/>
      <c r="G157" s="1029"/>
      <c r="H157" s="1029"/>
    </row>
    <row r="158" spans="1:8" x14ac:dyDescent="0.2">
      <c r="A158" s="1030" t="s">
        <v>1237</v>
      </c>
      <c r="B158" s="1029"/>
      <c r="C158" s="1029"/>
      <c r="D158" s="1029"/>
      <c r="E158" s="1029"/>
      <c r="F158" s="1029"/>
      <c r="G158" s="1029"/>
      <c r="H158" s="1029"/>
    </row>
    <row r="159" spans="1:8" x14ac:dyDescent="0.2">
      <c r="A159" s="1030" t="s">
        <v>1238</v>
      </c>
      <c r="B159" s="1029"/>
      <c r="C159" s="1029"/>
      <c r="D159" s="1029"/>
      <c r="E159" s="1029"/>
      <c r="F159" s="1029"/>
      <c r="G159" s="1029"/>
      <c r="H159" s="1029"/>
    </row>
    <row r="160" spans="1:8" x14ac:dyDescent="0.2">
      <c r="A160" s="1029"/>
      <c r="B160" s="1029"/>
      <c r="C160" s="1029"/>
      <c r="D160" s="1029"/>
      <c r="E160" s="1029"/>
      <c r="F160" s="1029"/>
      <c r="G160" s="1029"/>
      <c r="H160" s="1029"/>
    </row>
    <row r="161" spans="1:8" x14ac:dyDescent="0.2">
      <c r="A161" s="1030" t="s">
        <v>1233</v>
      </c>
      <c r="B161" s="1029"/>
      <c r="C161" s="1029"/>
      <c r="D161" s="1029"/>
      <c r="E161" s="1029"/>
      <c r="F161" s="1029"/>
      <c r="G161" s="1029"/>
      <c r="H161" s="1029"/>
    </row>
    <row r="162" spans="1:8" x14ac:dyDescent="0.2">
      <c r="A162" s="1030" t="s">
        <v>1234</v>
      </c>
      <c r="B162" s="1029"/>
      <c r="C162" s="1029"/>
      <c r="D162" s="1029"/>
      <c r="E162" s="1029"/>
      <c r="F162" s="1029"/>
      <c r="G162" s="1029"/>
      <c r="H162" s="1029"/>
    </row>
    <row r="163" spans="1:8" x14ac:dyDescent="0.2">
      <c r="A163" s="1030" t="s">
        <v>1235</v>
      </c>
      <c r="B163" s="1029"/>
      <c r="C163" s="1029"/>
      <c r="D163" s="1029"/>
      <c r="E163" s="1029"/>
      <c r="F163" s="1029"/>
      <c r="G163" s="1029"/>
      <c r="H163" s="1029"/>
    </row>
    <row r="164" spans="1:8" x14ac:dyDescent="0.2">
      <c r="A164" s="1029"/>
      <c r="B164" s="1029"/>
      <c r="C164" s="1029"/>
      <c r="D164" s="1029"/>
      <c r="E164" s="1029"/>
      <c r="F164" s="1029"/>
      <c r="G164" s="1029"/>
      <c r="H164" s="1029"/>
    </row>
    <row r="165" spans="1:8" x14ac:dyDescent="0.2">
      <c r="A165" s="1030" t="s">
        <v>1231</v>
      </c>
      <c r="B165" s="1029"/>
      <c r="C165" s="1029"/>
      <c r="D165" s="1029"/>
      <c r="E165" s="1029"/>
      <c r="F165" s="1029"/>
      <c r="G165" s="1029"/>
      <c r="H165" s="1029"/>
    </row>
    <row r="166" spans="1:8" x14ac:dyDescent="0.2">
      <c r="A166" s="1030" t="s">
        <v>1232</v>
      </c>
      <c r="B166" s="1029"/>
      <c r="C166" s="1029"/>
      <c r="D166" s="1029"/>
      <c r="E166" s="1029"/>
      <c r="F166" s="1029"/>
      <c r="G166" s="1029"/>
      <c r="H166" s="1029"/>
    </row>
    <row r="167" spans="1:8" x14ac:dyDescent="0.2">
      <c r="A167" s="1029"/>
      <c r="B167" s="1029"/>
      <c r="C167" s="1029"/>
      <c r="D167" s="1029"/>
      <c r="E167" s="1029"/>
      <c r="F167" s="1029"/>
      <c r="G167" s="1029"/>
      <c r="H167" s="1029"/>
    </row>
    <row r="168" spans="1:8" ht="15.75" x14ac:dyDescent="0.2">
      <c r="A168" s="1031" t="s">
        <v>1038</v>
      </c>
      <c r="B168" s="1029"/>
      <c r="C168" s="1029"/>
      <c r="D168" s="1029"/>
      <c r="E168" s="1029"/>
      <c r="F168" s="1029"/>
      <c r="G168" s="1029"/>
      <c r="H168" s="1029"/>
    </row>
    <row r="169" spans="1:8" x14ac:dyDescent="0.2">
      <c r="A169" s="1029"/>
      <c r="B169" s="1029"/>
      <c r="C169" s="1029"/>
      <c r="D169" s="1029"/>
      <c r="E169" s="1029"/>
      <c r="F169" s="1029"/>
      <c r="G169" s="1029"/>
      <c r="H169" s="1029"/>
    </row>
    <row r="170" spans="1:8" x14ac:dyDescent="0.2">
      <c r="A170" s="1030" t="s">
        <v>1229</v>
      </c>
      <c r="B170" s="1029"/>
      <c r="C170" s="1029"/>
      <c r="D170" s="1029"/>
      <c r="E170" s="1029"/>
      <c r="F170" s="1029"/>
      <c r="G170" s="1029"/>
      <c r="H170" s="1029"/>
    </row>
    <row r="171" spans="1:8" x14ac:dyDescent="0.2">
      <c r="A171" s="1030" t="s">
        <v>1230</v>
      </c>
      <c r="B171" s="1029"/>
      <c r="C171" s="1029"/>
      <c r="D171" s="1029"/>
      <c r="E171" s="1029"/>
      <c r="F171" s="1029"/>
      <c r="G171" s="1029"/>
      <c r="H171" s="1029"/>
    </row>
    <row r="172" spans="1:8" x14ac:dyDescent="0.2">
      <c r="A172" s="1029"/>
      <c r="B172" s="1029"/>
      <c r="C172" s="1029"/>
      <c r="D172" s="1029"/>
      <c r="E172" s="1029"/>
      <c r="F172" s="1029"/>
      <c r="G172" s="1029"/>
      <c r="H172" s="1029"/>
    </row>
    <row r="173" spans="1:8" x14ac:dyDescent="0.2">
      <c r="A173" s="1030" t="s">
        <v>1227</v>
      </c>
      <c r="B173" s="1029"/>
      <c r="C173" s="1029"/>
      <c r="D173" s="1029"/>
      <c r="E173" s="1029"/>
      <c r="F173" s="1029"/>
      <c r="G173" s="1029"/>
      <c r="H173" s="1029"/>
    </row>
    <row r="174" spans="1:8" x14ac:dyDescent="0.2">
      <c r="A174" s="1030" t="s">
        <v>1228</v>
      </c>
      <c r="B174" s="1029"/>
      <c r="C174" s="1029"/>
      <c r="D174" s="1029"/>
      <c r="E174" s="1029"/>
      <c r="F174" s="1029"/>
      <c r="G174" s="1029"/>
      <c r="H174" s="1029"/>
    </row>
    <row r="175" spans="1:8" x14ac:dyDescent="0.2">
      <c r="A175" s="1029"/>
      <c r="B175" s="1029"/>
      <c r="C175" s="1029"/>
      <c r="D175" s="1029"/>
      <c r="E175" s="1029"/>
      <c r="F175" s="1029"/>
      <c r="G175" s="1029"/>
      <c r="H175" s="1029"/>
    </row>
    <row r="176" spans="1:8" x14ac:dyDescent="0.2">
      <c r="A176" s="1030" t="s">
        <v>1225</v>
      </c>
      <c r="B176" s="1029"/>
      <c r="C176" s="1029"/>
      <c r="D176" s="1029"/>
      <c r="E176" s="1029"/>
      <c r="F176" s="1029"/>
      <c r="G176" s="1029"/>
      <c r="H176" s="1029"/>
    </row>
    <row r="177" spans="1:8" x14ac:dyDescent="0.2">
      <c r="A177" s="1030" t="s">
        <v>1226</v>
      </c>
      <c r="B177" s="1029"/>
      <c r="C177" s="1029"/>
      <c r="D177" s="1029"/>
      <c r="E177" s="1029"/>
      <c r="F177" s="1029"/>
      <c r="G177" s="1029"/>
      <c r="H177" s="1029"/>
    </row>
    <row r="178" spans="1:8" x14ac:dyDescent="0.2">
      <c r="A178" s="1029"/>
      <c r="B178" s="1029"/>
      <c r="C178" s="1029"/>
      <c r="D178" s="1029"/>
      <c r="E178" s="1029"/>
      <c r="F178" s="1029"/>
      <c r="G178" s="1029"/>
      <c r="H178" s="1029"/>
    </row>
    <row r="179" spans="1:8" x14ac:dyDescent="0.2">
      <c r="A179" s="1030" t="s">
        <v>1222</v>
      </c>
      <c r="B179" s="1029"/>
      <c r="C179" s="1029"/>
      <c r="D179" s="1029"/>
      <c r="E179" s="1029"/>
      <c r="F179" s="1029"/>
      <c r="G179" s="1029"/>
      <c r="H179" s="1029"/>
    </row>
    <row r="180" spans="1:8" x14ac:dyDescent="0.2">
      <c r="A180" s="1030" t="s">
        <v>1223</v>
      </c>
      <c r="B180" s="1029"/>
      <c r="C180" s="1029"/>
      <c r="D180" s="1029"/>
      <c r="E180" s="1029"/>
      <c r="F180" s="1029"/>
      <c r="G180" s="1029"/>
      <c r="H180" s="1029"/>
    </row>
    <row r="181" spans="1:8" x14ac:dyDescent="0.2">
      <c r="A181" s="1030" t="s">
        <v>1224</v>
      </c>
      <c r="B181" s="1029"/>
      <c r="C181" s="1029"/>
      <c r="D181" s="1029"/>
      <c r="E181" s="1029"/>
      <c r="F181" s="1029"/>
      <c r="G181" s="1029"/>
      <c r="H181" s="1029"/>
    </row>
    <row r="182" spans="1:8" x14ac:dyDescent="0.2">
      <c r="A182" s="1029"/>
      <c r="B182" s="1029"/>
      <c r="C182" s="1029"/>
      <c r="D182" s="1029"/>
      <c r="E182" s="1029"/>
      <c r="F182" s="1029"/>
      <c r="G182" s="1029"/>
      <c r="H182" s="1029"/>
    </row>
    <row r="183" spans="1:8" x14ac:dyDescent="0.2">
      <c r="A183" s="1029"/>
      <c r="B183" s="1029"/>
      <c r="C183" s="1029"/>
      <c r="D183" s="1029"/>
      <c r="E183" s="1029"/>
      <c r="F183" s="1029"/>
      <c r="G183" s="1029"/>
      <c r="H183" s="1029"/>
    </row>
    <row r="184" spans="1:8" x14ac:dyDescent="0.2">
      <c r="A184" s="1030" t="s">
        <v>77</v>
      </c>
      <c r="B184" s="1029"/>
      <c r="C184" s="1029"/>
      <c r="D184" s="1029"/>
      <c r="E184" s="1029"/>
      <c r="F184" s="1029"/>
      <c r="G184" s="1029"/>
      <c r="H184" s="1029"/>
    </row>
    <row r="185" spans="1:8" x14ac:dyDescent="0.2">
      <c r="A185" s="1029"/>
      <c r="B185" s="1029"/>
      <c r="C185" s="1029"/>
      <c r="D185" s="1029"/>
      <c r="E185" s="1029"/>
      <c r="F185" s="1029"/>
      <c r="G185" s="1029"/>
      <c r="H185" s="1029"/>
    </row>
    <row r="186" spans="1:8" ht="15.75" x14ac:dyDescent="0.2">
      <c r="A186" s="1031" t="s">
        <v>1039</v>
      </c>
      <c r="B186" s="1029"/>
      <c r="C186" s="1029"/>
      <c r="D186" s="1029"/>
      <c r="E186" s="1029"/>
      <c r="F186" s="1029"/>
      <c r="G186" s="1029"/>
      <c r="H186" s="1029"/>
    </row>
    <row r="187" spans="1:8" x14ac:dyDescent="0.2">
      <c r="A187" s="1029"/>
      <c r="B187" s="1029"/>
      <c r="C187" s="1029"/>
      <c r="D187" s="1029"/>
      <c r="E187" s="1029"/>
      <c r="F187" s="1029"/>
      <c r="G187" s="1029"/>
      <c r="H187" s="1029"/>
    </row>
    <row r="188" spans="1:8" x14ac:dyDescent="0.2">
      <c r="A188" s="1029"/>
      <c r="B188" s="1029"/>
      <c r="C188" s="1029"/>
      <c r="D188" s="1029"/>
      <c r="E188" s="1029"/>
      <c r="F188" s="1029"/>
      <c r="G188" s="1029"/>
      <c r="H188" s="1029"/>
    </row>
    <row r="189" spans="1:8" x14ac:dyDescent="0.2">
      <c r="A189" s="1029"/>
      <c r="B189" s="1029"/>
      <c r="C189" s="1029"/>
      <c r="D189" s="1029"/>
      <c r="E189" s="1029"/>
      <c r="F189" s="1029"/>
      <c r="G189" s="1029"/>
      <c r="H189" s="1029"/>
    </row>
    <row r="190" spans="1:8" x14ac:dyDescent="0.2">
      <c r="A190" s="1029"/>
      <c r="B190" s="1029"/>
      <c r="C190" s="1029"/>
      <c r="D190" s="1029"/>
      <c r="E190" s="1029"/>
      <c r="F190" s="1029"/>
      <c r="G190" s="1029"/>
      <c r="H190" s="1029"/>
    </row>
    <row r="191" spans="1:8" x14ac:dyDescent="0.2">
      <c r="A191" s="1029"/>
      <c r="B191" s="1029"/>
      <c r="C191" s="1029"/>
      <c r="D191" s="1029"/>
      <c r="E191" s="1029"/>
      <c r="F191" s="1029"/>
      <c r="G191" s="1029"/>
      <c r="H191" s="1029"/>
    </row>
    <row r="192" spans="1:8" x14ac:dyDescent="0.2">
      <c r="A192" s="1029"/>
      <c r="B192" s="1029"/>
      <c r="C192" s="1029"/>
      <c r="D192" s="1029"/>
      <c r="E192" s="1029"/>
      <c r="F192" s="1029"/>
      <c r="G192" s="1029"/>
      <c r="H192" s="1029"/>
    </row>
    <row r="193" spans="1:8" x14ac:dyDescent="0.2">
      <c r="A193" s="1029"/>
      <c r="B193" s="1029"/>
      <c r="C193" s="1029"/>
      <c r="D193" s="1029"/>
      <c r="E193" s="1029"/>
      <c r="F193" s="1029"/>
      <c r="G193" s="1029"/>
      <c r="H193" s="1029"/>
    </row>
    <row r="194" spans="1:8" x14ac:dyDescent="0.2">
      <c r="A194" s="1029"/>
      <c r="B194" s="1029"/>
      <c r="C194" s="1029"/>
      <c r="D194" s="1029"/>
      <c r="E194" s="1029"/>
      <c r="F194" s="1029"/>
      <c r="G194" s="1029"/>
      <c r="H194" s="1029"/>
    </row>
    <row r="195" spans="1:8" x14ac:dyDescent="0.2">
      <c r="A195" s="1029"/>
      <c r="B195" s="1029"/>
      <c r="C195" s="1029"/>
      <c r="D195" s="1029"/>
      <c r="E195" s="1029"/>
      <c r="F195" s="1029"/>
      <c r="G195" s="1029"/>
      <c r="H195" s="1029"/>
    </row>
    <row r="196" spans="1:8" x14ac:dyDescent="0.2">
      <c r="A196" s="1029"/>
      <c r="B196" s="1029"/>
      <c r="C196" s="1029"/>
      <c r="D196" s="1029"/>
      <c r="E196" s="1029"/>
      <c r="F196" s="1029"/>
      <c r="G196" s="1029"/>
      <c r="H196" s="1029"/>
    </row>
    <row r="197" spans="1:8" x14ac:dyDescent="0.2">
      <c r="A197" s="1029"/>
      <c r="B197" s="1029"/>
      <c r="C197" s="1029"/>
      <c r="D197" s="1029"/>
      <c r="E197" s="1029"/>
      <c r="F197" s="1029"/>
      <c r="G197" s="1029"/>
      <c r="H197" s="1029"/>
    </row>
    <row r="198" spans="1:8" x14ac:dyDescent="0.2">
      <c r="A198" s="1029"/>
      <c r="B198" s="1029"/>
      <c r="C198" s="1029"/>
      <c r="D198" s="1029"/>
      <c r="E198" s="1029"/>
      <c r="F198" s="1029"/>
      <c r="G198" s="1029"/>
      <c r="H198" s="1029"/>
    </row>
    <row r="199" spans="1:8" x14ac:dyDescent="0.2">
      <c r="A199" s="1029"/>
      <c r="B199" s="1029"/>
      <c r="C199" s="1029"/>
      <c r="D199" s="1029"/>
      <c r="E199" s="1029"/>
      <c r="F199" s="1029"/>
      <c r="G199" s="1029"/>
      <c r="H199" s="1029"/>
    </row>
    <row r="200" spans="1:8" x14ac:dyDescent="0.2">
      <c r="A200" s="1029"/>
      <c r="B200" s="1029"/>
      <c r="C200" s="1029"/>
      <c r="D200" s="1029"/>
      <c r="E200" s="1029"/>
      <c r="F200" s="1029"/>
      <c r="G200" s="1029"/>
      <c r="H200" s="1029"/>
    </row>
    <row r="201" spans="1:8" x14ac:dyDescent="0.2">
      <c r="A201" s="1029"/>
      <c r="B201" s="1029"/>
      <c r="C201" s="1029"/>
      <c r="D201" s="1029"/>
      <c r="E201" s="1029"/>
      <c r="F201" s="1029"/>
      <c r="G201" s="1029"/>
      <c r="H201" s="1029"/>
    </row>
    <row r="202" spans="1:8" x14ac:dyDescent="0.2">
      <c r="A202" s="1029"/>
      <c r="B202" s="1029"/>
      <c r="C202" s="1029"/>
      <c r="D202" s="1029"/>
      <c r="E202" s="1029"/>
      <c r="F202" s="1029"/>
      <c r="G202" s="1029"/>
      <c r="H202" s="1029"/>
    </row>
    <row r="203" spans="1:8" x14ac:dyDescent="0.2">
      <c r="A203" s="1029"/>
      <c r="B203" s="1029"/>
      <c r="C203" s="1029"/>
      <c r="D203" s="1029"/>
      <c r="E203" s="1029"/>
      <c r="F203" s="1029"/>
      <c r="G203" s="1029"/>
      <c r="H203" s="1029"/>
    </row>
    <row r="204" spans="1:8" x14ac:dyDescent="0.2">
      <c r="A204" s="1029"/>
      <c r="B204" s="1029"/>
      <c r="C204" s="1029"/>
      <c r="D204" s="1029"/>
      <c r="E204" s="1029"/>
      <c r="F204" s="1029"/>
      <c r="G204" s="1029"/>
      <c r="H204" s="1029"/>
    </row>
    <row r="205" spans="1:8" x14ac:dyDescent="0.2">
      <c r="A205" s="1029"/>
      <c r="B205" s="1029"/>
      <c r="C205" s="1029"/>
      <c r="D205" s="1029"/>
      <c r="E205" s="1029"/>
      <c r="F205" s="1029"/>
      <c r="G205" s="1029"/>
      <c r="H205" s="1029"/>
    </row>
    <row r="206" spans="1:8" x14ac:dyDescent="0.2">
      <c r="A206" s="1029"/>
      <c r="B206" s="1029"/>
      <c r="C206" s="1029"/>
      <c r="D206" s="1029"/>
      <c r="E206" s="1029"/>
      <c r="F206" s="1029"/>
      <c r="G206" s="1029"/>
      <c r="H206" s="1029"/>
    </row>
    <row r="207" spans="1:8" x14ac:dyDescent="0.2">
      <c r="A207" s="1029"/>
      <c r="B207" s="1029"/>
      <c r="C207" s="1029"/>
      <c r="D207" s="1029"/>
      <c r="E207" s="1029"/>
      <c r="F207" s="1029"/>
      <c r="G207" s="1029"/>
      <c r="H207" s="1029"/>
    </row>
    <row r="208" spans="1:8" x14ac:dyDescent="0.2">
      <c r="A208" s="1029"/>
      <c r="B208" s="1029"/>
      <c r="C208" s="1029"/>
      <c r="D208" s="1029"/>
      <c r="E208" s="1029"/>
      <c r="F208" s="1029"/>
      <c r="G208" s="1029"/>
      <c r="H208" s="1029"/>
    </row>
    <row r="209" spans="1:8" x14ac:dyDescent="0.2">
      <c r="A209" s="1029"/>
      <c r="B209" s="1029"/>
      <c r="C209" s="1029"/>
      <c r="D209" s="1029"/>
      <c r="E209" s="1029"/>
      <c r="F209" s="1029"/>
      <c r="G209" s="1029"/>
      <c r="H209" s="1029"/>
    </row>
    <row r="210" spans="1:8" x14ac:dyDescent="0.2">
      <c r="A210" s="1029"/>
      <c r="B210" s="1029"/>
      <c r="C210" s="1029"/>
      <c r="D210" s="1029"/>
      <c r="E210" s="1029"/>
      <c r="F210" s="1029"/>
      <c r="G210" s="1029"/>
      <c r="H210" s="1029"/>
    </row>
    <row r="211" spans="1:8" x14ac:dyDescent="0.2">
      <c r="A211" s="1029"/>
      <c r="B211" s="1029"/>
      <c r="C211" s="1029"/>
      <c r="D211" s="1029"/>
      <c r="E211" s="1029"/>
      <c r="F211" s="1029"/>
      <c r="G211" s="1029"/>
      <c r="H211" s="1029"/>
    </row>
    <row r="212" spans="1:8" x14ac:dyDescent="0.2">
      <c r="A212" s="1029"/>
      <c r="B212" s="1029"/>
      <c r="C212" s="1029"/>
      <c r="D212" s="1029"/>
      <c r="E212" s="1029"/>
      <c r="F212" s="1029"/>
      <c r="G212" s="1029"/>
      <c r="H212" s="1029"/>
    </row>
    <row r="213" spans="1:8" ht="15.75" x14ac:dyDescent="0.2">
      <c r="A213" s="1031" t="s">
        <v>1040</v>
      </c>
      <c r="B213" s="1029"/>
      <c r="C213" s="1029"/>
      <c r="D213" s="1029"/>
      <c r="E213" s="1029"/>
      <c r="F213" s="1029"/>
      <c r="G213" s="1029"/>
      <c r="H213" s="1029"/>
    </row>
    <row r="214" spans="1:8" x14ac:dyDescent="0.2">
      <c r="A214" s="1029"/>
      <c r="B214" s="1029"/>
      <c r="C214" s="1029"/>
      <c r="D214" s="1029"/>
      <c r="E214" s="1029"/>
      <c r="F214" s="1029"/>
      <c r="G214" s="1029"/>
      <c r="H214" s="1029"/>
    </row>
    <row r="215" spans="1:8" x14ac:dyDescent="0.2">
      <c r="A215" s="1030" t="s">
        <v>1217</v>
      </c>
      <c r="B215" s="1029"/>
      <c r="C215" s="1029"/>
      <c r="D215" s="1029"/>
      <c r="E215" s="1029"/>
      <c r="F215" s="1029"/>
      <c r="G215" s="1029"/>
      <c r="H215" s="1029"/>
    </row>
    <row r="216" spans="1:8" x14ac:dyDescent="0.2">
      <c r="A216" s="1030" t="s">
        <v>1218</v>
      </c>
      <c r="B216" s="1029"/>
      <c r="C216" s="1029"/>
      <c r="D216" s="1029"/>
      <c r="E216" s="1029"/>
      <c r="F216" s="1029"/>
      <c r="G216" s="1029"/>
      <c r="H216" s="1029"/>
    </row>
    <row r="217" spans="1:8" x14ac:dyDescent="0.2">
      <c r="A217" s="1030" t="s">
        <v>1219</v>
      </c>
      <c r="B217" s="1029"/>
      <c r="C217" s="1029"/>
      <c r="D217" s="1029"/>
      <c r="E217" s="1029"/>
      <c r="F217" s="1029"/>
      <c r="G217" s="1029"/>
      <c r="H217" s="1029"/>
    </row>
    <row r="218" spans="1:8" x14ac:dyDescent="0.2">
      <c r="A218" s="1030" t="s">
        <v>1220</v>
      </c>
      <c r="B218" s="1029"/>
      <c r="C218" s="1029"/>
      <c r="D218" s="1029"/>
      <c r="E218" s="1029"/>
      <c r="F218" s="1029"/>
      <c r="G218" s="1029"/>
      <c r="H218" s="1029"/>
    </row>
    <row r="219" spans="1:8" x14ac:dyDescent="0.2">
      <c r="A219" s="1030" t="s">
        <v>1221</v>
      </c>
      <c r="B219" s="1029"/>
      <c r="C219" s="1029"/>
      <c r="D219" s="1029"/>
      <c r="E219" s="1029"/>
      <c r="F219" s="1029"/>
      <c r="G219" s="1029"/>
      <c r="H219" s="1029"/>
    </row>
    <row r="220" spans="1:8" x14ac:dyDescent="0.2">
      <c r="A220" s="1029"/>
      <c r="B220" s="1029"/>
      <c r="C220" s="1029"/>
      <c r="D220" s="1029"/>
      <c r="E220" s="1029"/>
      <c r="F220" s="1029"/>
      <c r="G220" s="1029"/>
      <c r="H220" s="1029"/>
    </row>
    <row r="221" spans="1:8" x14ac:dyDescent="0.2">
      <c r="A221" s="1030" t="s">
        <v>1214</v>
      </c>
      <c r="B221" s="1029"/>
      <c r="C221" s="1029"/>
      <c r="D221" s="1029"/>
      <c r="E221" s="1029"/>
      <c r="F221" s="1029"/>
      <c r="G221" s="1029"/>
      <c r="H221" s="1029"/>
    </row>
    <row r="222" spans="1:8" x14ac:dyDescent="0.2">
      <c r="A222" s="1030" t="s">
        <v>1215</v>
      </c>
      <c r="B222" s="1029"/>
      <c r="C222" s="1029"/>
      <c r="D222" s="1029"/>
      <c r="E222" s="1029"/>
      <c r="F222" s="1029"/>
      <c r="G222" s="1029"/>
      <c r="H222" s="1029"/>
    </row>
    <row r="223" spans="1:8" x14ac:dyDescent="0.2">
      <c r="A223" s="1030" t="s">
        <v>1216</v>
      </c>
      <c r="B223" s="1029"/>
      <c r="C223" s="1029"/>
      <c r="D223" s="1029"/>
      <c r="E223" s="1029"/>
      <c r="F223" s="1029"/>
      <c r="G223" s="1029"/>
      <c r="H223" s="1029"/>
    </row>
    <row r="224" spans="1:8" ht="15.75" x14ac:dyDescent="0.2">
      <c r="A224" s="1031" t="s">
        <v>1041</v>
      </c>
      <c r="B224" s="1029"/>
      <c r="C224" s="1029"/>
      <c r="D224" s="1029"/>
      <c r="E224" s="1029"/>
      <c r="F224" s="1029"/>
      <c r="G224" s="1029"/>
      <c r="H224" s="1029"/>
    </row>
    <row r="225" spans="1:8" x14ac:dyDescent="0.2">
      <c r="A225" s="1029"/>
      <c r="B225" s="1029"/>
      <c r="C225" s="1029"/>
      <c r="D225" s="1029"/>
      <c r="E225" s="1029"/>
      <c r="F225" s="1029"/>
      <c r="G225" s="1029"/>
      <c r="H225" s="1029"/>
    </row>
    <row r="226" spans="1:8" x14ac:dyDescent="0.2">
      <c r="A226" s="1030" t="s">
        <v>1207</v>
      </c>
      <c r="B226" s="1029"/>
      <c r="C226" s="1029"/>
      <c r="D226" s="1029"/>
      <c r="E226" s="1029"/>
      <c r="F226" s="1029"/>
      <c r="G226" s="1029"/>
      <c r="H226" s="1029"/>
    </row>
    <row r="227" spans="1:8" x14ac:dyDescent="0.2">
      <c r="A227" s="1030" t="s">
        <v>1208</v>
      </c>
      <c r="B227" s="1029"/>
      <c r="C227" s="1029"/>
      <c r="D227" s="1029"/>
      <c r="E227" s="1029"/>
      <c r="F227" s="1029"/>
      <c r="G227" s="1029"/>
      <c r="H227" s="1029"/>
    </row>
    <row r="228" spans="1:8" x14ac:dyDescent="0.2">
      <c r="A228" s="1030" t="s">
        <v>1209</v>
      </c>
      <c r="B228" s="1029"/>
      <c r="C228" s="1029"/>
      <c r="D228" s="1029"/>
      <c r="E228" s="1029"/>
      <c r="F228" s="1029"/>
      <c r="G228" s="1029"/>
      <c r="H228" s="1029"/>
    </row>
    <row r="229" spans="1:8" x14ac:dyDescent="0.2">
      <c r="A229" s="1030" t="s">
        <v>1210</v>
      </c>
      <c r="B229" s="1029"/>
      <c r="C229" s="1029"/>
      <c r="D229" s="1029"/>
      <c r="E229" s="1029"/>
      <c r="F229" s="1029"/>
      <c r="G229" s="1029"/>
      <c r="H229" s="1029"/>
    </row>
    <row r="230" spans="1:8" x14ac:dyDescent="0.2">
      <c r="A230" s="1030" t="s">
        <v>1211</v>
      </c>
      <c r="B230" s="1029"/>
      <c r="C230" s="1029"/>
      <c r="D230" s="1029"/>
      <c r="E230" s="1029"/>
      <c r="F230" s="1029"/>
      <c r="G230" s="1029"/>
      <c r="H230" s="1029"/>
    </row>
    <row r="231" spans="1:8" x14ac:dyDescent="0.2">
      <c r="A231" s="1030" t="s">
        <v>1212</v>
      </c>
      <c r="B231" s="1029"/>
      <c r="C231" s="1029"/>
      <c r="D231" s="1029"/>
      <c r="E231" s="1029"/>
      <c r="F231" s="1029"/>
      <c r="G231" s="1029"/>
      <c r="H231" s="1029"/>
    </row>
    <row r="232" spans="1:8" x14ac:dyDescent="0.2">
      <c r="A232" s="1030" t="s">
        <v>1213</v>
      </c>
      <c r="B232" s="1029"/>
      <c r="C232" s="1029"/>
      <c r="D232" s="1029"/>
      <c r="E232" s="1029"/>
      <c r="F232" s="1029"/>
      <c r="G232" s="1029"/>
      <c r="H232" s="1029"/>
    </row>
    <row r="233" spans="1:8" x14ac:dyDescent="0.2">
      <c r="A233" s="1029"/>
      <c r="B233" s="1029"/>
      <c r="C233" s="1029"/>
      <c r="D233" s="1029"/>
      <c r="E233" s="1029"/>
      <c r="F233" s="1029"/>
      <c r="G233" s="1029"/>
      <c r="H233" s="1029"/>
    </row>
    <row r="234" spans="1:8" x14ac:dyDescent="0.2">
      <c r="A234" s="1030" t="s">
        <v>1204</v>
      </c>
      <c r="B234" s="1029"/>
      <c r="C234" s="1029"/>
      <c r="D234" s="1029"/>
      <c r="E234" s="1029"/>
      <c r="F234" s="1029"/>
      <c r="G234" s="1029"/>
      <c r="H234" s="1029"/>
    </row>
    <row r="235" spans="1:8" x14ac:dyDescent="0.2">
      <c r="A235" s="1030" t="s">
        <v>1205</v>
      </c>
      <c r="B235" s="1029"/>
      <c r="C235" s="1029"/>
      <c r="D235" s="1029"/>
      <c r="E235" s="1029"/>
      <c r="F235" s="1029"/>
      <c r="G235" s="1029"/>
      <c r="H235" s="1029"/>
    </row>
    <row r="236" spans="1:8" x14ac:dyDescent="0.2">
      <c r="A236" s="1030" t="s">
        <v>1206</v>
      </c>
      <c r="B236" s="1029"/>
      <c r="C236" s="1029"/>
      <c r="D236" s="1029"/>
      <c r="E236" s="1029"/>
      <c r="F236" s="1029"/>
      <c r="G236" s="1029"/>
      <c r="H236" s="1029"/>
    </row>
    <row r="237" spans="1:8" x14ac:dyDescent="0.2">
      <c r="A237" s="1029"/>
      <c r="B237" s="1029"/>
      <c r="C237" s="1029"/>
      <c r="D237" s="1029"/>
      <c r="E237" s="1029"/>
      <c r="F237" s="1029"/>
      <c r="G237" s="1029"/>
      <c r="H237" s="1029"/>
    </row>
    <row r="238" spans="1:8" x14ac:dyDescent="0.2">
      <c r="A238" s="1030" t="s">
        <v>1199</v>
      </c>
      <c r="B238" s="1029"/>
      <c r="C238" s="1029"/>
      <c r="D238" s="1029"/>
      <c r="E238" s="1029"/>
      <c r="F238" s="1029"/>
      <c r="G238" s="1029"/>
      <c r="H238" s="1029"/>
    </row>
    <row r="239" spans="1:8" x14ac:dyDescent="0.2">
      <c r="A239" s="1030" t="s">
        <v>1200</v>
      </c>
      <c r="B239" s="1029"/>
      <c r="C239" s="1029"/>
      <c r="D239" s="1029"/>
      <c r="E239" s="1029"/>
      <c r="F239" s="1029"/>
      <c r="G239" s="1029"/>
      <c r="H239" s="1029"/>
    </row>
    <row r="240" spans="1:8" x14ac:dyDescent="0.2">
      <c r="A240" s="1030" t="s">
        <v>1201</v>
      </c>
      <c r="B240" s="1029"/>
      <c r="C240" s="1029"/>
      <c r="D240" s="1029"/>
      <c r="E240" s="1029"/>
      <c r="F240" s="1029"/>
      <c r="G240" s="1029"/>
      <c r="H240" s="1029"/>
    </row>
    <row r="241" spans="1:8" x14ac:dyDescent="0.2">
      <c r="A241" s="1030" t="s">
        <v>1202</v>
      </c>
      <c r="B241" s="1029"/>
      <c r="C241" s="1029"/>
      <c r="D241" s="1029"/>
      <c r="E241" s="1029"/>
      <c r="F241" s="1029"/>
      <c r="G241" s="1029"/>
      <c r="H241" s="1029"/>
    </row>
    <row r="242" spans="1:8" x14ac:dyDescent="0.2">
      <c r="A242" s="1030" t="s">
        <v>1203</v>
      </c>
      <c r="B242" s="1029"/>
      <c r="C242" s="1029"/>
      <c r="D242" s="1029"/>
      <c r="E242" s="1029"/>
      <c r="F242" s="1029"/>
      <c r="G242" s="1029"/>
      <c r="H242" s="1029"/>
    </row>
    <row r="243" spans="1:8" x14ac:dyDescent="0.2">
      <c r="A243" s="1029"/>
      <c r="B243" s="1029"/>
      <c r="C243" s="1029"/>
      <c r="D243" s="1029"/>
      <c r="E243" s="1029"/>
      <c r="F243" s="1029"/>
      <c r="G243" s="1029"/>
      <c r="H243" s="1029"/>
    </row>
    <row r="244" spans="1:8" x14ac:dyDescent="0.2">
      <c r="A244" s="1030" t="s">
        <v>1193</v>
      </c>
      <c r="B244" s="1029"/>
      <c r="C244" s="1029"/>
      <c r="D244" s="1029"/>
      <c r="E244" s="1029"/>
      <c r="F244" s="1029"/>
      <c r="G244" s="1029"/>
      <c r="H244" s="1029"/>
    </row>
    <row r="245" spans="1:8" x14ac:dyDescent="0.2">
      <c r="A245" s="1030" t="s">
        <v>1194</v>
      </c>
      <c r="B245" s="1029"/>
      <c r="C245" s="1029"/>
      <c r="D245" s="1029"/>
      <c r="E245" s="1029"/>
      <c r="F245" s="1029"/>
      <c r="G245" s="1029"/>
      <c r="H245" s="1029"/>
    </row>
    <row r="246" spans="1:8" x14ac:dyDescent="0.2">
      <c r="A246" s="1030" t="s">
        <v>1195</v>
      </c>
      <c r="B246" s="1029"/>
      <c r="C246" s="1029"/>
      <c r="D246" s="1029"/>
      <c r="E246" s="1029"/>
      <c r="F246" s="1029"/>
      <c r="G246" s="1029"/>
      <c r="H246" s="1029"/>
    </row>
    <row r="247" spans="1:8" x14ac:dyDescent="0.2">
      <c r="A247" s="1030" t="s">
        <v>1196</v>
      </c>
      <c r="B247" s="1029"/>
      <c r="C247" s="1029"/>
      <c r="D247" s="1029"/>
      <c r="E247" s="1029"/>
      <c r="F247" s="1029"/>
      <c r="G247" s="1029"/>
      <c r="H247" s="1029"/>
    </row>
    <row r="248" spans="1:8" x14ac:dyDescent="0.2">
      <c r="A248" s="1030" t="s">
        <v>1197</v>
      </c>
      <c r="B248" s="1029"/>
      <c r="C248" s="1029"/>
      <c r="D248" s="1029"/>
      <c r="E248" s="1029"/>
      <c r="F248" s="1029"/>
      <c r="G248" s="1029"/>
      <c r="H248" s="1029"/>
    </row>
    <row r="249" spans="1:8" x14ac:dyDescent="0.2">
      <c r="A249" s="1030" t="s">
        <v>1198</v>
      </c>
      <c r="B249" s="1029"/>
      <c r="C249" s="1029"/>
      <c r="D249" s="1029"/>
      <c r="E249" s="1029"/>
      <c r="F249" s="1029"/>
      <c r="G249" s="1029"/>
      <c r="H249" s="1029"/>
    </row>
    <row r="250" spans="1:8" x14ac:dyDescent="0.2">
      <c r="A250" s="1029"/>
      <c r="B250" s="1029"/>
      <c r="C250" s="1029"/>
      <c r="D250" s="1029"/>
      <c r="E250" s="1029"/>
      <c r="F250" s="1029"/>
      <c r="G250" s="1029"/>
      <c r="H250" s="1029"/>
    </row>
    <row r="251" spans="1:8" x14ac:dyDescent="0.2">
      <c r="A251" s="1030" t="s">
        <v>1183</v>
      </c>
      <c r="B251" s="1029"/>
      <c r="C251" s="1029"/>
      <c r="D251" s="1029"/>
      <c r="E251" s="1029"/>
      <c r="F251" s="1029"/>
      <c r="G251" s="1029"/>
      <c r="H251" s="1029"/>
    </row>
    <row r="252" spans="1:8" x14ac:dyDescent="0.2">
      <c r="A252" s="1030" t="s">
        <v>1184</v>
      </c>
      <c r="B252" s="1029"/>
      <c r="C252" s="1029"/>
      <c r="D252" s="1029"/>
      <c r="E252" s="1029"/>
      <c r="F252" s="1029"/>
      <c r="G252" s="1029"/>
      <c r="H252" s="1029"/>
    </row>
    <row r="253" spans="1:8" x14ac:dyDescent="0.2">
      <c r="A253" s="1030" t="s">
        <v>1185</v>
      </c>
      <c r="B253" s="1029"/>
      <c r="C253" s="1029"/>
      <c r="D253" s="1029"/>
      <c r="E253" s="1029"/>
      <c r="F253" s="1029"/>
      <c r="G253" s="1029"/>
      <c r="H253" s="1029"/>
    </row>
    <row r="254" spans="1:8" x14ac:dyDescent="0.2">
      <c r="A254" s="1030" t="s">
        <v>1186</v>
      </c>
      <c r="B254" s="1029"/>
      <c r="C254" s="1029"/>
      <c r="D254" s="1029"/>
      <c r="E254" s="1029"/>
      <c r="F254" s="1029"/>
      <c r="G254" s="1029"/>
      <c r="H254" s="1029"/>
    </row>
    <row r="255" spans="1:8" x14ac:dyDescent="0.2">
      <c r="A255" s="1030" t="s">
        <v>1187</v>
      </c>
      <c r="B255" s="1029"/>
      <c r="C255" s="1029"/>
      <c r="D255" s="1029"/>
      <c r="E255" s="1029"/>
      <c r="F255" s="1029"/>
      <c r="G255" s="1029"/>
      <c r="H255" s="1029"/>
    </row>
    <row r="256" spans="1:8" x14ac:dyDescent="0.2">
      <c r="A256" s="1030" t="s">
        <v>1188</v>
      </c>
      <c r="B256" s="1029"/>
      <c r="C256" s="1029"/>
      <c r="D256" s="1029"/>
      <c r="E256" s="1029"/>
      <c r="F256" s="1029"/>
      <c r="G256" s="1029"/>
      <c r="H256" s="1029"/>
    </row>
    <row r="257" spans="1:8" x14ac:dyDescent="0.2">
      <c r="A257" s="1030" t="s">
        <v>1189</v>
      </c>
      <c r="B257" s="1029"/>
      <c r="C257" s="1029"/>
      <c r="D257" s="1029"/>
      <c r="E257" s="1029"/>
      <c r="F257" s="1029"/>
      <c r="G257" s="1029"/>
      <c r="H257" s="1029"/>
    </row>
    <row r="258" spans="1:8" x14ac:dyDescent="0.2">
      <c r="A258" s="1030" t="s">
        <v>1190</v>
      </c>
      <c r="B258" s="1029"/>
      <c r="C258" s="1029"/>
      <c r="D258" s="1029"/>
      <c r="E258" s="1029"/>
      <c r="F258" s="1029"/>
      <c r="G258" s="1029"/>
      <c r="H258" s="1029"/>
    </row>
    <row r="259" spans="1:8" x14ac:dyDescent="0.2">
      <c r="A259" s="1030" t="s">
        <v>1191</v>
      </c>
      <c r="B259" s="1029"/>
      <c r="C259" s="1029"/>
      <c r="D259" s="1029"/>
      <c r="E259" s="1029"/>
      <c r="F259" s="1029"/>
      <c r="G259" s="1029"/>
      <c r="H259" s="1029"/>
    </row>
    <row r="260" spans="1:8" x14ac:dyDescent="0.2">
      <c r="A260" s="1030" t="s">
        <v>1192</v>
      </c>
      <c r="B260" s="1029"/>
      <c r="C260" s="1029"/>
      <c r="D260" s="1029"/>
      <c r="E260" s="1029"/>
      <c r="F260" s="1029"/>
      <c r="G260" s="1029"/>
      <c r="H260" s="1029"/>
    </row>
    <row r="261" spans="1:8" x14ac:dyDescent="0.2">
      <c r="A261" s="1029"/>
      <c r="B261" s="1029"/>
      <c r="C261" s="1029"/>
      <c r="D261" s="1029"/>
      <c r="E261" s="1029"/>
      <c r="F261" s="1029"/>
      <c r="G261" s="1029"/>
      <c r="H261" s="1029"/>
    </row>
    <row r="262" spans="1:8" x14ac:dyDescent="0.2">
      <c r="A262" s="1030" t="s">
        <v>1181</v>
      </c>
      <c r="B262" s="1029"/>
      <c r="C262" s="1029"/>
      <c r="D262" s="1029"/>
      <c r="E262" s="1029"/>
      <c r="F262" s="1029"/>
      <c r="G262" s="1029"/>
      <c r="H262" s="1029"/>
    </row>
    <row r="263" spans="1:8" x14ac:dyDescent="0.2">
      <c r="A263" s="1030" t="s">
        <v>1182</v>
      </c>
      <c r="B263" s="1029"/>
      <c r="C263" s="1029"/>
      <c r="D263" s="1029"/>
      <c r="E263" s="1029"/>
      <c r="F263" s="1029"/>
      <c r="G263" s="1029"/>
      <c r="H263" s="1029"/>
    </row>
    <row r="264" spans="1:8" x14ac:dyDescent="0.2">
      <c r="A264" s="1029"/>
      <c r="B264" s="1029"/>
      <c r="C264" s="1029"/>
      <c r="D264" s="1029"/>
      <c r="E264" s="1029"/>
      <c r="F264" s="1029"/>
      <c r="G264" s="1029"/>
      <c r="H264" s="1029"/>
    </row>
    <row r="265" spans="1:8" x14ac:dyDescent="0.2">
      <c r="A265" s="1030" t="s">
        <v>1165</v>
      </c>
      <c r="B265" s="1029"/>
      <c r="C265" s="1029"/>
      <c r="D265" s="1029"/>
      <c r="E265" s="1029"/>
      <c r="F265" s="1029"/>
      <c r="G265" s="1029"/>
      <c r="H265" s="1029"/>
    </row>
    <row r="266" spans="1:8" x14ac:dyDescent="0.2">
      <c r="A266" s="1030" t="s">
        <v>1166</v>
      </c>
      <c r="B266" s="1029"/>
      <c r="C266" s="1029"/>
      <c r="D266" s="1029"/>
      <c r="E266" s="1029"/>
      <c r="F266" s="1029"/>
      <c r="G266" s="1029"/>
      <c r="H266" s="1029"/>
    </row>
    <row r="267" spans="1:8" x14ac:dyDescent="0.2">
      <c r="A267" s="1030" t="s">
        <v>1167</v>
      </c>
      <c r="B267" s="1029"/>
      <c r="C267" s="1029"/>
      <c r="D267" s="1029"/>
      <c r="E267" s="1029"/>
      <c r="F267" s="1029"/>
      <c r="G267" s="1029"/>
      <c r="H267" s="1029"/>
    </row>
    <row r="268" spans="1:8" x14ac:dyDescent="0.2">
      <c r="A268" s="1030" t="s">
        <v>1168</v>
      </c>
      <c r="B268" s="1029"/>
      <c r="C268" s="1029"/>
      <c r="D268" s="1029"/>
      <c r="E268" s="1029"/>
      <c r="F268" s="1029"/>
      <c r="G268" s="1029"/>
      <c r="H268" s="1029"/>
    </row>
    <row r="269" spans="1:8" x14ac:dyDescent="0.2">
      <c r="A269" s="1030" t="s">
        <v>1169</v>
      </c>
      <c r="B269" s="1029"/>
      <c r="C269" s="1029"/>
      <c r="D269" s="1029"/>
      <c r="E269" s="1029"/>
      <c r="F269" s="1029"/>
      <c r="G269" s="1029"/>
      <c r="H269" s="1029"/>
    </row>
    <row r="270" spans="1:8" x14ac:dyDescent="0.2">
      <c r="A270" s="1030" t="s">
        <v>1170</v>
      </c>
      <c r="B270" s="1029"/>
      <c r="C270" s="1029"/>
      <c r="D270" s="1029"/>
      <c r="E270" s="1029"/>
      <c r="F270" s="1029"/>
      <c r="G270" s="1029"/>
      <c r="H270" s="1029"/>
    </row>
    <row r="271" spans="1:8" x14ac:dyDescent="0.2">
      <c r="A271" s="1030" t="s">
        <v>1171</v>
      </c>
      <c r="B271" s="1029"/>
      <c r="C271" s="1029"/>
      <c r="D271" s="1029"/>
      <c r="E271" s="1029"/>
      <c r="F271" s="1029"/>
      <c r="G271" s="1029"/>
      <c r="H271" s="1029"/>
    </row>
    <row r="272" spans="1:8" x14ac:dyDescent="0.2">
      <c r="A272" s="1030" t="s">
        <v>1172</v>
      </c>
      <c r="B272" s="1029"/>
      <c r="C272" s="1029"/>
      <c r="D272" s="1029"/>
      <c r="E272" s="1029"/>
      <c r="F272" s="1029"/>
      <c r="G272" s="1029"/>
      <c r="H272" s="1029"/>
    </row>
    <row r="273" spans="1:8" x14ac:dyDescent="0.2">
      <c r="A273" s="1030" t="s">
        <v>1173</v>
      </c>
      <c r="B273" s="1029"/>
      <c r="C273" s="1029"/>
      <c r="D273" s="1029"/>
      <c r="E273" s="1029"/>
      <c r="F273" s="1029"/>
      <c r="G273" s="1029"/>
      <c r="H273" s="1029"/>
    </row>
    <row r="274" spans="1:8" x14ac:dyDescent="0.2">
      <c r="A274" s="1030" t="s">
        <v>1174</v>
      </c>
      <c r="B274" s="1029"/>
      <c r="C274" s="1029"/>
      <c r="D274" s="1029"/>
      <c r="E274" s="1029"/>
      <c r="F274" s="1029"/>
      <c r="G274" s="1029"/>
      <c r="H274" s="1029"/>
    </row>
    <row r="275" spans="1:8" x14ac:dyDescent="0.2">
      <c r="A275" s="1030" t="s">
        <v>1175</v>
      </c>
      <c r="B275" s="1029"/>
      <c r="C275" s="1029"/>
      <c r="D275" s="1029"/>
      <c r="E275" s="1029"/>
      <c r="F275" s="1029"/>
      <c r="G275" s="1029"/>
      <c r="H275" s="1029"/>
    </row>
    <row r="276" spans="1:8" x14ac:dyDescent="0.2">
      <c r="A276" s="1030" t="s">
        <v>1176</v>
      </c>
      <c r="B276" s="1029"/>
      <c r="C276" s="1029"/>
      <c r="D276" s="1029"/>
      <c r="E276" s="1029"/>
      <c r="F276" s="1029"/>
      <c r="G276" s="1029"/>
      <c r="H276" s="1029"/>
    </row>
    <row r="277" spans="1:8" x14ac:dyDescent="0.2">
      <c r="A277" s="1030" t="s">
        <v>1177</v>
      </c>
      <c r="B277" s="1029"/>
      <c r="C277" s="1029"/>
      <c r="D277" s="1029"/>
      <c r="E277" s="1029"/>
      <c r="F277" s="1029"/>
      <c r="G277" s="1029"/>
      <c r="H277" s="1029"/>
    </row>
    <row r="278" spans="1:8" x14ac:dyDescent="0.2">
      <c r="A278" s="1030" t="s">
        <v>1178</v>
      </c>
      <c r="B278" s="1029"/>
      <c r="C278" s="1029"/>
      <c r="D278" s="1029"/>
      <c r="E278" s="1029"/>
      <c r="F278" s="1029"/>
      <c r="G278" s="1029"/>
      <c r="H278" s="1029"/>
    </row>
    <row r="279" spans="1:8" x14ac:dyDescent="0.2">
      <c r="A279" s="1030" t="s">
        <v>1179</v>
      </c>
      <c r="B279" s="1029"/>
      <c r="C279" s="1029"/>
      <c r="D279" s="1029"/>
      <c r="E279" s="1029"/>
      <c r="F279" s="1029"/>
      <c r="G279" s="1029"/>
      <c r="H279" s="1029"/>
    </row>
    <row r="280" spans="1:8" x14ac:dyDescent="0.2">
      <c r="A280" s="1030" t="s">
        <v>1180</v>
      </c>
      <c r="B280" s="1029"/>
      <c r="C280" s="1029"/>
      <c r="D280" s="1029"/>
      <c r="E280" s="1029"/>
      <c r="F280" s="1029"/>
      <c r="G280" s="1029"/>
      <c r="H280" s="1029"/>
    </row>
    <row r="281" spans="1:8" x14ac:dyDescent="0.2">
      <c r="A281" s="1029"/>
      <c r="B281" s="1029"/>
      <c r="C281" s="1029"/>
      <c r="D281" s="1029"/>
      <c r="E281" s="1029"/>
      <c r="F281" s="1029"/>
      <c r="G281" s="1029"/>
      <c r="H281" s="1029"/>
    </row>
    <row r="282" spans="1:8" x14ac:dyDescent="0.2">
      <c r="A282" s="1030" t="s">
        <v>1158</v>
      </c>
      <c r="B282" s="1029"/>
      <c r="C282" s="1029"/>
      <c r="D282" s="1029"/>
      <c r="E282" s="1029"/>
      <c r="F282" s="1029"/>
      <c r="G282" s="1029"/>
      <c r="H282" s="1029"/>
    </row>
    <row r="283" spans="1:8" x14ac:dyDescent="0.2">
      <c r="A283" s="1030" t="s">
        <v>1159</v>
      </c>
      <c r="B283" s="1029"/>
      <c r="C283" s="1029"/>
      <c r="D283" s="1029"/>
      <c r="E283" s="1029"/>
      <c r="F283" s="1029"/>
      <c r="G283" s="1029"/>
      <c r="H283" s="1029"/>
    </row>
    <row r="284" spans="1:8" x14ac:dyDescent="0.2">
      <c r="A284" s="1030" t="s">
        <v>1160</v>
      </c>
      <c r="B284" s="1029"/>
      <c r="C284" s="1029"/>
      <c r="D284" s="1029"/>
      <c r="E284" s="1029"/>
      <c r="F284" s="1029"/>
      <c r="G284" s="1029"/>
      <c r="H284" s="1029"/>
    </row>
    <row r="285" spans="1:8" x14ac:dyDescent="0.2">
      <c r="A285" s="1030" t="s">
        <v>1161</v>
      </c>
      <c r="B285" s="1029"/>
      <c r="C285" s="1029"/>
      <c r="D285" s="1029"/>
      <c r="E285" s="1029"/>
      <c r="F285" s="1029"/>
      <c r="G285" s="1029"/>
      <c r="H285" s="1029"/>
    </row>
    <row r="286" spans="1:8" x14ac:dyDescent="0.2">
      <c r="A286" s="1030" t="s">
        <v>1162</v>
      </c>
      <c r="B286" s="1029"/>
      <c r="C286" s="1029"/>
      <c r="D286" s="1029"/>
      <c r="E286" s="1029"/>
      <c r="F286" s="1029"/>
      <c r="G286" s="1029"/>
      <c r="H286" s="1029"/>
    </row>
    <row r="287" spans="1:8" x14ac:dyDescent="0.2">
      <c r="A287" s="1030" t="s">
        <v>1163</v>
      </c>
      <c r="B287" s="1029"/>
      <c r="C287" s="1029"/>
      <c r="D287" s="1029"/>
      <c r="E287" s="1029"/>
      <c r="F287" s="1029"/>
      <c r="G287" s="1029"/>
      <c r="H287" s="1029"/>
    </row>
    <row r="288" spans="1:8" x14ac:dyDescent="0.2">
      <c r="A288" s="1030" t="s">
        <v>1164</v>
      </c>
      <c r="B288" s="1029"/>
      <c r="C288" s="1029"/>
      <c r="D288" s="1029"/>
      <c r="E288" s="1029"/>
      <c r="F288" s="1029"/>
      <c r="G288" s="1029"/>
      <c r="H288" s="1029"/>
    </row>
    <row r="289" spans="1:8" x14ac:dyDescent="0.2">
      <c r="A289" s="1029"/>
      <c r="B289" s="1029"/>
      <c r="C289" s="1029"/>
      <c r="D289" s="1029"/>
      <c r="E289" s="1029"/>
      <c r="F289" s="1029"/>
      <c r="G289" s="1029"/>
      <c r="H289" s="1029"/>
    </row>
    <row r="290" spans="1:8" x14ac:dyDescent="0.2">
      <c r="A290" s="1030" t="s">
        <v>1149</v>
      </c>
      <c r="B290" s="1029"/>
      <c r="C290" s="1029"/>
      <c r="D290" s="1029"/>
      <c r="E290" s="1029"/>
      <c r="F290" s="1029"/>
      <c r="G290" s="1029"/>
      <c r="H290" s="1029"/>
    </row>
    <row r="291" spans="1:8" x14ac:dyDescent="0.2">
      <c r="A291" s="1030" t="s">
        <v>1150</v>
      </c>
      <c r="B291" s="1029"/>
      <c r="C291" s="1029"/>
      <c r="D291" s="1029"/>
      <c r="E291" s="1029"/>
      <c r="F291" s="1029"/>
      <c r="G291" s="1029"/>
      <c r="H291" s="1029"/>
    </row>
    <row r="292" spans="1:8" x14ac:dyDescent="0.2">
      <c r="A292" s="1030" t="s">
        <v>1151</v>
      </c>
      <c r="B292" s="1029"/>
      <c r="C292" s="1029"/>
      <c r="D292" s="1029"/>
      <c r="E292" s="1029"/>
      <c r="F292" s="1029"/>
      <c r="G292" s="1029"/>
      <c r="H292" s="1029"/>
    </row>
    <row r="293" spans="1:8" x14ac:dyDescent="0.2">
      <c r="A293" s="1030" t="s">
        <v>1152</v>
      </c>
      <c r="B293" s="1029"/>
      <c r="C293" s="1029"/>
      <c r="D293" s="1029"/>
      <c r="E293" s="1029"/>
      <c r="F293" s="1029"/>
      <c r="G293" s="1029"/>
      <c r="H293" s="1029"/>
    </row>
    <row r="294" spans="1:8" x14ac:dyDescent="0.2">
      <c r="A294" s="1030" t="s">
        <v>1153</v>
      </c>
      <c r="B294" s="1029"/>
      <c r="C294" s="1029"/>
      <c r="D294" s="1029"/>
      <c r="E294" s="1029"/>
      <c r="F294" s="1029"/>
      <c r="G294" s="1029"/>
      <c r="H294" s="1029"/>
    </row>
    <row r="295" spans="1:8" x14ac:dyDescent="0.2">
      <c r="A295" s="1030" t="s">
        <v>1154</v>
      </c>
      <c r="B295" s="1029"/>
      <c r="C295" s="1029"/>
      <c r="D295" s="1029"/>
      <c r="E295" s="1029"/>
      <c r="F295" s="1029"/>
      <c r="G295" s="1029"/>
      <c r="H295" s="1029"/>
    </row>
    <row r="296" spans="1:8" x14ac:dyDescent="0.2">
      <c r="A296" s="1030" t="s">
        <v>1155</v>
      </c>
      <c r="B296" s="1029"/>
      <c r="C296" s="1029"/>
      <c r="D296" s="1029"/>
      <c r="E296" s="1029"/>
      <c r="F296" s="1029"/>
      <c r="G296" s="1029"/>
      <c r="H296" s="1029"/>
    </row>
    <row r="297" spans="1:8" x14ac:dyDescent="0.2">
      <c r="A297" s="1030" t="s">
        <v>1156</v>
      </c>
      <c r="B297" s="1029"/>
      <c r="C297" s="1029"/>
      <c r="D297" s="1029"/>
      <c r="E297" s="1029"/>
      <c r="F297" s="1029"/>
      <c r="G297" s="1029"/>
      <c r="H297" s="1029"/>
    </row>
    <row r="298" spans="1:8" x14ac:dyDescent="0.2">
      <c r="A298" s="1030" t="s">
        <v>1157</v>
      </c>
      <c r="B298" s="1029"/>
      <c r="C298" s="1029"/>
      <c r="D298" s="1029"/>
      <c r="E298" s="1029"/>
      <c r="F298" s="1029"/>
      <c r="G298" s="1029"/>
      <c r="H298" s="1029"/>
    </row>
    <row r="299" spans="1:8" x14ac:dyDescent="0.2">
      <c r="A299" s="1029"/>
      <c r="B299" s="1029"/>
      <c r="C299" s="1029"/>
      <c r="D299" s="1029"/>
      <c r="E299" s="1029"/>
      <c r="F299" s="1029"/>
      <c r="G299" s="1029"/>
      <c r="H299" s="1029"/>
    </row>
    <row r="300" spans="1:8" x14ac:dyDescent="0.2">
      <c r="A300" s="1030" t="s">
        <v>1142</v>
      </c>
      <c r="B300" s="1029"/>
      <c r="C300" s="1029"/>
      <c r="D300" s="1029"/>
      <c r="E300" s="1029"/>
      <c r="F300" s="1029"/>
      <c r="G300" s="1029"/>
      <c r="H300" s="1029"/>
    </row>
    <row r="301" spans="1:8" x14ac:dyDescent="0.2">
      <c r="A301" s="1030" t="s">
        <v>1143</v>
      </c>
      <c r="B301" s="1029"/>
      <c r="C301" s="1029"/>
      <c r="D301" s="1029"/>
      <c r="E301" s="1029"/>
      <c r="F301" s="1029"/>
      <c r="G301" s="1029"/>
      <c r="H301" s="1029"/>
    </row>
    <row r="302" spans="1:8" x14ac:dyDescent="0.2">
      <c r="A302" s="1030" t="s">
        <v>1144</v>
      </c>
      <c r="B302" s="1029"/>
      <c r="C302" s="1029"/>
      <c r="D302" s="1029"/>
      <c r="E302" s="1029"/>
      <c r="F302" s="1029"/>
      <c r="G302" s="1029"/>
      <c r="H302" s="1029"/>
    </row>
    <row r="303" spans="1:8" x14ac:dyDescent="0.2">
      <c r="A303" s="1030" t="s">
        <v>1145</v>
      </c>
      <c r="B303" s="1029"/>
      <c r="C303" s="1029"/>
      <c r="D303" s="1029"/>
      <c r="E303" s="1029"/>
      <c r="F303" s="1029"/>
      <c r="G303" s="1029"/>
      <c r="H303" s="1029"/>
    </row>
    <row r="304" spans="1:8" x14ac:dyDescent="0.2">
      <c r="A304" s="1030" t="s">
        <v>1146</v>
      </c>
      <c r="B304" s="1029"/>
      <c r="C304" s="1029"/>
      <c r="D304" s="1029"/>
      <c r="E304" s="1029"/>
      <c r="F304" s="1029"/>
      <c r="G304" s="1029"/>
      <c r="H304" s="1029"/>
    </row>
    <row r="305" spans="1:8" x14ac:dyDescent="0.2">
      <c r="A305" s="1030" t="s">
        <v>1147</v>
      </c>
      <c r="B305" s="1029"/>
      <c r="C305" s="1029"/>
      <c r="D305" s="1029"/>
      <c r="E305" s="1029"/>
      <c r="F305" s="1029"/>
      <c r="G305" s="1029"/>
      <c r="H305" s="1029"/>
    </row>
    <row r="306" spans="1:8" x14ac:dyDescent="0.2">
      <c r="A306" s="1030" t="s">
        <v>1148</v>
      </c>
      <c r="B306" s="1029"/>
      <c r="C306" s="1029"/>
      <c r="D306" s="1029"/>
      <c r="E306" s="1029"/>
      <c r="F306" s="1029"/>
      <c r="G306" s="1029"/>
      <c r="H306" s="1029"/>
    </row>
    <row r="307" spans="1:8" x14ac:dyDescent="0.2">
      <c r="A307" s="1029"/>
      <c r="B307" s="1029"/>
      <c r="C307" s="1029"/>
      <c r="D307" s="1029"/>
      <c r="E307" s="1029"/>
      <c r="F307" s="1029"/>
      <c r="G307" s="1029"/>
      <c r="H307" s="1029"/>
    </row>
    <row r="308" spans="1:8" x14ac:dyDescent="0.2">
      <c r="A308" s="1030" t="s">
        <v>1139</v>
      </c>
      <c r="B308" s="1029"/>
      <c r="C308" s="1029"/>
      <c r="D308" s="1029"/>
      <c r="E308" s="1029"/>
      <c r="F308" s="1029"/>
      <c r="G308" s="1029"/>
      <c r="H308" s="1029"/>
    </row>
    <row r="309" spans="1:8" x14ac:dyDescent="0.2">
      <c r="A309" s="1030" t="s">
        <v>1140</v>
      </c>
      <c r="B309" s="1029"/>
      <c r="C309" s="1029"/>
      <c r="D309" s="1029"/>
      <c r="E309" s="1029"/>
      <c r="F309" s="1029"/>
      <c r="G309" s="1029"/>
      <c r="H309" s="1029"/>
    </row>
    <row r="310" spans="1:8" x14ac:dyDescent="0.2">
      <c r="A310" s="1030" t="s">
        <v>1141</v>
      </c>
      <c r="B310" s="1029"/>
      <c r="C310" s="1029"/>
      <c r="D310" s="1029"/>
      <c r="E310" s="1029"/>
      <c r="F310" s="1029"/>
      <c r="G310" s="1029"/>
      <c r="H310" s="1029"/>
    </row>
    <row r="311" spans="1:8" x14ac:dyDescent="0.2">
      <c r="A311" s="1029"/>
      <c r="B311" s="1029"/>
      <c r="C311" s="1029"/>
      <c r="D311" s="1029"/>
      <c r="E311" s="1029"/>
      <c r="F311" s="1029"/>
      <c r="G311" s="1029"/>
      <c r="H311" s="1029"/>
    </row>
    <row r="312" spans="1:8" x14ac:dyDescent="0.2">
      <c r="A312" s="1030" t="s">
        <v>1137</v>
      </c>
      <c r="B312" s="1029"/>
      <c r="C312" s="1029"/>
      <c r="D312" s="1029"/>
      <c r="E312" s="1029"/>
      <c r="F312" s="1029"/>
      <c r="G312" s="1029"/>
      <c r="H312" s="1029"/>
    </row>
    <row r="313" spans="1:8" x14ac:dyDescent="0.2">
      <c r="A313" s="1030" t="s">
        <v>1138</v>
      </c>
      <c r="B313" s="1029"/>
      <c r="C313" s="1029"/>
      <c r="D313" s="1029"/>
      <c r="E313" s="1029"/>
      <c r="F313" s="1029"/>
      <c r="G313" s="1029"/>
      <c r="H313" s="1029"/>
    </row>
    <row r="314" spans="1:8" x14ac:dyDescent="0.2">
      <c r="A314" s="1029"/>
      <c r="B314" s="1029"/>
      <c r="C314" s="1029"/>
      <c r="D314" s="1029"/>
      <c r="E314" s="1029"/>
      <c r="F314" s="1029"/>
      <c r="G314" s="1029"/>
      <c r="H314" s="1029"/>
    </row>
    <row r="315" spans="1:8" x14ac:dyDescent="0.2">
      <c r="A315" s="1030" t="s">
        <v>1124</v>
      </c>
      <c r="B315" s="1029"/>
      <c r="C315" s="1029"/>
      <c r="D315" s="1029"/>
      <c r="E315" s="1029"/>
      <c r="F315" s="1029"/>
      <c r="G315" s="1029"/>
      <c r="H315" s="1029"/>
    </row>
    <row r="316" spans="1:8" x14ac:dyDescent="0.2">
      <c r="A316" s="1030" t="s">
        <v>1125</v>
      </c>
      <c r="B316" s="1029"/>
      <c r="C316" s="1029"/>
      <c r="D316" s="1029"/>
      <c r="E316" s="1029"/>
      <c r="F316" s="1029"/>
      <c r="G316" s="1029"/>
      <c r="H316" s="1029"/>
    </row>
    <row r="317" spans="1:8" x14ac:dyDescent="0.2">
      <c r="A317" s="1030" t="s">
        <v>1126</v>
      </c>
      <c r="B317" s="1029"/>
      <c r="C317" s="1029"/>
      <c r="D317" s="1029"/>
      <c r="E317" s="1029"/>
      <c r="F317" s="1029"/>
      <c r="G317" s="1029"/>
      <c r="H317" s="1029"/>
    </row>
    <row r="318" spans="1:8" x14ac:dyDescent="0.2">
      <c r="A318" s="1030" t="s">
        <v>1127</v>
      </c>
      <c r="B318" s="1029"/>
      <c r="C318" s="1029"/>
      <c r="D318" s="1029"/>
      <c r="E318" s="1029"/>
      <c r="F318" s="1029"/>
      <c r="G318" s="1029"/>
      <c r="H318" s="1029"/>
    </row>
    <row r="319" spans="1:8" x14ac:dyDescent="0.2">
      <c r="A319" s="1030" t="s">
        <v>1128</v>
      </c>
      <c r="B319" s="1029"/>
      <c r="C319" s="1029"/>
      <c r="D319" s="1029"/>
      <c r="E319" s="1029"/>
      <c r="F319" s="1029"/>
      <c r="G319" s="1029"/>
      <c r="H319" s="1029"/>
    </row>
    <row r="320" spans="1:8" x14ac:dyDescent="0.2">
      <c r="A320" s="1030" t="s">
        <v>1129</v>
      </c>
      <c r="B320" s="1029"/>
      <c r="C320" s="1029"/>
      <c r="D320" s="1029"/>
      <c r="E320" s="1029"/>
      <c r="F320" s="1029"/>
      <c r="G320" s="1029"/>
      <c r="H320" s="1029"/>
    </row>
    <row r="321" spans="1:8" x14ac:dyDescent="0.2">
      <c r="A321" s="1030" t="s">
        <v>1130</v>
      </c>
      <c r="B321" s="1029"/>
      <c r="C321" s="1029"/>
      <c r="D321" s="1029"/>
      <c r="E321" s="1029"/>
      <c r="F321" s="1029"/>
      <c r="G321" s="1029"/>
      <c r="H321" s="1029"/>
    </row>
    <row r="322" spans="1:8" x14ac:dyDescent="0.2">
      <c r="A322" s="1030" t="s">
        <v>1131</v>
      </c>
      <c r="B322" s="1029"/>
      <c r="C322" s="1029"/>
      <c r="D322" s="1029"/>
      <c r="E322" s="1029"/>
      <c r="F322" s="1029"/>
      <c r="G322" s="1029"/>
      <c r="H322" s="1029"/>
    </row>
    <row r="323" spans="1:8" x14ac:dyDescent="0.2">
      <c r="A323" s="1030" t="s">
        <v>1132</v>
      </c>
      <c r="B323" s="1029"/>
      <c r="C323" s="1029"/>
      <c r="D323" s="1029"/>
      <c r="E323" s="1029"/>
      <c r="F323" s="1029"/>
      <c r="G323" s="1029"/>
      <c r="H323" s="1029"/>
    </row>
    <row r="324" spans="1:8" x14ac:dyDescent="0.2">
      <c r="A324" s="1030" t="s">
        <v>1133</v>
      </c>
      <c r="B324" s="1029"/>
      <c r="C324" s="1029"/>
      <c r="D324" s="1029"/>
      <c r="E324" s="1029"/>
      <c r="F324" s="1029"/>
      <c r="G324" s="1029"/>
      <c r="H324" s="1029"/>
    </row>
    <row r="325" spans="1:8" x14ac:dyDescent="0.2">
      <c r="A325" s="1030" t="s">
        <v>1134</v>
      </c>
      <c r="B325" s="1029"/>
      <c r="C325" s="1029"/>
      <c r="D325" s="1029"/>
      <c r="E325" s="1029"/>
      <c r="F325" s="1029"/>
      <c r="G325" s="1029"/>
      <c r="H325" s="1029"/>
    </row>
    <row r="326" spans="1:8" x14ac:dyDescent="0.2">
      <c r="A326" s="1030" t="s">
        <v>1135</v>
      </c>
      <c r="B326" s="1029"/>
      <c r="C326" s="1029"/>
      <c r="D326" s="1029"/>
      <c r="E326" s="1029"/>
      <c r="F326" s="1029"/>
      <c r="G326" s="1029"/>
      <c r="H326" s="1029"/>
    </row>
    <row r="327" spans="1:8" x14ac:dyDescent="0.2">
      <c r="A327" s="1030" t="s">
        <v>1136</v>
      </c>
      <c r="B327" s="1029"/>
      <c r="C327" s="1029"/>
      <c r="D327" s="1029"/>
      <c r="E327" s="1029"/>
      <c r="F327" s="1029"/>
      <c r="G327" s="1029"/>
      <c r="H327" s="1029"/>
    </row>
    <row r="328" spans="1:8" x14ac:dyDescent="0.2">
      <c r="A328" s="1029"/>
      <c r="B328" s="1029"/>
      <c r="C328" s="1029"/>
      <c r="D328" s="1029"/>
      <c r="E328" s="1029"/>
      <c r="F328" s="1029"/>
      <c r="G328" s="1029"/>
      <c r="H328" s="1029"/>
    </row>
    <row r="329" spans="1:8" x14ac:dyDescent="0.2">
      <c r="A329" s="1030" t="s">
        <v>1122</v>
      </c>
      <c r="B329" s="1029"/>
      <c r="C329" s="1029"/>
      <c r="D329" s="1029"/>
      <c r="E329" s="1029"/>
      <c r="F329" s="1029"/>
      <c r="G329" s="1029"/>
      <c r="H329" s="1029"/>
    </row>
    <row r="330" spans="1:8" x14ac:dyDescent="0.2">
      <c r="A330" s="1030" t="s">
        <v>1123</v>
      </c>
      <c r="B330" s="1029"/>
      <c r="C330" s="1029"/>
      <c r="D330" s="1029"/>
      <c r="E330" s="1029"/>
      <c r="F330" s="1029"/>
      <c r="G330" s="1029"/>
      <c r="H330" s="1029"/>
    </row>
    <row r="331" spans="1:8" x14ac:dyDescent="0.2">
      <c r="A331" s="1029"/>
      <c r="B331" s="1029"/>
      <c r="C331" s="1029"/>
      <c r="D331" s="1029"/>
      <c r="E331" s="1029"/>
      <c r="F331" s="1029"/>
      <c r="G331" s="1029"/>
      <c r="H331" s="1029"/>
    </row>
    <row r="332" spans="1:8" x14ac:dyDescent="0.2">
      <c r="A332" s="1030" t="s">
        <v>1114</v>
      </c>
      <c r="B332" s="1029"/>
      <c r="C332" s="1029"/>
      <c r="D332" s="1029"/>
      <c r="E332" s="1029"/>
      <c r="F332" s="1029"/>
      <c r="G332" s="1029"/>
      <c r="H332" s="1029"/>
    </row>
    <row r="333" spans="1:8" x14ac:dyDescent="0.2">
      <c r="A333" s="1030" t="s">
        <v>1115</v>
      </c>
      <c r="B333" s="1029"/>
      <c r="C333" s="1029"/>
      <c r="D333" s="1029"/>
      <c r="E333" s="1029"/>
      <c r="F333" s="1029"/>
      <c r="G333" s="1029"/>
      <c r="H333" s="1029"/>
    </row>
    <row r="334" spans="1:8" x14ac:dyDescent="0.2">
      <c r="A334" s="1030" t="s">
        <v>1116</v>
      </c>
      <c r="B334" s="1029"/>
      <c r="C334" s="1029"/>
      <c r="D334" s="1029"/>
      <c r="E334" s="1029"/>
      <c r="F334" s="1029"/>
      <c r="G334" s="1029"/>
      <c r="H334" s="1029"/>
    </row>
    <row r="335" spans="1:8" x14ac:dyDescent="0.2">
      <c r="A335" s="1030" t="s">
        <v>1117</v>
      </c>
      <c r="B335" s="1029"/>
      <c r="C335" s="1029"/>
      <c r="D335" s="1029"/>
      <c r="E335" s="1029"/>
      <c r="F335" s="1029"/>
      <c r="G335" s="1029"/>
      <c r="H335" s="1029"/>
    </row>
    <row r="336" spans="1:8" x14ac:dyDescent="0.2">
      <c r="A336" s="1030" t="s">
        <v>1118</v>
      </c>
      <c r="B336" s="1029"/>
      <c r="C336" s="1029"/>
      <c r="D336" s="1029"/>
      <c r="E336" s="1029"/>
      <c r="F336" s="1029"/>
      <c r="G336" s="1029"/>
      <c r="H336" s="1029"/>
    </row>
    <row r="337" spans="1:8" x14ac:dyDescent="0.2">
      <c r="A337" s="1030" t="s">
        <v>1119</v>
      </c>
      <c r="B337" s="1029"/>
      <c r="C337" s="1029"/>
      <c r="D337" s="1029"/>
      <c r="E337" s="1029"/>
      <c r="F337" s="1029"/>
      <c r="G337" s="1029"/>
      <c r="H337" s="1029"/>
    </row>
    <row r="338" spans="1:8" x14ac:dyDescent="0.2">
      <c r="A338" s="1030" t="s">
        <v>1120</v>
      </c>
      <c r="B338" s="1029"/>
      <c r="C338" s="1029"/>
      <c r="D338" s="1029"/>
      <c r="E338" s="1029"/>
      <c r="F338" s="1029"/>
      <c r="G338" s="1029"/>
      <c r="H338" s="1029"/>
    </row>
    <row r="339" spans="1:8" x14ac:dyDescent="0.2">
      <c r="A339" s="1030" t="s">
        <v>1121</v>
      </c>
      <c r="B339" s="1029"/>
      <c r="C339" s="1029"/>
      <c r="D339" s="1029"/>
      <c r="E339" s="1029"/>
      <c r="F339" s="1029"/>
      <c r="G339" s="1029"/>
      <c r="H339" s="1029"/>
    </row>
    <row r="340" spans="1:8" x14ac:dyDescent="0.2">
      <c r="A340" s="1029"/>
      <c r="B340" s="1029"/>
      <c r="C340" s="1029"/>
      <c r="D340" s="1029"/>
      <c r="E340" s="1029"/>
      <c r="F340" s="1029"/>
      <c r="G340" s="1029"/>
      <c r="H340" s="1029"/>
    </row>
    <row r="341" spans="1:8" x14ac:dyDescent="0.2">
      <c r="A341" s="1030" t="s">
        <v>1079</v>
      </c>
      <c r="B341" s="1029"/>
      <c r="C341" s="1029"/>
      <c r="D341" s="1029"/>
      <c r="E341" s="1029"/>
      <c r="F341" s="1029"/>
      <c r="G341" s="1029"/>
      <c r="H341" s="1029"/>
    </row>
    <row r="342" spans="1:8" x14ac:dyDescent="0.2">
      <c r="A342" s="1030" t="s">
        <v>1080</v>
      </c>
      <c r="B342" s="1029"/>
      <c r="C342" s="1029"/>
      <c r="D342" s="1029"/>
      <c r="E342" s="1029"/>
      <c r="F342" s="1029"/>
      <c r="G342" s="1029"/>
      <c r="H342" s="1029"/>
    </row>
    <row r="343" spans="1:8" x14ac:dyDescent="0.2">
      <c r="A343" s="1030" t="s">
        <v>1081</v>
      </c>
      <c r="B343" s="1029"/>
      <c r="C343" s="1029"/>
      <c r="D343" s="1029"/>
      <c r="E343" s="1029"/>
      <c r="F343" s="1029"/>
      <c r="G343" s="1029"/>
      <c r="H343" s="1029"/>
    </row>
    <row r="344" spans="1:8" x14ac:dyDescent="0.2">
      <c r="A344" s="1030" t="s">
        <v>1082</v>
      </c>
      <c r="B344" s="1029"/>
      <c r="C344" s="1029"/>
      <c r="D344" s="1029"/>
      <c r="E344" s="1029"/>
      <c r="F344" s="1029"/>
      <c r="G344" s="1029"/>
      <c r="H344" s="1029"/>
    </row>
    <row r="345" spans="1:8" x14ac:dyDescent="0.2">
      <c r="A345" s="1030" t="s">
        <v>1083</v>
      </c>
      <c r="B345" s="1029"/>
      <c r="C345" s="1029"/>
      <c r="D345" s="1029"/>
      <c r="E345" s="1029"/>
      <c r="F345" s="1029"/>
      <c r="G345" s="1029"/>
      <c r="H345" s="1029"/>
    </row>
    <row r="346" spans="1:8" x14ac:dyDescent="0.2">
      <c r="A346" s="1030" t="s">
        <v>1084</v>
      </c>
      <c r="B346" s="1029"/>
      <c r="C346" s="1029"/>
      <c r="D346" s="1029"/>
      <c r="E346" s="1029"/>
      <c r="F346" s="1029"/>
      <c r="G346" s="1029"/>
      <c r="H346" s="1029"/>
    </row>
    <row r="347" spans="1:8" x14ac:dyDescent="0.2">
      <c r="A347" s="1030" t="s">
        <v>1085</v>
      </c>
      <c r="B347" s="1029"/>
      <c r="C347" s="1029"/>
      <c r="D347" s="1029"/>
      <c r="E347" s="1029"/>
      <c r="F347" s="1029"/>
      <c r="G347" s="1029"/>
      <c r="H347" s="1029"/>
    </row>
    <row r="348" spans="1:8" x14ac:dyDescent="0.2">
      <c r="A348" s="1030" t="s">
        <v>1086</v>
      </c>
      <c r="B348" s="1029"/>
      <c r="C348" s="1029"/>
      <c r="D348" s="1029"/>
      <c r="E348" s="1029"/>
      <c r="F348" s="1029"/>
      <c r="G348" s="1029"/>
      <c r="H348" s="1029"/>
    </row>
    <row r="349" spans="1:8" x14ac:dyDescent="0.2">
      <c r="A349" s="1030" t="s">
        <v>1087</v>
      </c>
      <c r="B349" s="1029"/>
      <c r="C349" s="1029"/>
      <c r="D349" s="1029"/>
      <c r="E349" s="1029"/>
      <c r="F349" s="1029"/>
      <c r="G349" s="1029"/>
      <c r="H349" s="1029"/>
    </row>
    <row r="350" spans="1:8" x14ac:dyDescent="0.2">
      <c r="A350" s="1030" t="s">
        <v>1088</v>
      </c>
      <c r="B350" s="1029"/>
      <c r="C350" s="1029"/>
      <c r="D350" s="1029"/>
      <c r="E350" s="1029"/>
      <c r="F350" s="1029"/>
      <c r="G350" s="1029"/>
      <c r="H350" s="1029"/>
    </row>
    <row r="351" spans="1:8" x14ac:dyDescent="0.2">
      <c r="A351" s="1030" t="s">
        <v>1089</v>
      </c>
      <c r="B351" s="1029"/>
      <c r="C351" s="1029"/>
      <c r="D351" s="1029"/>
      <c r="E351" s="1029"/>
      <c r="F351" s="1029"/>
      <c r="G351" s="1029"/>
      <c r="H351" s="1029"/>
    </row>
    <row r="352" spans="1:8" x14ac:dyDescent="0.2">
      <c r="A352" s="1030" t="s">
        <v>1090</v>
      </c>
      <c r="B352" s="1029"/>
      <c r="C352" s="1029"/>
      <c r="D352" s="1029"/>
      <c r="E352" s="1029"/>
      <c r="F352" s="1029"/>
      <c r="G352" s="1029"/>
      <c r="H352" s="1029"/>
    </row>
    <row r="353" spans="1:8" x14ac:dyDescent="0.2">
      <c r="A353" s="1030" t="s">
        <v>1091</v>
      </c>
      <c r="B353" s="1029"/>
      <c r="C353" s="1029"/>
      <c r="D353" s="1029"/>
      <c r="E353" s="1029"/>
      <c r="F353" s="1029"/>
      <c r="G353" s="1029"/>
      <c r="H353" s="1029"/>
    </row>
    <row r="354" spans="1:8" x14ac:dyDescent="0.2">
      <c r="A354" s="1030" t="s">
        <v>1092</v>
      </c>
      <c r="B354" s="1029"/>
      <c r="C354" s="1029"/>
      <c r="D354" s="1029"/>
      <c r="E354" s="1029"/>
      <c r="F354" s="1029"/>
      <c r="G354" s="1029"/>
      <c r="H354" s="1029"/>
    </row>
    <row r="355" spans="1:8" x14ac:dyDescent="0.2">
      <c r="A355" s="1030" t="s">
        <v>1093</v>
      </c>
      <c r="B355" s="1029"/>
      <c r="C355" s="1029"/>
      <c r="D355" s="1029"/>
      <c r="E355" s="1029"/>
      <c r="F355" s="1029"/>
      <c r="G355" s="1029"/>
      <c r="H355" s="1029"/>
    </row>
    <row r="356" spans="1:8" x14ac:dyDescent="0.2">
      <c r="A356" s="1030" t="s">
        <v>1094</v>
      </c>
      <c r="B356" s="1029"/>
      <c r="C356" s="1029"/>
      <c r="D356" s="1029"/>
      <c r="E356" s="1029"/>
      <c r="F356" s="1029"/>
      <c r="G356" s="1029"/>
      <c r="H356" s="1029"/>
    </row>
    <row r="357" spans="1:8" x14ac:dyDescent="0.2">
      <c r="A357" s="1030" t="s">
        <v>1095</v>
      </c>
      <c r="B357" s="1029"/>
      <c r="C357" s="1029"/>
      <c r="D357" s="1029"/>
      <c r="E357" s="1029"/>
      <c r="F357" s="1029"/>
      <c r="G357" s="1029"/>
      <c r="H357" s="1029"/>
    </row>
    <row r="358" spans="1:8" x14ac:dyDescent="0.2">
      <c r="A358" s="1030" t="s">
        <v>1096</v>
      </c>
      <c r="B358" s="1029"/>
      <c r="C358" s="1029"/>
      <c r="D358" s="1029"/>
      <c r="E358" s="1029"/>
      <c r="F358" s="1029"/>
      <c r="G358" s="1029"/>
      <c r="H358" s="1029"/>
    </row>
    <row r="359" spans="1:8" x14ac:dyDescent="0.2">
      <c r="A359" s="1030" t="s">
        <v>1097</v>
      </c>
      <c r="B359" s="1029"/>
      <c r="C359" s="1029"/>
      <c r="D359" s="1029"/>
      <c r="E359" s="1029"/>
      <c r="F359" s="1029"/>
      <c r="G359" s="1029"/>
      <c r="H359" s="1029"/>
    </row>
    <row r="360" spans="1:8" x14ac:dyDescent="0.2">
      <c r="A360" s="1030" t="s">
        <v>1098</v>
      </c>
      <c r="B360" s="1029"/>
      <c r="C360" s="1029"/>
      <c r="D360" s="1029"/>
      <c r="E360" s="1029"/>
      <c r="F360" s="1029"/>
      <c r="G360" s="1029"/>
      <c r="H360" s="1029"/>
    </row>
    <row r="361" spans="1:8" x14ac:dyDescent="0.2">
      <c r="A361" s="1030" t="s">
        <v>1099</v>
      </c>
      <c r="B361" s="1029"/>
      <c r="C361" s="1029"/>
      <c r="D361" s="1029"/>
      <c r="E361" s="1029"/>
      <c r="F361" s="1029"/>
      <c r="G361" s="1029"/>
      <c r="H361" s="1029"/>
    </row>
    <row r="362" spans="1:8" x14ac:dyDescent="0.2">
      <c r="A362" s="1030" t="s">
        <v>1100</v>
      </c>
      <c r="B362" s="1029"/>
      <c r="C362" s="1029"/>
      <c r="D362" s="1029"/>
      <c r="E362" s="1029"/>
      <c r="F362" s="1029"/>
      <c r="G362" s="1029"/>
      <c r="H362" s="1029"/>
    </row>
    <row r="363" spans="1:8" x14ac:dyDescent="0.2">
      <c r="A363" s="1030" t="s">
        <v>1101</v>
      </c>
      <c r="B363" s="1029"/>
      <c r="C363" s="1029"/>
      <c r="D363" s="1029"/>
      <c r="E363" s="1029"/>
      <c r="F363" s="1029"/>
      <c r="G363" s="1029"/>
      <c r="H363" s="1029"/>
    </row>
    <row r="364" spans="1:8" x14ac:dyDescent="0.2">
      <c r="A364" s="1030" t="s">
        <v>1102</v>
      </c>
      <c r="B364" s="1029"/>
      <c r="C364" s="1029"/>
      <c r="D364" s="1029"/>
      <c r="E364" s="1029"/>
      <c r="F364" s="1029"/>
      <c r="G364" s="1029"/>
      <c r="H364" s="1029"/>
    </row>
    <row r="365" spans="1:8" x14ac:dyDescent="0.2">
      <c r="A365" s="1030" t="s">
        <v>1103</v>
      </c>
      <c r="B365" s="1029"/>
      <c r="C365" s="1029"/>
      <c r="D365" s="1029"/>
      <c r="E365" s="1029"/>
      <c r="F365" s="1029"/>
      <c r="G365" s="1029"/>
      <c r="H365" s="1029"/>
    </row>
    <row r="366" spans="1:8" x14ac:dyDescent="0.2">
      <c r="A366" s="1030" t="s">
        <v>1104</v>
      </c>
      <c r="B366" s="1029"/>
      <c r="C366" s="1029"/>
      <c r="D366" s="1029"/>
      <c r="E366" s="1029"/>
      <c r="F366" s="1029"/>
      <c r="G366" s="1029"/>
      <c r="H366" s="1029"/>
    </row>
    <row r="367" spans="1:8" x14ac:dyDescent="0.2">
      <c r="A367" s="1030" t="s">
        <v>1105</v>
      </c>
      <c r="B367" s="1029"/>
      <c r="C367" s="1029"/>
      <c r="D367" s="1029"/>
      <c r="E367" s="1029"/>
      <c r="F367" s="1029"/>
      <c r="G367" s="1029"/>
      <c r="H367" s="1029"/>
    </row>
    <row r="368" spans="1:8" x14ac:dyDescent="0.2">
      <c r="A368" s="1030" t="s">
        <v>1106</v>
      </c>
      <c r="B368" s="1029"/>
      <c r="C368" s="1029"/>
      <c r="D368" s="1029"/>
      <c r="E368" s="1029"/>
      <c r="F368" s="1029"/>
      <c r="G368" s="1029"/>
      <c r="H368" s="1029"/>
    </row>
    <row r="369" spans="1:8" x14ac:dyDescent="0.2">
      <c r="A369" s="1030" t="s">
        <v>1107</v>
      </c>
      <c r="B369" s="1029"/>
      <c r="C369" s="1029"/>
      <c r="D369" s="1029"/>
      <c r="E369" s="1029"/>
      <c r="F369" s="1029"/>
      <c r="G369" s="1029"/>
      <c r="H369" s="1029"/>
    </row>
    <row r="370" spans="1:8" x14ac:dyDescent="0.2">
      <c r="A370" s="1030" t="s">
        <v>1108</v>
      </c>
      <c r="B370" s="1029"/>
      <c r="C370" s="1029"/>
      <c r="D370" s="1029"/>
      <c r="E370" s="1029"/>
      <c r="F370" s="1029"/>
      <c r="G370" s="1029"/>
      <c r="H370" s="1029"/>
    </row>
    <row r="371" spans="1:8" x14ac:dyDescent="0.2">
      <c r="A371" s="1030" t="s">
        <v>1109</v>
      </c>
      <c r="B371" s="1029"/>
      <c r="C371" s="1029"/>
      <c r="D371" s="1029"/>
      <c r="E371" s="1029"/>
      <c r="F371" s="1029"/>
      <c r="G371" s="1029"/>
      <c r="H371" s="1029"/>
    </row>
    <row r="372" spans="1:8" x14ac:dyDescent="0.2">
      <c r="A372" s="1030" t="s">
        <v>1110</v>
      </c>
      <c r="B372" s="1029"/>
      <c r="C372" s="1029"/>
      <c r="D372" s="1029"/>
      <c r="E372" s="1029"/>
      <c r="F372" s="1029"/>
      <c r="G372" s="1029"/>
      <c r="H372" s="1029"/>
    </row>
    <row r="373" spans="1:8" x14ac:dyDescent="0.2">
      <c r="A373" s="1030" t="s">
        <v>1111</v>
      </c>
      <c r="B373" s="1029"/>
      <c r="C373" s="1029"/>
      <c r="D373" s="1029"/>
      <c r="E373" s="1029"/>
      <c r="F373" s="1029"/>
      <c r="G373" s="1029"/>
      <c r="H373" s="1029"/>
    </row>
    <row r="374" spans="1:8" x14ac:dyDescent="0.2">
      <c r="A374" s="1030" t="s">
        <v>1112</v>
      </c>
      <c r="B374" s="1029"/>
      <c r="C374" s="1029"/>
      <c r="D374" s="1029"/>
      <c r="E374" s="1029"/>
      <c r="F374" s="1029"/>
      <c r="G374" s="1029"/>
      <c r="H374" s="1029"/>
    </row>
    <row r="375" spans="1:8" x14ac:dyDescent="0.2">
      <c r="A375" s="1030" t="s">
        <v>1113</v>
      </c>
      <c r="B375" s="1029"/>
      <c r="C375" s="1029"/>
      <c r="D375" s="1029"/>
      <c r="E375" s="1029"/>
      <c r="F375" s="1029"/>
      <c r="G375" s="1029"/>
      <c r="H375" s="1029"/>
    </row>
    <row r="376" spans="1:8" x14ac:dyDescent="0.2">
      <c r="A376" s="1029"/>
      <c r="B376" s="1029"/>
      <c r="C376" s="1029"/>
      <c r="D376" s="1029"/>
      <c r="E376" s="1029"/>
      <c r="F376" s="1029"/>
      <c r="G376" s="1029"/>
      <c r="H376" s="1029"/>
    </row>
    <row r="377" spans="1:8" x14ac:dyDescent="0.2">
      <c r="A377" s="1030" t="s">
        <v>1071</v>
      </c>
      <c r="B377" s="1029"/>
      <c r="C377" s="1029"/>
      <c r="D377" s="1029"/>
      <c r="E377" s="1029"/>
      <c r="F377" s="1029"/>
      <c r="G377" s="1029"/>
      <c r="H377" s="1029"/>
    </row>
    <row r="378" spans="1:8" x14ac:dyDescent="0.2">
      <c r="A378" s="1030" t="s">
        <v>1075</v>
      </c>
      <c r="B378" s="1029"/>
      <c r="C378" s="1029"/>
      <c r="D378" s="1029"/>
      <c r="E378" s="1029"/>
      <c r="F378" s="1029"/>
      <c r="G378" s="1029"/>
      <c r="H378" s="1029"/>
    </row>
    <row r="379" spans="1:8" x14ac:dyDescent="0.2">
      <c r="A379" s="1030" t="s">
        <v>1076</v>
      </c>
      <c r="B379" s="1029"/>
      <c r="C379" s="1029"/>
      <c r="D379" s="1029"/>
      <c r="E379" s="1029"/>
      <c r="F379" s="1029"/>
      <c r="G379" s="1029"/>
      <c r="H379" s="1029"/>
    </row>
    <row r="380" spans="1:8" x14ac:dyDescent="0.2">
      <c r="A380" s="1030" t="s">
        <v>1077</v>
      </c>
      <c r="B380" s="1029"/>
      <c r="C380" s="1029"/>
      <c r="D380" s="1029"/>
      <c r="E380" s="1029"/>
      <c r="F380" s="1029"/>
      <c r="G380" s="1029"/>
      <c r="H380" s="1029"/>
    </row>
    <row r="381" spans="1:8" x14ac:dyDescent="0.2">
      <c r="A381" s="1030" t="s">
        <v>1078</v>
      </c>
      <c r="B381" s="1029"/>
      <c r="C381" s="1029"/>
      <c r="D381" s="1029"/>
      <c r="E381" s="1029"/>
      <c r="F381" s="1029"/>
      <c r="G381" s="1029"/>
      <c r="H381" s="1029"/>
    </row>
    <row r="382" spans="1:8" x14ac:dyDescent="0.2">
      <c r="A382" s="1029"/>
      <c r="B382" s="1029"/>
      <c r="C382" s="1029"/>
      <c r="D382" s="1029"/>
      <c r="E382" s="1029"/>
      <c r="F382" s="1029"/>
      <c r="G382" s="1029"/>
      <c r="H382" s="1029"/>
    </row>
    <row r="383" spans="1:8" x14ac:dyDescent="0.2">
      <c r="A383" s="1030" t="s">
        <v>1071</v>
      </c>
      <c r="B383" s="1029"/>
      <c r="C383" s="1029"/>
      <c r="D383" s="1029"/>
      <c r="E383" s="1029"/>
      <c r="F383" s="1029"/>
      <c r="G383" s="1029"/>
      <c r="H383" s="1029"/>
    </row>
    <row r="384" spans="1:8" x14ac:dyDescent="0.2">
      <c r="A384" s="1030" t="s">
        <v>1072</v>
      </c>
      <c r="B384" s="1029"/>
      <c r="C384" s="1029"/>
      <c r="D384" s="1029"/>
      <c r="E384" s="1029"/>
      <c r="F384" s="1029"/>
      <c r="G384" s="1029"/>
      <c r="H384" s="1029"/>
    </row>
    <row r="385" spans="1:8" x14ac:dyDescent="0.2">
      <c r="A385" s="1030" t="s">
        <v>1073</v>
      </c>
      <c r="B385" s="1029"/>
      <c r="C385" s="1029"/>
      <c r="D385" s="1029"/>
      <c r="E385" s="1029"/>
      <c r="F385" s="1029"/>
      <c r="G385" s="1029"/>
      <c r="H385" s="1029"/>
    </row>
    <row r="386" spans="1:8" x14ac:dyDescent="0.2">
      <c r="A386" s="1030" t="s">
        <v>1074</v>
      </c>
      <c r="B386" s="1029"/>
      <c r="C386" s="1029"/>
      <c r="D386" s="1029"/>
      <c r="E386" s="1029"/>
      <c r="F386" s="1029"/>
      <c r="G386" s="1029"/>
      <c r="H386" s="1029"/>
    </row>
    <row r="387" spans="1:8" x14ac:dyDescent="0.2">
      <c r="A387" s="1029"/>
      <c r="B387" s="1029"/>
      <c r="C387" s="1029"/>
      <c r="D387" s="1029"/>
      <c r="E387" s="1029"/>
      <c r="F387" s="1029"/>
      <c r="G387" s="1029"/>
      <c r="H387" s="1029"/>
    </row>
    <row r="388" spans="1:8" x14ac:dyDescent="0.2">
      <c r="A388" s="1030" t="s">
        <v>1065</v>
      </c>
      <c r="B388" s="1029"/>
      <c r="C388" s="1029"/>
      <c r="D388" s="1029"/>
      <c r="E388" s="1029"/>
      <c r="F388" s="1029"/>
      <c r="G388" s="1029"/>
      <c r="H388" s="1029"/>
    </row>
    <row r="389" spans="1:8" x14ac:dyDescent="0.2">
      <c r="A389" s="1030" t="s">
        <v>1066</v>
      </c>
      <c r="B389" s="1029"/>
      <c r="C389" s="1029"/>
      <c r="D389" s="1029"/>
      <c r="E389" s="1029"/>
      <c r="F389" s="1029"/>
      <c r="G389" s="1029"/>
      <c r="H389" s="1029"/>
    </row>
    <row r="390" spans="1:8" x14ac:dyDescent="0.2">
      <c r="A390" s="1030" t="s">
        <v>1067</v>
      </c>
      <c r="B390" s="1029"/>
      <c r="C390" s="1029"/>
      <c r="D390" s="1029"/>
      <c r="E390" s="1029"/>
      <c r="F390" s="1029"/>
      <c r="G390" s="1029"/>
      <c r="H390" s="1029"/>
    </row>
    <row r="391" spans="1:8" x14ac:dyDescent="0.2">
      <c r="A391" s="1030" t="s">
        <v>1068</v>
      </c>
      <c r="B391" s="1029"/>
      <c r="C391" s="1029"/>
      <c r="D391" s="1029"/>
      <c r="E391" s="1029"/>
      <c r="F391" s="1029"/>
      <c r="G391" s="1029"/>
      <c r="H391" s="1029"/>
    </row>
    <row r="392" spans="1:8" x14ac:dyDescent="0.2">
      <c r="A392" s="1030" t="s">
        <v>1069</v>
      </c>
      <c r="B392" s="1029"/>
      <c r="C392" s="1029"/>
      <c r="D392" s="1029"/>
      <c r="E392" s="1029"/>
      <c r="F392" s="1029"/>
      <c r="G392" s="1029"/>
      <c r="H392" s="1029"/>
    </row>
    <row r="393" spans="1:8" x14ac:dyDescent="0.2">
      <c r="A393" s="1030" t="s">
        <v>1070</v>
      </c>
      <c r="B393" s="1029"/>
      <c r="C393" s="1029"/>
      <c r="D393" s="1029"/>
      <c r="E393" s="1029"/>
      <c r="F393" s="1029"/>
      <c r="G393" s="1029"/>
      <c r="H393" s="1029"/>
    </row>
    <row r="394" spans="1:8" x14ac:dyDescent="0.2">
      <c r="A394" s="1029"/>
      <c r="B394" s="1029"/>
      <c r="C394" s="1029"/>
      <c r="D394" s="1029"/>
      <c r="E394" s="1029"/>
      <c r="F394" s="1029"/>
      <c r="G394" s="1029"/>
      <c r="H394" s="1029"/>
    </row>
    <row r="395" spans="1:8" x14ac:dyDescent="0.2">
      <c r="A395" s="1030" t="s">
        <v>1060</v>
      </c>
      <c r="B395" s="1029"/>
      <c r="C395" s="1029"/>
      <c r="D395" s="1029"/>
      <c r="E395" s="1029"/>
      <c r="F395" s="1029"/>
      <c r="G395" s="1029"/>
      <c r="H395" s="1029"/>
    </row>
    <row r="396" spans="1:8" x14ac:dyDescent="0.2">
      <c r="A396" s="1030" t="s">
        <v>1061</v>
      </c>
      <c r="B396" s="1029"/>
      <c r="C396" s="1029"/>
      <c r="D396" s="1029"/>
      <c r="E396" s="1029"/>
      <c r="F396" s="1029"/>
      <c r="G396" s="1029"/>
      <c r="H396" s="1029"/>
    </row>
    <row r="397" spans="1:8" x14ac:dyDescent="0.2">
      <c r="A397" s="1030" t="s">
        <v>1062</v>
      </c>
      <c r="B397" s="1029"/>
      <c r="C397" s="1029"/>
      <c r="D397" s="1029"/>
      <c r="E397" s="1029"/>
      <c r="F397" s="1029"/>
      <c r="G397" s="1029"/>
      <c r="H397" s="1029"/>
    </row>
    <row r="398" spans="1:8" x14ac:dyDescent="0.2">
      <c r="A398" s="1030" t="s">
        <v>1063</v>
      </c>
      <c r="B398" s="1029"/>
      <c r="C398" s="1029"/>
      <c r="D398" s="1029"/>
      <c r="E398" s="1029"/>
      <c r="F398" s="1029"/>
      <c r="G398" s="1029"/>
      <c r="H398" s="1029"/>
    </row>
    <row r="399" spans="1:8" x14ac:dyDescent="0.2">
      <c r="A399" s="1030" t="s">
        <v>1064</v>
      </c>
      <c r="B399" s="1029"/>
      <c r="C399" s="1029"/>
      <c r="D399" s="1029"/>
      <c r="E399" s="1029"/>
      <c r="F399" s="1029"/>
      <c r="G399" s="1029"/>
      <c r="H399" s="1029"/>
    </row>
    <row r="400" spans="1:8" x14ac:dyDescent="0.2">
      <c r="A400" s="1029"/>
      <c r="B400" s="1029"/>
      <c r="C400" s="1029"/>
      <c r="D400" s="1029"/>
      <c r="E400" s="1029"/>
      <c r="F400" s="1029"/>
      <c r="G400" s="1029"/>
      <c r="H400" s="1029"/>
    </row>
    <row r="401" spans="1:8" x14ac:dyDescent="0.2">
      <c r="A401" s="1030" t="s">
        <v>1058</v>
      </c>
      <c r="B401" s="1029"/>
      <c r="C401" s="1029"/>
      <c r="D401" s="1029"/>
      <c r="E401" s="1029"/>
      <c r="F401" s="1029"/>
      <c r="G401" s="1029"/>
      <c r="H401" s="1029"/>
    </row>
    <row r="402" spans="1:8" x14ac:dyDescent="0.2">
      <c r="A402" s="1030" t="s">
        <v>1059</v>
      </c>
      <c r="B402" s="1029"/>
      <c r="C402" s="1029"/>
      <c r="D402" s="1029"/>
      <c r="E402" s="1029"/>
      <c r="F402" s="1029"/>
      <c r="G402" s="1029"/>
      <c r="H402" s="1029"/>
    </row>
    <row r="404" spans="1:8" x14ac:dyDescent="0.2">
      <c r="A404" s="1025" t="s">
        <v>1328</v>
      </c>
    </row>
  </sheetData>
  <mergeCells count="12">
    <mergeCell ref="A127:H127"/>
    <mergeCell ref="A134:H134"/>
    <mergeCell ref="A121:H121"/>
    <mergeCell ref="A122:H122"/>
    <mergeCell ref="A123:H123"/>
    <mergeCell ref="A124:H124"/>
    <mergeCell ref="A126:H126"/>
    <mergeCell ref="A142:H142"/>
    <mergeCell ref="A143:H143"/>
    <mergeCell ref="B135:C135"/>
    <mergeCell ref="D135:F135"/>
    <mergeCell ref="G135:H135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X90"/>
  <sheetViews>
    <sheetView showGridLines="0" workbookViewId="0">
      <selection activeCell="V49" sqref="V49"/>
    </sheetView>
  </sheetViews>
  <sheetFormatPr defaultRowHeight="11.25" x14ac:dyDescent="0.2"/>
  <cols>
    <col min="1" max="1" width="1" style="319" customWidth="1"/>
    <col min="2" max="2" width="30.5" style="319" bestFit="1" customWidth="1"/>
    <col min="3" max="3" width="9.33203125" style="319" customWidth="1"/>
    <col min="4" max="4" width="9.33203125" style="319"/>
    <col min="5" max="5" width="9.33203125" style="395"/>
    <col min="6" max="7" width="9.33203125" style="319"/>
    <col min="8" max="8" width="9.33203125" style="319" customWidth="1"/>
    <col min="9" max="12" width="9.33203125" style="319"/>
    <col min="13" max="13" width="9.33203125" style="319" customWidth="1"/>
    <col min="14" max="14" width="9.33203125" style="319"/>
    <col min="15" max="15" width="9.33203125" style="395"/>
    <col min="16" max="17" width="9.33203125" style="319"/>
    <col min="18" max="18" width="9.33203125" style="319" customWidth="1"/>
    <col min="19" max="27" width="9.33203125" style="319"/>
    <col min="28" max="28" width="9.33203125" style="319" customWidth="1"/>
    <col min="29" max="16384" width="9.33203125" style="319"/>
  </cols>
  <sheetData>
    <row r="1" spans="1:50" s="392" customFormat="1" ht="15.75" x14ac:dyDescent="0.2">
      <c r="A1" s="391" t="s">
        <v>233</v>
      </c>
      <c r="E1" s="393"/>
      <c r="F1" s="394"/>
      <c r="G1" s="394"/>
      <c r="H1" s="394"/>
      <c r="I1" s="394"/>
      <c r="J1" s="394"/>
      <c r="K1" s="394"/>
      <c r="L1" s="394"/>
      <c r="M1" s="394"/>
      <c r="N1" s="394"/>
      <c r="O1" s="393"/>
      <c r="P1" s="394"/>
      <c r="Q1" s="394"/>
      <c r="R1" s="394"/>
      <c r="S1" s="394"/>
      <c r="T1" s="394"/>
      <c r="U1" s="394"/>
      <c r="V1" s="394"/>
      <c r="W1" s="394"/>
      <c r="X1" s="394"/>
      <c r="Y1" s="394"/>
      <c r="Z1" s="394"/>
      <c r="AA1" s="394"/>
      <c r="AB1" s="394"/>
      <c r="AC1" s="394"/>
      <c r="AD1" s="394"/>
      <c r="AE1" s="394"/>
      <c r="AF1" s="394"/>
      <c r="AG1" s="394"/>
      <c r="AH1" s="394"/>
      <c r="AI1" s="394"/>
      <c r="AJ1" s="394"/>
      <c r="AK1" s="394"/>
      <c r="AL1" s="394"/>
      <c r="AM1" s="394"/>
      <c r="AN1" s="394"/>
      <c r="AO1" s="394"/>
      <c r="AP1" s="394"/>
      <c r="AQ1" s="394"/>
      <c r="AR1" s="394"/>
      <c r="AS1" s="394"/>
      <c r="AT1" s="394"/>
      <c r="AU1" s="394"/>
      <c r="AV1" s="394"/>
      <c r="AW1" s="394"/>
      <c r="AX1" s="394"/>
    </row>
    <row r="2" spans="1:50" ht="5.0999999999999996" customHeight="1" x14ac:dyDescent="0.2"/>
    <row r="3" spans="1:50" s="345" customFormat="1" x14ac:dyDescent="0.2">
      <c r="B3" s="346" t="s">
        <v>537</v>
      </c>
      <c r="C3" s="346"/>
      <c r="D3" s="346"/>
      <c r="E3" s="346"/>
      <c r="F3" s="346"/>
      <c r="G3" s="346"/>
      <c r="H3" s="346"/>
      <c r="I3" s="346"/>
      <c r="J3" s="346"/>
      <c r="K3" s="346"/>
      <c r="L3" s="346"/>
      <c r="M3" s="346"/>
      <c r="N3" s="346"/>
      <c r="O3" s="346"/>
      <c r="P3" s="346"/>
      <c r="Q3" s="346"/>
    </row>
    <row r="4" spans="1:50" ht="5.0999999999999996" customHeight="1" x14ac:dyDescent="0.2"/>
    <row r="5" spans="1:50" s="396" customFormat="1" ht="12" x14ac:dyDescent="0.2">
      <c r="B5" s="347" t="s">
        <v>533</v>
      </c>
      <c r="C5" s="348" t="s">
        <v>534</v>
      </c>
    </row>
    <row r="6" spans="1:50" s="396" customFormat="1" ht="12" x14ac:dyDescent="0.2">
      <c r="B6" s="347" t="s">
        <v>535</v>
      </c>
      <c r="C6" s="348" t="s">
        <v>536</v>
      </c>
    </row>
    <row r="7" spans="1:50" x14ac:dyDescent="0.2">
      <c r="E7" s="319"/>
      <c r="O7" s="319"/>
    </row>
    <row r="8" spans="1:50" x14ac:dyDescent="0.2">
      <c r="E8" s="319"/>
      <c r="O8" s="319"/>
    </row>
    <row r="9" spans="1:50" s="392" customFormat="1" ht="15.75" x14ac:dyDescent="0.2">
      <c r="A9" s="391" t="s">
        <v>482</v>
      </c>
      <c r="E9" s="393"/>
      <c r="O9" s="393"/>
    </row>
    <row r="10" spans="1:50" ht="5.0999999999999996" customHeight="1" x14ac:dyDescent="0.2">
      <c r="B10" s="397"/>
    </row>
    <row r="11" spans="1:50" x14ac:dyDescent="0.2">
      <c r="B11" s="398" t="s">
        <v>472</v>
      </c>
    </row>
    <row r="12" spans="1:50" x14ac:dyDescent="0.2">
      <c r="B12" s="328" t="s">
        <v>473</v>
      </c>
    </row>
    <row r="13" spans="1:50" x14ac:dyDescent="0.2">
      <c r="B13" s="399" t="s">
        <v>474</v>
      </c>
      <c r="P13" s="866"/>
    </row>
    <row r="14" spans="1:50" x14ac:dyDescent="0.2">
      <c r="B14" s="400" t="s">
        <v>475</v>
      </c>
    </row>
    <row r="15" spans="1:50" x14ac:dyDescent="0.2">
      <c r="B15" s="401" t="s">
        <v>476</v>
      </c>
    </row>
    <row r="16" spans="1:50" x14ac:dyDescent="0.2">
      <c r="B16" s="402" t="s">
        <v>46</v>
      </c>
    </row>
    <row r="17" spans="1:29" x14ac:dyDescent="0.2">
      <c r="B17" s="349" t="s">
        <v>477</v>
      </c>
    </row>
    <row r="18" spans="1:29" x14ac:dyDescent="0.2">
      <c r="B18" s="350" t="s">
        <v>478</v>
      </c>
    </row>
    <row r="20" spans="1:29" s="392" customFormat="1" ht="15.75" x14ac:dyDescent="0.2">
      <c r="A20" s="391" t="s">
        <v>609</v>
      </c>
      <c r="E20" s="393"/>
      <c r="K20" s="867">
        <f>SUM(K27:K88)</f>
        <v>9030.2122534248774</v>
      </c>
      <c r="L20" s="821"/>
      <c r="M20" s="821"/>
      <c r="N20" s="821"/>
      <c r="O20" s="821"/>
      <c r="P20" s="820"/>
      <c r="Q20" s="820"/>
      <c r="R20" s="819">
        <v>70</v>
      </c>
    </row>
    <row r="22" spans="1:29" x14ac:dyDescent="0.2">
      <c r="B22" s="791">
        <v>43100</v>
      </c>
      <c r="C22" s="786"/>
      <c r="D22" s="788"/>
      <c r="E22" s="786"/>
      <c r="F22" s="786" t="s">
        <v>913</v>
      </c>
      <c r="G22" s="786"/>
      <c r="H22" s="786" t="s">
        <v>912</v>
      </c>
      <c r="I22" s="787"/>
      <c r="J22" s="786"/>
      <c r="K22" s="790" t="s">
        <v>911</v>
      </c>
      <c r="L22" s="786" t="s">
        <v>910</v>
      </c>
      <c r="M22" s="786"/>
      <c r="N22" s="786"/>
      <c r="O22" s="786"/>
      <c r="P22" s="768"/>
      <c r="Q22" s="768"/>
      <c r="R22" s="786" t="s">
        <v>909</v>
      </c>
      <c r="S22" s="786" t="s">
        <v>908</v>
      </c>
      <c r="T22" s="787"/>
      <c r="U22" s="787"/>
      <c r="V22" s="786" t="s">
        <v>907</v>
      </c>
      <c r="W22" s="786"/>
      <c r="X22" s="786"/>
      <c r="Y22" s="776" t="s">
        <v>906</v>
      </c>
      <c r="Z22" s="757"/>
      <c r="AA22" s="784"/>
      <c r="AB22" s="786"/>
      <c r="AC22" s="786"/>
    </row>
    <row r="23" spans="1:29" x14ac:dyDescent="0.2">
      <c r="B23" s="786"/>
      <c r="C23" s="786"/>
      <c r="D23" s="788"/>
      <c r="E23" s="786"/>
      <c r="F23" s="786" t="s">
        <v>905</v>
      </c>
      <c r="G23" s="786"/>
      <c r="H23" s="786" t="s">
        <v>904</v>
      </c>
      <c r="I23" s="787"/>
      <c r="J23" s="786"/>
      <c r="K23" s="789"/>
      <c r="L23" s="786" t="s">
        <v>903</v>
      </c>
      <c r="M23" s="786"/>
      <c r="N23" s="786"/>
      <c r="O23" s="786"/>
      <c r="P23" s="768"/>
      <c r="Q23" s="768"/>
      <c r="R23" s="786" t="s">
        <v>902</v>
      </c>
      <c r="S23" s="786"/>
      <c r="T23" s="787"/>
      <c r="U23" s="787"/>
      <c r="V23" s="786"/>
      <c r="W23" s="786"/>
      <c r="X23" s="786"/>
      <c r="Y23" s="757"/>
      <c r="Z23" s="757"/>
      <c r="AA23" s="784"/>
      <c r="AB23" s="786"/>
      <c r="AC23" s="786"/>
    </row>
    <row r="24" spans="1:29" x14ac:dyDescent="0.2">
      <c r="B24" s="786"/>
      <c r="C24" s="786"/>
      <c r="D24" s="788"/>
      <c r="E24" s="786"/>
      <c r="F24" s="786" t="s">
        <v>901</v>
      </c>
      <c r="G24" s="786"/>
      <c r="H24" s="786" t="s">
        <v>900</v>
      </c>
      <c r="I24" s="787"/>
      <c r="J24" s="786"/>
      <c r="K24" s="789"/>
      <c r="L24" s="786" t="s">
        <v>899</v>
      </c>
      <c r="M24" s="786"/>
      <c r="N24" s="786"/>
      <c r="O24" s="786"/>
      <c r="P24" s="768"/>
      <c r="Q24" s="768"/>
      <c r="R24" s="786"/>
      <c r="S24" s="786"/>
      <c r="T24" s="787"/>
      <c r="U24" s="787"/>
      <c r="V24" s="786"/>
      <c r="W24" s="786"/>
      <c r="X24" s="786"/>
      <c r="Y24" s="757"/>
      <c r="Z24" s="757"/>
      <c r="AA24" s="784"/>
      <c r="AB24" s="786"/>
      <c r="AC24" s="786"/>
    </row>
    <row r="25" spans="1:29" x14ac:dyDescent="0.2">
      <c r="B25" s="786"/>
      <c r="C25" s="786"/>
      <c r="D25" s="788"/>
      <c r="E25" s="786"/>
      <c r="F25" s="786"/>
      <c r="G25" s="786"/>
      <c r="H25" s="786"/>
      <c r="I25" s="787"/>
      <c r="J25" s="786"/>
      <c r="K25" s="789"/>
      <c r="L25" s="786"/>
      <c r="M25" s="786"/>
      <c r="N25" s="786"/>
      <c r="O25" s="786"/>
      <c r="P25" s="768"/>
      <c r="Q25" s="768"/>
      <c r="R25" s="786"/>
      <c r="S25" s="786"/>
      <c r="T25" s="787"/>
      <c r="U25" s="787"/>
      <c r="V25" s="786"/>
      <c r="W25" s="786"/>
      <c r="X25" s="786"/>
      <c r="Y25" s="757"/>
      <c r="Z25" s="757"/>
      <c r="AA25" s="784"/>
      <c r="AB25" s="786"/>
      <c r="AC25" s="786"/>
    </row>
    <row r="26" spans="1:29" x14ac:dyDescent="0.2">
      <c r="B26" s="786" t="s">
        <v>898</v>
      </c>
      <c r="C26" s="786" t="s">
        <v>897</v>
      </c>
      <c r="D26" s="788" t="s">
        <v>896</v>
      </c>
      <c r="E26" s="786" t="s">
        <v>895</v>
      </c>
      <c r="F26" s="786" t="s">
        <v>285</v>
      </c>
      <c r="G26" s="786" t="s">
        <v>894</v>
      </c>
      <c r="H26" s="786" t="s">
        <v>366</v>
      </c>
      <c r="I26" s="787" t="s">
        <v>893</v>
      </c>
      <c r="J26" s="786" t="s">
        <v>892</v>
      </c>
      <c r="K26" s="786" t="s">
        <v>891</v>
      </c>
      <c r="L26" s="786" t="s">
        <v>890</v>
      </c>
      <c r="M26" s="786" t="s">
        <v>889</v>
      </c>
      <c r="N26" s="786" t="s">
        <v>888</v>
      </c>
      <c r="O26" s="786" t="s">
        <v>887</v>
      </c>
      <c r="P26" s="768" t="s">
        <v>886</v>
      </c>
      <c r="Q26" s="768" t="s">
        <v>885</v>
      </c>
      <c r="R26" s="786" t="s">
        <v>884</v>
      </c>
      <c r="S26" s="786" t="s">
        <v>883</v>
      </c>
      <c r="T26" s="787" t="s">
        <v>882</v>
      </c>
      <c r="U26" s="787" t="s">
        <v>881</v>
      </c>
      <c r="V26" s="786" t="s">
        <v>880</v>
      </c>
      <c r="W26" s="786" t="s">
        <v>879</v>
      </c>
      <c r="X26" s="786" t="s">
        <v>878</v>
      </c>
      <c r="Y26" s="785" t="s">
        <v>877</v>
      </c>
      <c r="Z26" s="785" t="s">
        <v>876</v>
      </c>
      <c r="AA26" s="784" t="s">
        <v>875</v>
      </c>
      <c r="AB26" s="784" t="s">
        <v>874</v>
      </c>
      <c r="AC26" s="784" t="s">
        <v>873</v>
      </c>
    </row>
    <row r="27" spans="1:29" x14ac:dyDescent="0.2">
      <c r="B27" s="760" t="s">
        <v>872</v>
      </c>
      <c r="C27" s="760" t="s">
        <v>871</v>
      </c>
      <c r="D27" s="763">
        <v>0.19900000000000001</v>
      </c>
      <c r="E27" s="760" t="s">
        <v>689</v>
      </c>
      <c r="F27" s="760">
        <v>1</v>
      </c>
      <c r="G27" s="760" t="s">
        <v>769</v>
      </c>
      <c r="H27" s="761">
        <v>2</v>
      </c>
      <c r="I27" s="761">
        <f>70/0.6335</f>
        <v>110.49723756906079</v>
      </c>
      <c r="J27" s="761">
        <v>170</v>
      </c>
      <c r="K27" s="764">
        <f>IF(APA_projects[[#This Row],[Status]]=1,APA_projects[[#This Row],[APA o''ship (%)]]*(APA_projects[[#This Row],[Construction cost]]*(1-APA_projects[[#This Row],[Age]]/APA_projects[[#This Row],[Useful life]])),"n.a.")</f>
        <v>12.041209414970107</v>
      </c>
      <c r="L27" s="761">
        <v>63</v>
      </c>
      <c r="M27" s="760" t="s">
        <v>682</v>
      </c>
      <c r="N27" s="760">
        <v>180</v>
      </c>
      <c r="O27" s="760" t="s">
        <v>713</v>
      </c>
      <c r="P27" s="757">
        <v>39141</v>
      </c>
      <c r="Q27" s="757">
        <v>36495</v>
      </c>
      <c r="R27" s="769">
        <f>IF(APA_projects[[#This Row],[Type]]="pipeline",$R$20,IF(APA_projects[[#This Row],[Type]]="power station",25,40))</f>
        <v>40</v>
      </c>
      <c r="S27" s="769">
        <v>25</v>
      </c>
      <c r="T27" s="761"/>
      <c r="U27" s="768">
        <f>(APA_projects[[#This Row],[Commissioning]]+APA_projects[[#This Row],[Useful life]]*365)</f>
        <v>51095</v>
      </c>
      <c r="V27" s="760"/>
      <c r="W27" s="760"/>
      <c r="X27" s="760"/>
      <c r="Y27" s="757" t="s">
        <v>870</v>
      </c>
      <c r="Z27" s="757"/>
      <c r="AA27" s="765" t="str">
        <f>IF(APA_projects[[#This Row],[Type]]="pipeline",IFERROR(APA_projects[[#This Row],[Construction cost]]/APA_projects[[#This Row],[Size1]],"n.a."),"n.a.")</f>
        <v>n.a.</v>
      </c>
      <c r="AB27" s="765" t="str">
        <f>IF(APA_projects[[#This Row],[Type]]="pipeline",INDEX(Overview!$N$83:$DK$83,MATCH(DATE(YEAR(APA_projects[[#This Row],[Commissioning]]),12,1),Assets!$N$4:$DK$4,0)),"n.a.")</f>
        <v>n.a.</v>
      </c>
      <c r="AC27" s="764">
        <f>IF(APA_projects[[#This Row],[Status]]=1,($B$22-APA_projects[[#This Row],[Commissioning]])/365,"n.a.")</f>
        <v>18.095890410958905</v>
      </c>
    </row>
    <row r="28" spans="1:29" x14ac:dyDescent="0.2">
      <c r="B28" s="760" t="s">
        <v>869</v>
      </c>
      <c r="C28" s="760" t="s">
        <v>868</v>
      </c>
      <c r="D28" s="763">
        <v>1</v>
      </c>
      <c r="E28" s="760" t="s">
        <v>689</v>
      </c>
      <c r="F28" s="760">
        <v>1</v>
      </c>
      <c r="G28" s="760" t="s">
        <v>683</v>
      </c>
      <c r="H28" s="761">
        <v>1</v>
      </c>
      <c r="I28" s="773">
        <v>66</v>
      </c>
      <c r="J28" s="761">
        <v>23.5</v>
      </c>
      <c r="K28" s="764">
        <f>IF(APA_projects[[#This Row],[Status]]=1,APA_projects[[#This Row],[APA o''ship (%)]]*(APA_projects[[#This Row],[Construction cost]]*(1-APA_projects[[#This Row],[Age]]/APA_projects[[#This Row],[Useful life]])),"n.a.")</f>
        <v>55.228180039138948</v>
      </c>
      <c r="L28" s="761">
        <v>294</v>
      </c>
      <c r="M28" s="760" t="s">
        <v>682</v>
      </c>
      <c r="N28" s="767">
        <v>7</v>
      </c>
      <c r="O28" s="767" t="s">
        <v>698</v>
      </c>
      <c r="P28" s="757">
        <v>39661</v>
      </c>
      <c r="Q28" s="757">
        <v>38930</v>
      </c>
      <c r="R28" s="769">
        <f>IF(APA_projects[[#This Row],[Type]]="pipeline",$R$20,IF(APA_projects[[#This Row],[Type]]="power station",25,40))</f>
        <v>70</v>
      </c>
      <c r="S28" s="769">
        <v>25</v>
      </c>
      <c r="T28" s="769">
        <v>20</v>
      </c>
      <c r="U28" s="768">
        <f>(APA_projects[[#This Row],[Commissioning]]+APA_projects[[#This Row],[Useful life]]*365)</f>
        <v>64480</v>
      </c>
      <c r="V28" s="768">
        <f>APA_projects[[#This Row],[Commissioning]]+APA_projects[[#This Row],[Contract life]]*365</f>
        <v>46230</v>
      </c>
      <c r="W28" s="760"/>
      <c r="X28" s="760"/>
      <c r="Y28" s="757" t="s">
        <v>867</v>
      </c>
      <c r="Z28" s="757" t="s">
        <v>866</v>
      </c>
      <c r="AA28" s="765">
        <f>IF(APA_projects[[#This Row],[Type]]="pipeline",IFERROR(APA_projects[[#This Row],[Construction cost]]/APA_projects[[#This Row],[Size1]],"n.a."),"n.a.")</f>
        <v>0.22448979591836735</v>
      </c>
      <c r="AB28" s="765">
        <f>IF(APA_projects[[#This Row],[Type]]="pipeline",INDEX(Assets!$N$8:$BK$8,MATCH(DATE(YEAR(APA_projects[[#This Row],[Commissioning]]),12,1),Assets!$N$4:$BK$4,0)),"n.a.")</f>
        <v>0.56939624323836702</v>
      </c>
      <c r="AC28" s="764">
        <f>IF(APA_projects[[#This Row],[Status]]=1,($B$22-APA_projects[[#This Row],[Commissioning]])/365,"n.a.")</f>
        <v>11.424657534246576</v>
      </c>
    </row>
    <row r="29" spans="1:29" x14ac:dyDescent="0.2">
      <c r="B29" s="760" t="s">
        <v>865</v>
      </c>
      <c r="C29" s="760" t="s">
        <v>859</v>
      </c>
      <c r="D29" s="763">
        <v>1</v>
      </c>
      <c r="E29" s="760" t="s">
        <v>689</v>
      </c>
      <c r="F29" s="760">
        <v>1</v>
      </c>
      <c r="G29" s="760" t="s">
        <v>683</v>
      </c>
      <c r="H29" s="761">
        <v>0</v>
      </c>
      <c r="I29" s="771">
        <f>APA_projects[[#This Row],[Size1]]*APA_projects[[#This Row],[Construction cost/km (estimated)]]</f>
        <v>118.85688121014719</v>
      </c>
      <c r="J29" s="761">
        <v>834.66</v>
      </c>
      <c r="K29" s="764">
        <f>IF(APA_projects[[#This Row],[Status]]=1,APA_projects[[#This Row],[APA o''ship (%)]]*(APA_projects[[#This Row],[Construction cost]]*(1-APA_projects[[#This Row],[Age]]/APA_projects[[#This Row],[Useful life]])),"n.a.")</f>
        <v>49.15697314080726</v>
      </c>
      <c r="L29" s="761">
        <v>2081</v>
      </c>
      <c r="M29" s="760" t="s">
        <v>682</v>
      </c>
      <c r="N29" s="767">
        <v>439</v>
      </c>
      <c r="O29" s="767" t="s">
        <v>698</v>
      </c>
      <c r="P29" s="757"/>
      <c r="Q29" s="757">
        <v>28117</v>
      </c>
      <c r="R29" s="769">
        <f>IF(APA_projects[[#This Row],[Type]]="pipeline",$R$20,IF(APA_projects[[#This Row],[Type]]="power station",25,40))</f>
        <v>70</v>
      </c>
      <c r="S29" s="769">
        <v>25</v>
      </c>
      <c r="T29" s="761">
        <v>6</v>
      </c>
      <c r="U29" s="768">
        <f>(APA_projects[[#This Row],[Commissioning]]+APA_projects[[#This Row],[Useful life]]*365)</f>
        <v>53667</v>
      </c>
      <c r="V29" s="757">
        <v>43800</v>
      </c>
      <c r="W29" s="760" t="s">
        <v>864</v>
      </c>
      <c r="X29" s="760" t="s">
        <v>681</v>
      </c>
      <c r="Y29" s="757"/>
      <c r="Z29" s="757"/>
      <c r="AA29" s="765"/>
      <c r="AB29" s="765">
        <f>IF(APA_projects[[#This Row],[Type]]="pipeline",INDEX(Assets!$N$8:$BK$8,MATCH(DATE(YEAR(APA_projects[[#This Row],[Commissioning]]),12,1),Assets!$N$4:$BK$4,0)),"n.a.")</f>
        <v>5.711527208560653E-2</v>
      </c>
      <c r="AC29" s="764">
        <f>IF(APA_projects[[#This Row],[Status]]=1,($B$22-APA_projects[[#This Row],[Commissioning]])/365,"n.a.")</f>
        <v>41.049315068493151</v>
      </c>
    </row>
    <row r="30" spans="1:29" x14ac:dyDescent="0.2">
      <c r="B30" s="760" t="s">
        <v>863</v>
      </c>
      <c r="C30" s="760" t="s">
        <v>859</v>
      </c>
      <c r="D30" s="763">
        <v>1</v>
      </c>
      <c r="E30" s="760" t="s">
        <v>689</v>
      </c>
      <c r="F30" s="760">
        <v>1</v>
      </c>
      <c r="G30" s="760" t="s">
        <v>683</v>
      </c>
      <c r="H30" s="761">
        <v>1</v>
      </c>
      <c r="I30" s="773">
        <v>96</v>
      </c>
      <c r="J30" s="761"/>
      <c r="K30" s="764">
        <f>IF(APA_projects[[#This Row],[Status]]=1,APA_projects[[#This Row],[APA o''ship (%)]]*(APA_projects[[#This Row],[Construction cost]]*(1-APA_projects[[#This Row],[Age]]/APA_projects[[#This Row],[Useful life]])),"n.a.")</f>
        <v>86.050567514677098</v>
      </c>
      <c r="L30" s="782">
        <v>218</v>
      </c>
      <c r="M30" s="760" t="s">
        <v>682</v>
      </c>
      <c r="N30" s="760"/>
      <c r="O30" s="760"/>
      <c r="P30" s="757">
        <v>40087</v>
      </c>
      <c r="Q30" s="774">
        <f>APA_projects[[#This Row],[Acquisition/announcement date]]+365</f>
        <v>40452</v>
      </c>
      <c r="R30" s="769">
        <f>IF(APA_projects[[#This Row],[Type]]="pipeline",$R$20,IF(APA_projects[[#This Row],[Type]]="power station",25,40))</f>
        <v>70</v>
      </c>
      <c r="S30" s="769">
        <v>25</v>
      </c>
      <c r="T30" s="769">
        <v>10</v>
      </c>
      <c r="U30" s="768">
        <f>(APA_projects[[#This Row],[Commissioning]]+APA_projects[[#This Row],[Useful life]]*365)</f>
        <v>66002</v>
      </c>
      <c r="V30" s="768">
        <f>(APA_projects[[#This Row],[Commissioning]]+APA_projects[[#This Row],[Contract life]]*365)</f>
        <v>44102</v>
      </c>
      <c r="W30" s="760" t="s">
        <v>862</v>
      </c>
      <c r="X30" s="760"/>
      <c r="Y30" s="757" t="s">
        <v>861</v>
      </c>
      <c r="Z30" s="757"/>
      <c r="AA30" s="765">
        <f>IF(APA_projects[[#This Row],[Size1 Units]]="km",IFERROR(APA_projects[[#This Row],[Construction cost]]/APA_projects[[#This Row],[Size1]],"n.a."),"n.a.")</f>
        <v>0.44036697247706424</v>
      </c>
      <c r="AB30" s="765">
        <f>IF(APA_projects[[#This Row],[Type]]="pipeline",INDEX(Assets!$N$8:$BK$8,MATCH(DATE(YEAR(APA_projects[[#This Row],[Commissioning]]),12,1),Assets!$N$4:$BK$4,0)),"n.a.")</f>
        <v>0.70289205579741487</v>
      </c>
      <c r="AC30" s="764">
        <f>IF(APA_projects[[#This Row],[Status]]=1,($B$22-APA_projects[[#This Row],[Commissioning]])/365,"n.a.")</f>
        <v>7.2547945205479456</v>
      </c>
    </row>
    <row r="31" spans="1:29" x14ac:dyDescent="0.2">
      <c r="B31" s="760" t="s">
        <v>860</v>
      </c>
      <c r="C31" s="760" t="s">
        <v>859</v>
      </c>
      <c r="D31" s="763">
        <v>1</v>
      </c>
      <c r="E31" s="760" t="s">
        <v>689</v>
      </c>
      <c r="F31" s="760">
        <v>1</v>
      </c>
      <c r="G31" s="760" t="s">
        <v>683</v>
      </c>
      <c r="H31" s="761">
        <v>1</v>
      </c>
      <c r="I31" s="773">
        <v>86</v>
      </c>
      <c r="J31" s="761"/>
      <c r="K31" s="764">
        <f>IF(APA_projects[[#This Row],[Status]]=1,APA_projects[[#This Row],[APA o''ship (%)]]*(APA_projects[[#This Row],[Construction cost]]*(1-APA_projects[[#This Row],[Age]]/APA_projects[[#This Row],[Useful life]])),"n.a.")</f>
        <v>76.985988258317036</v>
      </c>
      <c r="L31" s="761">
        <v>61</v>
      </c>
      <c r="M31" s="760" t="s">
        <v>682</v>
      </c>
      <c r="N31" s="760"/>
      <c r="O31" s="760"/>
      <c r="P31" s="757"/>
      <c r="Q31" s="757">
        <v>40422</v>
      </c>
      <c r="R31" s="769">
        <f>IF(APA_projects[[#This Row],[Type]]="pipeline",$R$20,IF(APA_projects[[#This Row],[Type]]="power station",25,40))</f>
        <v>70</v>
      </c>
      <c r="S31" s="769">
        <v>25</v>
      </c>
      <c r="T31" s="769">
        <v>10</v>
      </c>
      <c r="U31" s="768">
        <f>(APA_projects[[#This Row],[Commissioning]]+APA_projects[[#This Row],[Useful life]]*365)</f>
        <v>65972</v>
      </c>
      <c r="V31" s="768">
        <f>(APA_projects[[#This Row],[Commissioning]]+APA_projects[[#This Row],[Contract life]]*365)</f>
        <v>44072</v>
      </c>
      <c r="W31" s="760" t="s">
        <v>858</v>
      </c>
      <c r="X31" s="760"/>
      <c r="Y31" s="757" t="s">
        <v>857</v>
      </c>
      <c r="Z31" s="757"/>
      <c r="AA31" s="765">
        <f>IF(APA_projects[[#This Row],[Type]]="pipeline",IFERROR(APA_projects[[#This Row],[Construction cost]]/APA_projects[[#This Row],[Size1]],"n.a."),"n.a.")</f>
        <v>1.4098360655737705</v>
      </c>
      <c r="AB31" s="765">
        <f>IF(APA_projects[[#This Row],[Type]]="pipeline",INDEX(Assets!$N$8:$BK$8,MATCH(DATE(YEAR(APA_projects[[#This Row],[Commissioning]]),12,1),Assets!$N$4:$BK$4,0)),"n.a.")</f>
        <v>0.70289205579741487</v>
      </c>
      <c r="AC31" s="764">
        <f>IF(APA_projects[[#This Row],[Status]]=1,($B$22-APA_projects[[#This Row],[Commissioning]])/365,"n.a.")</f>
        <v>7.3369863013698629</v>
      </c>
    </row>
    <row r="32" spans="1:29" x14ac:dyDescent="0.2">
      <c r="B32" s="760" t="s">
        <v>856</v>
      </c>
      <c r="C32" s="760" t="s">
        <v>855</v>
      </c>
      <c r="D32" s="763">
        <v>1</v>
      </c>
      <c r="E32" s="760" t="s">
        <v>689</v>
      </c>
      <c r="F32" s="760">
        <v>1</v>
      </c>
      <c r="G32" s="760" t="s">
        <v>683</v>
      </c>
      <c r="H32" s="761">
        <v>1</v>
      </c>
      <c r="I32" s="773">
        <v>30</v>
      </c>
      <c r="J32" s="761"/>
      <c r="K32" s="764">
        <f>IF(APA_projects[[#This Row],[Status]]=1,APA_projects[[#This Row],[APA o''ship (%)]]*(APA_projects[[#This Row],[Construction cost]]*(1-APA_projects[[#This Row],[Age]]/APA_projects[[#This Row],[Useful life]])),"n.a.")</f>
        <v>22.459491193737769</v>
      </c>
      <c r="L32" s="761">
        <v>255</v>
      </c>
      <c r="M32" s="760" t="s">
        <v>682</v>
      </c>
      <c r="N32" s="767">
        <v>10</v>
      </c>
      <c r="O32" s="767" t="s">
        <v>698</v>
      </c>
      <c r="P32" s="757"/>
      <c r="Q32" s="757">
        <v>36678</v>
      </c>
      <c r="R32" s="769">
        <f>IF(APA_projects[[#This Row],[Type]]="pipeline",$R$20,IF(APA_projects[[#This Row],[Type]]="power station",25,40))</f>
        <v>70</v>
      </c>
      <c r="S32" s="769">
        <v>25</v>
      </c>
      <c r="T32" s="769">
        <v>20</v>
      </c>
      <c r="U32" s="768">
        <f>(APA_projects[[#This Row],[Commissioning]]+APA_projects[[#This Row],[Useful life]]*365)</f>
        <v>62228</v>
      </c>
      <c r="V32" s="768">
        <f>APA_projects[[#This Row],[Commissioning]]+APA_projects[[#This Row],[Contract life]]*365</f>
        <v>43978</v>
      </c>
      <c r="W32" s="760"/>
      <c r="X32" s="760"/>
      <c r="Y32" s="757" t="s">
        <v>854</v>
      </c>
      <c r="Z32" s="757"/>
      <c r="AA32" s="765">
        <f>IF(APA_projects[[#This Row],[Type]]="pipeline",IFERROR(APA_projects[[#This Row],[Construction cost]]/APA_projects[[#This Row],[Size1]],"n.a."),"n.a.")</f>
        <v>0.11764705882352941</v>
      </c>
      <c r="AB32" s="765">
        <f>IF(APA_projects[[#This Row],[Type]]="pipeline",INDEX(Assets!$N$8:$BK$8,MATCH(DATE(YEAR(APA_projects[[#This Row],[Commissioning]]),12,1),Assets!$N$4:$BK$4,0)),"n.a.")</f>
        <v>0.40842388973024024</v>
      </c>
      <c r="AC32" s="764">
        <f>IF(APA_projects[[#This Row],[Status]]=1,($B$22-APA_projects[[#This Row],[Commissioning]])/365,"n.a.")</f>
        <v>17.594520547945205</v>
      </c>
    </row>
    <row r="33" spans="2:29" x14ac:dyDescent="0.2">
      <c r="B33" s="760" t="s">
        <v>853</v>
      </c>
      <c r="C33" s="760" t="s">
        <v>852</v>
      </c>
      <c r="D33" s="763">
        <v>1</v>
      </c>
      <c r="E33" s="760" t="s">
        <v>689</v>
      </c>
      <c r="F33" s="760">
        <v>0</v>
      </c>
      <c r="G33" s="760" t="s">
        <v>683</v>
      </c>
      <c r="H33" s="761">
        <v>0</v>
      </c>
      <c r="I33" s="761">
        <v>500</v>
      </c>
      <c r="J33" s="761"/>
      <c r="K33" s="764" t="str">
        <f>IF(APA_projects[[#This Row],[Status]]=1,APA_projects[[#This Row],[APA o''ship (%)]]*(APA_projects[[#This Row],[Construction cost]]*(1-APA_projects[[#This Row],[Age]]/APA_projects[[#This Row],[Useful life]])),"n.a.")</f>
        <v>n.a.</v>
      </c>
      <c r="L33" s="761">
        <v>450</v>
      </c>
      <c r="M33" s="760" t="s">
        <v>682</v>
      </c>
      <c r="N33" s="760"/>
      <c r="O33" s="760"/>
      <c r="P33" s="757"/>
      <c r="Q33" s="757"/>
      <c r="R33" s="769">
        <f>IF(APA_projects[[#This Row],[Type]]="pipeline",$R$20,IF(APA_projects[[#This Row],[Type]]="power station",25,40))</f>
        <v>70</v>
      </c>
      <c r="S33" s="769">
        <v>25</v>
      </c>
      <c r="T33" s="761"/>
      <c r="U33" s="768">
        <f>(APA_projects[[#This Row],[Commissioning]]+APA_projects[[#This Row],[Useful life]]*365)</f>
        <v>25550</v>
      </c>
      <c r="V33" s="760"/>
      <c r="W33" s="760" t="s">
        <v>851</v>
      </c>
      <c r="X33" s="760"/>
      <c r="Y33" s="757" t="s">
        <v>850</v>
      </c>
      <c r="Z33" s="757"/>
      <c r="AA33" s="765">
        <f>IF(APA_projects[[#This Row],[Type]]="pipeline",IFERROR(APA_projects[[#This Row],[Construction cost]]/APA_projects[[#This Row],[Size1]],"n.a."),"n.a.")</f>
        <v>1.1111111111111112</v>
      </c>
      <c r="AB33" s="765" t="e">
        <f>IF(APA_projects[[#This Row],[Type]]="pipeline",INDEX(Assets!$N$8:$BK$8,MATCH(DATE(YEAR(APA_projects[[#This Row],[Commissioning]]),12,1),Assets!$N$4:$BK$4,0)),"n.a.")</f>
        <v>#N/A</v>
      </c>
      <c r="AC33" s="764" t="str">
        <f>IF(APA_projects[[#This Row],[Status]]=1,($B$22-APA_projects[[#This Row],[Commissioning]])/365,"n.a.")</f>
        <v>n.a.</v>
      </c>
    </row>
    <row r="34" spans="2:29" x14ac:dyDescent="0.2">
      <c r="B34" s="760" t="s">
        <v>849</v>
      </c>
      <c r="C34" s="760" t="s">
        <v>848</v>
      </c>
      <c r="D34" s="763">
        <v>0.19900000000000001</v>
      </c>
      <c r="E34" s="760" t="s">
        <v>845</v>
      </c>
      <c r="F34" s="760">
        <v>1</v>
      </c>
      <c r="G34" s="760" t="s">
        <v>683</v>
      </c>
      <c r="H34" s="761">
        <v>0</v>
      </c>
      <c r="I34" s="761">
        <v>170</v>
      </c>
      <c r="J34" s="761"/>
      <c r="K34" s="764">
        <f>IF(APA_projects[[#This Row],[Status]]=1,APA_projects[[#This Row],[APA o''ship (%)]]*(APA_projects[[#This Row],[Construction cost]]*(1-APA_projects[[#This Row],[Age]]/APA_projects[[#This Row],[Useful life]])),"n.a.")</f>
        <v>29.43805831702544</v>
      </c>
      <c r="L34" s="761">
        <v>287</v>
      </c>
      <c r="M34" s="760" t="s">
        <v>682</v>
      </c>
      <c r="N34" s="767">
        <v>80</v>
      </c>
      <c r="O34" s="767" t="s">
        <v>698</v>
      </c>
      <c r="P34" s="757"/>
      <c r="Q34" s="757">
        <v>39783</v>
      </c>
      <c r="R34" s="769">
        <f>IF(APA_projects[[#This Row],[Type]]="pipeline",$R$20,IF(APA_projects[[#This Row],[Type]]="power station",25,40))</f>
        <v>70</v>
      </c>
      <c r="S34" s="769">
        <v>25</v>
      </c>
      <c r="T34" s="761">
        <v>25</v>
      </c>
      <c r="U34" s="768">
        <f>(APA_projects[[#This Row],[Commissioning]]+APA_projects[[#This Row],[Useful life]]*365)</f>
        <v>65333</v>
      </c>
      <c r="V34" s="768">
        <f>(APA_projects[[#This Row],[Commissioning]]+APA_projects[[#This Row],[Contract life]]*365)</f>
        <v>48908</v>
      </c>
      <c r="W34" s="760" t="s">
        <v>847</v>
      </c>
      <c r="X34" s="760"/>
      <c r="Y34" s="757"/>
      <c r="Z34" s="757"/>
      <c r="AA34" s="765">
        <f>IF(APA_projects[[#This Row],[Type]]="pipeline",IFERROR(APA_projects[[#This Row],[Construction cost]]/APA_projects[[#This Row],[Size1]],"n.a."),"n.a.")</f>
        <v>0.59233449477351918</v>
      </c>
      <c r="AB34" s="765">
        <f>IF(APA_projects[[#This Row],[Type]]="pipeline",INDEX(Assets!$N$8:$BK$8,MATCH(DATE(YEAR(APA_projects[[#This Row],[Commissioning]]),12,1),Assets!$N$4:$BK$4,0)),"n.a.")</f>
        <v>0.63873922842778252</v>
      </c>
      <c r="AC34" s="764">
        <f>IF(APA_projects[[#This Row],[Status]]=1,($B$22-APA_projects[[#This Row],[Commissioning]])/365,"n.a.")</f>
        <v>9.087671232876712</v>
      </c>
    </row>
    <row r="35" spans="2:29" x14ac:dyDescent="0.2">
      <c r="B35" s="760" t="s">
        <v>341</v>
      </c>
      <c r="C35" s="760" t="s">
        <v>846</v>
      </c>
      <c r="D35" s="763">
        <v>1</v>
      </c>
      <c r="E35" s="760" t="s">
        <v>845</v>
      </c>
      <c r="F35" s="760">
        <v>1</v>
      </c>
      <c r="G35" s="760" t="s">
        <v>683</v>
      </c>
      <c r="H35" s="761">
        <v>2</v>
      </c>
      <c r="I35" s="771">
        <f>APA_projects[[#This Row],[Size1]]*APA_projects[[#This Row],[Construction cost/km (estimated)]]</f>
        <v>313.69141357725471</v>
      </c>
      <c r="J35" s="761">
        <v>63</v>
      </c>
      <c r="K35" s="764">
        <f>IF(APA_projects[[#This Row],[Status]]=1,APA_projects[[#This Row],[APA o''ship (%)]]*(APA_projects[[#This Row],[Construction cost]]*(1-APA_projects[[#This Row],[Age]]/APA_projects[[#This Row],[Useful life]])),"n.a.")</f>
        <v>176.53889768404483</v>
      </c>
      <c r="L35" s="761">
        <v>1630</v>
      </c>
      <c r="M35" s="760" t="s">
        <v>682</v>
      </c>
      <c r="N35" s="767">
        <v>44</v>
      </c>
      <c r="O35" s="767" t="s">
        <v>698</v>
      </c>
      <c r="P35" s="757">
        <v>40705</v>
      </c>
      <c r="Q35" s="770">
        <v>31929</v>
      </c>
      <c r="R35" s="769">
        <f>IF(APA_projects[[#This Row],[Type]]="pipeline",$R$20,IF(APA_projects[[#This Row],[Type]]="power station",25,40))</f>
        <v>70</v>
      </c>
      <c r="S35" s="769">
        <v>25</v>
      </c>
      <c r="T35" s="761"/>
      <c r="U35" s="768">
        <f>(APA_projects[[#This Row],[Commissioning]]+APA_projects[[#This Row],[Useful life]]*365)</f>
        <v>57479</v>
      </c>
      <c r="V35" s="760"/>
      <c r="W35" s="760"/>
      <c r="X35" s="760"/>
      <c r="Y35" s="757" t="s">
        <v>844</v>
      </c>
      <c r="Z35" s="757"/>
      <c r="AA35" s="765"/>
      <c r="AB35" s="765">
        <f>IF(APA_projects[[#This Row],[Type]]="pipeline",INDEX(Assets!$N$8:$BK$8,MATCH(DATE(YEAR(APA_projects[[#This Row],[Commissioning]]),12,1),Assets!$N$4:$BK$4,0)),"n.a.")</f>
        <v>0.19244871998604585</v>
      </c>
      <c r="AC35" s="764">
        <f>IF(APA_projects[[#This Row],[Status]]=1,($B$22-APA_projects[[#This Row],[Commissioning]])/365,"n.a.")</f>
        <v>30.605479452054794</v>
      </c>
    </row>
    <row r="36" spans="2:29" x14ac:dyDescent="0.2">
      <c r="B36" s="760" t="s">
        <v>843</v>
      </c>
      <c r="C36" s="760" t="s">
        <v>839</v>
      </c>
      <c r="D36" s="763">
        <v>1</v>
      </c>
      <c r="E36" s="760" t="s">
        <v>783</v>
      </c>
      <c r="F36" s="760">
        <v>1</v>
      </c>
      <c r="G36" s="760" t="s">
        <v>683</v>
      </c>
      <c r="H36" s="761">
        <v>2</v>
      </c>
      <c r="I36" s="761">
        <v>11</v>
      </c>
      <c r="J36" s="761"/>
      <c r="K36" s="764">
        <f>IF(APA_projects[[#This Row],[Status]]=1,APA_projects[[#This Row],[APA o''ship (%)]]*(APA_projects[[#This Row],[Construction cost]]*(1-APA_projects[[#This Row],[Age]]/APA_projects[[#This Row],[Useful life]])),"n.a.")</f>
        <v>3.3206653620352249</v>
      </c>
      <c r="L36" s="761">
        <v>438</v>
      </c>
      <c r="M36" s="760" t="s">
        <v>682</v>
      </c>
      <c r="N36" s="767">
        <v>233</v>
      </c>
      <c r="O36" s="767" t="s">
        <v>698</v>
      </c>
      <c r="P36" s="757">
        <v>36923</v>
      </c>
      <c r="Q36" s="757">
        <v>25263</v>
      </c>
      <c r="R36" s="769">
        <f>IF(APA_projects[[#This Row],[Type]]="pipeline",$R$20,IF(APA_projects[[#This Row],[Type]]="power station",25,40))</f>
        <v>70</v>
      </c>
      <c r="S36" s="769">
        <v>25</v>
      </c>
      <c r="T36" s="769">
        <v>20</v>
      </c>
      <c r="U36" s="768">
        <f>(APA_projects[[#This Row],[Commissioning]]+APA_projects[[#This Row],[Useful life]]*365)</f>
        <v>50813</v>
      </c>
      <c r="V36" s="768">
        <f>APA_projects[[#This Row],[Acquisition/announcement date]]+APA_projects[[#This Row],[Contract life]]*365</f>
        <v>44223</v>
      </c>
      <c r="W36" s="760" t="s">
        <v>842</v>
      </c>
      <c r="X36" s="760"/>
      <c r="Y36" s="757" t="s">
        <v>841</v>
      </c>
      <c r="Z36" s="757"/>
      <c r="AA36" s="765">
        <f>IF(APA_projects[[#This Row],[Type]]="pipeline",IFERROR(APA_projects[[#This Row],[Construction cost]]/APA_projects[[#This Row],[Size1]],"n.a."),"n.a.")</f>
        <v>2.5114155251141551E-2</v>
      </c>
      <c r="AB36" s="765">
        <f>IF(APA_projects[[#This Row],[Type]]="pipeline",INDEX(Assets!$N$8:$BK$8,MATCH(DATE(YEAR(APA_projects[[#This Row],[Commissioning]]),12,1),Assets!$N$4:$BK$4,0)),"n.a.")</f>
        <v>2.5114155251141551E-2</v>
      </c>
      <c r="AC36" s="764">
        <f>IF(APA_projects[[#This Row],[Status]]=1,($B$22-APA_projects[[#This Row],[Commissioning]])/365,"n.a.")</f>
        <v>48.868493150684934</v>
      </c>
    </row>
    <row r="37" spans="2:29" x14ac:dyDescent="0.2">
      <c r="B37" s="760" t="s">
        <v>840</v>
      </c>
      <c r="C37" s="760" t="s">
        <v>839</v>
      </c>
      <c r="D37" s="763">
        <v>1</v>
      </c>
      <c r="E37" s="760" t="s">
        <v>783</v>
      </c>
      <c r="F37" s="760">
        <v>1</v>
      </c>
      <c r="G37" s="760" t="s">
        <v>683</v>
      </c>
      <c r="H37" s="761">
        <v>2</v>
      </c>
      <c r="I37" s="761">
        <v>50</v>
      </c>
      <c r="J37" s="761"/>
      <c r="K37" s="764">
        <f>IF(APA_projects[[#This Row],[Status]]=1,APA_projects[[#This Row],[APA o''ship (%)]]*(APA_projects[[#This Row],[Construction cost]]*(1-APA_projects[[#This Row],[Age]]/APA_projects[[#This Row],[Useful life]])),"n.a.")</f>
        <v>47.140900195694719</v>
      </c>
      <c r="L37" s="761">
        <v>6</v>
      </c>
      <c r="M37" s="760" t="s">
        <v>682</v>
      </c>
      <c r="N37" s="760"/>
      <c r="O37" s="760"/>
      <c r="P37" s="757">
        <v>41274</v>
      </c>
      <c r="Q37" s="774">
        <f>APA_projects[[#This Row],[Acquisition/announcement date]]+365</f>
        <v>41639</v>
      </c>
      <c r="R37" s="769">
        <f>IF(APA_projects[[#This Row],[Type]]="pipeline",$R$20,IF(APA_projects[[#This Row],[Type]]="power station",25,40))</f>
        <v>70</v>
      </c>
      <c r="S37" s="769">
        <v>25</v>
      </c>
      <c r="T37" s="769">
        <v>20</v>
      </c>
      <c r="U37" s="768">
        <f>(APA_projects[[#This Row],[Commissioning]]+APA_projects[[#This Row],[Useful life]]*365)</f>
        <v>67189</v>
      </c>
      <c r="V37" s="768">
        <f>APA_projects[[#This Row],[Acquisition/announcement date]]+APA_projects[[#This Row],[Contract life]]*365</f>
        <v>48574</v>
      </c>
      <c r="W37" s="760" t="s">
        <v>838</v>
      </c>
      <c r="X37" s="760"/>
      <c r="Y37" s="757" t="s">
        <v>837</v>
      </c>
      <c r="Z37" s="757"/>
      <c r="AA37" s="765">
        <f>IF(APA_projects[[#This Row],[Type]]="pipeline",IFERROR(APA_projects[[#This Row],[Construction cost]]/APA_projects[[#This Row],[Size1]],"n.a."),"n.a.")</f>
        <v>8.3333333333333339</v>
      </c>
      <c r="AB37" s="765">
        <f>IF(APA_projects[[#This Row],[Type]]="pipeline",INDEX(Assets!$N$8:$BK$8,MATCH(DATE(YEAR(APA_projects[[#This Row],[Commissioning]]),12,1),Assets!$N$4:$BK$4,0)),"n.a.")</f>
        <v>0.81522444387080661</v>
      </c>
      <c r="AC37" s="764">
        <f>IF(APA_projects[[#This Row],[Status]]=1,($B$22-APA_projects[[#This Row],[Commissioning]])/365,"n.a.")</f>
        <v>4.0027397260273974</v>
      </c>
    </row>
    <row r="38" spans="2:29" x14ac:dyDescent="0.2">
      <c r="B38" s="760" t="s">
        <v>836</v>
      </c>
      <c r="C38" s="760" t="s">
        <v>832</v>
      </c>
      <c r="D38" s="763">
        <v>1</v>
      </c>
      <c r="E38" s="760" t="s">
        <v>783</v>
      </c>
      <c r="F38" s="760">
        <v>1</v>
      </c>
      <c r="G38" s="760" t="s">
        <v>683</v>
      </c>
      <c r="H38" s="761">
        <v>1</v>
      </c>
      <c r="I38" s="771">
        <f>APA_projects[[#This Row],[Size1]]*APA_projects[[#This Row],[Construction cost/km (estimated)]]</f>
        <v>308.04297443315062</v>
      </c>
      <c r="J38" s="761">
        <f>98/0.3</f>
        <v>326.66666666666669</v>
      </c>
      <c r="K38" s="764">
        <f>IF(APA_projects[[#This Row],[Status]]=1,APA_projects[[#This Row],[APA o''ship (%)]]*(APA_projects[[#This Row],[Construction cost]]*(1-APA_projects[[#This Row],[Age]]/APA_projects[[#This Row],[Useful life]])),"n.a.")</f>
        <v>222.15263588670189</v>
      </c>
      <c r="L38" s="761">
        <v>840</v>
      </c>
      <c r="M38" s="760" t="s">
        <v>682</v>
      </c>
      <c r="N38" s="767">
        <v>119</v>
      </c>
      <c r="O38" s="767" t="s">
        <v>698</v>
      </c>
      <c r="P38" s="757">
        <v>38384</v>
      </c>
      <c r="Q38" s="757">
        <v>35976</v>
      </c>
      <c r="R38" s="769">
        <f>IF(APA_projects[[#This Row],[Type]]="pipeline",$R$20,IF(APA_projects[[#This Row],[Type]]="power station",25,40))</f>
        <v>70</v>
      </c>
      <c r="S38" s="769">
        <v>25</v>
      </c>
      <c r="T38" s="775">
        <f>(APA_projects[[#This Row],[Contract expiry]]-APA_projects[[#This Row],[Commissioning]])/365</f>
        <v>24.271232876712329</v>
      </c>
      <c r="U38" s="768">
        <f>(APA_projects[[#This Row],[Commissioning]]+APA_projects[[#This Row],[Useful life]]*365)</f>
        <v>61526</v>
      </c>
      <c r="V38" s="768">
        <v>44835</v>
      </c>
      <c r="W38" s="767" t="s">
        <v>835</v>
      </c>
      <c r="X38" s="760" t="s">
        <v>834</v>
      </c>
      <c r="Y38" s="757"/>
      <c r="Z38" s="757"/>
      <c r="AA38" s="765"/>
      <c r="AB38" s="765">
        <f>IF(APA_projects[[#This Row],[Type]]="pipeline",INDEX(Assets!$N$8:$BK$8,MATCH(DATE(YEAR(APA_projects[[#This Row],[Commissioning]]),12,1),Assets!$N$4:$BK$4,0)),"n.a.")</f>
        <v>0.36671782670613168</v>
      </c>
      <c r="AC38" s="764">
        <f>IF(APA_projects[[#This Row],[Status]]=1,($B$22-APA_projects[[#This Row],[Commissioning]])/365,"n.a.")</f>
        <v>19.517808219178082</v>
      </c>
    </row>
    <row r="39" spans="2:29" x14ac:dyDescent="0.2">
      <c r="B39" s="760" t="s">
        <v>833</v>
      </c>
      <c r="C39" s="760" t="s">
        <v>832</v>
      </c>
      <c r="D39" s="763">
        <v>1</v>
      </c>
      <c r="E39" s="760" t="s">
        <v>783</v>
      </c>
      <c r="F39" s="760">
        <v>1</v>
      </c>
      <c r="G39" s="760" t="s">
        <v>683</v>
      </c>
      <c r="H39" s="761">
        <v>1</v>
      </c>
      <c r="I39" s="783">
        <v>40</v>
      </c>
      <c r="J39" s="761"/>
      <c r="K39" s="764">
        <f>IF(APA_projects[[#This Row],[Status]]=1,APA_projects[[#This Row],[APA o''ship (%)]]*(APA_projects[[#This Row],[Construction cost]]*(1-APA_projects[[#This Row],[Age]]/APA_projects[[#This Row],[Useful life]])),"n.a.")</f>
        <v>31.410958904109592</v>
      </c>
      <c r="L39" s="782" t="s">
        <v>741</v>
      </c>
      <c r="M39" s="760"/>
      <c r="N39" s="760">
        <v>17</v>
      </c>
      <c r="O39" s="760" t="s">
        <v>698</v>
      </c>
      <c r="P39" s="757"/>
      <c r="Q39" s="757">
        <v>39965</v>
      </c>
      <c r="R39" s="761">
        <v>40</v>
      </c>
      <c r="S39" s="781">
        <v>25</v>
      </c>
      <c r="T39" s="781">
        <v>20</v>
      </c>
      <c r="U39" s="768">
        <f>(APA_projects[[#This Row],[Commissioning]]+APA_projects[[#This Row],[Useful life]]*365)</f>
        <v>54565</v>
      </c>
      <c r="V39" s="768">
        <f>(APA_projects[[#This Row],[Commissioning]]+APA_projects[[#This Row],[Contract life]]*365)</f>
        <v>47265</v>
      </c>
      <c r="W39" s="767" t="s">
        <v>831</v>
      </c>
      <c r="X39" s="760"/>
      <c r="Y39" s="757" t="s">
        <v>830</v>
      </c>
      <c r="Z39" s="757" t="s">
        <v>829</v>
      </c>
      <c r="AA39" s="759" t="str">
        <f>IF(APA_projects[[#This Row],[Size1 Units]]="km",IFERROR(APA_projects[[#This Row],[Construction cost]]/APA_projects[[#This Row],[Size1]],"n.a."),"n.a.")</f>
        <v>n.a.</v>
      </c>
      <c r="AB39" s="780">
        <f>IF(APA_projects[[#This Row],[Type]]="pipeline",INDEX(Assets!$N$8:$BK$8,MATCH(DATE(YEAR(APA_projects[[#This Row],[Commissioning]]),12,1),Assets!$N$4:$BK$4,0)),"n.a.")</f>
        <v>0.66633902865777628</v>
      </c>
      <c r="AC39" s="779">
        <f>($B$22-APA_projects[[#This Row],[Commissioning]])/365</f>
        <v>8.5890410958904102</v>
      </c>
    </row>
    <row r="40" spans="2:29" x14ac:dyDescent="0.2">
      <c r="B40" s="760" t="s">
        <v>828</v>
      </c>
      <c r="C40" s="760" t="s">
        <v>827</v>
      </c>
      <c r="D40" s="763">
        <v>0.19900000000000001</v>
      </c>
      <c r="E40" s="760" t="s">
        <v>783</v>
      </c>
      <c r="F40" s="760">
        <v>1</v>
      </c>
      <c r="G40" s="760" t="s">
        <v>677</v>
      </c>
      <c r="H40" s="761">
        <v>0</v>
      </c>
      <c r="I40" s="771">
        <v>50</v>
      </c>
      <c r="J40" s="761"/>
      <c r="K40" s="764">
        <f>IF(APA_projects[[#This Row],[Status]]=1,APA_projects[[#This Row],[APA o''ship (%)]]*(APA_projects[[#This Row],[Construction cost]]*(1-APA_projects[[#This Row],[Age]]/APA_projects[[#This Row],[Useful life]])),"n.a.")</f>
        <v>7.0038458904109584</v>
      </c>
      <c r="L40" s="761">
        <v>12.05</v>
      </c>
      <c r="M40" s="760" t="s">
        <v>698</v>
      </c>
      <c r="N40" s="760"/>
      <c r="O40" s="760"/>
      <c r="P40" s="757"/>
      <c r="Q40" s="757">
        <v>38777</v>
      </c>
      <c r="R40" s="769">
        <f>IF(APA_projects[[#This Row],[Type]]="pipeline",$R$20,IF(APA_projects[[#This Row],[Type]]="power station",25,40))</f>
        <v>40</v>
      </c>
      <c r="S40" s="769">
        <v>25</v>
      </c>
      <c r="T40" s="761">
        <v>15</v>
      </c>
      <c r="U40" s="768">
        <f>(APA_projects[[#This Row],[Commissioning]]+APA_projects[[#This Row],[Useful life]]*365)</f>
        <v>53377</v>
      </c>
      <c r="V40" s="768">
        <f>(APA_projects[[#This Row],[Commissioning]]+APA_projects[[#This Row],[Contract life]]*365)</f>
        <v>44252</v>
      </c>
      <c r="W40" s="760" t="s">
        <v>826</v>
      </c>
      <c r="X40" s="760"/>
      <c r="Y40" s="757" t="s">
        <v>825</v>
      </c>
      <c r="Z40" s="757"/>
      <c r="AA40" s="765"/>
      <c r="AB40" s="765" t="str">
        <f>IF(APA_projects[[#This Row],[Type]]="pipeline",INDEX(Assets!$N$8:$BK$8,MATCH(DATE(YEAR(APA_projects[[#This Row],[Commissioning]]),12,1),Assets!$N$4:$BK$4,0)),"n.a.")</f>
        <v>n.a.</v>
      </c>
      <c r="AC40" s="764">
        <f>IF(APA_projects[[#This Row],[Status]]=1,($B$22-APA_projects[[#This Row],[Commissioning]])/365,"n.a.")</f>
        <v>11.843835616438357</v>
      </c>
    </row>
    <row r="41" spans="2:29" x14ac:dyDescent="0.2">
      <c r="B41" s="760" t="s">
        <v>824</v>
      </c>
      <c r="C41" s="760" t="s">
        <v>824</v>
      </c>
      <c r="D41" s="763">
        <v>0.2</v>
      </c>
      <c r="E41" s="760" t="s">
        <v>783</v>
      </c>
      <c r="F41" s="760">
        <v>1</v>
      </c>
      <c r="G41" s="760" t="s">
        <v>683</v>
      </c>
      <c r="H41" s="761">
        <v>2</v>
      </c>
      <c r="I41" s="771">
        <f>APA_projects[[#This Row],[Size2]]*0.03+APA_projects[[#This Row],[Size1]]*0.03</f>
        <v>88.289999999999992</v>
      </c>
      <c r="J41" s="761">
        <v>521</v>
      </c>
      <c r="K41" s="764">
        <f>IF(APA_projects[[#This Row],[Status]]=1,APA_projects[[#This Row],[APA o''ship (%)]]*(APA_projects[[#This Row],[Construction cost]]*(1-APA_projects[[#This Row],[Age]]/APA_projects[[#This Row],[Useful life]])),"n.a.")</f>
        <v>5.3941561643835616</v>
      </c>
      <c r="L41" s="772">
        <v>2475</v>
      </c>
      <c r="M41" s="767" t="s">
        <v>682</v>
      </c>
      <c r="N41" s="767">
        <v>468</v>
      </c>
      <c r="O41" s="767" t="s">
        <v>682</v>
      </c>
      <c r="P41" s="757">
        <v>39022</v>
      </c>
      <c r="Q41" s="757">
        <v>25355</v>
      </c>
      <c r="R41" s="769">
        <f>IF(APA_projects[[#This Row],[Type]]="pipeline",$R$20,IF(APA_projects[[#This Row],[Type]]="power station",25,40))</f>
        <v>70</v>
      </c>
      <c r="S41" s="769">
        <v>25</v>
      </c>
      <c r="T41" s="761"/>
      <c r="U41" s="768">
        <f>(APA_projects[[#This Row],[Commissioning]]+APA_projects[[#This Row],[Useful life]]*365)</f>
        <v>50905</v>
      </c>
      <c r="V41" s="760"/>
      <c r="W41" s="760"/>
      <c r="X41" s="760"/>
      <c r="Y41" s="757"/>
      <c r="Z41" s="757"/>
      <c r="AA41" s="765"/>
      <c r="AB41" s="765">
        <f>IF(APA_projects[[#This Row],[Type]]="pipeline",INDEX(Assets!$N$8:$BK$8,MATCH(DATE(YEAR(APA_projects[[#This Row],[Commissioning]]),12,1),Assets!$N$4:$BK$4,0)),"n.a.")</f>
        <v>2.5114155251141551E-2</v>
      </c>
      <c r="AC41" s="764">
        <f>IF(APA_projects[[#This Row],[Status]]=1,($B$22-APA_projects[[#This Row],[Commissioning]])/365,"n.a.")</f>
        <v>48.61643835616438</v>
      </c>
    </row>
    <row r="42" spans="2:29" x14ac:dyDescent="0.2">
      <c r="B42" s="760" t="s">
        <v>823</v>
      </c>
      <c r="C42" s="760" t="s">
        <v>822</v>
      </c>
      <c r="D42" s="763">
        <v>0.19900000000000001</v>
      </c>
      <c r="E42" s="760" t="s">
        <v>783</v>
      </c>
      <c r="F42" s="760">
        <v>1</v>
      </c>
      <c r="G42" s="760" t="s">
        <v>710</v>
      </c>
      <c r="H42" s="761">
        <v>0</v>
      </c>
      <c r="I42" s="778">
        <v>29</v>
      </c>
      <c r="J42" s="761"/>
      <c r="K42" s="764">
        <f>IF(APA_projects[[#This Row],[Status]]=1,APA_projects[[#This Row],[APA o''ship (%)]]*(APA_projects[[#This Row],[Construction cost]]*(1-APA_projects[[#This Row],[Age]]/APA_projects[[#This Row],[Useful life]])),"n.a.")</f>
        <v>3.2304951232876711</v>
      </c>
      <c r="L42" s="761">
        <v>27</v>
      </c>
      <c r="M42" s="760" t="s">
        <v>713</v>
      </c>
      <c r="N42" s="760"/>
      <c r="O42" s="760"/>
      <c r="P42" s="757"/>
      <c r="Q42" s="757">
        <v>39083</v>
      </c>
      <c r="R42" s="769">
        <f>IF(APA_projects[[#This Row],[Type]]="pipeline",$R$20,IF(APA_projects[[#This Row],[Type]]="power station",25,40))</f>
        <v>25</v>
      </c>
      <c r="S42" s="769">
        <v>25</v>
      </c>
      <c r="T42" s="769">
        <v>20</v>
      </c>
      <c r="U42" s="768">
        <f>(APA_projects[[#This Row],[Commissioning]]+APA_projects[[#This Row],[Useful life]]*365)</f>
        <v>48208</v>
      </c>
      <c r="V42" s="768">
        <f>(APA_projects[[#This Row],[Commissioning]]+APA_projects[[#This Row],[Contract life]]*365)</f>
        <v>46383</v>
      </c>
      <c r="W42" s="760" t="s">
        <v>807</v>
      </c>
      <c r="X42" s="760"/>
      <c r="Y42" s="757" t="s">
        <v>821</v>
      </c>
      <c r="Z42" s="757"/>
      <c r="AA42" s="765" t="str">
        <f>IF(APA_projects[[#This Row],[Type]]="pipeline",IFERROR(APA_projects[[#This Row],[Construction cost]]/APA_projects[[#This Row],[Size1]],"n.a."),"n.a.")</f>
        <v>n.a.</v>
      </c>
      <c r="AB42" s="765" t="str">
        <f>IF(APA_projects[[#This Row],[Type]]="pipeline",INDEX(Assets!$N$8:$BK$8,MATCH(DATE(YEAR(APA_projects[[#This Row],[Commissioning]]),12,1),Assets!$N$4:$BK$4,0)),"n.a.")</f>
        <v>n.a.</v>
      </c>
      <c r="AC42" s="764">
        <f>IF(APA_projects[[#This Row],[Status]]=1,($B$22-APA_projects[[#This Row],[Commissioning]])/365,"n.a.")</f>
        <v>11.005479452054795</v>
      </c>
    </row>
    <row r="43" spans="2:29" x14ac:dyDescent="0.2">
      <c r="B43" s="760" t="s">
        <v>820</v>
      </c>
      <c r="C43" s="760" t="s">
        <v>819</v>
      </c>
      <c r="D43" s="763">
        <v>0.19900000000000001</v>
      </c>
      <c r="E43" s="760" t="s">
        <v>783</v>
      </c>
      <c r="F43" s="760">
        <v>1</v>
      </c>
      <c r="G43" s="760" t="s">
        <v>677</v>
      </c>
      <c r="H43" s="761">
        <v>0</v>
      </c>
      <c r="I43" s="761">
        <v>31</v>
      </c>
      <c r="J43" s="761"/>
      <c r="K43" s="764">
        <f>IF(APA_projects[[#This Row],[Status]]=1,APA_projects[[#This Row],[APA o''ship (%)]]*(APA_projects[[#This Row],[Construction cost]]*(1-APA_projects[[#This Row],[Age]]/APA_projects[[#This Row],[Useful life]])),"n.a.")</f>
        <v>4.4966094520547948</v>
      </c>
      <c r="L43" s="761">
        <v>10</v>
      </c>
      <c r="M43" s="760" t="s">
        <v>735</v>
      </c>
      <c r="N43" s="760"/>
      <c r="O43" s="760"/>
      <c r="P43" s="757"/>
      <c r="Q43" s="757">
        <v>39142</v>
      </c>
      <c r="R43" s="769">
        <f>IF(APA_projects[[#This Row],[Type]]="pipeline",$R$20,IF(APA_projects[[#This Row],[Type]]="power station",25,40))</f>
        <v>40</v>
      </c>
      <c r="S43" s="769">
        <v>25</v>
      </c>
      <c r="T43" s="761">
        <v>15</v>
      </c>
      <c r="U43" s="768">
        <f>(APA_projects[[#This Row],[Commissioning]]+APA_projects[[#This Row],[Useful life]]*365)</f>
        <v>53742</v>
      </c>
      <c r="V43" s="768">
        <f>(APA_projects[[#This Row],[Commissioning]]+APA_projects[[#This Row],[Contract life]]*365)</f>
        <v>44617</v>
      </c>
      <c r="W43" s="760" t="s">
        <v>818</v>
      </c>
      <c r="X43" s="760"/>
      <c r="Y43" s="757" t="s">
        <v>817</v>
      </c>
      <c r="Z43" s="757"/>
      <c r="AA43" s="765" t="str">
        <f>IF(APA_projects[[#This Row],[Type]]="pipeline",IFERROR(APA_projects[[#This Row],[Construction cost]]/APA_projects[[#This Row],[Size1]],"n.a."),"n.a.")</f>
        <v>n.a.</v>
      </c>
      <c r="AB43" s="765" t="str">
        <f>IF(APA_projects[[#This Row],[Type]]="pipeline",INDEX(Assets!$N$8:$BK$8,MATCH(DATE(YEAR(APA_projects[[#This Row],[Commissioning]]),12,1),Assets!$N$4:$BK$4,0)),"n.a.")</f>
        <v>n.a.</v>
      </c>
      <c r="AC43" s="764">
        <f>IF(APA_projects[[#This Row],[Status]]=1,($B$22-APA_projects[[#This Row],[Commissioning]])/365,"n.a.")</f>
        <v>10.843835616438357</v>
      </c>
    </row>
    <row r="44" spans="2:29" x14ac:dyDescent="0.2">
      <c r="B44" s="760" t="s">
        <v>816</v>
      </c>
      <c r="C44" s="760" t="s">
        <v>815</v>
      </c>
      <c r="D44" s="763">
        <v>0.19900000000000001</v>
      </c>
      <c r="E44" s="760" t="s">
        <v>783</v>
      </c>
      <c r="F44" s="760">
        <v>1</v>
      </c>
      <c r="G44" s="760" t="s">
        <v>710</v>
      </c>
      <c r="H44" s="761">
        <v>0</v>
      </c>
      <c r="I44" s="761">
        <v>38</v>
      </c>
      <c r="J44" s="761"/>
      <c r="K44" s="764">
        <f>IF(APA_projects[[#This Row],[Status]]=1,APA_projects[[#This Row],[APA o''ship (%)]]*(APA_projects[[#This Row],[Construction cost]]*(1-APA_projects[[#This Row],[Age]]/APA_projects[[#This Row],[Useful life]])),"n.a.")</f>
        <v>4.4849911232876716</v>
      </c>
      <c r="L44" s="761">
        <v>30</v>
      </c>
      <c r="M44" s="760" t="s">
        <v>713</v>
      </c>
      <c r="N44" s="760"/>
      <c r="O44" s="760"/>
      <c r="P44" s="757"/>
      <c r="Q44" s="757">
        <v>39387</v>
      </c>
      <c r="R44" s="769">
        <f>IF(APA_projects[[#This Row],[Type]]="pipeline",$R$20,IF(APA_projects[[#This Row],[Type]]="power station",25,40))</f>
        <v>25</v>
      </c>
      <c r="S44" s="769">
        <v>25</v>
      </c>
      <c r="T44" s="769">
        <v>20</v>
      </c>
      <c r="U44" s="768">
        <f>(APA_projects[[#This Row],[Commissioning]]+APA_projects[[#This Row],[Useful life]]*365)</f>
        <v>48512</v>
      </c>
      <c r="V44" s="768">
        <f>(APA_projects[[#This Row],[Commissioning]]+APA_projects[[#This Row],[Contract life]]*365)</f>
        <v>46687</v>
      </c>
      <c r="W44" s="760" t="s">
        <v>807</v>
      </c>
      <c r="X44" s="760"/>
      <c r="Y44" s="757"/>
      <c r="Z44" s="757"/>
      <c r="AA44" s="765" t="str">
        <f>IF(APA_projects[[#This Row],[Type]]="pipeline",IFERROR(APA_projects[[#This Row],[Construction cost]]/APA_projects[[#This Row],[Size1]],"n.a."),"n.a.")</f>
        <v>n.a.</v>
      </c>
      <c r="AB44" s="765" t="str">
        <f>IF(APA_projects[[#This Row],[Type]]="pipeline",INDEX(Assets!$N$8:$BK$8,MATCH(DATE(YEAR(APA_projects[[#This Row],[Commissioning]]),12,1),Assets!$N$4:$BK$4,0)),"n.a.")</f>
        <v>n.a.</v>
      </c>
      <c r="AC44" s="764">
        <f>IF(APA_projects[[#This Row],[Status]]=1,($B$22-APA_projects[[#This Row],[Commissioning]])/365,"n.a.")</f>
        <v>10.172602739726027</v>
      </c>
    </row>
    <row r="45" spans="2:29" x14ac:dyDescent="0.2">
      <c r="B45" s="760" t="s">
        <v>814</v>
      </c>
      <c r="C45" s="760" t="s">
        <v>813</v>
      </c>
      <c r="D45" s="763">
        <v>1</v>
      </c>
      <c r="E45" s="760" t="s">
        <v>783</v>
      </c>
      <c r="F45" s="760">
        <v>1</v>
      </c>
      <c r="G45" s="760" t="s">
        <v>683</v>
      </c>
      <c r="H45" s="761">
        <v>0</v>
      </c>
      <c r="I45" s="761">
        <v>70</v>
      </c>
      <c r="J45" s="761">
        <v>82.6</v>
      </c>
      <c r="K45" s="764">
        <f>IF(APA_projects[[#This Row],[Status]]=1,APA_projects[[#This Row],[APA o''ship (%)]]*(APA_projects[[#This Row],[Construction cost]]*(1-APA_projects[[#This Row],[Age]]/APA_projects[[#This Row],[Useful life]])),"n.a.")</f>
        <v>61.208219178082189</v>
      </c>
      <c r="L45" s="761">
        <v>112</v>
      </c>
      <c r="M45" s="760" t="s">
        <v>682</v>
      </c>
      <c r="N45" s="767">
        <v>150</v>
      </c>
      <c r="O45" s="767" t="s">
        <v>698</v>
      </c>
      <c r="P45" s="757">
        <v>39873</v>
      </c>
      <c r="Q45" s="757">
        <v>39891</v>
      </c>
      <c r="R45" s="769">
        <f>IF(APA_projects[[#This Row],[Type]]="pipeline",$R$20,IF(APA_projects[[#This Row],[Type]]="power station",25,40))</f>
        <v>70</v>
      </c>
      <c r="S45" s="769">
        <v>25</v>
      </c>
      <c r="T45" s="761">
        <v>17</v>
      </c>
      <c r="U45" s="768">
        <f>(APA_projects[[#This Row],[Commissioning]]+APA_projects[[#This Row],[Useful life]]*365)</f>
        <v>65441</v>
      </c>
      <c r="V45" s="768">
        <f>(APA_projects[[#This Row],[Commissioning]]+APA_projects[[#This Row],[Contract life]]*365)</f>
        <v>46096</v>
      </c>
      <c r="W45" s="767" t="s">
        <v>776</v>
      </c>
      <c r="X45" s="760"/>
      <c r="Y45" s="757" t="s">
        <v>812</v>
      </c>
      <c r="Z45" s="757"/>
      <c r="AA45" s="765">
        <f>IF(APA_projects[[#This Row],[Type]]="pipeline",IFERROR(APA_projects[[#This Row],[Construction cost]]/APA_projects[[#This Row],[Size1]],"n.a."),"n.a.")</f>
        <v>0.625</v>
      </c>
      <c r="AB45" s="765">
        <f>IF(APA_projects[[#This Row],[Type]]="pipeline",INDEX(Assets!$N$8:$BK$8,MATCH(DATE(YEAR(APA_projects[[#This Row],[Commissioning]]),12,1),Assets!$N$4:$BK$4,0)),"n.a.")</f>
        <v>0.66633902865777628</v>
      </c>
      <c r="AC45" s="764">
        <f>IF(APA_projects[[#This Row],[Status]]=1,($B$22-APA_projects[[#This Row],[Commissioning]])/365,"n.a.")</f>
        <v>8.7917808219178077</v>
      </c>
    </row>
    <row r="46" spans="2:29" x14ac:dyDescent="0.2">
      <c r="B46" s="760" t="s">
        <v>219</v>
      </c>
      <c r="C46" s="760" t="s">
        <v>808</v>
      </c>
      <c r="D46" s="763">
        <v>1</v>
      </c>
      <c r="E46" s="760" t="s">
        <v>783</v>
      </c>
      <c r="F46" s="760">
        <v>1</v>
      </c>
      <c r="G46" s="760" t="s">
        <v>710</v>
      </c>
      <c r="H46" s="761">
        <v>0</v>
      </c>
      <c r="I46" s="761">
        <v>570</v>
      </c>
      <c r="J46" s="761">
        <f>151/0.5</f>
        <v>302</v>
      </c>
      <c r="K46" s="764">
        <f>IF(APA_projects[[#This Row],[Status]]=1,APA_projects[[#This Row],[APA o''ship (%)]]*(APA_projects[[#This Row],[Construction cost]]*(1-APA_projects[[#This Row],[Age]]/APA_projects[[#This Row],[Useful life]])),"n.a.")</f>
        <v>488.23232876712325</v>
      </c>
      <c r="L46" s="761">
        <v>242</v>
      </c>
      <c r="M46" s="760" t="s">
        <v>713</v>
      </c>
      <c r="N46" s="760"/>
      <c r="O46" s="760"/>
      <c r="P46" s="757">
        <v>40725</v>
      </c>
      <c r="Q46" s="757">
        <v>41791</v>
      </c>
      <c r="R46" s="769">
        <f>IF(APA_projects[[#This Row],[Type]]="pipeline",$R$20,IF(APA_projects[[#This Row],[Type]]="power station",25,40))</f>
        <v>25</v>
      </c>
      <c r="S46" s="769">
        <v>25</v>
      </c>
      <c r="T46" s="775">
        <f>(APA_projects[[#This Row],[Contract expiry]]-APA_projects[[#This Row],[Commissioning]])/365</f>
        <v>16.010958904109589</v>
      </c>
      <c r="U46" s="768">
        <f>(APA_projects[[#This Row],[Commissioning]]+APA_projects[[#This Row],[Useful life]]*365)</f>
        <v>50916</v>
      </c>
      <c r="V46" s="757">
        <v>47635</v>
      </c>
      <c r="W46" s="760" t="s">
        <v>807</v>
      </c>
      <c r="X46" s="760" t="s">
        <v>811</v>
      </c>
      <c r="Y46" s="757" t="s">
        <v>810</v>
      </c>
      <c r="Z46" s="757"/>
      <c r="AA46" s="765" t="str">
        <f>IF(APA_projects[[#This Row],[Type]]="pipeline",IFERROR(APA_projects[[#This Row],[Construction cost]]/APA_projects[[#This Row],[Size1]],"n.a."),"n.a.")</f>
        <v>n.a.</v>
      </c>
      <c r="AB46" s="765" t="str">
        <f>IF(APA_projects[[#This Row],[Type]]="pipeline",INDEX(Assets!$N$8:$BK$8,MATCH(DATE(YEAR(APA_projects[[#This Row],[Commissioning]]),12,1),Assets!$N$4:$BK$4,0)),"n.a.")</f>
        <v>n.a.</v>
      </c>
      <c r="AC46" s="764">
        <f>IF(APA_projects[[#This Row],[Status]]=1,($B$22-APA_projects[[#This Row],[Commissioning]])/365,"n.a.")</f>
        <v>3.5863013698630137</v>
      </c>
    </row>
    <row r="47" spans="2:29" x14ac:dyDescent="0.2">
      <c r="B47" s="760" t="s">
        <v>809</v>
      </c>
      <c r="C47" s="760" t="s">
        <v>808</v>
      </c>
      <c r="D47" s="763">
        <v>1</v>
      </c>
      <c r="E47" s="760" t="s">
        <v>783</v>
      </c>
      <c r="F47" s="760">
        <v>1</v>
      </c>
      <c r="G47" s="760" t="s">
        <v>710</v>
      </c>
      <c r="H47" s="761">
        <v>0</v>
      </c>
      <c r="I47" s="769">
        <f>700-I46</f>
        <v>130</v>
      </c>
      <c r="J47" s="761"/>
      <c r="K47" s="764">
        <f>IF(APA_projects[[#This Row],[Status]]=1,APA_projects[[#This Row],[APA o''ship (%)]]*(APA_projects[[#This Row],[Construction cost]]*(1-APA_projects[[#This Row],[Age]]/APA_projects[[#This Row],[Useful life]])),"n.a.")</f>
        <v>111.35123287671232</v>
      </c>
      <c r="L47" s="761">
        <v>60</v>
      </c>
      <c r="M47" s="760" t="s">
        <v>713</v>
      </c>
      <c r="N47" s="760"/>
      <c r="O47" s="760"/>
      <c r="P47" s="757">
        <v>41214</v>
      </c>
      <c r="Q47" s="757">
        <v>41791</v>
      </c>
      <c r="R47" s="769">
        <f>IF(APA_projects[[#This Row],[Type]]="pipeline",$R$20,IF(APA_projects[[#This Row],[Type]]="power station",25,40))</f>
        <v>25</v>
      </c>
      <c r="S47" s="769">
        <v>25</v>
      </c>
      <c r="T47" s="775">
        <f>(APA_projects[[#This Row],[Contract expiry]]-APA_projects[[#This Row],[Commissioning]])/365</f>
        <v>16.010958904109589</v>
      </c>
      <c r="U47" s="768">
        <f>(APA_projects[[#This Row],[Commissioning]]+APA_projects[[#This Row],[Useful life]]*365)</f>
        <v>50916</v>
      </c>
      <c r="V47" s="757">
        <f>V46</f>
        <v>47635</v>
      </c>
      <c r="W47" s="760" t="s">
        <v>807</v>
      </c>
      <c r="X47" s="760"/>
      <c r="Y47" s="757"/>
      <c r="Z47" s="757"/>
      <c r="AA47" s="765"/>
      <c r="AB47" s="765" t="str">
        <f>IF(APA_projects[[#This Row],[Type]]="pipeline",INDEX(Assets!$N$8:$BK$8,MATCH(DATE(YEAR(APA_projects[[#This Row],[Commissioning]]),12,1),Assets!$N$4:$BK$4,0)),"n.a.")</f>
        <v>n.a.</v>
      </c>
      <c r="AC47" s="764">
        <f>IF(APA_projects[[#This Row],[Status]]=1,($B$22-APA_projects[[#This Row],[Commissioning]])/365,"n.a.")</f>
        <v>3.5863013698630137</v>
      </c>
    </row>
    <row r="48" spans="2:29" x14ac:dyDescent="0.2">
      <c r="B48" s="760" t="s">
        <v>806</v>
      </c>
      <c r="C48" s="760" t="s">
        <v>800</v>
      </c>
      <c r="D48" s="763">
        <v>1</v>
      </c>
      <c r="E48" s="760" t="s">
        <v>783</v>
      </c>
      <c r="F48" s="760">
        <v>1</v>
      </c>
      <c r="G48" s="760" t="s">
        <v>683</v>
      </c>
      <c r="H48" s="761">
        <v>0</v>
      </c>
      <c r="I48" s="761">
        <v>220</v>
      </c>
      <c r="J48" s="761"/>
      <c r="K48" s="764">
        <f>IF(APA_projects[[#This Row],[Status]]=1,APA_projects[[#This Row],[APA o''ship (%)]]*(APA_projects[[#This Row],[Construction cost]]*(1-APA_projects[[#This Row],[Age]]/APA_projects[[#This Row],[Useful life]])),"n.a.")</f>
        <v>153.69863013698628</v>
      </c>
      <c r="L48" s="761">
        <v>756</v>
      </c>
      <c r="M48" s="760" t="s">
        <v>682</v>
      </c>
      <c r="N48" s="767">
        <v>168</v>
      </c>
      <c r="O48" s="767" t="s">
        <v>698</v>
      </c>
      <c r="P48" s="757">
        <v>41244</v>
      </c>
      <c r="Q48" s="757">
        <v>35400</v>
      </c>
      <c r="R48" s="769">
        <f>IF(APA_projects[[#This Row],[Type]]="pipeline",$R$20,IF(APA_projects[[#This Row],[Type]]="power station",25,40))</f>
        <v>70</v>
      </c>
      <c r="S48" s="769">
        <v>25</v>
      </c>
      <c r="T48" s="761">
        <v>15</v>
      </c>
      <c r="U48" s="768">
        <f>(APA_projects[[#This Row],[Commissioning]]+APA_projects[[#This Row],[Useful life]]*365)</f>
        <v>60950</v>
      </c>
      <c r="V48" s="757">
        <f>V49</f>
        <v>47448</v>
      </c>
      <c r="W48" s="767" t="s">
        <v>805</v>
      </c>
      <c r="X48" s="760"/>
      <c r="Y48" s="757" t="s">
        <v>804</v>
      </c>
      <c r="Z48" s="757"/>
      <c r="AA48" s="765">
        <f>IF(APA_projects[[#This Row],[Type]]="pipeline",IFERROR(APA_projects[[#This Row],[Construction cost]]/APA_projects[[#This Row],[Size1]],"n.a."),"n.a.")</f>
        <v>0.29100529100529099</v>
      </c>
      <c r="AB48" s="765">
        <f>IF(APA_projects[[#This Row],[Type]]="pipeline",INDEX(Assets!$N$8:$BK$8,MATCH(DATE(YEAR(APA_projects[[#This Row],[Commissioning]]),12,1),Assets!$N$4:$BK$4,0)),"n.a.")</f>
        <v>0.34526850605844212</v>
      </c>
      <c r="AC48" s="764">
        <f>IF(APA_projects[[#This Row],[Status]]=1,($B$22-APA_projects[[#This Row],[Commissioning]])/365,"n.a.")</f>
        <v>21.095890410958905</v>
      </c>
    </row>
    <row r="49" spans="2:29" x14ac:dyDescent="0.2">
      <c r="B49" s="760" t="s">
        <v>803</v>
      </c>
      <c r="C49" s="760" t="s">
        <v>800</v>
      </c>
      <c r="D49" s="763">
        <v>1</v>
      </c>
      <c r="E49" s="760" t="s">
        <v>783</v>
      </c>
      <c r="F49" s="760">
        <v>1</v>
      </c>
      <c r="G49" s="760" t="s">
        <v>683</v>
      </c>
      <c r="H49" s="761">
        <v>0</v>
      </c>
      <c r="I49" s="761">
        <v>125</v>
      </c>
      <c r="J49" s="761"/>
      <c r="K49" s="764">
        <f>IF(APA_projects[[#This Row],[Status]]=1,APA_projects[[#This Row],[APA o''ship (%)]]*(APA_projects[[#This Row],[Construction cost]]*(1-APA_projects[[#This Row],[Age]]/APA_projects[[#This Row],[Useful life]])),"n.a.")</f>
        <v>108.77201565557731</v>
      </c>
      <c r="L49" s="761" t="s">
        <v>741</v>
      </c>
      <c r="M49" s="760"/>
      <c r="N49" s="760"/>
      <c r="O49" s="760"/>
      <c r="P49" s="757"/>
      <c r="Q49" s="757">
        <v>39783</v>
      </c>
      <c r="R49" s="769">
        <f>IF(APA_projects[[#This Row],[Type]]="pipeline",$R$20,IF(APA_projects[[#This Row],[Type]]="power station",25,40))</f>
        <v>70</v>
      </c>
      <c r="S49" s="769">
        <v>25</v>
      </c>
      <c r="T49" s="761">
        <v>21</v>
      </c>
      <c r="U49" s="768">
        <f>(APA_projects[[#This Row],[Commissioning]]+APA_projects[[#This Row],[Useful life]]*365)</f>
        <v>65333</v>
      </c>
      <c r="V49" s="768">
        <f>(APA_projects[[#This Row],[Commissioning]]+APA_projects[[#This Row],[Contract life]]*365)</f>
        <v>47448</v>
      </c>
      <c r="W49" s="767" t="s">
        <v>802</v>
      </c>
      <c r="X49" s="760"/>
      <c r="Y49" s="757" t="s">
        <v>1007</v>
      </c>
      <c r="Z49" s="757"/>
      <c r="AA49" s="765" t="str">
        <f>IF(APA_projects[[#This Row],[Type]]="pipeline",IFERROR(APA_projects[[#This Row],[Construction cost]]/APA_projects[[#This Row],[Size1]],"n.a."),"n.a.")</f>
        <v>n.a.</v>
      </c>
      <c r="AB49" s="765">
        <f>IF(APA_projects[[#This Row],[Type]]="pipeline",INDEX(Assets!$N$8:$BK$8,MATCH(DATE(YEAR(APA_projects[[#This Row],[Commissioning]]),12,1),Assets!$N$4:$BK$4,0)),"n.a.")</f>
        <v>0.63873922842778252</v>
      </c>
      <c r="AC49" s="764">
        <f>IF(APA_projects[[#This Row],[Status]]=1,($B$22-APA_projects[[#This Row],[Commissioning]])/365,"n.a.")</f>
        <v>9.087671232876712</v>
      </c>
    </row>
    <row r="50" spans="2:29" x14ac:dyDescent="0.2">
      <c r="B50" s="760" t="s">
        <v>801</v>
      </c>
      <c r="C50" s="760" t="s">
        <v>800</v>
      </c>
      <c r="D50" s="763">
        <v>1</v>
      </c>
      <c r="E50" s="760" t="s">
        <v>783</v>
      </c>
      <c r="F50" s="760">
        <v>1</v>
      </c>
      <c r="G50" s="760" t="s">
        <v>683</v>
      </c>
      <c r="H50" s="761">
        <v>0</v>
      </c>
      <c r="I50" s="761">
        <v>732</v>
      </c>
      <c r="J50" s="761"/>
      <c r="K50" s="764">
        <f>IF(APA_projects[[#This Row],[Status]]=1,APA_projects[[#This Row],[APA o''ship (%)]]*(APA_projects[[#This Row],[Construction cost]]*(1-APA_projects[[#This Row],[Age]]/APA_projects[[#This Row],[Useful life]])),"n.a.")</f>
        <v>647.42606653620351</v>
      </c>
      <c r="L50" s="761">
        <f>182+756</f>
        <v>938</v>
      </c>
      <c r="M50" s="760" t="s">
        <v>682</v>
      </c>
      <c r="N50" s="767">
        <v>212</v>
      </c>
      <c r="O50" s="767" t="s">
        <v>698</v>
      </c>
      <c r="P50" s="757"/>
      <c r="Q50" s="757">
        <v>40148</v>
      </c>
      <c r="R50" s="769">
        <f>IF(APA_projects[[#This Row],[Type]]="pipeline",$R$20,IF(APA_projects[[#This Row],[Type]]="power station",25,40))</f>
        <v>70</v>
      </c>
      <c r="S50" s="769">
        <v>25</v>
      </c>
      <c r="T50" s="761">
        <v>22</v>
      </c>
      <c r="U50" s="768">
        <f>(APA_projects[[#This Row],[Commissioning]]+APA_projects[[#This Row],[Useful life]]*365)</f>
        <v>65698</v>
      </c>
      <c r="V50" s="757">
        <v>48914</v>
      </c>
      <c r="W50" s="767" t="s">
        <v>681</v>
      </c>
      <c r="X50" s="760"/>
      <c r="Y50" s="757" t="s">
        <v>799</v>
      </c>
      <c r="Z50" s="757"/>
      <c r="AA50" s="765">
        <f>IF(APA_projects[[#This Row],[Type]]="pipeline",IFERROR(APA_projects[[#This Row],[Construction cost]]/APA_projects[[#This Row],[Size1]],"n.a."),"n.a.")</f>
        <v>0.78038379530916846</v>
      </c>
      <c r="AB50" s="765">
        <f>IF(APA_projects[[#This Row],[Type]]="pipeline",INDEX(Assets!$N$8:$BK$8,MATCH(DATE(YEAR(APA_projects[[#This Row],[Commissioning]]),12,1),Assets!$N$4:$BK$4,0)),"n.a.")</f>
        <v>0.66633902865777628</v>
      </c>
      <c r="AC50" s="764">
        <f>IF(APA_projects[[#This Row],[Status]]=1,($B$22-APA_projects[[#This Row],[Commissioning]])/365,"n.a.")</f>
        <v>8.087671232876712</v>
      </c>
    </row>
    <row r="51" spans="2:29" x14ac:dyDescent="0.2">
      <c r="B51" s="760" t="s">
        <v>798</v>
      </c>
      <c r="C51" s="760" t="s">
        <v>797</v>
      </c>
      <c r="D51" s="763">
        <v>1</v>
      </c>
      <c r="E51" s="760" t="s">
        <v>783</v>
      </c>
      <c r="F51" s="760">
        <v>1</v>
      </c>
      <c r="G51" s="760" t="s">
        <v>683</v>
      </c>
      <c r="H51" s="761">
        <v>0</v>
      </c>
      <c r="I51" s="769">
        <f>APA_projects[[#This Row],[Acquisition cost]]</f>
        <v>5984.5999999999995</v>
      </c>
      <c r="J51" s="761">
        <f>4600*1.301</f>
        <v>5984.5999999999995</v>
      </c>
      <c r="K51" s="764">
        <f>IF(APA_projects[[#This Row],[Status]]=1,APA_projects[[#This Row],[APA o''ship (%)]]*(APA_projects[[#This Row],[Construction cost]]*(1-APA_projects[[#This Row],[Age]]/APA_projects[[#This Row],[Useful life]])),"n.a.")</f>
        <v>4787.6799999999994</v>
      </c>
      <c r="L51" s="761">
        <v>543</v>
      </c>
      <c r="M51" s="760" t="s">
        <v>682</v>
      </c>
      <c r="N51" s="767">
        <v>1530</v>
      </c>
      <c r="O51" s="767" t="s">
        <v>698</v>
      </c>
      <c r="P51" s="757">
        <v>41275</v>
      </c>
      <c r="Q51" s="774">
        <f>APA_projects[[#This Row],[Acquisition/announcement date]]+365</f>
        <v>41640</v>
      </c>
      <c r="R51" s="761">
        <v>20</v>
      </c>
      <c r="S51" s="769">
        <v>20</v>
      </c>
      <c r="T51" s="761">
        <v>20</v>
      </c>
      <c r="U51" s="768">
        <f>(APA_projects[[#This Row],[Commissioning]]+APA_projects[[#This Row],[Useful life]]*365)</f>
        <v>48940</v>
      </c>
      <c r="V51" s="768">
        <f>(APA_projects[[#This Row],[Acquisition/announcement date]]+APA_projects[[#This Row],[Contract life]]*365)</f>
        <v>48575</v>
      </c>
      <c r="W51" s="760" t="s">
        <v>796</v>
      </c>
      <c r="X51" s="760" t="s">
        <v>795</v>
      </c>
      <c r="Y51" s="757" t="s">
        <v>794</v>
      </c>
      <c r="Z51" s="757" t="s">
        <v>793</v>
      </c>
      <c r="AA51" s="765">
        <f>IF(APA_projects[[#This Row],[Type]]="pipeline",IFERROR(APA_projects[[#This Row],[Construction cost]]/APA_projects[[#This Row],[Size1]],"n.a."),"n.a.")</f>
        <v>11.02136279926335</v>
      </c>
      <c r="AB51" s="765">
        <f>IF(APA_projects[[#This Row],[Type]]="pipeline",INDEX(Assets!$N$8:$BK$8,MATCH(DATE(YEAR(APA_projects[[#This Row],[Commissioning]]),12,1),Assets!$N$4:$BK$4,0)),"n.a.")</f>
        <v>0.85643463025082656</v>
      </c>
      <c r="AC51" s="764">
        <f>IF(APA_projects[[#This Row],[Status]]=1,($B$22-APA_projects[[#This Row],[Commissioning]])/365,"n.a.")</f>
        <v>4</v>
      </c>
    </row>
    <row r="52" spans="2:29" x14ac:dyDescent="0.2">
      <c r="B52" s="760" t="s">
        <v>567</v>
      </c>
      <c r="C52" s="760" t="s">
        <v>792</v>
      </c>
      <c r="D52" s="763">
        <v>1</v>
      </c>
      <c r="E52" s="760" t="s">
        <v>783</v>
      </c>
      <c r="F52" s="760">
        <v>0</v>
      </c>
      <c r="G52" s="760" t="s">
        <v>710</v>
      </c>
      <c r="H52" s="761">
        <v>0</v>
      </c>
      <c r="I52" s="761">
        <v>220</v>
      </c>
      <c r="J52" s="761"/>
      <c r="K52" s="764" t="str">
        <f>IF(APA_projects[[#This Row],[Status]]=1,APA_projects[[#This Row],[APA o''ship (%)]]*(APA_projects[[#This Row],[Construction cost]]*(1-APA_projects[[#This Row],[Age]]/APA_projects[[#This Row],[Useful life]])),"n.a.")</f>
        <v>n.a.</v>
      </c>
      <c r="L52" s="761">
        <v>110</v>
      </c>
      <c r="M52" s="760" t="s">
        <v>713</v>
      </c>
      <c r="N52" s="760"/>
      <c r="O52" s="760"/>
      <c r="P52" s="757">
        <v>42856</v>
      </c>
      <c r="Q52" s="757">
        <v>43465</v>
      </c>
      <c r="R52" s="769">
        <f>IF(APA_projects[[#This Row],[Type]]="pipeline",$R$20,IF(APA_projects[[#This Row],[Type]]="power station",25,40))</f>
        <v>25</v>
      </c>
      <c r="S52" s="769">
        <v>25</v>
      </c>
      <c r="T52" s="761">
        <v>12</v>
      </c>
      <c r="U52" s="768">
        <f>(APA_projects[[#This Row],[Commissioning]]+APA_projects[[#This Row],[Useful life]]*365)</f>
        <v>52590</v>
      </c>
      <c r="V52" s="768">
        <f>APA_projects[[#This Row],[Commissioning]]+APA_projects[[#This Row],[Contract life]]*365</f>
        <v>47845</v>
      </c>
      <c r="W52" s="760" t="s">
        <v>681</v>
      </c>
      <c r="X52" s="760"/>
      <c r="Y52" s="757"/>
      <c r="Z52" s="757"/>
      <c r="AA52" s="765" t="str">
        <f>IF(APA_projects[[#This Row],[Type]]="pipeline",IFERROR(APA_projects[[#This Row],[Construction cost]]/APA_projects[[#This Row],[Size1]],"n.a."),"n.a.")</f>
        <v>n.a.</v>
      </c>
      <c r="AB52" s="765" t="str">
        <f>IF(APA_projects[[#This Row],[Type]]="pipeline",INDEX(Assets!$N$8:$BK$8,MATCH(DATE(YEAR(APA_projects[[#This Row],[Commissioning]]),12,1),Assets!$N$4:$BK$4,0)),"n.a.")</f>
        <v>n.a.</v>
      </c>
      <c r="AC52" s="764" t="str">
        <f>IF(APA_projects[[#This Row],[Status]]=1,($B$22-APA_projects[[#This Row],[Commissioning]])/365,"n.a.")</f>
        <v>n.a.</v>
      </c>
    </row>
    <row r="53" spans="2:29" x14ac:dyDescent="0.2">
      <c r="B53" s="760" t="s">
        <v>791</v>
      </c>
      <c r="C53" s="760" t="s">
        <v>790</v>
      </c>
      <c r="D53" s="763">
        <v>1</v>
      </c>
      <c r="E53" s="760" t="s">
        <v>783</v>
      </c>
      <c r="F53" s="760">
        <v>0</v>
      </c>
      <c r="G53" s="760" t="s">
        <v>683</v>
      </c>
      <c r="H53" s="761">
        <v>0</v>
      </c>
      <c r="I53" s="761"/>
      <c r="J53" s="761"/>
      <c r="K53" s="764" t="str">
        <f>IF(APA_projects[[#This Row],[Status]]=1,APA_projects[[#This Row],[APA o''ship (%)]]*(APA_projects[[#This Row],[Construction cost]]*(1-APA_projects[[#This Row],[Age]]/APA_projects[[#This Row],[Useful life]])),"n.a.")</f>
        <v>n.a.</v>
      </c>
      <c r="L53" s="761">
        <v>350</v>
      </c>
      <c r="M53" s="760" t="s">
        <v>682</v>
      </c>
      <c r="N53" s="760"/>
      <c r="O53" s="760"/>
      <c r="P53" s="757">
        <v>41426</v>
      </c>
      <c r="Q53" s="757"/>
      <c r="R53" s="769">
        <f>IF(APA_projects[[#This Row],[Type]]="pipeline",$R$20,IF(APA_projects[[#This Row],[Type]]="power station",25,40))</f>
        <v>70</v>
      </c>
      <c r="S53" s="769">
        <v>25</v>
      </c>
      <c r="T53" s="761"/>
      <c r="U53" s="768">
        <f>(APA_projects[[#This Row],[Commissioning]]+APA_projects[[#This Row],[Useful life]]*365)</f>
        <v>25550</v>
      </c>
      <c r="V53" s="760"/>
      <c r="W53" s="760" t="s">
        <v>789</v>
      </c>
      <c r="X53" s="760"/>
      <c r="Y53" s="757"/>
      <c r="Z53" s="757"/>
      <c r="AA53" s="765">
        <f>IF(APA_projects[[#This Row],[Type]]="pipeline",IFERROR(APA_projects[[#This Row],[Construction cost]]/APA_projects[[#This Row],[Size1]],"n.a."),"n.a.")</f>
        <v>0</v>
      </c>
      <c r="AB53" s="765" t="e">
        <f>IF(APA_projects[[#This Row],[Type]]="pipeline",INDEX(Assets!$N$8:$BK$8,MATCH(DATE(YEAR(APA_projects[[#This Row],[Commissioning]]),12,1),Assets!$N$4:$BK$4,0)),"n.a.")</f>
        <v>#N/A</v>
      </c>
      <c r="AC53" s="764" t="str">
        <f>IF(APA_projects[[#This Row],[Status]]=1,($B$22-APA_projects[[#This Row],[Commissioning]])/365,"n.a.")</f>
        <v>n.a.</v>
      </c>
    </row>
    <row r="54" spans="2:29" x14ac:dyDescent="0.2">
      <c r="B54" s="760" t="s">
        <v>788</v>
      </c>
      <c r="C54" s="760" t="s">
        <v>787</v>
      </c>
      <c r="D54" s="763">
        <v>1</v>
      </c>
      <c r="E54" s="760" t="s">
        <v>783</v>
      </c>
      <c r="F54" s="760">
        <v>1</v>
      </c>
      <c r="G54" s="760" t="s">
        <v>683</v>
      </c>
      <c r="H54" s="761">
        <v>0</v>
      </c>
      <c r="I54" s="761">
        <v>80</v>
      </c>
      <c r="J54" s="761"/>
      <c r="K54" s="764">
        <f>IF(APA_projects[[#This Row],[Status]]=1,APA_projects[[#This Row],[APA o''ship (%)]]*(APA_projects[[#This Row],[Construction cost]]*(1-APA_projects[[#This Row],[Age]]/APA_projects[[#This Row],[Useful life]])),"n.a.")</f>
        <v>80.475929549902148</v>
      </c>
      <c r="L54" s="761">
        <v>50</v>
      </c>
      <c r="M54" s="760" t="s">
        <v>682</v>
      </c>
      <c r="N54" s="760"/>
      <c r="O54" s="760"/>
      <c r="P54" s="757"/>
      <c r="Q54" s="757">
        <v>43252</v>
      </c>
      <c r="R54" s="769">
        <f>IF(APA_projects[[#This Row],[Type]]="pipeline",$R$20,IF(APA_projects[[#This Row],[Type]]="power station",25,40))</f>
        <v>70</v>
      </c>
      <c r="S54" s="769">
        <v>25</v>
      </c>
      <c r="T54" s="761">
        <v>20</v>
      </c>
      <c r="U54" s="768">
        <f>(APA_projects[[#This Row],[Commissioning]]+APA_projects[[#This Row],[Useful life]]*365)</f>
        <v>68802</v>
      </c>
      <c r="V54" s="768">
        <f>APA_projects[[#This Row],[Commissioning]]+APA_projects[[#This Row],[Contract life]]*365</f>
        <v>50552</v>
      </c>
      <c r="W54" s="760" t="s">
        <v>786</v>
      </c>
      <c r="X54" s="760"/>
      <c r="Y54" s="757"/>
      <c r="Z54" s="757"/>
      <c r="AA54" s="765">
        <f>IF(APA_projects[[#This Row],[Type]]="pipeline",IFERROR(APA_projects[[#This Row],[Construction cost]]/APA_projects[[#This Row],[Size1]],"n.a."),"n.a.")</f>
        <v>1.6</v>
      </c>
      <c r="AB54" s="765">
        <f>IF(APA_projects[[#This Row],[Type]]="pipeline",INDEX(Assets!$N$8:$BK$8,MATCH(DATE(YEAR(APA_projects[[#This Row],[Commissioning]]),12,1),Assets!$N$4:$BK$4,0)),"n.a.")</f>
        <v>1.0160284699608089</v>
      </c>
      <c r="AC54" s="764">
        <f>IF(APA_projects[[#This Row],[Status]]=1,($B$22-APA_projects[[#This Row],[Commissioning]])/365,"n.a.")</f>
        <v>-0.41643835616438357</v>
      </c>
    </row>
    <row r="55" spans="2:29" x14ac:dyDescent="0.2">
      <c r="B55" s="760" t="s">
        <v>785</v>
      </c>
      <c r="C55" s="760" t="s">
        <v>784</v>
      </c>
      <c r="D55" s="763">
        <v>1</v>
      </c>
      <c r="E55" s="760" t="s">
        <v>783</v>
      </c>
      <c r="F55" s="760">
        <v>0</v>
      </c>
      <c r="G55" s="760" t="s">
        <v>683</v>
      </c>
      <c r="H55" s="761">
        <v>0</v>
      </c>
      <c r="I55" s="761">
        <v>800</v>
      </c>
      <c r="J55" s="761"/>
      <c r="K55" s="764" t="str">
        <f>IF(APA_projects[[#This Row],[Status]]=1,APA_projects[[#This Row],[APA o''ship (%)]]*(APA_projects[[#This Row],[Construction cost]]*(1-APA_projects[[#This Row],[Age]]/APA_projects[[#This Row],[Useful life]])),"n.a.")</f>
        <v>n.a.</v>
      </c>
      <c r="L55" s="761">
        <v>750</v>
      </c>
      <c r="M55" s="760" t="s">
        <v>682</v>
      </c>
      <c r="N55" s="760"/>
      <c r="O55" s="760"/>
      <c r="P55" s="757"/>
      <c r="Q55" s="757"/>
      <c r="R55" s="769">
        <f>IF(APA_projects[[#This Row],[Type]]="pipeline",$R$20,IF(APA_projects[[#This Row],[Type]]="power station",25,40))</f>
        <v>70</v>
      </c>
      <c r="S55" s="769">
        <v>25</v>
      </c>
      <c r="T55" s="761"/>
      <c r="U55" s="768">
        <f>(APA_projects[[#This Row],[Commissioning]]+APA_projects[[#This Row],[Useful life]]*365)</f>
        <v>25550</v>
      </c>
      <c r="V55" s="760"/>
      <c r="W55" s="760" t="s">
        <v>782</v>
      </c>
      <c r="X55" s="760"/>
      <c r="Y55" s="757" t="s">
        <v>781</v>
      </c>
      <c r="Z55" s="757"/>
      <c r="AA55" s="765">
        <f>IF(APA_projects[[#This Row],[Type]]="pipeline",IFERROR(APA_projects[[#This Row],[Construction cost]]/APA_projects[[#This Row],[Size1]],"n.a."),"n.a.")</f>
        <v>1.0666666666666667</v>
      </c>
      <c r="AB55" s="765" t="e">
        <f>IF(APA_projects[[#This Row],[Type]]="pipeline",INDEX(Assets!$N$8:$BK$8,MATCH(DATE(YEAR(APA_projects[[#This Row],[Commissioning]]),12,1),Assets!$N$4:$BK$4,0)),"n.a.")</f>
        <v>#N/A</v>
      </c>
      <c r="AC55" s="764" t="str">
        <f>IF(APA_projects[[#This Row],[Status]]=1,($B$22-APA_projects[[#This Row],[Commissioning]])/365,"n.a.")</f>
        <v>n.a.</v>
      </c>
    </row>
    <row r="56" spans="2:29" x14ac:dyDescent="0.2">
      <c r="B56" s="760" t="s">
        <v>780</v>
      </c>
      <c r="C56" s="760" t="s">
        <v>217</v>
      </c>
      <c r="D56" s="763">
        <v>0.5</v>
      </c>
      <c r="E56" s="760" t="s">
        <v>773</v>
      </c>
      <c r="F56" s="760">
        <v>1</v>
      </c>
      <c r="G56" s="760" t="s">
        <v>683</v>
      </c>
      <c r="H56" s="761">
        <v>0</v>
      </c>
      <c r="I56" s="771">
        <f>APA_projects[[#This Row],[Size1]]*APA_projects[[#This Row],[Construction cost/km (estimated)]]</f>
        <v>346.53118870659239</v>
      </c>
      <c r="J56" s="761">
        <f>46.3/0.167</f>
        <v>277.24550898203591</v>
      </c>
      <c r="K56" s="764">
        <f>IF(APA_projects[[#This Row],[Status]]=1,APA_projects[[#This Row],[APA o''ship (%)]]*(APA_projects[[#This Row],[Construction cost]]*(1-APA_projects[[#This Row],[Age]]/APA_projects[[#This Row],[Useful life]])),"n.a.")</f>
        <v>138.59213118584401</v>
      </c>
      <c r="L56" s="761">
        <v>680</v>
      </c>
      <c r="M56" s="760" t="s">
        <v>682</v>
      </c>
      <c r="N56" s="767">
        <v>314</v>
      </c>
      <c r="O56" s="767" t="s">
        <v>698</v>
      </c>
      <c r="P56" s="757">
        <v>40494</v>
      </c>
      <c r="Q56" s="757">
        <v>37987</v>
      </c>
      <c r="R56" s="769">
        <f>IF(APA_projects[[#This Row],[Type]]="pipeline",$R$20,IF(APA_projects[[#This Row],[Type]]="power station",25,40))</f>
        <v>70</v>
      </c>
      <c r="S56" s="769">
        <v>25</v>
      </c>
      <c r="T56" s="769">
        <v>20</v>
      </c>
      <c r="U56" s="768">
        <f>(APA_projects[[#This Row],[Commissioning]]+APA_projects[[#This Row],[Useful life]]*365)</f>
        <v>63537</v>
      </c>
      <c r="V56" s="768">
        <f>APA_projects[[#This Row],[Commissioning]]+APA_projects[[#This Row],[Contract life]]*365</f>
        <v>45287</v>
      </c>
      <c r="W56" s="760" t="s">
        <v>779</v>
      </c>
      <c r="X56" s="760"/>
      <c r="Y56" s="757"/>
      <c r="Z56" s="757"/>
      <c r="AA56" s="765"/>
      <c r="AB56" s="765">
        <f>IF(APA_projects[[#This Row],[Type]]="pipeline",INDEX(Assets!$N$8:$BK$8,MATCH(DATE(YEAR(APA_projects[[#This Row],[Commissioning]]),12,1),Assets!$N$4:$BK$4,0)),"n.a.")</f>
        <v>0.50960468927440061</v>
      </c>
      <c r="AC56" s="764">
        <f>IF(APA_projects[[#This Row],[Status]]=1,($B$22-APA_projects[[#This Row],[Commissioning]])/365,"n.a.")</f>
        <v>14.008219178082191</v>
      </c>
    </row>
    <row r="57" spans="2:29" x14ac:dyDescent="0.2">
      <c r="B57" s="760" t="s">
        <v>778</v>
      </c>
      <c r="C57" s="760" t="s">
        <v>777</v>
      </c>
      <c r="D57" s="763">
        <v>0.19900000000000001</v>
      </c>
      <c r="E57" s="760" t="s">
        <v>773</v>
      </c>
      <c r="F57" s="760">
        <v>1</v>
      </c>
      <c r="G57" s="760" t="s">
        <v>710</v>
      </c>
      <c r="H57" s="761">
        <v>0</v>
      </c>
      <c r="I57" s="761">
        <v>334</v>
      </c>
      <c r="J57" s="761"/>
      <c r="K57" s="764">
        <f>IF(APA_projects[[#This Row],[Status]]=1,APA_projects[[#This Row],[APA o''ship (%)]]*(APA_projects[[#This Row],[Construction cost]]*(1-APA_projects[[#This Row],[Age]]/APA_projects[[#This Row],[Useful life]])),"n.a.")</f>
        <v>47.622433753424659</v>
      </c>
      <c r="L57" s="761">
        <v>132.30000000000001</v>
      </c>
      <c r="M57" s="760" t="s">
        <v>713</v>
      </c>
      <c r="N57" s="760"/>
      <c r="O57" s="760"/>
      <c r="P57" s="757">
        <v>40087</v>
      </c>
      <c r="Q57" s="757">
        <v>40513</v>
      </c>
      <c r="R57" s="769">
        <f>IF(APA_projects[[#This Row],[Type]]="pipeline",$R$20,IF(APA_projects[[#This Row],[Type]]="power station",25,40))</f>
        <v>25</v>
      </c>
      <c r="S57" s="769">
        <v>25</v>
      </c>
      <c r="T57" s="761">
        <f>(APA_projects[[#This Row],[Contract expiry]]-APA_projects[[#This Row],[Commissioning]])/365</f>
        <v>25.432876712328767</v>
      </c>
      <c r="U57" s="768">
        <f>(APA_projects[[#This Row],[Commissioning]]+APA_projects[[#This Row],[Useful life]]*365)</f>
        <v>49638</v>
      </c>
      <c r="V57" s="757">
        <v>49796</v>
      </c>
      <c r="W57" s="767" t="s">
        <v>776</v>
      </c>
      <c r="X57" s="760"/>
      <c r="Y57" s="757"/>
      <c r="Z57" s="757"/>
      <c r="AA57" s="765" t="str">
        <f>IF(APA_projects[[#This Row],[Type]]="pipeline",IFERROR(APA_projects[[#This Row],[Construction cost]]/APA_projects[[#This Row],[Size1]],"n.a."),"n.a.")</f>
        <v>n.a.</v>
      </c>
      <c r="AB57" s="765" t="str">
        <f>IF(APA_projects[[#This Row],[Type]]="pipeline",INDEX(Assets!$N$8:$BK$8,MATCH(DATE(YEAR(APA_projects[[#This Row],[Commissioning]]),12,1),Assets!$N$4:$BK$4,0)),"n.a.")</f>
        <v>n.a.</v>
      </c>
      <c r="AC57" s="764">
        <f>IF(APA_projects[[#This Row],[Status]]=1,($B$22-APA_projects[[#This Row],[Commissioning]])/365,"n.a.")</f>
        <v>7.087671232876712</v>
      </c>
    </row>
    <row r="58" spans="2:29" x14ac:dyDescent="0.2">
      <c r="B58" s="760" t="s">
        <v>775</v>
      </c>
      <c r="C58" s="760" t="s">
        <v>774</v>
      </c>
      <c r="D58" s="763">
        <v>1</v>
      </c>
      <c r="E58" s="760" t="s">
        <v>773</v>
      </c>
      <c r="F58" s="760">
        <v>1</v>
      </c>
      <c r="G58" s="760" t="s">
        <v>683</v>
      </c>
      <c r="H58" s="761">
        <v>0</v>
      </c>
      <c r="I58" s="778">
        <v>16</v>
      </c>
      <c r="J58" s="761"/>
      <c r="K58" s="764">
        <f>IF(APA_projects[[#This Row],[Status]]=1,APA_projects[[#This Row],[APA o''ship (%)]]*(APA_projects[[#This Row],[Construction cost]]*(1-APA_projects[[#This Row],[Age]]/APA_projects[[#This Row],[Useful life]])),"n.a.")</f>
        <v>13.121878669275929</v>
      </c>
      <c r="L58" s="761">
        <v>45</v>
      </c>
      <c r="M58" s="760" t="s">
        <v>682</v>
      </c>
      <c r="N58" s="760"/>
      <c r="O58" s="760"/>
      <c r="P58" s="757">
        <v>39264</v>
      </c>
      <c r="Q58" s="757">
        <v>38504</v>
      </c>
      <c r="R58" s="769">
        <f>IF(APA_projects[[#This Row],[Type]]="pipeline",$R$20,IF(APA_projects[[#This Row],[Type]]="power station",25,40))</f>
        <v>70</v>
      </c>
      <c r="S58" s="769">
        <v>25</v>
      </c>
      <c r="T58" s="769">
        <v>20</v>
      </c>
      <c r="U58" s="768">
        <f>(APA_projects[[#This Row],[Commissioning]]+APA_projects[[#This Row],[Useful life]]*365)</f>
        <v>64054</v>
      </c>
      <c r="V58" s="768">
        <f>APA_projects[[#This Row],[Commissioning]]+APA_projects[[#This Row],[Contract life]]*365</f>
        <v>45804</v>
      </c>
      <c r="W58" s="767" t="s">
        <v>681</v>
      </c>
      <c r="X58" s="760"/>
      <c r="Y58" s="757" t="s">
        <v>772</v>
      </c>
      <c r="Z58" s="757" t="s">
        <v>771</v>
      </c>
      <c r="AA58" s="765">
        <f>IF(APA_projects[[#This Row],[Type]]="pipeline",IFERROR(APA_projects[[#This Row],[Construction cost]]/APA_projects[[#This Row],[Size1]],"n.a."),"n.a.")</f>
        <v>0.35555555555555557</v>
      </c>
      <c r="AB58" s="765">
        <f>IF(APA_projects[[#This Row],[Type]]="pipeline",INDEX(Assets!$N$8:$BK$8,MATCH(DATE(YEAR(APA_projects[[#This Row],[Commissioning]]),12,1),Assets!$N$4:$BK$4,0)),"n.a.")</f>
        <v>0.53643777282041472</v>
      </c>
      <c r="AC58" s="764">
        <f>IF(APA_projects[[#This Row],[Status]]=1,($B$22-APA_projects[[#This Row],[Commissioning]])/365,"n.a.")</f>
        <v>12.591780821917808</v>
      </c>
    </row>
    <row r="59" spans="2:29" x14ac:dyDescent="0.2">
      <c r="B59" s="760" t="s">
        <v>770</v>
      </c>
      <c r="C59" s="760" t="s">
        <v>770</v>
      </c>
      <c r="D59" s="763">
        <v>0.19900000000000001</v>
      </c>
      <c r="E59" s="760" t="s">
        <v>678</v>
      </c>
      <c r="F59" s="760">
        <v>1</v>
      </c>
      <c r="G59" s="760" t="s">
        <v>769</v>
      </c>
      <c r="H59" s="761">
        <v>2</v>
      </c>
      <c r="I59" s="772">
        <v>200</v>
      </c>
      <c r="J59" s="761">
        <v>153</v>
      </c>
      <c r="K59" s="764">
        <f>IF(APA_projects[[#This Row],[Status]]=1,APA_projects[[#This Row],[APA o''ship (%)]]*(APA_projects[[#This Row],[Construction cost]]*(1-APA_projects[[#This Row],[Age]]/APA_projects[[#This Row],[Useful life]])),"n.a.")</f>
        <v>28.266178082191782</v>
      </c>
      <c r="L59" s="761">
        <v>176</v>
      </c>
      <c r="M59" s="760" t="s">
        <v>682</v>
      </c>
      <c r="N59" s="760">
        <v>220</v>
      </c>
      <c r="O59" s="760" t="s">
        <v>713</v>
      </c>
      <c r="P59" s="757">
        <v>38806</v>
      </c>
      <c r="Q59" s="757">
        <v>38869</v>
      </c>
      <c r="R59" s="769">
        <f>IF(APA_projects[[#This Row],[Type]]="pipeline",$R$20,IF(APA_projects[[#This Row],[Type]]="power station",25,40))</f>
        <v>40</v>
      </c>
      <c r="S59" s="769">
        <v>25</v>
      </c>
      <c r="T59" s="761"/>
      <c r="U59" s="768">
        <f>(APA_projects[[#This Row],[Commissioning]]+APA_projects[[#This Row],[Useful life]]*365)</f>
        <v>53469</v>
      </c>
      <c r="V59" s="760"/>
      <c r="W59" s="760"/>
      <c r="X59" s="760"/>
      <c r="Y59" s="757" t="s">
        <v>768</v>
      </c>
      <c r="Z59" s="757" t="s">
        <v>767</v>
      </c>
      <c r="AA59" s="765" t="str">
        <f>IF(APA_projects[[#This Row],[Type]]="pipeline",IFERROR(APA_projects[[#This Row],[Construction cost]]/APA_projects[[#This Row],[Size1]],"n.a."),"n.a.")</f>
        <v>n.a.</v>
      </c>
      <c r="AB59" s="765" t="str">
        <f>IF(APA_projects[[#This Row],[Type]]="pipeline",INDEX(Assets!$N$8:$BK$8,MATCH(DATE(YEAR(APA_projects[[#This Row],[Commissioning]]),12,1),Assets!$N$4:$BK$4,0)),"n.a.")</f>
        <v>n.a.</v>
      </c>
      <c r="AC59" s="764">
        <f>IF(APA_projects[[#This Row],[Status]]=1,($B$22-APA_projects[[#This Row],[Commissioning]])/365,"n.a.")</f>
        <v>11.591780821917808</v>
      </c>
    </row>
    <row r="60" spans="2:29" x14ac:dyDescent="0.2">
      <c r="B60" s="760" t="s">
        <v>355</v>
      </c>
      <c r="C60" s="760" t="s">
        <v>758</v>
      </c>
      <c r="D60" s="763">
        <v>1</v>
      </c>
      <c r="E60" s="760" t="s">
        <v>678</v>
      </c>
      <c r="F60" s="760">
        <v>1</v>
      </c>
      <c r="G60" s="760" t="s">
        <v>683</v>
      </c>
      <c r="H60" s="761">
        <v>2</v>
      </c>
      <c r="I60" s="771">
        <f>APA_projects[[#This Row],[Size1]]*APA_projects[[#This Row],[Construction cost/km (estimated)]]</f>
        <v>51.107305936073054</v>
      </c>
      <c r="J60" s="761"/>
      <c r="K60" s="764">
        <f>IF(APA_projects[[#This Row],[Status]]=1,APA_projects[[#This Row],[APA o''ship (%)]]*(APA_projects[[#This Row],[Construction cost]]*(1-APA_projects[[#This Row],[Age]]/APA_projects[[#This Row],[Useful life]])),"n.a.")</f>
        <v>15.612231813348345</v>
      </c>
      <c r="L60" s="761">
        <v>2035</v>
      </c>
      <c r="M60" s="760" t="s">
        <v>682</v>
      </c>
      <c r="N60" s="767">
        <v>1030</v>
      </c>
      <c r="O60" s="767" t="s">
        <v>698</v>
      </c>
      <c r="P60" s="757">
        <v>39052</v>
      </c>
      <c r="Q60" s="770">
        <v>25355</v>
      </c>
      <c r="R60" s="769">
        <f>IF(APA_projects[[#This Row],[Type]]="pipeline",$R$20,IF(APA_projects[[#This Row],[Type]]="power station",25,40))</f>
        <v>70</v>
      </c>
      <c r="S60" s="769">
        <v>25</v>
      </c>
      <c r="T60" s="761"/>
      <c r="U60" s="768">
        <f>(APA_projects[[#This Row],[Commissioning]]+APA_projects[[#This Row],[Useful life]]*365)</f>
        <v>50905</v>
      </c>
      <c r="V60" s="760"/>
      <c r="W60" s="760"/>
      <c r="X60" s="760"/>
      <c r="Y60" s="757" t="s">
        <v>766</v>
      </c>
      <c r="Z60" s="757"/>
      <c r="AA60" s="765"/>
      <c r="AB60" s="765">
        <f>IF(APA_projects[[#This Row],[Type]]="pipeline",INDEX(Assets!$N$8:$BK$8,MATCH(DATE(YEAR(APA_projects[[#This Row],[Commissioning]]),12,1),Assets!$N$4:$BK$4,0)),"n.a.")</f>
        <v>2.5114155251141551E-2</v>
      </c>
      <c r="AC60" s="764">
        <f>IF(APA_projects[[#This Row],[Status]]=1,($B$22-APA_projects[[#This Row],[Commissioning]])/365,"n.a.")</f>
        <v>48.61643835616438</v>
      </c>
    </row>
    <row r="61" spans="2:29" x14ac:dyDescent="0.2">
      <c r="B61" s="760" t="s">
        <v>765</v>
      </c>
      <c r="C61" s="760" t="s">
        <v>758</v>
      </c>
      <c r="D61" s="763">
        <v>1</v>
      </c>
      <c r="E61" s="760" t="s">
        <v>678</v>
      </c>
      <c r="F61" s="760">
        <v>1</v>
      </c>
      <c r="G61" s="760" t="s">
        <v>683</v>
      </c>
      <c r="H61" s="761">
        <v>2</v>
      </c>
      <c r="I61" s="761">
        <v>25</v>
      </c>
      <c r="J61" s="761"/>
      <c r="K61" s="764">
        <f>IF(APA_projects[[#This Row],[Status]]=1,APA_projects[[#This Row],[APA o''ship (%)]]*(APA_projects[[#This Row],[Construction cost]]*(1-APA_projects[[#This Row],[Age]]/APA_projects[[#This Row],[Useful life]])),"n.a.")</f>
        <v>23.898238747553815</v>
      </c>
      <c r="L61" s="761" t="s">
        <v>741</v>
      </c>
      <c r="M61" s="760"/>
      <c r="N61" s="760"/>
      <c r="O61" s="760"/>
      <c r="P61" s="757">
        <v>41609</v>
      </c>
      <c r="Q61" s="774">
        <f>APA_projects[[#This Row],[Acquisition/announcement date]]+365</f>
        <v>41974</v>
      </c>
      <c r="R61" s="769">
        <f>IF(APA_projects[[#This Row],[Type]]="pipeline",$R$20,IF(APA_projects[[#This Row],[Type]]="power station",25,40))</f>
        <v>70</v>
      </c>
      <c r="S61" s="769">
        <v>25</v>
      </c>
      <c r="T61" s="761"/>
      <c r="U61" s="768">
        <f>(APA_projects[[#This Row],[Commissioning]]+APA_projects[[#This Row],[Useful life]]*365)</f>
        <v>67524</v>
      </c>
      <c r="V61" s="760"/>
      <c r="W61" s="760"/>
      <c r="X61" s="760"/>
      <c r="Y61" s="757" t="s">
        <v>764</v>
      </c>
      <c r="Z61" s="757"/>
      <c r="AA61" s="765" t="str">
        <f>IF(APA_projects[[#This Row],[Type]]="pipeline",IFERROR(APA_projects[[#This Row],[Construction cost]]/APA_projects[[#This Row],[Size1]],"n.a."),"n.a.")</f>
        <v>n.a.</v>
      </c>
      <c r="AB61" s="765">
        <f>IF(APA_projects[[#This Row],[Type]]="pipeline",INDEX(Assets!$N$8:$BK$8,MATCH(DATE(YEAR(APA_projects[[#This Row],[Commissioning]]),12,1),Assets!$N$4:$BK$4,0)),"n.a.")</f>
        <v>0.85643463025082656</v>
      </c>
      <c r="AC61" s="764">
        <f>IF(APA_projects[[#This Row],[Status]]=1,($B$22-APA_projects[[#This Row],[Commissioning]])/365,"n.a.")</f>
        <v>3.0849315068493151</v>
      </c>
    </row>
    <row r="62" spans="2:29" x14ac:dyDescent="0.2">
      <c r="B62" s="760" t="s">
        <v>763</v>
      </c>
      <c r="C62" s="760" t="s">
        <v>758</v>
      </c>
      <c r="D62" s="763">
        <v>1</v>
      </c>
      <c r="E62" s="760" t="s">
        <v>678</v>
      </c>
      <c r="F62" s="760">
        <v>1</v>
      </c>
      <c r="G62" s="760" t="s">
        <v>683</v>
      </c>
      <c r="H62" s="761">
        <v>2</v>
      </c>
      <c r="I62" s="773">
        <v>65</v>
      </c>
      <c r="J62" s="761"/>
      <c r="K62" s="764">
        <f>IF(APA_projects[[#This Row],[Status]]=1,APA_projects[[#This Row],[APA o''ship (%)]]*(APA_projects[[#This Row],[Construction cost]]*(1-APA_projects[[#This Row],[Age]]/APA_projects[[#This Row],[Useful life]])),"n.a.")</f>
        <v>62.519569471624266</v>
      </c>
      <c r="L62" s="761">
        <f>28+17.3+117.4</f>
        <v>162.69999999999999</v>
      </c>
      <c r="M62" s="760" t="s">
        <v>682</v>
      </c>
      <c r="N62" s="760" t="s">
        <v>762</v>
      </c>
      <c r="O62" s="760"/>
      <c r="P62" s="757"/>
      <c r="Q62" s="757">
        <v>42125</v>
      </c>
      <c r="R62" s="769">
        <f>IF(APA_projects[[#This Row],[Type]]="pipeline",$R$20,IF(APA_projects[[#This Row],[Type]]="power station",25,40))</f>
        <v>70</v>
      </c>
      <c r="S62" s="769">
        <v>25</v>
      </c>
      <c r="T62" s="761">
        <v>6</v>
      </c>
      <c r="U62" s="768">
        <f>(APA_projects[[#This Row],[Commissioning]]+APA_projects[[#This Row],[Useful life]]*365)</f>
        <v>67675</v>
      </c>
      <c r="V62" s="768">
        <f>APA_projects[[#This Row],[Commissioning]]+APA_projects[[#This Row],[Contract life]]*365</f>
        <v>44315</v>
      </c>
      <c r="W62" s="760" t="s">
        <v>681</v>
      </c>
      <c r="X62" s="760"/>
      <c r="Y62" s="757" t="s">
        <v>761</v>
      </c>
      <c r="Z62" s="757" t="s">
        <v>760</v>
      </c>
      <c r="AA62" s="765"/>
      <c r="AB62" s="765">
        <f>IF(APA_projects[[#This Row],[Type]]="pipeline",INDEX(Assets!$N$8:$BK$8,MATCH(DATE(YEAR(APA_projects[[#This Row],[Commissioning]]),12,1),Assets!$N$4:$BK$4,0)),"n.a.")</f>
        <v>0.8910860012259072</v>
      </c>
      <c r="AC62" s="764">
        <f>IF(APA_projects[[#This Row],[Status]]=1,($B$22-APA_projects[[#This Row],[Commissioning]])/365,"n.a.")</f>
        <v>2.6712328767123288</v>
      </c>
    </row>
    <row r="63" spans="2:29" x14ac:dyDescent="0.2">
      <c r="B63" s="760" t="s">
        <v>759</v>
      </c>
      <c r="C63" s="760" t="s">
        <v>758</v>
      </c>
      <c r="D63" s="763">
        <v>1</v>
      </c>
      <c r="E63" s="760" t="s">
        <v>678</v>
      </c>
      <c r="F63" s="760">
        <v>1</v>
      </c>
      <c r="G63" s="760" t="s">
        <v>683</v>
      </c>
      <c r="H63" s="761">
        <v>2</v>
      </c>
      <c r="I63" s="761">
        <v>85</v>
      </c>
      <c r="J63" s="761"/>
      <c r="K63" s="764">
        <f>IF(APA_projects[[#This Row],[Status]]=1,APA_projects[[#This Row],[APA o''ship (%)]]*(APA_projects[[#This Row],[Construction cost]]*(1-APA_projects[[#This Row],[Age]]/APA_projects[[#This Row],[Useful life]])),"n.a.")</f>
        <v>83.077103718199609</v>
      </c>
      <c r="L63" s="761" t="s">
        <v>757</v>
      </c>
      <c r="M63" s="760" t="s">
        <v>698</v>
      </c>
      <c r="N63" s="760"/>
      <c r="O63" s="760"/>
      <c r="P63" s="757"/>
      <c r="Q63" s="757">
        <v>42522</v>
      </c>
      <c r="R63" s="769">
        <f>IF(APA_projects[[#This Row],[Type]]="pipeline",$R$20,IF(APA_projects[[#This Row],[Type]]="power station",25,40))</f>
        <v>70</v>
      </c>
      <c r="S63" s="769">
        <v>25</v>
      </c>
      <c r="T63" s="761"/>
      <c r="U63" s="768">
        <f>(APA_projects[[#This Row],[Commissioning]]+APA_projects[[#This Row],[Useful life]]*365)</f>
        <v>68072</v>
      </c>
      <c r="V63" s="760"/>
      <c r="W63" s="760"/>
      <c r="X63" s="760"/>
      <c r="Y63" s="757" t="s">
        <v>756</v>
      </c>
      <c r="Z63" s="757"/>
      <c r="AA63" s="765">
        <f>IF(APA_projects[[#This Row],[Type]]="pipeline",IFERROR(APA_projects[[#This Row],[Construction cost]]/APA_projects[[#This Row],[Size1]],"n.a."),"n.a.")</f>
        <v>2.8333333333333335</v>
      </c>
      <c r="AB63" s="765">
        <f>IF(APA_projects[[#This Row],[Type]]="pipeline",INDEX(Assets!$N$8:$BK$8,MATCH(DATE(YEAR(APA_projects[[#This Row],[Commissioning]]),12,1),Assets!$N$4:$BK$4,0)),"n.a.")</f>
        <v>0.92498376341500088</v>
      </c>
      <c r="AC63" s="764">
        <f>IF(APA_projects[[#This Row],[Status]]=1,($B$22-APA_projects[[#This Row],[Commissioning]])/365,"n.a.")</f>
        <v>1.5835616438356164</v>
      </c>
    </row>
    <row r="64" spans="2:29" x14ac:dyDescent="0.2">
      <c r="B64" s="760" t="s">
        <v>755</v>
      </c>
      <c r="C64" s="760" t="s">
        <v>754</v>
      </c>
      <c r="D64" s="763">
        <v>1</v>
      </c>
      <c r="E64" s="760" t="s">
        <v>678</v>
      </c>
      <c r="F64" s="760">
        <v>1</v>
      </c>
      <c r="G64" s="760" t="s">
        <v>683</v>
      </c>
      <c r="H64" s="761">
        <v>2</v>
      </c>
      <c r="I64" s="761">
        <v>43</v>
      </c>
      <c r="J64" s="761"/>
      <c r="K64" s="764">
        <f>IF(APA_projects[[#This Row],[Status]]=1,APA_projects[[#This Row],[APA o''ship (%)]]*(APA_projects[[#This Row],[Construction cost]]*(1-APA_projects[[#This Row],[Age]]/APA_projects[[#This Row],[Useful life]])),"n.a.")</f>
        <v>36.954755381604699</v>
      </c>
      <c r="L64" s="761">
        <v>58</v>
      </c>
      <c r="M64" s="760" t="s">
        <v>682</v>
      </c>
      <c r="N64" s="767">
        <v>500</v>
      </c>
      <c r="O64" s="767" t="s">
        <v>688</v>
      </c>
      <c r="P64" s="757"/>
      <c r="Q64" s="757">
        <v>39508</v>
      </c>
      <c r="R64" s="769">
        <f>IF(APA_projects[[#This Row],[Type]]="pipeline",$R$20,IF(APA_projects[[#This Row],[Type]]="power station",25,40))</f>
        <v>70</v>
      </c>
      <c r="S64" s="769">
        <v>25</v>
      </c>
      <c r="T64" s="761"/>
      <c r="U64" s="768">
        <f>(APA_projects[[#This Row],[Commissioning]]+APA_projects[[#This Row],[Useful life]]*365)</f>
        <v>65058</v>
      </c>
      <c r="V64" s="760"/>
      <c r="W64" s="760"/>
      <c r="X64" s="760"/>
      <c r="Y64" s="757" t="s">
        <v>753</v>
      </c>
      <c r="Z64" s="757"/>
      <c r="AA64" s="765">
        <f>IF(APA_projects[[#This Row],[Type]]="pipeline",IFERROR(APA_projects[[#This Row],[Construction cost]]/APA_projects[[#This Row],[Size1]],"n.a."),"n.a.")</f>
        <v>0.74137931034482762</v>
      </c>
      <c r="AB64" s="765">
        <f>IF(APA_projects[[#This Row],[Type]]="pipeline",INDEX(Assets!$N$8:$BK$8,MATCH(DATE(YEAR(APA_projects[[#This Row],[Commissioning]]),12,1),Assets!$N$4:$BK$4,0)),"n.a.")</f>
        <v>0.63873922842778252</v>
      </c>
      <c r="AC64" s="764">
        <f>IF(APA_projects[[#This Row],[Status]]=1,($B$22-APA_projects[[#This Row],[Commissioning]])/365,"n.a.")</f>
        <v>9.8410958904109584</v>
      </c>
    </row>
    <row r="65" spans="2:29" x14ac:dyDescent="0.2">
      <c r="B65" s="760" t="s">
        <v>752</v>
      </c>
      <c r="C65" s="760" t="s">
        <v>751</v>
      </c>
      <c r="D65" s="763">
        <v>1</v>
      </c>
      <c r="E65" s="760" t="s">
        <v>678</v>
      </c>
      <c r="F65" s="760">
        <v>1</v>
      </c>
      <c r="G65" s="760" t="s">
        <v>736</v>
      </c>
      <c r="H65" s="761">
        <v>0</v>
      </c>
      <c r="I65" s="778">
        <v>65</v>
      </c>
      <c r="J65" s="761"/>
      <c r="K65" s="764">
        <f>IF(APA_projects[[#This Row],[Status]]=1,APA_projects[[#This Row],[APA o''ship (%)]]*(APA_projects[[#This Row],[Construction cost]]*(1-APA_projects[[#This Row],[Age]]/APA_projects[[#This Row],[Useful life]])),"n.a.")</f>
        <v>55.922260273972604</v>
      </c>
      <c r="L65" s="761">
        <v>12</v>
      </c>
      <c r="M65" s="760" t="s">
        <v>750</v>
      </c>
      <c r="N65" s="760"/>
      <c r="O65" s="760"/>
      <c r="P65" s="770">
        <v>40299</v>
      </c>
      <c r="Q65" s="770">
        <v>41061</v>
      </c>
      <c r="R65" s="769">
        <f>IF(APA_projects[[#This Row],[Type]]="pipeline",$R$20,IF(APA_projects[[#This Row],[Type]]="power station",25,40))</f>
        <v>40</v>
      </c>
      <c r="S65" s="769">
        <v>25</v>
      </c>
      <c r="T65" s="769">
        <v>20</v>
      </c>
      <c r="U65" s="768">
        <f>(APA_projects[[#This Row],[Commissioning]]+APA_projects[[#This Row],[Useful life]]*365)</f>
        <v>55661</v>
      </c>
      <c r="V65" s="768">
        <f>APA_projects[[#This Row],[Commissioning]]+APA_projects[[#This Row],[Contract life]]*365</f>
        <v>48361</v>
      </c>
      <c r="W65" s="767" t="s">
        <v>749</v>
      </c>
      <c r="X65" s="760"/>
      <c r="Y65" s="757" t="s">
        <v>748</v>
      </c>
      <c r="Z65" s="757"/>
      <c r="AA65" s="765" t="str">
        <f>IF(APA_projects[[#This Row],[Type]]="pipeline",IFERROR(APA_projects[[#This Row],[Construction cost]]/APA_projects[[#This Row],[Size1]],"n.a."),"n.a.")</f>
        <v>n.a.</v>
      </c>
      <c r="AB65" s="765" t="str">
        <f>IF(APA_projects[[#This Row],[Type]]="pipeline",INDEX(Assets!$N$8:$BK$8,MATCH(DATE(YEAR(APA_projects[[#This Row],[Commissioning]]),12,1),Assets!$N$4:$BK$4,0)),"n.a.")</f>
        <v>n.a.</v>
      </c>
      <c r="AC65" s="764">
        <f>IF(APA_projects[[#This Row],[Status]]=1,($B$22-APA_projects[[#This Row],[Commissioning]])/365,"n.a.")</f>
        <v>5.5863013698630137</v>
      </c>
    </row>
    <row r="66" spans="2:29" x14ac:dyDescent="0.2">
      <c r="B66" s="760" t="s">
        <v>336</v>
      </c>
      <c r="C66" s="760" t="s">
        <v>742</v>
      </c>
      <c r="D66" s="763">
        <v>0.88200000000000001</v>
      </c>
      <c r="E66" s="760" t="s">
        <v>692</v>
      </c>
      <c r="F66" s="760">
        <v>1</v>
      </c>
      <c r="G66" s="760" t="s">
        <v>683</v>
      </c>
      <c r="H66" s="761">
        <v>2</v>
      </c>
      <c r="I66" s="761">
        <v>400</v>
      </c>
      <c r="J66" s="761"/>
      <c r="K66" s="764">
        <f>IF(APA_projects[[#This Row],[Status]]=1,APA_projects[[#This Row],[APA o''ship (%)]]*(APA_projects[[#This Row],[Construction cost]]*(1-APA_projects[[#This Row],[Age]]/APA_projects[[#This Row],[Useful life]])),"n.a.")</f>
        <v>243.94980821917807</v>
      </c>
      <c r="L66" s="769">
        <f>1380*0.72</f>
        <v>993.59999999999991</v>
      </c>
      <c r="M66" s="760" t="s">
        <v>682</v>
      </c>
      <c r="N66" s="767">
        <v>150</v>
      </c>
      <c r="O66" s="767" t="s">
        <v>698</v>
      </c>
      <c r="P66" s="757">
        <v>38200</v>
      </c>
      <c r="Q66" s="757">
        <v>35217</v>
      </c>
      <c r="R66" s="769">
        <f>IF(APA_projects[[#This Row],[Type]]="pipeline",$R$20,IF(APA_projects[[#This Row],[Type]]="power station",25,40))</f>
        <v>70</v>
      </c>
      <c r="S66" s="769">
        <v>25</v>
      </c>
      <c r="T66" s="761"/>
      <c r="U66" s="768">
        <f>(APA_projects[[#This Row],[Commissioning]]+APA_projects[[#This Row],[Useful life]]*365)</f>
        <v>60767</v>
      </c>
      <c r="V66" s="770">
        <v>45809</v>
      </c>
      <c r="W66" s="767" t="s">
        <v>747</v>
      </c>
      <c r="X66" s="767" t="s">
        <v>746</v>
      </c>
      <c r="Y66" s="757"/>
      <c r="Z66" s="757"/>
      <c r="AA66" s="765">
        <f>IF(APA_projects[[#This Row],[Type]]="pipeline",IFERROR(APA_projects[[#This Row],[Construction cost]]/APA_projects[[#This Row],[Size1]],"n.a."),"n.a.")</f>
        <v>0.40257648953301128</v>
      </c>
      <c r="AB66" s="765">
        <f>IF(APA_projects[[#This Row],[Type]]="pipeline",INDEX(Assets!$N$8:$BK$8,MATCH(DATE(YEAR(APA_projects[[#This Row],[Commissioning]]),12,1),Assets!$N$4:$BK$4,0)),"n.a.")</f>
        <v>0.34526850605844212</v>
      </c>
      <c r="AC66" s="764">
        <f>IF(APA_projects[[#This Row],[Status]]=1,($B$22-APA_projects[[#This Row],[Commissioning]])/365,"n.a.")</f>
        <v>21.597260273972601</v>
      </c>
    </row>
    <row r="67" spans="2:29" x14ac:dyDescent="0.2">
      <c r="B67" s="760" t="s">
        <v>745</v>
      </c>
      <c r="C67" s="760" t="s">
        <v>742</v>
      </c>
      <c r="D67" s="763">
        <v>0.88200000000000001</v>
      </c>
      <c r="E67" s="760" t="s">
        <v>692</v>
      </c>
      <c r="F67" s="760">
        <v>1</v>
      </c>
      <c r="G67" s="760" t="s">
        <v>683</v>
      </c>
      <c r="H67" s="761">
        <v>2</v>
      </c>
      <c r="I67" s="771">
        <f>APA_projects[[#This Row],[Size1]]*APA_projects[[#This Row],[Construction cost/km (estimated)]]</f>
        <v>139.27904160461512</v>
      </c>
      <c r="J67" s="761"/>
      <c r="K67" s="764">
        <f>IF(APA_projects[[#This Row],[Status]]=1,APA_projects[[#This Row],[APA o''ship (%)]]*(APA_projects[[#This Row],[Construction cost]]*(1-APA_projects[[#This Row],[Age]]/APA_projects[[#This Row],[Useful life]])),"n.a.")</f>
        <v>113.91567943150861</v>
      </c>
      <c r="L67" s="769">
        <f>0.13*1380</f>
        <v>179.4</v>
      </c>
      <c r="M67" s="760" t="s">
        <v>682</v>
      </c>
      <c r="N67" s="777">
        <f>0.13*N66</f>
        <v>19.5</v>
      </c>
      <c r="O67" s="767" t="s">
        <v>698</v>
      </c>
      <c r="P67" s="757">
        <v>40878</v>
      </c>
      <c r="Q67" s="776">
        <f>APA_projects[[#This Row],[Acquisition/announcement date]]+365</f>
        <v>41243</v>
      </c>
      <c r="R67" s="769">
        <f>IF(APA_projects[[#This Row],[Type]]="pipeline",$R$20,IF(APA_projects[[#This Row],[Type]]="power station",25,40))</f>
        <v>70</v>
      </c>
      <c r="S67" s="769">
        <v>25</v>
      </c>
      <c r="T67" s="761">
        <v>20</v>
      </c>
      <c r="U67" s="768">
        <f>(APA_projects[[#This Row],[Commissioning]]+APA_projects[[#This Row],[Useful life]]*365)</f>
        <v>66793</v>
      </c>
      <c r="V67" s="768">
        <f>APA_projects[[#This Row],[Commissioning]]+APA_projects[[#This Row],[Contract life]]*365</f>
        <v>48543</v>
      </c>
      <c r="W67" s="767" t="str">
        <f>W66</f>
        <v>Rio, BHP, Glencore</v>
      </c>
      <c r="X67" s="767" t="str">
        <f>X66</f>
        <v>Alinta</v>
      </c>
      <c r="Y67" s="757"/>
      <c r="Z67" s="757"/>
      <c r="AA67" s="765"/>
      <c r="AB67" s="765">
        <f>IF(APA_projects[[#This Row],[Type]]="pipeline",INDEX(Assets!$N$8:$BK$8,MATCH(DATE(YEAR(APA_projects[[#This Row],[Commissioning]]),12,1),Assets!$N$4:$BK$4,0)),"n.a.")</f>
        <v>0.77636032109595943</v>
      </c>
      <c r="AC67" s="764">
        <f>IF(APA_projects[[#This Row],[Status]]=1,($B$22-APA_projects[[#This Row],[Commissioning]])/365,"n.a.")</f>
        <v>5.087671232876712</v>
      </c>
    </row>
    <row r="68" spans="2:29" x14ac:dyDescent="0.2">
      <c r="B68" s="760" t="s">
        <v>744</v>
      </c>
      <c r="C68" s="760" t="s">
        <v>742</v>
      </c>
      <c r="D68" s="763">
        <v>0.88200000000000001</v>
      </c>
      <c r="E68" s="760" t="s">
        <v>692</v>
      </c>
      <c r="F68" s="760">
        <v>1</v>
      </c>
      <c r="G68" s="760" t="s">
        <v>683</v>
      </c>
      <c r="H68" s="761">
        <v>2</v>
      </c>
      <c r="I68" s="771">
        <f>APA_projects[[#This Row],[Size1]]*APA_projects[[#This Row],[Construction cost/km (estimated)]]</f>
        <v>160.7065864668636</v>
      </c>
      <c r="J68" s="761"/>
      <c r="K68" s="764">
        <f>IF(APA_projects[[#This Row],[Status]]=1,APA_projects[[#This Row],[APA o''ship (%)]]*(APA_projects[[#This Row],[Construction cost]]*(1-APA_projects[[#This Row],[Age]]/APA_projects[[#This Row],[Useful life]])),"n.a.")</f>
        <v>131.61314663693804</v>
      </c>
      <c r="L68" s="769">
        <f>0.15*1380</f>
        <v>207</v>
      </c>
      <c r="M68" s="760" t="s">
        <v>682</v>
      </c>
      <c r="N68" s="777">
        <f>0.15*N66</f>
        <v>22.5</v>
      </c>
      <c r="O68" s="767" t="s">
        <v>698</v>
      </c>
      <c r="P68" s="757">
        <v>40909</v>
      </c>
      <c r="Q68" s="776">
        <f>APA_projects[[#This Row],[Acquisition/announcement date]]+365</f>
        <v>41274</v>
      </c>
      <c r="R68" s="769">
        <f>IF(APA_projects[[#This Row],[Type]]="pipeline",$R$20,IF(APA_projects[[#This Row],[Type]]="power station",25,40))</f>
        <v>70</v>
      </c>
      <c r="S68" s="769">
        <v>25</v>
      </c>
      <c r="T68" s="761">
        <v>20</v>
      </c>
      <c r="U68" s="768">
        <f>(APA_projects[[#This Row],[Commissioning]]+APA_projects[[#This Row],[Useful life]]*365)</f>
        <v>66824</v>
      </c>
      <c r="V68" s="768">
        <f>APA_projects[[#This Row],[Commissioning]]+APA_projects[[#This Row],[Contract life]]*365</f>
        <v>48574</v>
      </c>
      <c r="W68" s="767" t="str">
        <f>W66</f>
        <v>Rio, BHP, Glencore</v>
      </c>
      <c r="X68" s="767" t="str">
        <f>X66</f>
        <v>Alinta</v>
      </c>
      <c r="Y68" s="757"/>
      <c r="Z68" s="757"/>
      <c r="AA68" s="765"/>
      <c r="AB68" s="765">
        <f>IF(APA_projects[[#This Row],[Type]]="pipeline",INDEX(Assets!$N$8:$BK$8,MATCH(DATE(YEAR(APA_projects[[#This Row],[Commissioning]]),12,1),Assets!$N$4:$BK$4,0)),"n.a.")</f>
        <v>0.77636032109595943</v>
      </c>
      <c r="AC68" s="764">
        <f>IF(APA_projects[[#This Row],[Status]]=1,($B$22-APA_projects[[#This Row],[Commissioning]])/365,"n.a.")</f>
        <v>5.0027397260273974</v>
      </c>
    </row>
    <row r="69" spans="2:29" x14ac:dyDescent="0.2">
      <c r="B69" s="760" t="s">
        <v>743</v>
      </c>
      <c r="C69" s="760" t="s">
        <v>742</v>
      </c>
      <c r="D69" s="763">
        <v>0.88200000000000001</v>
      </c>
      <c r="E69" s="760" t="s">
        <v>692</v>
      </c>
      <c r="F69" s="760">
        <v>1</v>
      </c>
      <c r="G69" s="760" t="s">
        <v>683</v>
      </c>
      <c r="H69" s="761">
        <v>2</v>
      </c>
      <c r="I69" s="771">
        <f>0.62*99</f>
        <v>61.38</v>
      </c>
      <c r="J69" s="761"/>
      <c r="K69" s="764">
        <f>IF(APA_projects[[#This Row],[Status]]=1,APA_projects[[#This Row],[APA o''ship (%)]]*(APA_projects[[#This Row],[Construction cost]]*(1-APA_projects[[#This Row],[Age]]/APA_projects[[#This Row],[Useful life]])),"n.a.")</f>
        <v>52.071260547945208</v>
      </c>
      <c r="L69" s="761" t="s">
        <v>741</v>
      </c>
      <c r="M69" s="760"/>
      <c r="N69" s="760"/>
      <c r="O69" s="760"/>
      <c r="P69" s="757">
        <v>41760</v>
      </c>
      <c r="Q69" s="776">
        <f>APA_projects[[#This Row],[Acquisition/announcement date]]+365</f>
        <v>42125</v>
      </c>
      <c r="R69" s="769">
        <f>IF(APA_projects[[#This Row],[Type]]="pipeline",$R$20,IF(APA_projects[[#This Row],[Type]]="power station",25,40))</f>
        <v>70</v>
      </c>
      <c r="S69" s="769">
        <v>25</v>
      </c>
      <c r="T69" s="769">
        <v>10</v>
      </c>
      <c r="U69" s="768">
        <f>(APA_projects[[#This Row],[Commissioning]]+APA_projects[[#This Row],[Useful life]]*365)</f>
        <v>67675</v>
      </c>
      <c r="V69" s="768">
        <f>APA_projects[[#This Row],[Commissioning]]+APA_projects[[#This Row],[Contract life]]*365</f>
        <v>45775</v>
      </c>
      <c r="W69" s="767" t="str">
        <f>W66</f>
        <v>Rio, BHP, Glencore</v>
      </c>
      <c r="X69" s="767" t="str">
        <f>X66</f>
        <v>Alinta</v>
      </c>
      <c r="Y69" s="757"/>
      <c r="Z69" s="757"/>
      <c r="AA69" s="765"/>
      <c r="AB69" s="765">
        <f>IF(APA_projects[[#This Row],[Type]]="pipeline",INDEX(Assets!$N$8:$BK$8,MATCH(DATE(YEAR(APA_projects[[#This Row],[Commissioning]]),12,1),Assets!$N$4:$BK$4,0)),"n.a.")</f>
        <v>0.8910860012259072</v>
      </c>
      <c r="AC69" s="764">
        <f>IF(APA_projects[[#This Row],[Status]]=1,($B$22-APA_projects[[#This Row],[Commissioning]])/365,"n.a.")</f>
        <v>2.6712328767123288</v>
      </c>
    </row>
    <row r="70" spans="2:29" x14ac:dyDescent="0.2">
      <c r="B70" s="760" t="s">
        <v>740</v>
      </c>
      <c r="C70" s="760" t="s">
        <v>739</v>
      </c>
      <c r="D70" s="763">
        <v>1</v>
      </c>
      <c r="E70" s="760" t="s">
        <v>692</v>
      </c>
      <c r="F70" s="760">
        <v>1</v>
      </c>
      <c r="G70" s="760" t="s">
        <v>683</v>
      </c>
      <c r="H70" s="761">
        <v>0</v>
      </c>
      <c r="I70" s="771">
        <f>APA_projects[[#This Row],[Size1]]*APA_projects[[#This Row],[Construction cost/km (estimated)]]</f>
        <v>12.056609117924186</v>
      </c>
      <c r="J70" s="761">
        <v>206</v>
      </c>
      <c r="K70" s="764">
        <f>IF(APA_projects[[#This Row],[Status]]=1,APA_projects[[#This Row],[APA o''ship (%)]]*(APA_projects[[#This Row],[Construction cost]]*(1-APA_projects[[#This Row],[Age]]/APA_projects[[#This Row],[Useful life]])),"n.a.")</f>
        <v>4.0416773814098104</v>
      </c>
      <c r="L70" s="761">
        <v>416</v>
      </c>
      <c r="M70" s="760" t="s">
        <v>682</v>
      </c>
      <c r="N70" s="767">
        <v>70</v>
      </c>
      <c r="O70" s="767" t="s">
        <v>698</v>
      </c>
      <c r="P70" s="757">
        <v>38217</v>
      </c>
      <c r="Q70" s="757">
        <v>26115</v>
      </c>
      <c r="R70" s="769">
        <f>IF(APA_projects[[#This Row],[Type]]="pipeline",$R$20,IF(APA_projects[[#This Row],[Type]]="power station",25,40))</f>
        <v>70</v>
      </c>
      <c r="S70" s="769">
        <v>25</v>
      </c>
      <c r="T70" s="775">
        <f>(APA_projects[[#This Row],[Contract expiry]]-APA_projects[[#This Row],[Acquisition/announcement date]])/365</f>
        <v>19.8</v>
      </c>
      <c r="U70" s="768">
        <f>(APA_projects[[#This Row],[Commissioning]]+APA_projects[[#This Row],[Useful life]]*365)</f>
        <v>51665</v>
      </c>
      <c r="V70" s="774">
        <v>45444</v>
      </c>
      <c r="W70" s="767" t="s">
        <v>729</v>
      </c>
      <c r="X70" s="760"/>
      <c r="Y70" s="757"/>
      <c r="Z70" s="757"/>
      <c r="AA70" s="765"/>
      <c r="AB70" s="765">
        <f>IF(APA_projects[[#This Row],[Type]]="pipeline",INDEX(Assets!$N$8:$BK$8,MATCH(DATE(YEAR(APA_projects[[#This Row],[Commissioning]]),12,1),Assets!$N$4:$BK$4,0)),"n.a.")</f>
        <v>2.8982233456548524E-2</v>
      </c>
      <c r="AC70" s="764">
        <f>IF(APA_projects[[#This Row],[Status]]=1,($B$22-APA_projects[[#This Row],[Commissioning]])/365,"n.a.")</f>
        <v>46.534246575342465</v>
      </c>
    </row>
    <row r="71" spans="2:29" x14ac:dyDescent="0.2">
      <c r="B71" s="760" t="s">
        <v>335</v>
      </c>
      <c r="C71" s="760" t="s">
        <v>737</v>
      </c>
      <c r="D71" s="763">
        <v>1</v>
      </c>
      <c r="E71" s="760" t="s">
        <v>692</v>
      </c>
      <c r="F71" s="760">
        <v>1</v>
      </c>
      <c r="G71" s="760" t="s">
        <v>736</v>
      </c>
      <c r="H71" s="761">
        <v>0</v>
      </c>
      <c r="I71" s="771">
        <v>50</v>
      </c>
      <c r="J71" s="761"/>
      <c r="K71" s="764">
        <f>IF(APA_projects[[#This Row],[Status]]=1,APA_projects[[#This Row],[APA o''ship (%)]]*(APA_projects[[#This Row],[Construction cost]]*(1-APA_projects[[#This Row],[Age]]/APA_projects[[#This Row],[Useful life]])),"n.a.")</f>
        <v>20.499999999999996</v>
      </c>
      <c r="L71" s="761">
        <v>3</v>
      </c>
      <c r="M71" s="760" t="s">
        <v>735</v>
      </c>
      <c r="N71" s="760"/>
      <c r="O71" s="760"/>
      <c r="P71" s="757"/>
      <c r="Q71" s="757">
        <v>34486</v>
      </c>
      <c r="R71" s="769">
        <f>IF(APA_projects[[#This Row],[Type]]="pipeline",$R$20,IF(APA_projects[[#This Row],[Type]]="power station",25,40))</f>
        <v>40</v>
      </c>
      <c r="S71" s="769">
        <v>25</v>
      </c>
      <c r="T71" s="761">
        <v>20</v>
      </c>
      <c r="U71" s="768">
        <f>(APA_projects[[#This Row],[Commissioning]]+APA_projects[[#This Row],[Useful life]]*365)</f>
        <v>49086</v>
      </c>
      <c r="V71" s="757">
        <v>48731</v>
      </c>
      <c r="W71" s="760" t="s">
        <v>729</v>
      </c>
      <c r="X71" s="760"/>
      <c r="Y71" s="757"/>
      <c r="Z71" s="757"/>
      <c r="AA71" s="765"/>
      <c r="AB71" s="765" t="str">
        <f>IF(APA_projects[[#This Row],[Type]]="pipeline",INDEX(Assets!$N$8:$BK$8,MATCH(DATE(YEAR(APA_projects[[#This Row],[Commissioning]]),12,1),Assets!$N$4:$BK$4,0)),"n.a.")</f>
        <v>n.a.</v>
      </c>
      <c r="AC71" s="764">
        <f>IF(APA_projects[[#This Row],[Status]]=1,($B$22-APA_projects[[#This Row],[Commissioning]])/365,"n.a.")</f>
        <v>23.6</v>
      </c>
    </row>
    <row r="72" spans="2:29" x14ac:dyDescent="0.2">
      <c r="B72" s="760" t="s">
        <v>738</v>
      </c>
      <c r="C72" s="760" t="s">
        <v>737</v>
      </c>
      <c r="D72" s="763">
        <v>1</v>
      </c>
      <c r="E72" s="760" t="s">
        <v>692</v>
      </c>
      <c r="F72" s="760">
        <v>1</v>
      </c>
      <c r="G72" s="760" t="s">
        <v>736</v>
      </c>
      <c r="H72" s="761">
        <v>0</v>
      </c>
      <c r="I72" s="773">
        <v>140</v>
      </c>
      <c r="J72" s="761"/>
      <c r="K72" s="764">
        <f>IF(APA_projects[[#This Row],[Status]]=1,APA_projects[[#This Row],[APA o''ship (%)]]*(APA_projects[[#This Row],[Construction cost]]*(1-APA_projects[[#This Row],[Age]]/APA_projects[[#This Row],[Useful life]])),"n.a.")</f>
        <v>133.57534246575344</v>
      </c>
      <c r="L72" s="761">
        <v>12</v>
      </c>
      <c r="M72" s="760" t="s">
        <v>735</v>
      </c>
      <c r="N72" s="760"/>
      <c r="O72" s="760"/>
      <c r="P72" s="757"/>
      <c r="Q72" s="770">
        <v>42430</v>
      </c>
      <c r="R72" s="769">
        <f>IF(APA_projects[[#This Row],[Type]]="pipeline",$R$20,IF(APA_projects[[#This Row],[Type]]="power station",25,40))</f>
        <v>40</v>
      </c>
      <c r="S72" s="769">
        <v>25</v>
      </c>
      <c r="T72" s="769">
        <v>20</v>
      </c>
      <c r="U72" s="768">
        <f>(APA_projects[[#This Row],[Commissioning]]+APA_projects[[#This Row],[Useful life]]*365)</f>
        <v>57030</v>
      </c>
      <c r="V72" s="768">
        <f>APA_projects[[#This Row],[Commissioning]]+APA_projects[[#This Row],[Contract life]]*365</f>
        <v>49730</v>
      </c>
      <c r="W72" s="760" t="str">
        <f>W71</f>
        <v>Synergy</v>
      </c>
      <c r="X72" s="760"/>
      <c r="Y72" s="757" t="s">
        <v>734</v>
      </c>
      <c r="Z72" s="757" t="s">
        <v>733</v>
      </c>
      <c r="AA72" s="765" t="str">
        <f>IF(APA_projects[[#This Row],[Type]]="pipeline",IFERROR(APA_projects[[#This Row],[Construction cost]]/APA_projects[[#This Row],[Size1]],"n.a."),"n.a.")</f>
        <v>n.a.</v>
      </c>
      <c r="AB72" s="765" t="str">
        <f>IF(APA_projects[[#This Row],[Type]]="pipeline",INDEX(Assets!$N$8:$BK$8,MATCH(DATE(YEAR(APA_projects[[#This Row],[Commissioning]]),12,1),Assets!$N$4:$BK$4,0)),"n.a.")</f>
        <v>n.a.</v>
      </c>
      <c r="AC72" s="764">
        <f>IF(APA_projects[[#This Row],[Status]]=1,($B$22-APA_projects[[#This Row],[Commissioning]])/365,"n.a.")</f>
        <v>1.8356164383561644</v>
      </c>
    </row>
    <row r="73" spans="2:29" x14ac:dyDescent="0.2">
      <c r="B73" s="760" t="s">
        <v>732</v>
      </c>
      <c r="C73" s="760" t="s">
        <v>730</v>
      </c>
      <c r="D73" s="763">
        <v>1</v>
      </c>
      <c r="E73" s="760" t="s">
        <v>692</v>
      </c>
      <c r="F73" s="760">
        <v>1</v>
      </c>
      <c r="G73" s="760" t="s">
        <v>710</v>
      </c>
      <c r="H73" s="761">
        <v>0</v>
      </c>
      <c r="I73" s="761">
        <v>180</v>
      </c>
      <c r="J73" s="761"/>
      <c r="K73" s="764">
        <f>IF(APA_projects[[#This Row],[Status]]=1,APA_projects[[#This Row],[APA o''ship (%)]]*(APA_projects[[#This Row],[Construction cost]]*(1-APA_projects[[#This Row],[Age]]/APA_projects[[#This Row],[Useful life]])),"n.a.")</f>
        <v>92.357260273972585</v>
      </c>
      <c r="L73" s="761">
        <v>80</v>
      </c>
      <c r="M73" s="760" t="s">
        <v>713</v>
      </c>
      <c r="N73" s="760"/>
      <c r="O73" s="760"/>
      <c r="P73" s="757">
        <v>40725</v>
      </c>
      <c r="Q73" s="757">
        <v>38657</v>
      </c>
      <c r="R73" s="769">
        <f>IF(APA_projects[[#This Row],[Type]]="pipeline",$R$20,IF(APA_projects[[#This Row],[Type]]="power station",25,40))</f>
        <v>25</v>
      </c>
      <c r="S73" s="769">
        <v>25</v>
      </c>
      <c r="T73" s="761">
        <v>20</v>
      </c>
      <c r="U73" s="768">
        <f>(APA_projects[[#This Row],[Commissioning]]+APA_projects[[#This Row],[Useful life]]*365)</f>
        <v>47782</v>
      </c>
      <c r="V73" s="768">
        <f>APA_projects[[#This Row],[Commissioning]]+APA_projects[[#This Row],[Contract life]]*365</f>
        <v>45957</v>
      </c>
      <c r="W73" s="760" t="s">
        <v>729</v>
      </c>
      <c r="X73" s="760"/>
      <c r="Y73" s="757"/>
      <c r="Z73" s="757"/>
      <c r="AA73" s="765" t="str">
        <f>IF(APA_projects[[#This Row],[Type]]="pipeline",IFERROR(APA_projects[[#This Row],[Construction cost]]/APA_projects[[#This Row],[Size1]],"n.a."),"n.a.")</f>
        <v>n.a.</v>
      </c>
      <c r="AB73" s="765" t="str">
        <f>IF(APA_projects[[#This Row],[Type]]="pipeline",INDEX(Assets!$N$8:$BK$8,MATCH(DATE(YEAR(APA_projects[[#This Row],[Commissioning]]),12,1),Assets!$N$4:$BK$4,0)),"n.a.")</f>
        <v>n.a.</v>
      </c>
      <c r="AC73" s="764">
        <f>IF(APA_projects[[#This Row],[Status]]=1,($B$22-APA_projects[[#This Row],[Commissioning]])/365,"n.a.")</f>
        <v>12.172602739726027</v>
      </c>
    </row>
    <row r="74" spans="2:29" x14ac:dyDescent="0.2">
      <c r="B74" s="760" t="s">
        <v>731</v>
      </c>
      <c r="C74" s="760" t="s">
        <v>730</v>
      </c>
      <c r="D74" s="763">
        <v>1</v>
      </c>
      <c r="E74" s="760" t="s">
        <v>692</v>
      </c>
      <c r="F74" s="760">
        <v>1</v>
      </c>
      <c r="G74" s="760" t="s">
        <v>710</v>
      </c>
      <c r="H74" s="761">
        <v>0</v>
      </c>
      <c r="I74" s="761">
        <v>50</v>
      </c>
      <c r="J74" s="761"/>
      <c r="K74" s="764">
        <f>IF(APA_projects[[#This Row],[Status]]=1,APA_projects[[#This Row],[APA o''ship (%)]]*(APA_projects[[#This Row],[Construction cost]]*(1-APA_projects[[#This Row],[Age]]/APA_projects[[#This Row],[Useful life]])),"n.a.")</f>
        <v>50.005479452054793</v>
      </c>
      <c r="L74" s="761">
        <v>20</v>
      </c>
      <c r="M74" s="760" t="s">
        <v>713</v>
      </c>
      <c r="N74" s="760"/>
      <c r="O74" s="760"/>
      <c r="P74" s="757"/>
      <c r="Q74" s="757">
        <v>43101</v>
      </c>
      <c r="R74" s="769">
        <f>IF(APA_projects[[#This Row],[Type]]="pipeline",$R$20,IF(APA_projects[[#This Row],[Type]]="power station",25,40))</f>
        <v>25</v>
      </c>
      <c r="S74" s="769">
        <v>25</v>
      </c>
      <c r="T74" s="761">
        <v>12</v>
      </c>
      <c r="U74" s="768">
        <f>(APA_projects[[#This Row],[Commissioning]]+APA_projects[[#This Row],[Useful life]]*365)</f>
        <v>52226</v>
      </c>
      <c r="V74" s="768">
        <f>APA_projects[[#This Row],[Commissioning]]+APA_projects[[#This Row],[Contract life]]*365</f>
        <v>47481</v>
      </c>
      <c r="W74" s="760" t="s">
        <v>729</v>
      </c>
      <c r="X74" s="760"/>
      <c r="Y74" s="757"/>
      <c r="Z74" s="757"/>
      <c r="AA74" s="765" t="str">
        <f>IF(APA_projects[[#This Row],[Type]]="pipeline",IFERROR(APA_projects[[#This Row],[Construction cost]]/APA_projects[[#This Row],[Size1]],"n.a."),"n.a.")</f>
        <v>n.a.</v>
      </c>
      <c r="AB74" s="765" t="str">
        <f>IF(APA_projects[[#This Row],[Type]]="pipeline",INDEX(Assets!$N$8:$BK$8,MATCH(DATE(YEAR(APA_projects[[#This Row],[Commissioning]]),12,1),Assets!$N$4:$BK$4,0)),"n.a.")</f>
        <v>n.a.</v>
      </c>
      <c r="AC74" s="764">
        <f>IF(APA_projects[[#This Row],[Status]]=1,($B$22-APA_projects[[#This Row],[Commissioning]])/365,"n.a.")</f>
        <v>-2.7397260273972603E-3</v>
      </c>
    </row>
    <row r="75" spans="2:29" x14ac:dyDescent="0.2">
      <c r="B75" s="760" t="s">
        <v>728</v>
      </c>
      <c r="C75" s="760" t="s">
        <v>727</v>
      </c>
      <c r="D75" s="763">
        <v>0.5</v>
      </c>
      <c r="E75" s="760" t="s">
        <v>692</v>
      </c>
      <c r="F75" s="760">
        <v>1</v>
      </c>
      <c r="G75" s="760" t="s">
        <v>683</v>
      </c>
      <c r="H75" s="761">
        <v>0</v>
      </c>
      <c r="I75" s="771">
        <f>APA_projects[[#This Row],[Size1]]*APA_projects[[#This Row],[Construction cost/km (estimated)]]</f>
        <v>134.65546168543602</v>
      </c>
      <c r="J75" s="761"/>
      <c r="K75" s="764">
        <f>IF(APA_projects[[#This Row],[Status]]=1,APA_projects[[#This Row],[APA o''ship (%)]]*(APA_projects[[#This Row],[Construction cost]]*(1-APA_projects[[#This Row],[Age]]/APA_projects[[#This Row],[Useful life]])),"n.a.")</f>
        <v>49.922656000598536</v>
      </c>
      <c r="L75" s="761">
        <v>353</v>
      </c>
      <c r="M75" s="760" t="s">
        <v>682</v>
      </c>
      <c r="N75" s="760"/>
      <c r="O75" s="760"/>
      <c r="P75" s="757"/>
      <c r="Q75" s="757">
        <v>36495</v>
      </c>
      <c r="R75" s="769">
        <f>IF(APA_projects[[#This Row],[Type]]="pipeline",$R$20,IF(APA_projects[[#This Row],[Type]]="power station",25,40))</f>
        <v>70</v>
      </c>
      <c r="S75" s="769">
        <v>25</v>
      </c>
      <c r="T75" s="769">
        <v>30</v>
      </c>
      <c r="U75" s="768">
        <f>(APA_projects[[#This Row],[Commissioning]]+APA_projects[[#This Row],[Useful life]]*365)</f>
        <v>62045</v>
      </c>
      <c r="V75" s="768">
        <f>APA_projects[[#This Row],[Commissioning]]+APA_projects[[#This Row],[Contract life]]*365</f>
        <v>47445</v>
      </c>
      <c r="W75" s="767" t="s">
        <v>726</v>
      </c>
      <c r="X75" s="760"/>
      <c r="Y75" s="757" t="s">
        <v>725</v>
      </c>
      <c r="Z75" s="757"/>
      <c r="AA75" s="765"/>
      <c r="AB75" s="765">
        <f>IF(APA_projects[[#This Row],[Type]]="pipeline",INDEX(Assets!$N$8:$BK$8,MATCH(DATE(YEAR(APA_projects[[#This Row],[Commissioning]]),12,1),Assets!$N$4:$BK$4,0)),"n.a.")</f>
        <v>0.38146023140350149</v>
      </c>
      <c r="AC75" s="764">
        <f>IF(APA_projects[[#This Row],[Status]]=1,($B$22-APA_projects[[#This Row],[Commissioning]])/365,"n.a.")</f>
        <v>18.095890410958905</v>
      </c>
    </row>
    <row r="76" spans="2:29" x14ac:dyDescent="0.2">
      <c r="B76" s="760" t="s">
        <v>724</v>
      </c>
      <c r="C76" s="760" t="s">
        <v>289</v>
      </c>
      <c r="D76" s="763">
        <v>1</v>
      </c>
      <c r="E76" s="760" t="s">
        <v>692</v>
      </c>
      <c r="F76" s="760">
        <v>1</v>
      </c>
      <c r="G76" s="760" t="s">
        <v>683</v>
      </c>
      <c r="H76" s="761">
        <v>0</v>
      </c>
      <c r="I76" s="761">
        <v>140</v>
      </c>
      <c r="J76" s="761"/>
      <c r="K76" s="764">
        <f>IF(APA_projects[[#This Row],[Status]]=1,APA_projects[[#This Row],[APA o''ship (%)]]*(APA_projects[[#This Row],[Construction cost]]*(1-APA_projects[[#This Row],[Age]]/APA_projects[[#This Row],[Useful life]])),"n.a.")</f>
        <v>136.21917808219177</v>
      </c>
      <c r="L76" s="761">
        <v>293</v>
      </c>
      <c r="M76" s="760" t="s">
        <v>682</v>
      </c>
      <c r="N76" s="760"/>
      <c r="O76" s="760"/>
      <c r="P76" s="757"/>
      <c r="Q76" s="757">
        <v>42410</v>
      </c>
      <c r="R76" s="769">
        <f>IF(APA_projects[[#This Row],[Type]]="pipeline",$R$20,IF(APA_projects[[#This Row],[Type]]="power station",25,40))</f>
        <v>70</v>
      </c>
      <c r="S76" s="769">
        <v>25</v>
      </c>
      <c r="T76" s="761">
        <v>10.5</v>
      </c>
      <c r="U76" s="768">
        <f>(APA_projects[[#This Row],[Commissioning]]+APA_projects[[#This Row],[Useful life]]*365)</f>
        <v>67960</v>
      </c>
      <c r="V76" s="768">
        <f>APA_projects[[#This Row],[Commissioning]]+APA_projects[[#This Row],[Contract life]]*365</f>
        <v>46242.5</v>
      </c>
      <c r="W76" s="760" t="s">
        <v>723</v>
      </c>
      <c r="X76" s="760" t="s">
        <v>722</v>
      </c>
      <c r="Y76" s="757"/>
      <c r="Z76" s="757"/>
      <c r="AA76" s="765">
        <f>IF(APA_projects[[#This Row],[Type]]="pipeline",IFERROR(APA_projects[[#This Row],[Construction cost]]/APA_projects[[#This Row],[Size1]],"n.a."),"n.a.")</f>
        <v>0.47781569965870307</v>
      </c>
      <c r="AB76" s="765">
        <f>IF(APA_projects[[#This Row],[Type]]="pipeline",INDEX(Assets!$N$8:$BK$8,MATCH(DATE(YEAR(APA_projects[[#This Row],[Commissioning]]),12,1),Assets!$N$4:$BK$4,0)),"n.a.")</f>
        <v>0.92498376341500088</v>
      </c>
      <c r="AC76" s="764">
        <f>IF(APA_projects[[#This Row],[Status]]=1,($B$22-APA_projects[[#This Row],[Commissioning]])/365,"n.a.")</f>
        <v>1.8904109589041096</v>
      </c>
    </row>
    <row r="77" spans="2:29" x14ac:dyDescent="0.2">
      <c r="B77" s="760" t="s">
        <v>721</v>
      </c>
      <c r="C77" s="760" t="s">
        <v>720</v>
      </c>
      <c r="D77" s="763">
        <v>1</v>
      </c>
      <c r="E77" s="760" t="s">
        <v>692</v>
      </c>
      <c r="F77" s="760">
        <v>1</v>
      </c>
      <c r="G77" s="760" t="s">
        <v>683</v>
      </c>
      <c r="H77" s="761">
        <v>1</v>
      </c>
      <c r="I77" s="771">
        <f>APA_projects[[#This Row],[Size1]]*APA_projects[[#This Row],[Construction cost/km (estimated)]]</f>
        <v>15.191814266571454</v>
      </c>
      <c r="J77" s="761"/>
      <c r="K77" s="764">
        <f>IF(APA_projects[[#This Row],[Status]]=1,APA_projects[[#This Row],[APA o''ship (%)]]*(APA_projects[[#This Row],[Construction cost]]*(1-APA_projects[[#This Row],[Age]]/APA_projects[[#This Row],[Useful life]])),"n.a.")</f>
        <v>10.504649027300113</v>
      </c>
      <c r="L77" s="761">
        <v>44</v>
      </c>
      <c r="M77" s="760" t="s">
        <v>682</v>
      </c>
      <c r="N77" s="767">
        <v>26</v>
      </c>
      <c r="O77" s="767" t="s">
        <v>698</v>
      </c>
      <c r="P77" s="757"/>
      <c r="Q77" s="757">
        <v>35217</v>
      </c>
      <c r="R77" s="769">
        <f>IF(APA_projects[[#This Row],[Type]]="pipeline",$R$20,IF(APA_projects[[#This Row],[Type]]="power station",25,40))</f>
        <v>70</v>
      </c>
      <c r="S77" s="769">
        <v>25</v>
      </c>
      <c r="T77" s="769">
        <v>30</v>
      </c>
      <c r="U77" s="768">
        <f>(APA_projects[[#This Row],[Commissioning]]+APA_projects[[#This Row],[Useful life]]*365)</f>
        <v>60767</v>
      </c>
      <c r="V77" s="768">
        <f>APA_projects[[#This Row],[Commissioning]]+APA_projects[[#This Row],[Contract life]]*365</f>
        <v>46167</v>
      </c>
      <c r="W77" s="767" t="s">
        <v>719</v>
      </c>
      <c r="X77" s="760"/>
      <c r="Y77" s="757" t="s">
        <v>718</v>
      </c>
      <c r="Z77" s="757"/>
      <c r="AA77" s="765"/>
      <c r="AB77" s="765">
        <f>IF(APA_projects[[#This Row],[Type]]="pipeline",INDEX(Assets!$N$8:$BK$8,MATCH(DATE(YEAR(APA_projects[[#This Row],[Commissioning]]),12,1),Assets!$N$4:$BK$4,0)),"n.a.")</f>
        <v>0.34526850605844212</v>
      </c>
      <c r="AC77" s="764">
        <f>IF(APA_projects[[#This Row],[Status]]=1,($B$22-APA_projects[[#This Row],[Commissioning]])/365,"n.a.")</f>
        <v>21.597260273972601</v>
      </c>
    </row>
    <row r="78" spans="2:29" x14ac:dyDescent="0.2">
      <c r="B78" s="760" t="s">
        <v>717</v>
      </c>
      <c r="C78" s="760" t="s">
        <v>716</v>
      </c>
      <c r="D78" s="763">
        <v>1</v>
      </c>
      <c r="E78" s="760" t="s">
        <v>692</v>
      </c>
      <c r="F78" s="760">
        <v>0</v>
      </c>
      <c r="G78" s="760" t="s">
        <v>683</v>
      </c>
      <c r="H78" s="761">
        <v>0</v>
      </c>
      <c r="I78" s="773">
        <f>APA_projects[[#This Row],[Size1]]*APA_projects[[#This Row],[Construction cost/km (estimated)]]-I79</f>
        <v>174.17363705224017</v>
      </c>
      <c r="J78" s="761"/>
      <c r="K78" s="764" t="str">
        <f>IF(APA_projects[[#This Row],[Status]]=1,APA_projects[[#This Row],[APA o''ship (%)]]*(APA_projects[[#This Row],[Construction cost]]*(1-APA_projects[[#This Row],[Age]]/APA_projects[[#This Row],[Useful life]])),"n.a.")</f>
        <v>n.a.</v>
      </c>
      <c r="L78" s="761">
        <v>198</v>
      </c>
      <c r="M78" s="760" t="s">
        <v>682</v>
      </c>
      <c r="N78" s="760"/>
      <c r="O78" s="760"/>
      <c r="P78" s="757"/>
      <c r="Q78" s="757">
        <v>43435</v>
      </c>
      <c r="R78" s="769">
        <f>IF(APA_projects[[#This Row],[Type]]="pipeline",$R$20,IF(APA_projects[[#This Row],[Type]]="power station",25,40))</f>
        <v>70</v>
      </c>
      <c r="S78" s="769">
        <v>25</v>
      </c>
      <c r="T78" s="761">
        <v>15</v>
      </c>
      <c r="U78" s="768">
        <f>(APA_projects[[#This Row],[Commissioning]]+APA_projects[[#This Row],[Useful life]]*365)</f>
        <v>68985</v>
      </c>
      <c r="V78" s="768">
        <f>APA_projects[[#This Row],[Commissioning]]+APA_projects[[#This Row],[Contract life]]*365</f>
        <v>48910</v>
      </c>
      <c r="W78" s="760" t="s">
        <v>712</v>
      </c>
      <c r="X78" s="760"/>
      <c r="Y78" s="757"/>
      <c r="Z78" s="757"/>
      <c r="AA78" s="765"/>
      <c r="AB78" s="765">
        <f>IF(APA_projects[[#This Row],[Type]]="pipeline",INDEX(Assets!$N$8:$BK$8,MATCH(DATE(YEAR(APA_projects[[#This Row],[Commissioning]]),12,1),Assets!$N$4:$BK$4,0)),"n.a.")</f>
        <v>1.0160284699608089</v>
      </c>
      <c r="AC78" s="764" t="str">
        <f>IF(APA_projects[[#This Row],[Status]]=1,($B$22-APA_projects[[#This Row],[Commissioning]])/365,"n.a.")</f>
        <v>n.a.</v>
      </c>
    </row>
    <row r="79" spans="2:29" x14ac:dyDescent="0.2">
      <c r="B79" s="760" t="s">
        <v>715</v>
      </c>
      <c r="C79" s="760" t="s">
        <v>714</v>
      </c>
      <c r="D79" s="763">
        <v>1</v>
      </c>
      <c r="E79" s="760" t="s">
        <v>692</v>
      </c>
      <c r="F79" s="760">
        <v>0</v>
      </c>
      <c r="G79" s="760" t="s">
        <v>710</v>
      </c>
      <c r="H79" s="761">
        <v>0</v>
      </c>
      <c r="I79" s="761">
        <f>APA_projects[[#This Row],[Size1]]*0.6</f>
        <v>27</v>
      </c>
      <c r="J79" s="761"/>
      <c r="K79" s="764" t="str">
        <f>IF(APA_projects[[#This Row],[Status]]=1,APA_projects[[#This Row],[APA o''ship (%)]]*(APA_projects[[#This Row],[Construction cost]]*(1-APA_projects[[#This Row],[Age]]/APA_projects[[#This Row],[Useful life]])),"n.a.")</f>
        <v>n.a.</v>
      </c>
      <c r="L79" s="761">
        <v>45</v>
      </c>
      <c r="M79" s="760" t="s">
        <v>713</v>
      </c>
      <c r="N79" s="760"/>
      <c r="O79" s="760"/>
      <c r="P79" s="757"/>
      <c r="Q79" s="757">
        <v>43435</v>
      </c>
      <c r="R79" s="769">
        <f>IF(APA_projects[[#This Row],[Type]]="pipeline",$R$20,IF(APA_projects[[#This Row],[Type]]="power station",25,40))</f>
        <v>25</v>
      </c>
      <c r="S79" s="769">
        <v>25</v>
      </c>
      <c r="T79" s="761">
        <v>15</v>
      </c>
      <c r="U79" s="768">
        <f>(APA_projects[[#This Row],[Commissioning]]+APA_projects[[#This Row],[Useful life]]*365)</f>
        <v>52560</v>
      </c>
      <c r="V79" s="768">
        <f>APA_projects[[#This Row],[Commissioning]]+APA_projects[[#This Row],[Contract life]]*365</f>
        <v>48910</v>
      </c>
      <c r="W79" s="760" t="s">
        <v>712</v>
      </c>
      <c r="X79" s="760"/>
      <c r="Y79" s="757"/>
      <c r="Z79" s="757"/>
      <c r="AA79" s="765"/>
      <c r="AB79" s="765" t="str">
        <f>IF(APA_projects[[#This Row],[Type]]="pipeline",INDEX(Assets!$N$8:$BK$8,MATCH(DATE(YEAR(APA_projects[[#This Row],[Commissioning]]),12,1),Assets!$N$4:$BK$4,0)),"n.a.")</f>
        <v>n.a.</v>
      </c>
      <c r="AC79" s="764" t="str">
        <f>IF(APA_projects[[#This Row],[Status]]=1,($B$22-APA_projects[[#This Row],[Commissioning]])/365,"n.a.")</f>
        <v>n.a.</v>
      </c>
    </row>
    <row r="80" spans="2:29" x14ac:dyDescent="0.2">
      <c r="B80" s="760" t="s">
        <v>565</v>
      </c>
      <c r="C80" s="760" t="s">
        <v>711</v>
      </c>
      <c r="D80" s="763">
        <v>1</v>
      </c>
      <c r="E80" s="760" t="s">
        <v>692</v>
      </c>
      <c r="F80" s="760">
        <v>0</v>
      </c>
      <c r="G80" s="760" t="s">
        <v>710</v>
      </c>
      <c r="H80" s="761">
        <v>0</v>
      </c>
      <c r="I80" s="761">
        <v>315</v>
      </c>
      <c r="J80" s="761"/>
      <c r="K80" s="764" t="str">
        <f>IF(APA_projects[[#This Row],[Status]]=1,APA_projects[[#This Row],[APA o''ship (%)]]*(APA_projects[[#This Row],[Construction cost]]*(1-APA_projects[[#This Row],[Age]]/APA_projects[[#This Row],[Useful life]])),"n.a.")</f>
        <v>n.a.</v>
      </c>
      <c r="L80" s="761">
        <v>130</v>
      </c>
      <c r="M80" s="760" t="s">
        <v>709</v>
      </c>
      <c r="N80" s="760"/>
      <c r="O80" s="760"/>
      <c r="P80" s="757"/>
      <c r="Q80" s="757">
        <v>43466</v>
      </c>
      <c r="R80" s="769">
        <f>IF(APA_projects[[#This Row],[Type]]="pipeline",$R$20,IF(APA_projects[[#This Row],[Type]]="power station",25,40))</f>
        <v>25</v>
      </c>
      <c r="S80" s="769">
        <v>25</v>
      </c>
      <c r="T80" s="761">
        <v>12</v>
      </c>
      <c r="U80" s="768">
        <f>(APA_projects[[#This Row],[Commissioning]]+APA_projects[[#This Row],[Useful life]]*365)</f>
        <v>52591</v>
      </c>
      <c r="V80" s="768">
        <f>APA_projects[[#This Row],[Commissioning]]+APA_projects[[#This Row],[Contract life]]*365</f>
        <v>47846</v>
      </c>
      <c r="W80" s="760" t="s">
        <v>708</v>
      </c>
      <c r="X80" s="760"/>
      <c r="Y80" s="757"/>
      <c r="Z80" s="757"/>
      <c r="AA80" s="765" t="str">
        <f>IF(APA_projects[[#This Row],[Type]]="pipeline",IFERROR(APA_projects[[#This Row],[Construction cost]]/APA_projects[[#This Row],[Size1]],"n.a."),"n.a.")</f>
        <v>n.a.</v>
      </c>
      <c r="AB80" s="765" t="str">
        <f>IF(APA_projects[[#This Row],[Type]]="pipeline",INDEX(Assets!$N$8:$BK$8,MATCH(DATE(YEAR(APA_projects[[#This Row],[Commissioning]]),12,1),Assets!$N$4:$BK$4,0)),"n.a.")</f>
        <v>n.a.</v>
      </c>
      <c r="AC80" s="764" t="str">
        <f>IF(APA_projects[[#This Row],[Status]]=1,($B$22-APA_projects[[#This Row],[Commissioning]])/365,"n.a.")</f>
        <v>n.a.</v>
      </c>
    </row>
    <row r="81" spans="2:29" x14ac:dyDescent="0.2">
      <c r="B81" s="760" t="s">
        <v>707</v>
      </c>
      <c r="C81" s="760" t="s">
        <v>706</v>
      </c>
      <c r="D81" s="763">
        <v>0.19900000000000001</v>
      </c>
      <c r="E81" s="760" t="s">
        <v>692</v>
      </c>
      <c r="F81" s="760">
        <v>1</v>
      </c>
      <c r="G81" s="760" t="s">
        <v>683</v>
      </c>
      <c r="H81" s="761">
        <v>0</v>
      </c>
      <c r="I81" s="771">
        <f>APA_projects[[#This Row],[Size1]]*APA_projects[[#This Row],[Construction cost/km (estimated)]]</f>
        <v>237.37371447303352</v>
      </c>
      <c r="J81" s="761"/>
      <c r="K81" s="764">
        <f>IF(APA_projects[[#This Row],[Status]]=1,APA_projects[[#This Row],[APA o''ship (%)]]*(APA_projects[[#This Row],[Construction cost]]*(1-APA_projects[[#This Row],[Age]]/APA_projects[[#This Row],[Useful life]])),"n.a.")</f>
        <v>38.462866083111585</v>
      </c>
      <c r="L81" s="761">
        <v>442.5</v>
      </c>
      <c r="M81" s="760" t="s">
        <v>682</v>
      </c>
      <c r="N81" s="767">
        <v>25</v>
      </c>
      <c r="O81" s="767" t="s">
        <v>698</v>
      </c>
      <c r="P81" s="757"/>
      <c r="Q81" s="757">
        <v>38354</v>
      </c>
      <c r="R81" s="769">
        <f>IF(APA_projects[[#This Row],[Type]]="pipeline",$R$20,IF(APA_projects[[#This Row],[Type]]="power station",25,40))</f>
        <v>70</v>
      </c>
      <c r="S81" s="769">
        <v>25</v>
      </c>
      <c r="T81" s="769">
        <v>20</v>
      </c>
      <c r="U81" s="768">
        <f>(APA_projects[[#This Row],[Commissioning]]+APA_projects[[#This Row],[Useful life]]*365)</f>
        <v>63904</v>
      </c>
      <c r="V81" s="768">
        <f>APA_projects[[#This Row],[Commissioning]]+APA_projects[[#This Row],[Contract life]]*365</f>
        <v>45654</v>
      </c>
      <c r="W81" s="760" t="s">
        <v>705</v>
      </c>
      <c r="X81" s="760"/>
      <c r="Y81" s="757" t="s">
        <v>704</v>
      </c>
      <c r="Z81" s="757"/>
      <c r="AA81" s="765"/>
      <c r="AB81" s="765">
        <f>IF(APA_projects[[#This Row],[Type]]="pipeline",INDEX(Assets!$N$8:$BK$8,MATCH(DATE(YEAR(APA_projects[[#This Row],[Commissioning]]),12,1),Assets!$N$4:$BK$4,0)),"n.a.")</f>
        <v>0.53643777282041472</v>
      </c>
      <c r="AC81" s="764">
        <f>IF(APA_projects[[#This Row],[Status]]=1,($B$22-APA_projects[[#This Row],[Commissioning]])/365,"n.a.")</f>
        <v>13.002739726027396</v>
      </c>
    </row>
    <row r="82" spans="2:29" x14ac:dyDescent="0.2">
      <c r="B82" s="760" t="s">
        <v>703</v>
      </c>
      <c r="C82" s="760" t="s">
        <v>702</v>
      </c>
      <c r="D82" s="763">
        <v>0.19900000000000001</v>
      </c>
      <c r="E82" s="760" t="s">
        <v>692</v>
      </c>
      <c r="F82" s="760">
        <v>1</v>
      </c>
      <c r="G82" s="760" t="s">
        <v>683</v>
      </c>
      <c r="H82" s="761">
        <v>0</v>
      </c>
      <c r="I82" s="761">
        <v>15</v>
      </c>
      <c r="J82" s="761"/>
      <c r="K82" s="764">
        <f>IF(APA_projects[[#This Row],[Status]]=1,APA_projects[[#This Row],[APA o''ship (%)]]*(APA_projects[[#This Row],[Construction cost]]*(1-APA_projects[[#This Row],[Age]]/APA_projects[[#This Row],[Useful life]])),"n.a.")</f>
        <v>2.4526068493150688</v>
      </c>
      <c r="L82" s="761">
        <v>45</v>
      </c>
      <c r="M82" s="760" t="s">
        <v>682</v>
      </c>
      <c r="N82" s="760"/>
      <c r="O82" s="760"/>
      <c r="P82" s="757"/>
      <c r="Q82" s="757">
        <v>38543</v>
      </c>
      <c r="R82" s="769">
        <f>IF(APA_projects[[#This Row],[Type]]="pipeline",$R$20,IF(APA_projects[[#This Row],[Type]]="power station",25,40))</f>
        <v>70</v>
      </c>
      <c r="S82" s="769">
        <v>25</v>
      </c>
      <c r="T82" s="761">
        <v>14</v>
      </c>
      <c r="U82" s="768">
        <f>(APA_projects[[#This Row],[Commissioning]]+APA_projects[[#This Row],[Useful life]]*365)</f>
        <v>64093</v>
      </c>
      <c r="V82" s="768">
        <f>APA_projects[[#This Row],[Commissioning]]+APA_projects[[#This Row],[Contract life]]*365</f>
        <v>43653</v>
      </c>
      <c r="W82" s="767" t="s">
        <v>701</v>
      </c>
      <c r="X82" s="760"/>
      <c r="Y82" s="757" t="s">
        <v>700</v>
      </c>
      <c r="Z82" s="757"/>
      <c r="AA82" s="765">
        <f>IF(APA_projects[[#This Row],[Type]]="pipeline",IFERROR(APA_projects[[#This Row],[Construction cost]]/APA_projects[[#This Row],[Size1]],"n.a."),"n.a.")</f>
        <v>0.33333333333333331</v>
      </c>
      <c r="AB82" s="765">
        <f>IF(APA_projects[[#This Row],[Type]]="pipeline",INDEX(Assets!$N$8:$BK$8,MATCH(DATE(YEAR(APA_projects[[#This Row],[Commissioning]]),12,1),Assets!$N$4:$BK$4,0)),"n.a.")</f>
        <v>0.53643777282041472</v>
      </c>
      <c r="AC82" s="764">
        <f>IF(APA_projects[[#This Row],[Status]]=1,($B$22-APA_projects[[#This Row],[Commissioning]])/365,"n.a.")</f>
        <v>12.484931506849316</v>
      </c>
    </row>
    <row r="83" spans="2:29" x14ac:dyDescent="0.2">
      <c r="B83" s="760" t="s">
        <v>699</v>
      </c>
      <c r="C83" s="760" t="s">
        <v>693</v>
      </c>
      <c r="D83" s="763">
        <v>1</v>
      </c>
      <c r="E83" s="760" t="s">
        <v>692</v>
      </c>
      <c r="F83" s="760">
        <v>1</v>
      </c>
      <c r="G83" s="760" t="s">
        <v>683</v>
      </c>
      <c r="H83" s="761">
        <v>0</v>
      </c>
      <c r="I83" s="771">
        <f>APA_projects[[#This Row],[Size1]]*APA_projects[[#This Row],[Construction cost/km (estimated)]]</f>
        <v>71.889379950150641</v>
      </c>
      <c r="J83" s="761"/>
      <c r="K83" s="764">
        <f>IF(APA_projects[[#This Row],[Status]]=1,APA_projects[[#This Row],[APA o''ship (%)]]*(APA_projects[[#This Row],[Construction cost]]*(1-APA_projects[[#This Row],[Age]]/APA_projects[[#This Row],[Useful life]])),"n.a.")</f>
        <v>48.679380137673427</v>
      </c>
      <c r="L83" s="761">
        <v>219</v>
      </c>
      <c r="M83" s="760" t="s">
        <v>682</v>
      </c>
      <c r="N83" s="767">
        <v>188</v>
      </c>
      <c r="O83" s="767" t="s">
        <v>698</v>
      </c>
      <c r="P83" s="757"/>
      <c r="Q83" s="770">
        <v>34851</v>
      </c>
      <c r="R83" s="769">
        <f>IF(APA_projects[[#This Row],[Type]]="pipeline",$R$20,IF(APA_projects[[#This Row],[Type]]="power station",25,40))</f>
        <v>70</v>
      </c>
      <c r="S83" s="769">
        <v>25</v>
      </c>
      <c r="T83" s="769">
        <v>30</v>
      </c>
      <c r="U83" s="768">
        <f>(APA_projects[[#This Row],[Commissioning]]+APA_projects[[#This Row],[Useful life]]*365)</f>
        <v>60401</v>
      </c>
      <c r="V83" s="768">
        <f>APA_projects[[#This Row],[Commissioning]]+APA_projects[[#This Row],[Contract life]]*365</f>
        <v>45801</v>
      </c>
      <c r="W83" s="767" t="s">
        <v>697</v>
      </c>
      <c r="X83" s="760"/>
      <c r="Y83" s="757"/>
      <c r="Z83" s="757"/>
      <c r="AA83" s="765"/>
      <c r="AB83" s="765">
        <f>IF(APA_projects[[#This Row],[Type]]="pipeline",INDEX(Assets!$N$8:$BK$8,MATCH(DATE(YEAR(APA_projects[[#This Row],[Commissioning]]),12,1),Assets!$N$4:$BK$4,0)),"n.a.")</f>
        <v>0.32826200890479745</v>
      </c>
      <c r="AC83" s="764">
        <f>IF(APA_projects[[#This Row],[Status]]=1,($B$22-APA_projects[[#This Row],[Commissioning]])/365,"n.a.")</f>
        <v>22.6</v>
      </c>
    </row>
    <row r="84" spans="2:29" x14ac:dyDescent="0.2">
      <c r="B84" s="760" t="s">
        <v>696</v>
      </c>
      <c r="C84" s="760" t="s">
        <v>693</v>
      </c>
      <c r="D84" s="763">
        <v>1</v>
      </c>
      <c r="E84" s="760" t="s">
        <v>692</v>
      </c>
      <c r="F84" s="760">
        <v>1</v>
      </c>
      <c r="G84" s="760" t="s">
        <v>683</v>
      </c>
      <c r="H84" s="761">
        <v>0</v>
      </c>
      <c r="I84" s="771">
        <f>APA_projects[[#This Row],[Size1]]*APA_projects[[#This Row],[Construction cost/km (estimated)]]</f>
        <v>8.8012278409471598</v>
      </c>
      <c r="J84" s="761"/>
      <c r="K84" s="764">
        <f>IF(APA_projects[[#This Row],[Status]]=1,APA_projects[[#This Row],[APA o''ship (%)]]*(APA_projects[[#This Row],[Construction cost]]*(1-APA_projects[[#This Row],[Age]]/APA_projects[[#This Row],[Useful life]])),"n.a.")</f>
        <v>6.3372285162389392</v>
      </c>
      <c r="L84" s="761">
        <v>24</v>
      </c>
      <c r="M84" s="760" t="s">
        <v>682</v>
      </c>
      <c r="N84" s="760"/>
      <c r="O84" s="760"/>
      <c r="P84" s="757"/>
      <c r="Q84" s="770">
        <v>35947</v>
      </c>
      <c r="R84" s="769">
        <f>IF(APA_projects[[#This Row],[Type]]="pipeline",$R$20,IF(APA_projects[[#This Row],[Type]]="power station",25,40))</f>
        <v>70</v>
      </c>
      <c r="S84" s="769">
        <v>25</v>
      </c>
      <c r="T84" s="769">
        <v>30</v>
      </c>
      <c r="U84" s="768">
        <f>(APA_projects[[#This Row],[Commissioning]]+APA_projects[[#This Row],[Useful life]]*365)</f>
        <v>61497</v>
      </c>
      <c r="V84" s="768">
        <f>APA_projects[[#This Row],[Commissioning]]+APA_projects[[#This Row],[Contract life]]*365</f>
        <v>46897</v>
      </c>
      <c r="W84" s="767" t="s">
        <v>695</v>
      </c>
      <c r="X84" s="760"/>
      <c r="Y84" s="757"/>
      <c r="Z84" s="757"/>
      <c r="AA84" s="765"/>
      <c r="AB84" s="765">
        <f>IF(APA_projects[[#This Row],[Type]]="pipeline",INDEX(Assets!$N$8:$BK$8,MATCH(DATE(YEAR(APA_projects[[#This Row],[Commissioning]]),12,1),Assets!$N$4:$BK$4,0)),"n.a.")</f>
        <v>0.36671782670613168</v>
      </c>
      <c r="AC84" s="764">
        <f>IF(APA_projects[[#This Row],[Status]]=1,($B$22-APA_projects[[#This Row],[Commissioning]])/365,"n.a.")</f>
        <v>19.597260273972601</v>
      </c>
    </row>
    <row r="85" spans="2:29" x14ac:dyDescent="0.2">
      <c r="B85" s="760" t="s">
        <v>694</v>
      </c>
      <c r="C85" s="760" t="s">
        <v>693</v>
      </c>
      <c r="D85" s="763">
        <v>1</v>
      </c>
      <c r="E85" s="760" t="s">
        <v>692</v>
      </c>
      <c r="F85" s="760">
        <v>1</v>
      </c>
      <c r="G85" s="760" t="s">
        <v>683</v>
      </c>
      <c r="H85" s="761">
        <v>0</v>
      </c>
      <c r="I85" s="771">
        <f>APA_projects[[#This Row],[Size1]]*APA_projects[[#This Row],[Construction cost/km (estimated)]]</f>
        <v>3.3316951432888815</v>
      </c>
      <c r="J85" s="761"/>
      <c r="K85" s="764">
        <f>IF(APA_projects[[#This Row],[Status]]=1,APA_projects[[#This Row],[APA o''ship (%)]]*(APA_projects[[#This Row],[Construction cost]]*(1-APA_projects[[#This Row],[Age]]/APA_projects[[#This Row],[Useful life]])),"n.a.")</f>
        <v>2.922894193221929</v>
      </c>
      <c r="L85" s="761">
        <v>5</v>
      </c>
      <c r="M85" s="760" t="s">
        <v>682</v>
      </c>
      <c r="N85" s="760"/>
      <c r="O85" s="760"/>
      <c r="P85" s="757"/>
      <c r="Q85" s="770">
        <v>39965</v>
      </c>
      <c r="R85" s="769">
        <f>IF(APA_projects[[#This Row],[Type]]="pipeline",$R$20,IF(APA_projects[[#This Row],[Type]]="power station",25,40))</f>
        <v>70</v>
      </c>
      <c r="S85" s="769">
        <v>25</v>
      </c>
      <c r="T85" s="769">
        <v>20</v>
      </c>
      <c r="U85" s="768">
        <f>(APA_projects[[#This Row],[Commissioning]]+APA_projects[[#This Row],[Useful life]]*365)</f>
        <v>65515</v>
      </c>
      <c r="V85" s="768">
        <f>APA_projects[[#This Row],[Commissioning]]+APA_projects[[#This Row],[Contract life]]*365</f>
        <v>47265</v>
      </c>
      <c r="W85" s="767" t="s">
        <v>691</v>
      </c>
      <c r="X85" s="760"/>
      <c r="Y85" s="757"/>
      <c r="Z85" s="757"/>
      <c r="AA85" s="765"/>
      <c r="AB85" s="765">
        <f>IF(APA_projects[[#This Row],[Type]]="pipeline",INDEX(Assets!$N$8:$BK$8,MATCH(DATE(YEAR(APA_projects[[#This Row],[Commissioning]]),12,1),Assets!$N$4:$BK$4,0)),"n.a.")</f>
        <v>0.66633902865777628</v>
      </c>
      <c r="AC85" s="764">
        <f>IF(APA_projects[[#This Row],[Status]]=1,($B$22-APA_projects[[#This Row],[Commissioning]])/365,"n.a.")</f>
        <v>8.5890410958904102</v>
      </c>
    </row>
    <row r="86" spans="2:29" x14ac:dyDescent="0.2">
      <c r="B86" s="760" t="s">
        <v>544</v>
      </c>
      <c r="C86" s="760" t="s">
        <v>690</v>
      </c>
      <c r="D86" s="763">
        <v>1</v>
      </c>
      <c r="E86" s="760" t="s">
        <v>689</v>
      </c>
      <c r="F86" s="760">
        <v>1</v>
      </c>
      <c r="G86" s="760" t="s">
        <v>683</v>
      </c>
      <c r="H86" s="761">
        <v>0</v>
      </c>
      <c r="I86" s="771">
        <f>APA_projects[[#This Row],[Size1]]*APA_projects[[#This Row],[Construction cost/km (estimated)]]*0.25</f>
        <v>118.68604895758948</v>
      </c>
      <c r="J86" s="772">
        <v>130.30000000000001</v>
      </c>
      <c r="K86" s="764">
        <f>IF(APA_projects[[#This Row],[Status]]=1,APA_projects[[#This Row],[APA o''ship (%)]]*(APA_projects[[#This Row],[Construction cost]]*(1-APA_projects[[#This Row],[Age]]/APA_projects[[#This Row],[Useful life]])),"n.a.")</f>
        <v>82.067570525782131</v>
      </c>
      <c r="L86" s="761">
        <v>1375</v>
      </c>
      <c r="M86" s="760" t="s">
        <v>682</v>
      </c>
      <c r="N86" s="760">
        <v>219</v>
      </c>
      <c r="O86" s="760" t="s">
        <v>688</v>
      </c>
      <c r="P86" s="757">
        <v>42522</v>
      </c>
      <c r="Q86" s="770">
        <v>35217</v>
      </c>
      <c r="R86" s="769">
        <f>IF(APA_projects[[#This Row],[Type]]="pipeline",$R$20,IF(APA_projects[[#This Row],[Type]]="power station",25,40))</f>
        <v>70</v>
      </c>
      <c r="S86" s="769">
        <v>25</v>
      </c>
      <c r="T86" s="769">
        <v>30</v>
      </c>
      <c r="U86" s="768">
        <f>(APA_projects[[#This Row],[Commissioning]]+APA_projects[[#This Row],[Useful life]]*365)</f>
        <v>60767</v>
      </c>
      <c r="V86" s="768">
        <f>APA_projects[[#This Row],[Commissioning]]+APA_projects[[#This Row],[Contract life]]*365</f>
        <v>46167</v>
      </c>
      <c r="W86" s="767" t="s">
        <v>687</v>
      </c>
      <c r="X86" s="760"/>
      <c r="Y86" s="757" t="s">
        <v>686</v>
      </c>
      <c r="Z86" s="757"/>
      <c r="AA86" s="765"/>
      <c r="AB86" s="765">
        <f>IF(APA_projects[[#This Row],[Type]]="pipeline",INDEX(Assets!$N$8:$BK$8,MATCH(DATE(YEAR(APA_projects[[#This Row],[Commissioning]]),12,1),Assets!$N$4:$BK$4,0)),"n.a.")</f>
        <v>0.34526850605844212</v>
      </c>
      <c r="AC86" s="764">
        <f>IF(APA_projects[[#This Row],[Status]]=1,($B$22-APA_projects[[#This Row],[Commissioning]])/365,"n.a.")</f>
        <v>21.597260273972601</v>
      </c>
    </row>
    <row r="87" spans="2:29" x14ac:dyDescent="0.2">
      <c r="B87" s="760" t="s">
        <v>685</v>
      </c>
      <c r="C87" s="760" t="s">
        <v>684</v>
      </c>
      <c r="D87" s="763">
        <v>0.5</v>
      </c>
      <c r="E87" s="760" t="s">
        <v>678</v>
      </c>
      <c r="F87" s="760">
        <v>1</v>
      </c>
      <c r="G87" s="760" t="s">
        <v>683</v>
      </c>
      <c r="H87" s="761">
        <v>0</v>
      </c>
      <c r="I87" s="771">
        <f>APA_projects[[#This Row],[Size1]]*APA_projects[[#This Row],[Construction cost/km (estimated)]]</f>
        <v>64.437906650964635</v>
      </c>
      <c r="J87" s="761">
        <v>245</v>
      </c>
      <c r="K87" s="764">
        <f>IF(APA_projects[[#This Row],[Status]]=1,APA_projects[[#This Row],[APA o''ship (%)]]*(APA_projects[[#This Row],[Construction cost]]*(1-APA_projects[[#This Row],[Age]]/APA_projects[[#This Row],[Useful life]])),"n.a.")</f>
        <v>29.647742138372397</v>
      </c>
      <c r="L87" s="761">
        <v>83</v>
      </c>
      <c r="M87" s="760" t="s">
        <v>682</v>
      </c>
      <c r="N87" s="760"/>
      <c r="O87" s="760"/>
      <c r="P87" s="757">
        <v>42491</v>
      </c>
      <c r="Q87" s="770">
        <v>41061</v>
      </c>
      <c r="R87" s="769">
        <f>IF(APA_projects[[#This Row],[Type]]="pipeline",$R$20,IF(APA_projects[[#This Row],[Type]]="power station",25,40))</f>
        <v>70</v>
      </c>
      <c r="S87" s="769">
        <v>25</v>
      </c>
      <c r="T87" s="769">
        <v>15</v>
      </c>
      <c r="U87" s="768">
        <f>(APA_projects[[#This Row],[Commissioning]]+APA_projects[[#This Row],[Useful life]]*365)</f>
        <v>66611</v>
      </c>
      <c r="V87" s="768">
        <f>APA_projects[[#This Row],[Commissioning]]+APA_projects[[#This Row],[Contract life]]*365</f>
        <v>46536</v>
      </c>
      <c r="W87" s="767" t="s">
        <v>681</v>
      </c>
      <c r="X87" s="760"/>
      <c r="Y87" s="757" t="s">
        <v>680</v>
      </c>
      <c r="Z87" s="757"/>
      <c r="AA87" s="765"/>
      <c r="AB87" s="765">
        <f>IF(APA_projects[[#This Row],[Type]]="pipeline",INDEX(Assets!$N$8:$BK$8,MATCH(DATE(YEAR(APA_projects[[#This Row],[Commissioning]]),12,1),Assets!$N$4:$BK$4,0)),"n.a.")</f>
        <v>0.77636032109595943</v>
      </c>
      <c r="AC87" s="764">
        <f>IF(APA_projects[[#This Row],[Status]]=1,($B$22-APA_projects[[#This Row],[Commissioning]])/365,"n.a.")</f>
        <v>5.5863013698630137</v>
      </c>
    </row>
    <row r="88" spans="2:29" x14ac:dyDescent="0.2">
      <c r="B88" s="760" t="s">
        <v>679</v>
      </c>
      <c r="C88" s="760" t="s">
        <v>570</v>
      </c>
      <c r="D88" s="763">
        <v>1</v>
      </c>
      <c r="E88" s="760" t="s">
        <v>678</v>
      </c>
      <c r="F88" s="760">
        <v>0</v>
      </c>
      <c r="G88" s="760" t="s">
        <v>677</v>
      </c>
      <c r="H88" s="760">
        <v>0</v>
      </c>
      <c r="I88" s="761">
        <v>250</v>
      </c>
      <c r="J88" s="761">
        <v>20</v>
      </c>
      <c r="K88" s="764" t="str">
        <f>IF(APA_projects[[#This Row],[Status]]=1,APA_projects[[#This Row],[APA o''ship (%)]]*(APA_projects[[#This Row],[Construction cost]]*(1-APA_projects[[#This Row],[Age]]/APA_projects[[#This Row],[Useful life]])),"n.a.")</f>
        <v>n.a.</v>
      </c>
      <c r="L88" s="761"/>
      <c r="M88" s="760"/>
      <c r="N88" s="760"/>
      <c r="O88" s="760"/>
      <c r="P88" s="757">
        <v>42887</v>
      </c>
      <c r="Q88" s="757">
        <v>43617</v>
      </c>
      <c r="R88" s="769">
        <f>IF(APA_projects[[#This Row],[Type]]="pipeline",$R$20,IF(APA_projects[[#This Row],[Type]]="power station",25,40))</f>
        <v>40</v>
      </c>
      <c r="S88" s="769">
        <v>25</v>
      </c>
      <c r="T88" s="761">
        <v>15</v>
      </c>
      <c r="U88" s="768">
        <f>(APA_projects[[#This Row],[Commissioning]]+APA_projects[[#This Row],[Useful life]]*365)</f>
        <v>58217</v>
      </c>
      <c r="V88" s="768">
        <f>APA_projects[[#This Row],[Commissioning]]+APA_projects[[#This Row],[Contract life]]*365</f>
        <v>49092</v>
      </c>
      <c r="W88" s="767" t="s">
        <v>676</v>
      </c>
      <c r="X88" s="760"/>
      <c r="Y88" s="757" t="s">
        <v>675</v>
      </c>
      <c r="Z88" s="757"/>
      <c r="AA88" s="766"/>
      <c r="AB88" s="765"/>
      <c r="AC88" s="764"/>
    </row>
    <row r="89" spans="2:29" x14ac:dyDescent="0.2">
      <c r="B89" s="760"/>
      <c r="C89" s="760"/>
      <c r="D89" s="763"/>
      <c r="E89" s="760"/>
      <c r="F89" s="760"/>
      <c r="G89" s="760"/>
      <c r="H89" s="760"/>
      <c r="I89" s="761"/>
      <c r="J89" s="760"/>
      <c r="K89" s="762"/>
      <c r="L89" s="761"/>
      <c r="M89" s="760"/>
      <c r="N89" s="760"/>
      <c r="O89" s="760"/>
      <c r="P89" s="757"/>
      <c r="Q89" s="757"/>
      <c r="R89" s="760"/>
      <c r="S89" s="760"/>
      <c r="T89" s="761"/>
      <c r="U89" s="761">
        <f>(APA_projects[[#This Row],[Commissioning]]+APA_projects[[#This Row],[Useful life]]*365)</f>
        <v>0</v>
      </c>
      <c r="V89" s="760"/>
      <c r="W89" s="760"/>
      <c r="X89" s="760"/>
      <c r="Y89" s="757"/>
      <c r="Z89" s="757"/>
      <c r="AA89" s="759"/>
      <c r="AB89" s="758"/>
      <c r="AC89" s="757"/>
    </row>
    <row r="90" spans="2:29" x14ac:dyDescent="0.2">
      <c r="B90" s="760"/>
      <c r="C90" s="760"/>
      <c r="D90" s="763"/>
      <c r="E90" s="760"/>
      <c r="F90" s="760"/>
      <c r="G90" s="760"/>
      <c r="H90" s="760"/>
      <c r="I90" s="761"/>
      <c r="J90" s="760"/>
      <c r="K90" s="762"/>
      <c r="L90" s="761"/>
      <c r="M90" s="760"/>
      <c r="N90" s="760"/>
      <c r="O90" s="760"/>
      <c r="P90" s="757"/>
      <c r="Q90" s="757"/>
      <c r="R90" s="760"/>
      <c r="S90" s="760"/>
      <c r="T90" s="761"/>
      <c r="U90" s="761">
        <f>(APA_projects[[#This Row],[Commissioning]]+APA_projects[[#This Row],[Useful life]]*365)</f>
        <v>0</v>
      </c>
      <c r="V90" s="760"/>
      <c r="W90" s="760"/>
      <c r="X90" s="760"/>
      <c r="Y90" s="757"/>
      <c r="Z90" s="757"/>
      <c r="AA90" s="759"/>
      <c r="AB90" s="758"/>
      <c r="AC90" s="757"/>
    </row>
  </sheetData>
  <phoneticPr fontId="0" type="noConversion"/>
  <hyperlinks>
    <hyperlink ref="B5" r:id="rId1"/>
    <hyperlink ref="B6" r:id="rId2"/>
  </hyperlinks>
  <pageMargins left="0.75" right="0.75" top="1" bottom="1" header="0.5" footer="0.5"/>
  <pageSetup paperSize="9" orientation="portrait" horizontalDpi="300" verticalDpi="300" r:id="rId3"/>
  <headerFooter alignWithMargins="0"/>
  <legacyDrawing r:id="rId4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rgb="FF137CB1"/>
    <pageSetUpPr fitToPage="1"/>
  </sheetPr>
  <dimension ref="A1:EZ363"/>
  <sheetViews>
    <sheetView showGridLines="0" zoomScaleNormal="100" workbookViewId="0">
      <selection activeCell="AN54" sqref="AN54"/>
    </sheetView>
  </sheetViews>
  <sheetFormatPr defaultRowHeight="11.25" outlineLevelRow="1" outlineLevelCol="1" x14ac:dyDescent="0.2"/>
  <cols>
    <col min="1" max="1" width="1" style="8" customWidth="1"/>
    <col min="2" max="2" width="34.1640625" style="8" customWidth="1"/>
    <col min="3" max="3" width="1" style="8" customWidth="1"/>
    <col min="4" max="14" width="9.33203125" style="9" hidden="1" customWidth="1" outlineLevel="1"/>
    <col min="15" max="15" width="9.33203125" style="9" hidden="1" customWidth="1" outlineLevel="1" collapsed="1"/>
    <col min="16" max="17" width="9.33203125" style="9" hidden="1" customWidth="1" outlineLevel="1"/>
    <col min="18" max="18" width="9.33203125" style="9" hidden="1" customWidth="1" outlineLevel="1" collapsed="1"/>
    <col min="19" max="20" width="9.33203125" style="9" hidden="1" customWidth="1" outlineLevel="1"/>
    <col min="21" max="21" width="9.33203125" style="9" customWidth="1" collapsed="1"/>
    <col min="22" max="26" width="9.33203125" style="9" customWidth="1"/>
    <col min="27" max="94" width="9.33203125" style="9" customWidth="1" outlineLevel="1"/>
    <col min="95" max="95" width="3.83203125" style="8" customWidth="1"/>
    <col min="96" max="96" width="9.6640625" style="8" bestFit="1" customWidth="1"/>
    <col min="97" max="98" width="9.33203125" style="8"/>
    <col min="99" max="99" width="63.5" customWidth="1" outlineLevel="1"/>
    <col min="100" max="102" width="9.33203125" customWidth="1" outlineLevel="1"/>
    <col min="103" max="103" width="9.33203125" customWidth="1" outlineLevel="1" collapsed="1"/>
    <col min="104" max="104" width="9.33203125" customWidth="1" outlineLevel="1"/>
    <col min="105" max="105" width="9.33203125" style="8"/>
    <col min="106" max="106" width="33.33203125" style="8" customWidth="1"/>
    <col min="107" max="107" width="1" style="8" customWidth="1"/>
    <col min="108" max="113" width="9.33203125" style="9" hidden="1" customWidth="1" outlineLevel="1"/>
    <col min="114" max="114" width="9.33203125" style="9" collapsed="1"/>
    <col min="115" max="115" width="9.33203125" style="9"/>
    <col min="116" max="117" width="9.33203125" style="8"/>
    <col min="118" max="118" width="10.1640625" style="8" bestFit="1" customWidth="1"/>
    <col min="119" max="119" width="9.33203125" style="8"/>
    <col min="120" max="120" width="10.1640625" style="8" bestFit="1" customWidth="1"/>
    <col min="121" max="124" width="9.33203125" style="8"/>
    <col min="125" max="126" width="9.33203125" style="8" hidden="1" customWidth="1"/>
    <col min="127" max="128" width="9.33203125" style="8" customWidth="1"/>
    <col min="129" max="16384" width="9.33203125" style="8"/>
  </cols>
  <sheetData>
    <row r="1" spans="1:123" s="218" customFormat="1" ht="15.75" x14ac:dyDescent="0.25">
      <c r="A1" s="232" t="s">
        <v>213</v>
      </c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U1"/>
      <c r="CV1"/>
      <c r="CW1"/>
      <c r="CX1"/>
      <c r="CY1"/>
      <c r="CZ1"/>
      <c r="DD1" s="66"/>
      <c r="DE1" s="66"/>
      <c r="DF1" s="66"/>
      <c r="DG1" s="66"/>
      <c r="DH1" s="66"/>
      <c r="DI1" s="66"/>
      <c r="DJ1" s="66"/>
      <c r="DK1" s="66"/>
    </row>
    <row r="2" spans="1:123" x14ac:dyDescent="0.2">
      <c r="CQ2" s="9"/>
    </row>
    <row r="3" spans="1:123" x14ac:dyDescent="0.2">
      <c r="A3" s="233"/>
      <c r="B3" s="728" t="s">
        <v>10</v>
      </c>
      <c r="C3" s="312"/>
      <c r="D3" s="312"/>
      <c r="E3" s="312"/>
      <c r="F3" s="312">
        <v>36707</v>
      </c>
      <c r="G3" s="312">
        <f t="shared" ref="G3:AL3" si="0">DATE(YEAR(F3)+1,6,30)</f>
        <v>37072</v>
      </c>
      <c r="H3" s="312">
        <f t="shared" si="0"/>
        <v>37437</v>
      </c>
      <c r="I3" s="312">
        <f t="shared" si="0"/>
        <v>37802</v>
      </c>
      <c r="J3" s="312">
        <f t="shared" si="0"/>
        <v>38168</v>
      </c>
      <c r="K3" s="312">
        <f t="shared" si="0"/>
        <v>38533</v>
      </c>
      <c r="L3" s="312">
        <f t="shared" si="0"/>
        <v>38898</v>
      </c>
      <c r="M3" s="312">
        <f t="shared" si="0"/>
        <v>39263</v>
      </c>
      <c r="N3" s="312">
        <f t="shared" si="0"/>
        <v>39629</v>
      </c>
      <c r="O3" s="312">
        <f t="shared" si="0"/>
        <v>39994</v>
      </c>
      <c r="P3" s="312">
        <f t="shared" si="0"/>
        <v>40359</v>
      </c>
      <c r="Q3" s="312">
        <f t="shared" si="0"/>
        <v>40724</v>
      </c>
      <c r="R3" s="312">
        <f t="shared" si="0"/>
        <v>41090</v>
      </c>
      <c r="S3" s="312">
        <f t="shared" si="0"/>
        <v>41455</v>
      </c>
      <c r="T3" s="312">
        <f t="shared" si="0"/>
        <v>41820</v>
      </c>
      <c r="U3" s="312">
        <f t="shared" si="0"/>
        <v>42185</v>
      </c>
      <c r="V3" s="312">
        <f t="shared" si="0"/>
        <v>42551</v>
      </c>
      <c r="W3" s="312">
        <f t="shared" si="0"/>
        <v>42916</v>
      </c>
      <c r="X3" s="312">
        <f t="shared" si="0"/>
        <v>43281</v>
      </c>
      <c r="Y3" s="312">
        <f t="shared" si="0"/>
        <v>43646</v>
      </c>
      <c r="Z3" s="312">
        <f t="shared" si="0"/>
        <v>44012</v>
      </c>
      <c r="AA3" s="312">
        <f t="shared" si="0"/>
        <v>44377</v>
      </c>
      <c r="AB3" s="312">
        <f t="shared" si="0"/>
        <v>44742</v>
      </c>
      <c r="AC3" s="312">
        <f t="shared" si="0"/>
        <v>45107</v>
      </c>
      <c r="AD3" s="312">
        <f t="shared" si="0"/>
        <v>45473</v>
      </c>
      <c r="AE3" s="312">
        <f t="shared" si="0"/>
        <v>45838</v>
      </c>
      <c r="AF3" s="312">
        <f t="shared" si="0"/>
        <v>46203</v>
      </c>
      <c r="AG3" s="312">
        <f t="shared" si="0"/>
        <v>46568</v>
      </c>
      <c r="AH3" s="312">
        <f t="shared" si="0"/>
        <v>46934</v>
      </c>
      <c r="AI3" s="312">
        <f t="shared" si="0"/>
        <v>47299</v>
      </c>
      <c r="AJ3" s="312">
        <f t="shared" si="0"/>
        <v>47664</v>
      </c>
      <c r="AK3" s="312">
        <f t="shared" si="0"/>
        <v>48029</v>
      </c>
      <c r="AL3" s="312">
        <f t="shared" si="0"/>
        <v>48395</v>
      </c>
      <c r="AM3" s="312">
        <f t="shared" ref="AM3:BD3" si="1">DATE(YEAR(AL3)+1,6,30)</f>
        <v>48760</v>
      </c>
      <c r="AN3" s="312">
        <f t="shared" si="1"/>
        <v>49125</v>
      </c>
      <c r="AO3" s="312">
        <f t="shared" si="1"/>
        <v>49490</v>
      </c>
      <c r="AP3" s="312">
        <f t="shared" si="1"/>
        <v>49856</v>
      </c>
      <c r="AQ3" s="312">
        <f t="shared" si="1"/>
        <v>50221</v>
      </c>
      <c r="AR3" s="312">
        <f t="shared" si="1"/>
        <v>50586</v>
      </c>
      <c r="AS3" s="312">
        <f t="shared" si="1"/>
        <v>50951</v>
      </c>
      <c r="AT3" s="312">
        <f t="shared" si="1"/>
        <v>51317</v>
      </c>
      <c r="AU3" s="312">
        <f t="shared" si="1"/>
        <v>51682</v>
      </c>
      <c r="AV3" s="312">
        <f t="shared" si="1"/>
        <v>52047</v>
      </c>
      <c r="AW3" s="312">
        <f t="shared" si="1"/>
        <v>52412</v>
      </c>
      <c r="AX3" s="312">
        <f t="shared" si="1"/>
        <v>52778</v>
      </c>
      <c r="AY3" s="312">
        <f t="shared" si="1"/>
        <v>53143</v>
      </c>
      <c r="AZ3" s="312">
        <f t="shared" si="1"/>
        <v>53508</v>
      </c>
      <c r="BA3" s="312">
        <f t="shared" si="1"/>
        <v>53873</v>
      </c>
      <c r="BB3" s="312">
        <f t="shared" si="1"/>
        <v>54239</v>
      </c>
      <c r="BC3" s="312">
        <f t="shared" si="1"/>
        <v>54604</v>
      </c>
      <c r="BD3" s="312">
        <f t="shared" si="1"/>
        <v>54969</v>
      </c>
      <c r="BE3" s="312">
        <f t="shared" ref="BE3:CP3" si="2">DATE(YEAR(BD3)+1,6,30)</f>
        <v>55334</v>
      </c>
      <c r="BF3" s="312">
        <f t="shared" si="2"/>
        <v>55700</v>
      </c>
      <c r="BG3" s="312">
        <f t="shared" si="2"/>
        <v>56065</v>
      </c>
      <c r="BH3" s="312">
        <f t="shared" si="2"/>
        <v>56430</v>
      </c>
      <c r="BI3" s="312">
        <f t="shared" si="2"/>
        <v>56795</v>
      </c>
      <c r="BJ3" s="312">
        <f t="shared" si="2"/>
        <v>57161</v>
      </c>
      <c r="BK3" s="312">
        <f t="shared" si="2"/>
        <v>57526</v>
      </c>
      <c r="BL3" s="312">
        <f t="shared" si="2"/>
        <v>57891</v>
      </c>
      <c r="BM3" s="312">
        <f t="shared" si="2"/>
        <v>58256</v>
      </c>
      <c r="BN3" s="312">
        <f t="shared" si="2"/>
        <v>58622</v>
      </c>
      <c r="BO3" s="312">
        <f t="shared" si="2"/>
        <v>58987</v>
      </c>
      <c r="BP3" s="312">
        <f t="shared" si="2"/>
        <v>59352</v>
      </c>
      <c r="BQ3" s="312">
        <f t="shared" si="2"/>
        <v>59717</v>
      </c>
      <c r="BR3" s="312">
        <f t="shared" si="2"/>
        <v>60083</v>
      </c>
      <c r="BS3" s="312">
        <f t="shared" si="2"/>
        <v>60448</v>
      </c>
      <c r="BT3" s="312">
        <f t="shared" si="2"/>
        <v>60813</v>
      </c>
      <c r="BU3" s="312">
        <f t="shared" si="2"/>
        <v>61178</v>
      </c>
      <c r="BV3" s="312">
        <f t="shared" si="2"/>
        <v>61544</v>
      </c>
      <c r="BW3" s="312">
        <f t="shared" si="2"/>
        <v>61909</v>
      </c>
      <c r="BX3" s="312">
        <f t="shared" si="2"/>
        <v>62274</v>
      </c>
      <c r="BY3" s="312">
        <f t="shared" si="2"/>
        <v>62639</v>
      </c>
      <c r="BZ3" s="312">
        <f t="shared" si="2"/>
        <v>63005</v>
      </c>
      <c r="CA3" s="312">
        <f t="shared" si="2"/>
        <v>63370</v>
      </c>
      <c r="CB3" s="312">
        <f t="shared" si="2"/>
        <v>63735</v>
      </c>
      <c r="CC3" s="312">
        <f t="shared" si="2"/>
        <v>64100</v>
      </c>
      <c r="CD3" s="312">
        <f t="shared" si="2"/>
        <v>64466</v>
      </c>
      <c r="CE3" s="312">
        <f t="shared" si="2"/>
        <v>64831</v>
      </c>
      <c r="CF3" s="312">
        <f t="shared" si="2"/>
        <v>65196</v>
      </c>
      <c r="CG3" s="312">
        <f t="shared" si="2"/>
        <v>65561</v>
      </c>
      <c r="CH3" s="312">
        <f t="shared" si="2"/>
        <v>65927</v>
      </c>
      <c r="CI3" s="312">
        <f t="shared" si="2"/>
        <v>66292</v>
      </c>
      <c r="CJ3" s="312">
        <f t="shared" si="2"/>
        <v>66657</v>
      </c>
      <c r="CK3" s="312">
        <f t="shared" si="2"/>
        <v>67022</v>
      </c>
      <c r="CL3" s="312">
        <f t="shared" si="2"/>
        <v>67388</v>
      </c>
      <c r="CM3" s="312">
        <f t="shared" si="2"/>
        <v>67753</v>
      </c>
      <c r="CN3" s="312">
        <f t="shared" si="2"/>
        <v>68118</v>
      </c>
      <c r="CO3" s="312">
        <f t="shared" si="2"/>
        <v>68483</v>
      </c>
      <c r="CP3" s="312">
        <f t="shared" si="2"/>
        <v>68849</v>
      </c>
      <c r="CQ3" s="23"/>
      <c r="DB3" s="728" t="s">
        <v>10</v>
      </c>
      <c r="DD3" s="312">
        <v>40908</v>
      </c>
      <c r="DE3" s="312">
        <v>41090</v>
      </c>
      <c r="DF3" s="730">
        <f t="shared" ref="DF3:DQ3" si="3">DATE(YEAR(DD3)+1,MONTH(DD3),DAY(DD3))</f>
        <v>41274</v>
      </c>
      <c r="DG3" s="730">
        <f t="shared" si="3"/>
        <v>41455</v>
      </c>
      <c r="DH3" s="730">
        <f t="shared" si="3"/>
        <v>41639</v>
      </c>
      <c r="DI3" s="730">
        <f t="shared" si="3"/>
        <v>41820</v>
      </c>
      <c r="DJ3" s="730">
        <f t="shared" si="3"/>
        <v>42004</v>
      </c>
      <c r="DK3" s="730">
        <f t="shared" si="3"/>
        <v>42185</v>
      </c>
      <c r="DL3" s="730">
        <f t="shared" si="3"/>
        <v>42369</v>
      </c>
      <c r="DM3" s="730">
        <f t="shared" si="3"/>
        <v>42551</v>
      </c>
      <c r="DN3" s="730">
        <f t="shared" si="3"/>
        <v>42735</v>
      </c>
      <c r="DO3" s="730">
        <f t="shared" si="3"/>
        <v>42916</v>
      </c>
      <c r="DP3" s="730">
        <f t="shared" si="3"/>
        <v>43100</v>
      </c>
      <c r="DQ3" s="730">
        <f t="shared" si="3"/>
        <v>43281</v>
      </c>
      <c r="DR3" s="730"/>
      <c r="DS3" s="730"/>
    </row>
    <row r="4" spans="1:123" customFormat="1" x14ac:dyDescent="0.2"/>
    <row r="5" spans="1:123" x14ac:dyDescent="0.2">
      <c r="CQ5" s="23" t="s">
        <v>77</v>
      </c>
    </row>
    <row r="6" spans="1:123" x14ac:dyDescent="0.2">
      <c r="A6" s="233"/>
      <c r="B6" s="728" t="s">
        <v>49</v>
      </c>
      <c r="C6" s="312"/>
      <c r="D6" s="312"/>
      <c r="E6" s="312"/>
      <c r="F6" s="312">
        <v>36891</v>
      </c>
      <c r="G6" s="312">
        <f t="shared" ref="G6:AL6" si="4">DATE(YEAR(F6)+1,12,31)</f>
        <v>37256</v>
      </c>
      <c r="H6" s="312">
        <f t="shared" si="4"/>
        <v>37621</v>
      </c>
      <c r="I6" s="312">
        <f t="shared" si="4"/>
        <v>37986</v>
      </c>
      <c r="J6" s="312">
        <f t="shared" si="4"/>
        <v>38352</v>
      </c>
      <c r="K6" s="312">
        <f t="shared" si="4"/>
        <v>38717</v>
      </c>
      <c r="L6" s="312">
        <f t="shared" si="4"/>
        <v>39082</v>
      </c>
      <c r="M6" s="312">
        <f t="shared" si="4"/>
        <v>39447</v>
      </c>
      <c r="N6" s="312">
        <f t="shared" si="4"/>
        <v>39813</v>
      </c>
      <c r="O6" s="312">
        <f t="shared" si="4"/>
        <v>40178</v>
      </c>
      <c r="P6" s="312">
        <f t="shared" si="4"/>
        <v>40543</v>
      </c>
      <c r="Q6" s="312">
        <f t="shared" si="4"/>
        <v>40908</v>
      </c>
      <c r="R6" s="312">
        <f t="shared" si="4"/>
        <v>41274</v>
      </c>
      <c r="S6" s="312">
        <f t="shared" si="4"/>
        <v>41639</v>
      </c>
      <c r="T6" s="312">
        <f t="shared" si="4"/>
        <v>42004</v>
      </c>
      <c r="U6" s="312">
        <f t="shared" si="4"/>
        <v>42369</v>
      </c>
      <c r="V6" s="312">
        <f t="shared" si="4"/>
        <v>42735</v>
      </c>
      <c r="W6" s="312">
        <f t="shared" si="4"/>
        <v>43100</v>
      </c>
      <c r="X6" s="312">
        <f t="shared" si="4"/>
        <v>43465</v>
      </c>
      <c r="Y6" s="312">
        <f t="shared" si="4"/>
        <v>43830</v>
      </c>
      <c r="Z6" s="312">
        <f t="shared" si="4"/>
        <v>44196</v>
      </c>
      <c r="AA6" s="312">
        <f t="shared" si="4"/>
        <v>44561</v>
      </c>
      <c r="AB6" s="312">
        <f t="shared" si="4"/>
        <v>44926</v>
      </c>
      <c r="AC6" s="312">
        <f t="shared" si="4"/>
        <v>45291</v>
      </c>
      <c r="AD6" s="312">
        <f t="shared" si="4"/>
        <v>45657</v>
      </c>
      <c r="AE6" s="312">
        <f t="shared" si="4"/>
        <v>46022</v>
      </c>
      <c r="AF6" s="312">
        <f t="shared" si="4"/>
        <v>46387</v>
      </c>
      <c r="AG6" s="312">
        <f t="shared" si="4"/>
        <v>46752</v>
      </c>
      <c r="AH6" s="312">
        <f t="shared" si="4"/>
        <v>47118</v>
      </c>
      <c r="AI6" s="312">
        <f t="shared" si="4"/>
        <v>47483</v>
      </c>
      <c r="AJ6" s="312">
        <f t="shared" si="4"/>
        <v>47848</v>
      </c>
      <c r="AK6" s="312">
        <f t="shared" si="4"/>
        <v>48213</v>
      </c>
      <c r="AL6" s="312">
        <f t="shared" si="4"/>
        <v>48579</v>
      </c>
      <c r="AM6" s="312">
        <f t="shared" ref="AM6:BD6" si="5">DATE(YEAR(AL6)+1,12,31)</f>
        <v>48944</v>
      </c>
      <c r="AN6" s="312">
        <f t="shared" si="5"/>
        <v>49309</v>
      </c>
      <c r="AO6" s="312">
        <f t="shared" si="5"/>
        <v>49674</v>
      </c>
      <c r="AP6" s="312">
        <f t="shared" si="5"/>
        <v>50040</v>
      </c>
      <c r="AQ6" s="312">
        <f t="shared" si="5"/>
        <v>50405</v>
      </c>
      <c r="AR6" s="312">
        <f t="shared" si="5"/>
        <v>50770</v>
      </c>
      <c r="AS6" s="312">
        <f t="shared" si="5"/>
        <v>51135</v>
      </c>
      <c r="AT6" s="312">
        <f t="shared" si="5"/>
        <v>51501</v>
      </c>
      <c r="AU6" s="312">
        <f t="shared" si="5"/>
        <v>51866</v>
      </c>
      <c r="AV6" s="312">
        <f t="shared" si="5"/>
        <v>52231</v>
      </c>
      <c r="AW6" s="312">
        <f t="shared" si="5"/>
        <v>52596</v>
      </c>
      <c r="AX6" s="312">
        <f t="shared" si="5"/>
        <v>52962</v>
      </c>
      <c r="AY6" s="312">
        <f t="shared" si="5"/>
        <v>53327</v>
      </c>
      <c r="AZ6" s="312">
        <f t="shared" si="5"/>
        <v>53692</v>
      </c>
      <c r="BA6" s="312">
        <f t="shared" si="5"/>
        <v>54057</v>
      </c>
      <c r="BB6" s="312">
        <f t="shared" si="5"/>
        <v>54423</v>
      </c>
      <c r="BC6" s="312">
        <f t="shared" si="5"/>
        <v>54788</v>
      </c>
      <c r="BD6" s="312">
        <f t="shared" si="5"/>
        <v>55153</v>
      </c>
      <c r="BE6" s="312">
        <f t="shared" ref="BE6:CP6" si="6">DATE(YEAR(BD6)+1,12,31)</f>
        <v>55518</v>
      </c>
      <c r="BF6" s="312">
        <f t="shared" si="6"/>
        <v>55884</v>
      </c>
      <c r="BG6" s="312">
        <f t="shared" si="6"/>
        <v>56249</v>
      </c>
      <c r="BH6" s="312">
        <f t="shared" si="6"/>
        <v>56614</v>
      </c>
      <c r="BI6" s="312">
        <f t="shared" si="6"/>
        <v>56979</v>
      </c>
      <c r="BJ6" s="312">
        <f t="shared" si="6"/>
        <v>57345</v>
      </c>
      <c r="BK6" s="312">
        <f t="shared" si="6"/>
        <v>57710</v>
      </c>
      <c r="BL6" s="312">
        <f t="shared" si="6"/>
        <v>58075</v>
      </c>
      <c r="BM6" s="312">
        <f t="shared" si="6"/>
        <v>58440</v>
      </c>
      <c r="BN6" s="312">
        <f t="shared" si="6"/>
        <v>58806</v>
      </c>
      <c r="BO6" s="312">
        <f t="shared" si="6"/>
        <v>59171</v>
      </c>
      <c r="BP6" s="312">
        <f t="shared" si="6"/>
        <v>59536</v>
      </c>
      <c r="BQ6" s="312">
        <f t="shared" si="6"/>
        <v>59901</v>
      </c>
      <c r="BR6" s="312">
        <f t="shared" si="6"/>
        <v>60267</v>
      </c>
      <c r="BS6" s="312">
        <f t="shared" si="6"/>
        <v>60632</v>
      </c>
      <c r="BT6" s="312">
        <f t="shared" si="6"/>
        <v>60997</v>
      </c>
      <c r="BU6" s="312">
        <f t="shared" si="6"/>
        <v>61362</v>
      </c>
      <c r="BV6" s="312">
        <f t="shared" si="6"/>
        <v>61728</v>
      </c>
      <c r="BW6" s="312">
        <f t="shared" si="6"/>
        <v>62093</v>
      </c>
      <c r="BX6" s="312">
        <f t="shared" si="6"/>
        <v>62458</v>
      </c>
      <c r="BY6" s="312">
        <f t="shared" si="6"/>
        <v>62823</v>
      </c>
      <c r="BZ6" s="312">
        <f t="shared" si="6"/>
        <v>63189</v>
      </c>
      <c r="CA6" s="312">
        <f t="shared" si="6"/>
        <v>63554</v>
      </c>
      <c r="CB6" s="312">
        <f t="shared" si="6"/>
        <v>63919</v>
      </c>
      <c r="CC6" s="312">
        <f t="shared" si="6"/>
        <v>64284</v>
      </c>
      <c r="CD6" s="312">
        <f t="shared" si="6"/>
        <v>64650</v>
      </c>
      <c r="CE6" s="312">
        <f t="shared" si="6"/>
        <v>65015</v>
      </c>
      <c r="CF6" s="312">
        <f t="shared" si="6"/>
        <v>65380</v>
      </c>
      <c r="CG6" s="312">
        <f t="shared" si="6"/>
        <v>65745</v>
      </c>
      <c r="CH6" s="312">
        <f t="shared" si="6"/>
        <v>66111</v>
      </c>
      <c r="CI6" s="312">
        <f t="shared" si="6"/>
        <v>66476</v>
      </c>
      <c r="CJ6" s="312">
        <f t="shared" si="6"/>
        <v>66841</v>
      </c>
      <c r="CK6" s="312">
        <f t="shared" si="6"/>
        <v>67206</v>
      </c>
      <c r="CL6" s="312">
        <f t="shared" si="6"/>
        <v>67572</v>
      </c>
      <c r="CM6" s="312">
        <f t="shared" si="6"/>
        <v>67937</v>
      </c>
      <c r="CN6" s="312">
        <f t="shared" si="6"/>
        <v>68302</v>
      </c>
      <c r="CO6" s="312">
        <f t="shared" si="6"/>
        <v>68667</v>
      </c>
      <c r="CP6" s="312">
        <f t="shared" si="6"/>
        <v>69033</v>
      </c>
      <c r="CQ6" s="23" t="s">
        <v>77</v>
      </c>
      <c r="DD6" s="8"/>
      <c r="DE6" s="8"/>
      <c r="DF6" s="8"/>
      <c r="DG6" s="8"/>
      <c r="DH6" s="8"/>
      <c r="DI6" s="8"/>
      <c r="DJ6" s="8"/>
      <c r="DK6" s="8"/>
    </row>
    <row r="7" spans="1:123" s="98" customFormat="1" x14ac:dyDescent="0.2">
      <c r="B7" s="14" t="s">
        <v>11</v>
      </c>
      <c r="C7" s="15"/>
      <c r="D7" s="15"/>
      <c r="E7" s="15"/>
      <c r="F7" s="15" t="str">
        <f t="shared" ref="F7:AK7" si="7">"CY"&amp;RIGHT(YEAR(F6),2)</f>
        <v>CY00</v>
      </c>
      <c r="G7" s="15" t="str">
        <f t="shared" si="7"/>
        <v>CY01</v>
      </c>
      <c r="H7" s="15" t="str">
        <f t="shared" si="7"/>
        <v>CY02</v>
      </c>
      <c r="I7" s="15" t="str">
        <f t="shared" si="7"/>
        <v>CY03</v>
      </c>
      <c r="J7" s="15" t="str">
        <f t="shared" si="7"/>
        <v>CY04</v>
      </c>
      <c r="K7" s="15" t="str">
        <f t="shared" si="7"/>
        <v>CY05</v>
      </c>
      <c r="L7" s="15" t="str">
        <f t="shared" si="7"/>
        <v>CY06</v>
      </c>
      <c r="M7" s="15" t="str">
        <f t="shared" si="7"/>
        <v>CY07</v>
      </c>
      <c r="N7" s="15" t="str">
        <f t="shared" si="7"/>
        <v>CY08</v>
      </c>
      <c r="O7" s="15" t="str">
        <f t="shared" si="7"/>
        <v>CY09</v>
      </c>
      <c r="P7" s="15" t="str">
        <f t="shared" si="7"/>
        <v>CY10</v>
      </c>
      <c r="Q7" s="15" t="str">
        <f t="shared" si="7"/>
        <v>CY11</v>
      </c>
      <c r="R7" s="15" t="str">
        <f t="shared" si="7"/>
        <v>CY12</v>
      </c>
      <c r="S7" s="15" t="str">
        <f t="shared" si="7"/>
        <v>CY13</v>
      </c>
      <c r="T7" s="15" t="str">
        <f t="shared" si="7"/>
        <v>CY14</v>
      </c>
      <c r="U7" s="15" t="str">
        <f t="shared" si="7"/>
        <v>CY15</v>
      </c>
      <c r="V7" s="15" t="str">
        <f t="shared" si="7"/>
        <v>CY16</v>
      </c>
      <c r="W7" s="15" t="str">
        <f t="shared" si="7"/>
        <v>CY17</v>
      </c>
      <c r="X7" s="15" t="str">
        <f t="shared" si="7"/>
        <v>CY18</v>
      </c>
      <c r="Y7" s="15" t="str">
        <f t="shared" si="7"/>
        <v>CY19</v>
      </c>
      <c r="Z7" s="15" t="str">
        <f t="shared" si="7"/>
        <v>CY20</v>
      </c>
      <c r="AA7" s="15" t="str">
        <f t="shared" si="7"/>
        <v>CY21</v>
      </c>
      <c r="AB7" s="15" t="str">
        <f t="shared" si="7"/>
        <v>CY22</v>
      </c>
      <c r="AC7" s="15" t="str">
        <f t="shared" si="7"/>
        <v>CY23</v>
      </c>
      <c r="AD7" s="15" t="str">
        <f t="shared" si="7"/>
        <v>CY24</v>
      </c>
      <c r="AE7" s="15" t="str">
        <f t="shared" si="7"/>
        <v>CY25</v>
      </c>
      <c r="AF7" s="15" t="str">
        <f t="shared" si="7"/>
        <v>CY26</v>
      </c>
      <c r="AG7" s="15" t="str">
        <f t="shared" si="7"/>
        <v>CY27</v>
      </c>
      <c r="AH7" s="15" t="str">
        <f t="shared" si="7"/>
        <v>CY28</v>
      </c>
      <c r="AI7" s="15" t="str">
        <f t="shared" si="7"/>
        <v>CY29</v>
      </c>
      <c r="AJ7" s="15" t="str">
        <f t="shared" si="7"/>
        <v>CY30</v>
      </c>
      <c r="AK7" s="15" t="str">
        <f t="shared" si="7"/>
        <v>CY31</v>
      </c>
      <c r="AL7" s="15" t="str">
        <f t="shared" ref="AL7:BD7" si="8">"CY"&amp;RIGHT(YEAR(AL6),2)</f>
        <v>CY32</v>
      </c>
      <c r="AM7" s="15" t="str">
        <f t="shared" si="8"/>
        <v>CY33</v>
      </c>
      <c r="AN7" s="15" t="str">
        <f t="shared" si="8"/>
        <v>CY34</v>
      </c>
      <c r="AO7" s="15" t="str">
        <f t="shared" si="8"/>
        <v>CY35</v>
      </c>
      <c r="AP7" s="15" t="str">
        <f t="shared" si="8"/>
        <v>CY36</v>
      </c>
      <c r="AQ7" s="15" t="str">
        <f t="shared" si="8"/>
        <v>CY37</v>
      </c>
      <c r="AR7" s="15" t="str">
        <f t="shared" si="8"/>
        <v>CY38</v>
      </c>
      <c r="AS7" s="15" t="str">
        <f t="shared" si="8"/>
        <v>CY39</v>
      </c>
      <c r="AT7" s="15" t="str">
        <f t="shared" si="8"/>
        <v>CY40</v>
      </c>
      <c r="AU7" s="15" t="str">
        <f t="shared" si="8"/>
        <v>CY41</v>
      </c>
      <c r="AV7" s="15" t="str">
        <f t="shared" si="8"/>
        <v>CY42</v>
      </c>
      <c r="AW7" s="15" t="str">
        <f t="shared" si="8"/>
        <v>CY43</v>
      </c>
      <c r="AX7" s="15" t="str">
        <f t="shared" si="8"/>
        <v>CY44</v>
      </c>
      <c r="AY7" s="15" t="str">
        <f t="shared" si="8"/>
        <v>CY45</v>
      </c>
      <c r="AZ7" s="15" t="str">
        <f t="shared" si="8"/>
        <v>CY46</v>
      </c>
      <c r="BA7" s="15" t="str">
        <f t="shared" si="8"/>
        <v>CY47</v>
      </c>
      <c r="BB7" s="15" t="str">
        <f t="shared" si="8"/>
        <v>CY48</v>
      </c>
      <c r="BC7" s="15" t="str">
        <f t="shared" si="8"/>
        <v>CY49</v>
      </c>
      <c r="BD7" s="15" t="str">
        <f t="shared" si="8"/>
        <v>CY50</v>
      </c>
      <c r="BE7" s="15" t="str">
        <f t="shared" ref="BE7:CP7" si="9">"CY"&amp;RIGHT(YEAR(BE6),2)</f>
        <v>CY51</v>
      </c>
      <c r="BF7" s="15" t="str">
        <f t="shared" si="9"/>
        <v>CY52</v>
      </c>
      <c r="BG7" s="15" t="str">
        <f t="shared" si="9"/>
        <v>CY53</v>
      </c>
      <c r="BH7" s="15" t="str">
        <f t="shared" si="9"/>
        <v>CY54</v>
      </c>
      <c r="BI7" s="15" t="str">
        <f t="shared" si="9"/>
        <v>CY55</v>
      </c>
      <c r="BJ7" s="15" t="str">
        <f t="shared" si="9"/>
        <v>CY56</v>
      </c>
      <c r="BK7" s="15" t="str">
        <f t="shared" si="9"/>
        <v>CY57</v>
      </c>
      <c r="BL7" s="15" t="str">
        <f t="shared" si="9"/>
        <v>CY58</v>
      </c>
      <c r="BM7" s="15" t="str">
        <f t="shared" si="9"/>
        <v>CY59</v>
      </c>
      <c r="BN7" s="15" t="str">
        <f t="shared" si="9"/>
        <v>CY60</v>
      </c>
      <c r="BO7" s="15" t="str">
        <f t="shared" si="9"/>
        <v>CY61</v>
      </c>
      <c r="BP7" s="15" t="str">
        <f t="shared" si="9"/>
        <v>CY62</v>
      </c>
      <c r="BQ7" s="15" t="str">
        <f t="shared" si="9"/>
        <v>CY63</v>
      </c>
      <c r="BR7" s="15" t="str">
        <f t="shared" si="9"/>
        <v>CY64</v>
      </c>
      <c r="BS7" s="15" t="str">
        <f t="shared" si="9"/>
        <v>CY65</v>
      </c>
      <c r="BT7" s="15" t="str">
        <f t="shared" si="9"/>
        <v>CY66</v>
      </c>
      <c r="BU7" s="15" t="str">
        <f t="shared" si="9"/>
        <v>CY67</v>
      </c>
      <c r="BV7" s="15" t="str">
        <f t="shared" si="9"/>
        <v>CY68</v>
      </c>
      <c r="BW7" s="15" t="str">
        <f t="shared" si="9"/>
        <v>CY69</v>
      </c>
      <c r="BX7" s="15" t="str">
        <f t="shared" si="9"/>
        <v>CY70</v>
      </c>
      <c r="BY7" s="15" t="str">
        <f t="shared" si="9"/>
        <v>CY71</v>
      </c>
      <c r="BZ7" s="15" t="str">
        <f t="shared" si="9"/>
        <v>CY72</v>
      </c>
      <c r="CA7" s="15" t="str">
        <f t="shared" si="9"/>
        <v>CY73</v>
      </c>
      <c r="CB7" s="15" t="str">
        <f t="shared" si="9"/>
        <v>CY74</v>
      </c>
      <c r="CC7" s="15" t="str">
        <f t="shared" si="9"/>
        <v>CY75</v>
      </c>
      <c r="CD7" s="15" t="str">
        <f t="shared" si="9"/>
        <v>CY76</v>
      </c>
      <c r="CE7" s="15" t="str">
        <f t="shared" si="9"/>
        <v>CY77</v>
      </c>
      <c r="CF7" s="15" t="str">
        <f t="shared" si="9"/>
        <v>CY78</v>
      </c>
      <c r="CG7" s="15" t="str">
        <f t="shared" si="9"/>
        <v>CY79</v>
      </c>
      <c r="CH7" s="15" t="str">
        <f t="shared" si="9"/>
        <v>CY80</v>
      </c>
      <c r="CI7" s="15" t="str">
        <f t="shared" si="9"/>
        <v>CY81</v>
      </c>
      <c r="CJ7" s="15" t="str">
        <f t="shared" si="9"/>
        <v>CY82</v>
      </c>
      <c r="CK7" s="15" t="str">
        <f t="shared" si="9"/>
        <v>CY83</v>
      </c>
      <c r="CL7" s="15" t="str">
        <f t="shared" si="9"/>
        <v>CY84</v>
      </c>
      <c r="CM7" s="15" t="str">
        <f t="shared" si="9"/>
        <v>CY85</v>
      </c>
      <c r="CN7" s="15" t="str">
        <f t="shared" si="9"/>
        <v>CY86</v>
      </c>
      <c r="CO7" s="15" t="str">
        <f t="shared" si="9"/>
        <v>CY87</v>
      </c>
      <c r="CP7" s="15" t="str">
        <f t="shared" si="9"/>
        <v>CY88</v>
      </c>
      <c r="CQ7" s="23" t="s">
        <v>77</v>
      </c>
      <c r="CU7"/>
      <c r="CV7"/>
      <c r="CW7"/>
      <c r="CX7"/>
      <c r="CY7"/>
      <c r="CZ7"/>
      <c r="DB7" s="8"/>
      <c r="DC7" s="8"/>
      <c r="DD7" s="8"/>
      <c r="DE7" s="8"/>
      <c r="DF7" s="8"/>
      <c r="DG7" s="8"/>
      <c r="DH7" s="8"/>
      <c r="DI7" s="8"/>
      <c r="DJ7" s="8"/>
      <c r="DK7" s="8"/>
    </row>
    <row r="8" spans="1:123" ht="5.0999999999999996" customHeight="1" x14ac:dyDescent="0.2">
      <c r="B8" s="107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08"/>
      <c r="AM8" s="108"/>
      <c r="AN8" s="108"/>
      <c r="AO8" s="108"/>
      <c r="AP8" s="108"/>
      <c r="AQ8" s="108"/>
      <c r="AR8" s="108"/>
      <c r="AS8" s="108"/>
      <c r="AT8" s="108"/>
      <c r="AU8" s="108"/>
      <c r="AV8" s="108"/>
      <c r="AW8" s="108"/>
      <c r="AX8" s="108"/>
      <c r="AY8" s="108"/>
      <c r="AZ8" s="108"/>
      <c r="BA8" s="108"/>
      <c r="BB8" s="108"/>
      <c r="BC8" s="108"/>
      <c r="BD8" s="108"/>
      <c r="BE8" s="108"/>
      <c r="BF8" s="108"/>
      <c r="BG8" s="108"/>
      <c r="BH8" s="108"/>
      <c r="BI8" s="108"/>
      <c r="BJ8" s="108"/>
      <c r="BK8" s="108"/>
      <c r="BL8" s="108"/>
      <c r="BM8" s="108"/>
      <c r="BN8" s="108"/>
      <c r="BO8" s="108"/>
      <c r="BP8" s="108"/>
      <c r="BQ8" s="108"/>
      <c r="BR8" s="108"/>
      <c r="BS8" s="108"/>
      <c r="BT8" s="108"/>
      <c r="BU8" s="108"/>
      <c r="BV8" s="108"/>
      <c r="BW8" s="108"/>
      <c r="BX8" s="108"/>
      <c r="BY8" s="108"/>
      <c r="BZ8" s="108"/>
      <c r="CA8" s="108"/>
      <c r="CB8" s="108"/>
      <c r="CC8" s="108"/>
      <c r="CD8" s="108"/>
      <c r="CE8" s="108"/>
      <c r="CF8" s="108"/>
      <c r="CG8" s="108"/>
      <c r="CH8" s="108"/>
      <c r="CI8" s="108"/>
      <c r="CJ8" s="108"/>
      <c r="CK8" s="108"/>
      <c r="CL8" s="108"/>
      <c r="CM8" s="108"/>
      <c r="CN8" s="108"/>
      <c r="CO8" s="108"/>
      <c r="CP8" s="108"/>
      <c r="CQ8" s="23" t="s">
        <v>77</v>
      </c>
      <c r="DB8" s="107"/>
      <c r="DD8" s="108"/>
      <c r="DE8" s="108"/>
      <c r="DF8" s="108"/>
      <c r="DG8" s="108"/>
      <c r="DH8" s="108"/>
      <c r="DI8" s="108"/>
      <c r="DJ8" s="108"/>
      <c r="DK8" s="108"/>
    </row>
    <row r="9" spans="1:123" s="233" customFormat="1" x14ac:dyDescent="0.2">
      <c r="B9" s="728" t="s">
        <v>470</v>
      </c>
      <c r="C9" s="312"/>
      <c r="D9" s="308"/>
      <c r="E9" s="308"/>
      <c r="F9" s="312">
        <f t="shared" ref="F9:BQ9" si="10">Fiscal_Year</f>
        <v>36707</v>
      </c>
      <c r="G9" s="312">
        <f t="shared" si="10"/>
        <v>37072</v>
      </c>
      <c r="H9" s="312">
        <f t="shared" si="10"/>
        <v>37437</v>
      </c>
      <c r="I9" s="312">
        <f t="shared" si="10"/>
        <v>37802</v>
      </c>
      <c r="J9" s="312">
        <f t="shared" si="10"/>
        <v>38168</v>
      </c>
      <c r="K9" s="312">
        <f t="shared" si="10"/>
        <v>38533</v>
      </c>
      <c r="L9" s="312">
        <f t="shared" si="10"/>
        <v>38898</v>
      </c>
      <c r="M9" s="312">
        <f t="shared" si="10"/>
        <v>39263</v>
      </c>
      <c r="N9" s="312">
        <f t="shared" si="10"/>
        <v>39629</v>
      </c>
      <c r="O9" s="312">
        <f t="shared" si="10"/>
        <v>39994</v>
      </c>
      <c r="P9" s="312">
        <f t="shared" si="10"/>
        <v>40359</v>
      </c>
      <c r="Q9" s="312">
        <f t="shared" si="10"/>
        <v>40724</v>
      </c>
      <c r="R9" s="312">
        <f t="shared" si="10"/>
        <v>41090</v>
      </c>
      <c r="S9" s="312">
        <f t="shared" si="10"/>
        <v>41455</v>
      </c>
      <c r="T9" s="312">
        <f t="shared" si="10"/>
        <v>41820</v>
      </c>
      <c r="U9" s="312">
        <f t="shared" si="10"/>
        <v>42185</v>
      </c>
      <c r="V9" s="312">
        <f t="shared" si="10"/>
        <v>42551</v>
      </c>
      <c r="W9" s="312">
        <f t="shared" si="10"/>
        <v>42916</v>
      </c>
      <c r="X9" s="312">
        <f t="shared" si="10"/>
        <v>43281</v>
      </c>
      <c r="Y9" s="312">
        <f t="shared" si="10"/>
        <v>43646</v>
      </c>
      <c r="Z9" s="312">
        <f t="shared" si="10"/>
        <v>44012</v>
      </c>
      <c r="AA9" s="312">
        <f t="shared" si="10"/>
        <v>44377</v>
      </c>
      <c r="AB9" s="312">
        <f t="shared" si="10"/>
        <v>44742</v>
      </c>
      <c r="AC9" s="312">
        <f t="shared" si="10"/>
        <v>45107</v>
      </c>
      <c r="AD9" s="312">
        <f t="shared" si="10"/>
        <v>45473</v>
      </c>
      <c r="AE9" s="312">
        <f t="shared" si="10"/>
        <v>45838</v>
      </c>
      <c r="AF9" s="312">
        <f t="shared" si="10"/>
        <v>46203</v>
      </c>
      <c r="AG9" s="312">
        <f t="shared" si="10"/>
        <v>46568</v>
      </c>
      <c r="AH9" s="312">
        <f t="shared" si="10"/>
        <v>46934</v>
      </c>
      <c r="AI9" s="312">
        <f t="shared" si="10"/>
        <v>47299</v>
      </c>
      <c r="AJ9" s="312">
        <f t="shared" si="10"/>
        <v>47664</v>
      </c>
      <c r="AK9" s="312">
        <f t="shared" si="10"/>
        <v>48029</v>
      </c>
      <c r="AL9" s="312">
        <f t="shared" si="10"/>
        <v>48395</v>
      </c>
      <c r="AM9" s="312">
        <f t="shared" si="10"/>
        <v>48760</v>
      </c>
      <c r="AN9" s="312">
        <f t="shared" si="10"/>
        <v>49125</v>
      </c>
      <c r="AO9" s="312">
        <f t="shared" si="10"/>
        <v>49490</v>
      </c>
      <c r="AP9" s="312">
        <f t="shared" si="10"/>
        <v>49856</v>
      </c>
      <c r="AQ9" s="312">
        <f t="shared" si="10"/>
        <v>50221</v>
      </c>
      <c r="AR9" s="312">
        <f t="shared" si="10"/>
        <v>50586</v>
      </c>
      <c r="AS9" s="312">
        <f t="shared" si="10"/>
        <v>50951</v>
      </c>
      <c r="AT9" s="312">
        <f t="shared" si="10"/>
        <v>51317</v>
      </c>
      <c r="AU9" s="312">
        <f t="shared" si="10"/>
        <v>51682</v>
      </c>
      <c r="AV9" s="312">
        <f t="shared" si="10"/>
        <v>52047</v>
      </c>
      <c r="AW9" s="312">
        <f t="shared" si="10"/>
        <v>52412</v>
      </c>
      <c r="AX9" s="312">
        <f t="shared" si="10"/>
        <v>52778</v>
      </c>
      <c r="AY9" s="312">
        <f t="shared" si="10"/>
        <v>53143</v>
      </c>
      <c r="AZ9" s="312">
        <f t="shared" si="10"/>
        <v>53508</v>
      </c>
      <c r="BA9" s="312">
        <f t="shared" si="10"/>
        <v>53873</v>
      </c>
      <c r="BB9" s="312">
        <f t="shared" si="10"/>
        <v>54239</v>
      </c>
      <c r="BC9" s="312">
        <f t="shared" si="10"/>
        <v>54604</v>
      </c>
      <c r="BD9" s="312">
        <f t="shared" si="10"/>
        <v>54969</v>
      </c>
      <c r="BE9" s="312">
        <f t="shared" si="10"/>
        <v>55334</v>
      </c>
      <c r="BF9" s="312">
        <f t="shared" si="10"/>
        <v>55700</v>
      </c>
      <c r="BG9" s="312">
        <f t="shared" si="10"/>
        <v>56065</v>
      </c>
      <c r="BH9" s="312">
        <f t="shared" si="10"/>
        <v>56430</v>
      </c>
      <c r="BI9" s="312">
        <f t="shared" si="10"/>
        <v>56795</v>
      </c>
      <c r="BJ9" s="312">
        <f t="shared" si="10"/>
        <v>57161</v>
      </c>
      <c r="BK9" s="312">
        <f t="shared" si="10"/>
        <v>57526</v>
      </c>
      <c r="BL9" s="312">
        <f t="shared" si="10"/>
        <v>57891</v>
      </c>
      <c r="BM9" s="312">
        <f t="shared" si="10"/>
        <v>58256</v>
      </c>
      <c r="BN9" s="312">
        <f t="shared" si="10"/>
        <v>58622</v>
      </c>
      <c r="BO9" s="312">
        <f t="shared" si="10"/>
        <v>58987</v>
      </c>
      <c r="BP9" s="312">
        <f t="shared" si="10"/>
        <v>59352</v>
      </c>
      <c r="BQ9" s="312">
        <f t="shared" si="10"/>
        <v>59717</v>
      </c>
      <c r="BR9" s="312">
        <f t="shared" ref="BR9:CP9" si="11">Fiscal_Year</f>
        <v>60083</v>
      </c>
      <c r="BS9" s="312">
        <f t="shared" si="11"/>
        <v>60448</v>
      </c>
      <c r="BT9" s="312">
        <f t="shared" si="11"/>
        <v>60813</v>
      </c>
      <c r="BU9" s="312">
        <f t="shared" si="11"/>
        <v>61178</v>
      </c>
      <c r="BV9" s="312">
        <f t="shared" si="11"/>
        <v>61544</v>
      </c>
      <c r="BW9" s="312">
        <f t="shared" si="11"/>
        <v>61909</v>
      </c>
      <c r="BX9" s="312">
        <f t="shared" si="11"/>
        <v>62274</v>
      </c>
      <c r="BY9" s="312">
        <f t="shared" si="11"/>
        <v>62639</v>
      </c>
      <c r="BZ9" s="312">
        <f t="shared" si="11"/>
        <v>63005</v>
      </c>
      <c r="CA9" s="312">
        <f t="shared" si="11"/>
        <v>63370</v>
      </c>
      <c r="CB9" s="312">
        <f t="shared" si="11"/>
        <v>63735</v>
      </c>
      <c r="CC9" s="312">
        <f t="shared" si="11"/>
        <v>64100</v>
      </c>
      <c r="CD9" s="312">
        <f t="shared" si="11"/>
        <v>64466</v>
      </c>
      <c r="CE9" s="312">
        <f t="shared" si="11"/>
        <v>64831</v>
      </c>
      <c r="CF9" s="312">
        <f t="shared" si="11"/>
        <v>65196</v>
      </c>
      <c r="CG9" s="312">
        <f t="shared" si="11"/>
        <v>65561</v>
      </c>
      <c r="CH9" s="312">
        <f t="shared" si="11"/>
        <v>65927</v>
      </c>
      <c r="CI9" s="312">
        <f t="shared" si="11"/>
        <v>66292</v>
      </c>
      <c r="CJ9" s="312">
        <f t="shared" si="11"/>
        <v>66657</v>
      </c>
      <c r="CK9" s="312">
        <f t="shared" si="11"/>
        <v>67022</v>
      </c>
      <c r="CL9" s="312">
        <f t="shared" si="11"/>
        <v>67388</v>
      </c>
      <c r="CM9" s="312">
        <f t="shared" si="11"/>
        <v>67753</v>
      </c>
      <c r="CN9" s="312">
        <f t="shared" si="11"/>
        <v>68118</v>
      </c>
      <c r="CO9" s="312">
        <f t="shared" si="11"/>
        <v>68483</v>
      </c>
      <c r="CP9" s="312">
        <f t="shared" si="11"/>
        <v>68849</v>
      </c>
      <c r="CQ9" s="23" t="s">
        <v>77</v>
      </c>
      <c r="CU9"/>
      <c r="CV9"/>
      <c r="CW9"/>
      <c r="CX9"/>
      <c r="CY9"/>
      <c r="CZ9"/>
      <c r="DA9" s="104"/>
      <c r="DB9" s="105"/>
      <c r="DC9" s="24"/>
      <c r="DD9" s="106"/>
      <c r="DE9" s="106"/>
      <c r="DF9" s="106"/>
      <c r="DG9" s="106"/>
      <c r="DH9" s="106"/>
      <c r="DI9" s="106"/>
      <c r="DJ9" s="106"/>
      <c r="DK9" s="106"/>
      <c r="DL9" s="106"/>
      <c r="DM9" s="106"/>
      <c r="DN9" s="106"/>
      <c r="DO9" s="106"/>
      <c r="DP9" s="106"/>
      <c r="DQ9" s="106"/>
      <c r="DR9" s="106"/>
      <c r="DS9" s="106"/>
    </row>
    <row r="10" spans="1:123" ht="5.0999999999999996" customHeight="1" x14ac:dyDescent="0.2">
      <c r="B10" s="107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108"/>
      <c r="Y10" s="108"/>
      <c r="Z10" s="108"/>
      <c r="AA10" s="108"/>
      <c r="AB10" s="108"/>
      <c r="AC10" s="108"/>
      <c r="AD10" s="108"/>
      <c r="AE10" s="108"/>
      <c r="AF10" s="108"/>
      <c r="AG10" s="108"/>
      <c r="AH10" s="108"/>
      <c r="AI10" s="108"/>
      <c r="AJ10" s="108"/>
      <c r="AK10" s="108"/>
      <c r="AL10" s="108"/>
      <c r="AM10" s="108"/>
      <c r="AN10" s="108"/>
      <c r="AO10" s="108"/>
      <c r="AP10" s="108"/>
      <c r="AQ10" s="108"/>
      <c r="AR10" s="108"/>
      <c r="AS10" s="108"/>
      <c r="AT10" s="108"/>
      <c r="AU10" s="108"/>
      <c r="AV10" s="108"/>
      <c r="AW10" s="108"/>
      <c r="AX10" s="108"/>
      <c r="AY10" s="108"/>
      <c r="AZ10" s="108"/>
      <c r="BA10" s="108"/>
      <c r="BB10" s="108"/>
      <c r="BC10" s="108"/>
      <c r="BD10" s="108"/>
      <c r="BE10" s="108"/>
      <c r="BF10" s="108"/>
      <c r="BG10" s="108"/>
      <c r="BH10" s="108"/>
      <c r="BI10" s="108"/>
      <c r="BJ10" s="108"/>
      <c r="BK10" s="108"/>
      <c r="BL10" s="108"/>
      <c r="BM10" s="108"/>
      <c r="BN10" s="108"/>
      <c r="BO10" s="108"/>
      <c r="BP10" s="108"/>
      <c r="BQ10" s="108"/>
      <c r="BR10" s="108"/>
      <c r="BS10" s="108"/>
      <c r="BT10" s="108"/>
      <c r="BU10" s="108"/>
      <c r="BV10" s="108"/>
      <c r="BW10" s="108"/>
      <c r="BX10" s="108"/>
      <c r="BY10" s="108"/>
      <c r="BZ10" s="108"/>
      <c r="CA10" s="108"/>
      <c r="CB10" s="108"/>
      <c r="CC10" s="108"/>
      <c r="CD10" s="108"/>
      <c r="CE10" s="108"/>
      <c r="CF10" s="108"/>
      <c r="CG10" s="108"/>
      <c r="CH10" s="108"/>
      <c r="CI10" s="108"/>
      <c r="CJ10" s="108"/>
      <c r="CK10" s="108"/>
      <c r="CL10" s="108"/>
      <c r="CM10" s="108"/>
      <c r="CN10" s="108"/>
      <c r="CO10" s="108"/>
      <c r="CP10" s="108"/>
      <c r="CQ10" s="23" t="s">
        <v>77</v>
      </c>
      <c r="DA10" s="24"/>
      <c r="DB10" s="107"/>
      <c r="DC10" s="24"/>
      <c r="DD10" s="108"/>
      <c r="DE10" s="108"/>
      <c r="DF10" s="108"/>
      <c r="DG10" s="108"/>
      <c r="DH10" s="108"/>
      <c r="DI10" s="108"/>
      <c r="DJ10" s="108"/>
      <c r="DK10" s="108"/>
      <c r="DL10" s="24"/>
      <c r="DM10" s="24"/>
      <c r="DN10" s="24"/>
      <c r="DO10" s="24"/>
      <c r="DP10" s="24"/>
      <c r="DQ10" s="24"/>
      <c r="DR10" s="24"/>
      <c r="DS10" s="24"/>
    </row>
    <row r="11" spans="1:123" s="55" customFormat="1" ht="11.25" hidden="1" customHeight="1" outlineLevel="1" x14ac:dyDescent="0.2">
      <c r="B11" s="11" t="s">
        <v>217</v>
      </c>
      <c r="D11" s="56"/>
      <c r="E11" s="56"/>
      <c r="F11" s="56"/>
      <c r="G11" s="56"/>
      <c r="H11" s="56"/>
      <c r="I11" s="56"/>
      <c r="J11" s="56"/>
      <c r="K11" s="56" t="s">
        <v>78</v>
      </c>
      <c r="L11" s="56" t="s">
        <v>78</v>
      </c>
      <c r="M11" s="56" t="s">
        <v>78</v>
      </c>
      <c r="N11" s="56">
        <v>0.33329999999999999</v>
      </c>
      <c r="O11" s="56">
        <v>0.33329999999999999</v>
      </c>
      <c r="P11" s="56">
        <v>0.33329999999999999</v>
      </c>
      <c r="Q11" s="56">
        <v>0.5</v>
      </c>
      <c r="R11" s="56">
        <v>0.5</v>
      </c>
      <c r="S11" s="56">
        <v>0.5</v>
      </c>
      <c r="T11" s="56">
        <v>0.5</v>
      </c>
      <c r="U11" s="269">
        <f t="shared" ref="U11:U16" si="12">+T11</f>
        <v>0.5</v>
      </c>
      <c r="V11" s="269">
        <f t="shared" ref="V11:BD12" si="13">+U11</f>
        <v>0.5</v>
      </c>
      <c r="W11" s="269">
        <f t="shared" si="13"/>
        <v>0.5</v>
      </c>
      <c r="X11" s="268">
        <f t="shared" si="13"/>
        <v>0.5</v>
      </c>
      <c r="Y11" s="268">
        <f t="shared" si="13"/>
        <v>0.5</v>
      </c>
      <c r="Z11" s="268">
        <f t="shared" si="13"/>
        <v>0.5</v>
      </c>
      <c r="AA11" s="268">
        <f t="shared" si="13"/>
        <v>0.5</v>
      </c>
      <c r="AB11" s="268">
        <f t="shared" si="13"/>
        <v>0.5</v>
      </c>
      <c r="AC11" s="268">
        <f t="shared" si="13"/>
        <v>0.5</v>
      </c>
      <c r="AD11" s="268">
        <f t="shared" si="13"/>
        <v>0.5</v>
      </c>
      <c r="AE11" s="268">
        <f t="shared" si="13"/>
        <v>0.5</v>
      </c>
      <c r="AF11" s="268">
        <f t="shared" si="13"/>
        <v>0.5</v>
      </c>
      <c r="AG11" s="268">
        <f t="shared" si="13"/>
        <v>0.5</v>
      </c>
      <c r="AH11" s="268">
        <f t="shared" si="13"/>
        <v>0.5</v>
      </c>
      <c r="AI11" s="268">
        <f t="shared" si="13"/>
        <v>0.5</v>
      </c>
      <c r="AJ11" s="268">
        <f t="shared" si="13"/>
        <v>0.5</v>
      </c>
      <c r="AK11" s="268">
        <f t="shared" si="13"/>
        <v>0.5</v>
      </c>
      <c r="AL11" s="268">
        <f t="shared" si="13"/>
        <v>0.5</v>
      </c>
      <c r="AM11" s="268">
        <f t="shared" si="13"/>
        <v>0.5</v>
      </c>
      <c r="AN11" s="268">
        <f t="shared" si="13"/>
        <v>0.5</v>
      </c>
      <c r="AO11" s="268">
        <f t="shared" si="13"/>
        <v>0.5</v>
      </c>
      <c r="AP11" s="268">
        <f t="shared" si="13"/>
        <v>0.5</v>
      </c>
      <c r="AQ11" s="268">
        <f t="shared" si="13"/>
        <v>0.5</v>
      </c>
      <c r="AR11" s="268">
        <f t="shared" si="13"/>
        <v>0.5</v>
      </c>
      <c r="AS11" s="268">
        <f t="shared" si="13"/>
        <v>0.5</v>
      </c>
      <c r="AT11" s="268">
        <f t="shared" si="13"/>
        <v>0.5</v>
      </c>
      <c r="AU11" s="268">
        <f t="shared" si="13"/>
        <v>0.5</v>
      </c>
      <c r="AV11" s="268">
        <f t="shared" si="13"/>
        <v>0.5</v>
      </c>
      <c r="AW11" s="268">
        <f t="shared" si="13"/>
        <v>0.5</v>
      </c>
      <c r="AX11" s="268">
        <f t="shared" si="13"/>
        <v>0.5</v>
      </c>
      <c r="AY11" s="268">
        <f t="shared" si="13"/>
        <v>0.5</v>
      </c>
      <c r="AZ11" s="268">
        <f t="shared" si="13"/>
        <v>0.5</v>
      </c>
      <c r="BA11" s="268">
        <f t="shared" si="13"/>
        <v>0.5</v>
      </c>
      <c r="BB11" s="268">
        <f t="shared" si="13"/>
        <v>0.5</v>
      </c>
      <c r="BC11" s="268">
        <f t="shared" si="13"/>
        <v>0.5</v>
      </c>
      <c r="BD11" s="268">
        <f t="shared" si="13"/>
        <v>0.5</v>
      </c>
      <c r="BE11" s="268">
        <f t="shared" ref="BE11:BE17" si="14">+BD11</f>
        <v>0.5</v>
      </c>
      <c r="BF11" s="268">
        <f t="shared" ref="BF11:BF17" si="15">+BE11</f>
        <v>0.5</v>
      </c>
      <c r="BG11" s="268">
        <f t="shared" ref="BG11:BG17" si="16">+BF11</f>
        <v>0.5</v>
      </c>
      <c r="BH11" s="268">
        <f t="shared" ref="BH11:BH17" si="17">+BG11</f>
        <v>0.5</v>
      </c>
      <c r="BI11" s="268">
        <f t="shared" ref="BI11:BI17" si="18">+BH11</f>
        <v>0.5</v>
      </c>
      <c r="BJ11" s="268">
        <f t="shared" ref="BJ11:BJ17" si="19">+BI11</f>
        <v>0.5</v>
      </c>
      <c r="BK11" s="268">
        <f t="shared" ref="BK11:BK17" si="20">+BJ11</f>
        <v>0.5</v>
      </c>
      <c r="BL11" s="268">
        <f t="shared" ref="BL11:BL17" si="21">+BK11</f>
        <v>0.5</v>
      </c>
      <c r="BM11" s="268">
        <f t="shared" ref="BM11:BM17" si="22">+BL11</f>
        <v>0.5</v>
      </c>
      <c r="BN11" s="268">
        <f t="shared" ref="BN11:BN17" si="23">+BM11</f>
        <v>0.5</v>
      </c>
      <c r="BO11" s="268">
        <f t="shared" ref="BO11:BO17" si="24">+BN11</f>
        <v>0.5</v>
      </c>
      <c r="BP11" s="268">
        <f t="shared" ref="BP11:BP17" si="25">+BO11</f>
        <v>0.5</v>
      </c>
      <c r="BQ11" s="268">
        <f t="shared" ref="BQ11:BQ17" si="26">+BP11</f>
        <v>0.5</v>
      </c>
      <c r="BR11" s="268">
        <f t="shared" ref="BR11:BR17" si="27">+BQ11</f>
        <v>0.5</v>
      </c>
      <c r="BS11" s="268">
        <f t="shared" ref="BS11:BS17" si="28">+BR11</f>
        <v>0.5</v>
      </c>
      <c r="BT11" s="268">
        <f t="shared" ref="BT11:BT17" si="29">+BS11</f>
        <v>0.5</v>
      </c>
      <c r="BU11" s="268">
        <f t="shared" ref="BU11:BU17" si="30">+BT11</f>
        <v>0.5</v>
      </c>
      <c r="BV11" s="268">
        <f t="shared" ref="BV11:BV17" si="31">+BU11</f>
        <v>0.5</v>
      </c>
      <c r="BW11" s="268">
        <f t="shared" ref="BW11:BW17" si="32">+BV11</f>
        <v>0.5</v>
      </c>
      <c r="BX11" s="268">
        <f t="shared" ref="BX11:BX17" si="33">+BW11</f>
        <v>0.5</v>
      </c>
      <c r="BY11" s="268">
        <f t="shared" ref="BY11:BY17" si="34">+BX11</f>
        <v>0.5</v>
      </c>
      <c r="BZ11" s="268">
        <f t="shared" ref="BZ11:BZ17" si="35">+BY11</f>
        <v>0.5</v>
      </c>
      <c r="CA11" s="268">
        <f t="shared" ref="CA11:CA17" si="36">+BZ11</f>
        <v>0.5</v>
      </c>
      <c r="CB11" s="268">
        <f t="shared" ref="CB11:CB17" si="37">+CA11</f>
        <v>0.5</v>
      </c>
      <c r="CC11" s="268">
        <f t="shared" ref="CC11:CC17" si="38">+CB11</f>
        <v>0.5</v>
      </c>
      <c r="CD11" s="268">
        <f t="shared" ref="CD11:CD17" si="39">+CC11</f>
        <v>0.5</v>
      </c>
      <c r="CE11" s="268">
        <f t="shared" ref="CE11:CE17" si="40">+CD11</f>
        <v>0.5</v>
      </c>
      <c r="CF11" s="268">
        <f t="shared" ref="CF11:CF17" si="41">+CE11</f>
        <v>0.5</v>
      </c>
      <c r="CG11" s="268">
        <f t="shared" ref="CG11:CG17" si="42">+CF11</f>
        <v>0.5</v>
      </c>
      <c r="CH11" s="268">
        <f t="shared" ref="CH11:CH17" si="43">+CG11</f>
        <v>0.5</v>
      </c>
      <c r="CI11" s="268">
        <f t="shared" ref="CI11:CI17" si="44">+CH11</f>
        <v>0.5</v>
      </c>
      <c r="CJ11" s="268">
        <f t="shared" ref="CJ11:CJ17" si="45">+CI11</f>
        <v>0.5</v>
      </c>
      <c r="CK11" s="268">
        <f t="shared" ref="CK11:CK17" si="46">+CJ11</f>
        <v>0.5</v>
      </c>
      <c r="CL11" s="268">
        <f t="shared" ref="CL11:CL17" si="47">+CK11</f>
        <v>0.5</v>
      </c>
      <c r="CM11" s="268">
        <f t="shared" ref="CM11:CM17" si="48">+CL11</f>
        <v>0.5</v>
      </c>
      <c r="CN11" s="268">
        <f t="shared" ref="CN11:CN17" si="49">+CM11</f>
        <v>0.5</v>
      </c>
      <c r="CO11" s="268">
        <f t="shared" ref="CO11:CO17" si="50">+CN11</f>
        <v>0.5</v>
      </c>
      <c r="CP11" s="268">
        <f t="shared" ref="CP11:CP17" si="51">+CO11</f>
        <v>0.5</v>
      </c>
      <c r="CQ11" s="362" t="s">
        <v>77</v>
      </c>
      <c r="CU11"/>
      <c r="CV11"/>
      <c r="CW11"/>
      <c r="CX11"/>
      <c r="CY11"/>
      <c r="CZ11"/>
      <c r="DA11" s="109"/>
      <c r="DB11" s="110"/>
      <c r="DC11" s="109"/>
      <c r="DD11" s="111"/>
      <c r="DE11" s="111"/>
      <c r="DF11" s="111"/>
      <c r="DG11" s="111"/>
      <c r="DH11" s="111"/>
      <c r="DI11" s="112"/>
      <c r="DJ11" s="112"/>
      <c r="DK11" s="112"/>
      <c r="DL11" s="109"/>
      <c r="DM11" s="109"/>
      <c r="DN11" s="109"/>
      <c r="DO11" s="109"/>
      <c r="DP11" s="109"/>
      <c r="DQ11" s="109"/>
      <c r="DR11" s="109"/>
      <c r="DS11" s="109"/>
    </row>
    <row r="12" spans="1:123" s="55" customFormat="1" ht="11.25" hidden="1" customHeight="1" outlineLevel="1" x14ac:dyDescent="0.2">
      <c r="B12" s="11" t="s">
        <v>218</v>
      </c>
      <c r="D12" s="56"/>
      <c r="E12" s="56"/>
      <c r="F12" s="56"/>
      <c r="G12" s="56"/>
      <c r="H12" s="56"/>
      <c r="I12" s="56"/>
      <c r="J12" s="56"/>
      <c r="K12" s="56" t="s">
        <v>78</v>
      </c>
      <c r="L12" s="56" t="s">
        <v>78</v>
      </c>
      <c r="M12" s="56" t="s">
        <v>78</v>
      </c>
      <c r="N12" s="56">
        <v>0</v>
      </c>
      <c r="O12" s="56">
        <v>0</v>
      </c>
      <c r="P12" s="56">
        <v>0</v>
      </c>
      <c r="Q12" s="56">
        <v>0</v>
      </c>
      <c r="R12" s="56">
        <v>0.2</v>
      </c>
      <c r="S12" s="56">
        <v>0.2</v>
      </c>
      <c r="T12" s="56">
        <v>0.2</v>
      </c>
      <c r="U12" s="269">
        <f t="shared" si="12"/>
        <v>0.2</v>
      </c>
      <c r="V12" s="269">
        <f t="shared" si="13"/>
        <v>0.2</v>
      </c>
      <c r="W12" s="269">
        <f t="shared" si="13"/>
        <v>0.2</v>
      </c>
      <c r="X12" s="268">
        <f t="shared" si="13"/>
        <v>0.2</v>
      </c>
      <c r="Y12" s="268">
        <f t="shared" si="13"/>
        <v>0.2</v>
      </c>
      <c r="Z12" s="268">
        <f t="shared" si="13"/>
        <v>0.2</v>
      </c>
      <c r="AA12" s="268">
        <f t="shared" si="13"/>
        <v>0.2</v>
      </c>
      <c r="AB12" s="268">
        <f t="shared" si="13"/>
        <v>0.2</v>
      </c>
      <c r="AC12" s="268">
        <f t="shared" si="13"/>
        <v>0.2</v>
      </c>
      <c r="AD12" s="268">
        <f t="shared" si="13"/>
        <v>0.2</v>
      </c>
      <c r="AE12" s="268">
        <f t="shared" si="13"/>
        <v>0.2</v>
      </c>
      <c r="AF12" s="268">
        <f t="shared" si="13"/>
        <v>0.2</v>
      </c>
      <c r="AG12" s="268">
        <f t="shared" si="13"/>
        <v>0.2</v>
      </c>
      <c r="AH12" s="268">
        <f t="shared" si="13"/>
        <v>0.2</v>
      </c>
      <c r="AI12" s="268">
        <f t="shared" si="13"/>
        <v>0.2</v>
      </c>
      <c r="AJ12" s="268">
        <f t="shared" si="13"/>
        <v>0.2</v>
      </c>
      <c r="AK12" s="268">
        <f t="shared" si="13"/>
        <v>0.2</v>
      </c>
      <c r="AL12" s="268">
        <f t="shared" si="13"/>
        <v>0.2</v>
      </c>
      <c r="AM12" s="268">
        <f t="shared" si="13"/>
        <v>0.2</v>
      </c>
      <c r="AN12" s="268">
        <f t="shared" si="13"/>
        <v>0.2</v>
      </c>
      <c r="AO12" s="268">
        <f t="shared" si="13"/>
        <v>0.2</v>
      </c>
      <c r="AP12" s="268">
        <f t="shared" si="13"/>
        <v>0.2</v>
      </c>
      <c r="AQ12" s="268">
        <f t="shared" si="13"/>
        <v>0.2</v>
      </c>
      <c r="AR12" s="268">
        <f t="shared" si="13"/>
        <v>0.2</v>
      </c>
      <c r="AS12" s="268">
        <f t="shared" si="13"/>
        <v>0.2</v>
      </c>
      <c r="AT12" s="268">
        <f t="shared" si="13"/>
        <v>0.2</v>
      </c>
      <c r="AU12" s="268">
        <f t="shared" si="13"/>
        <v>0.2</v>
      </c>
      <c r="AV12" s="268">
        <f t="shared" si="13"/>
        <v>0.2</v>
      </c>
      <c r="AW12" s="268">
        <f t="shared" si="13"/>
        <v>0.2</v>
      </c>
      <c r="AX12" s="268">
        <f t="shared" si="13"/>
        <v>0.2</v>
      </c>
      <c r="AY12" s="268">
        <f t="shared" si="13"/>
        <v>0.2</v>
      </c>
      <c r="AZ12" s="268">
        <f t="shared" si="13"/>
        <v>0.2</v>
      </c>
      <c r="BA12" s="268">
        <f t="shared" si="13"/>
        <v>0.2</v>
      </c>
      <c r="BB12" s="268">
        <f t="shared" si="13"/>
        <v>0.2</v>
      </c>
      <c r="BC12" s="268">
        <f t="shared" si="13"/>
        <v>0.2</v>
      </c>
      <c r="BD12" s="268">
        <f t="shared" si="13"/>
        <v>0.2</v>
      </c>
      <c r="BE12" s="268">
        <f t="shared" si="14"/>
        <v>0.2</v>
      </c>
      <c r="BF12" s="268">
        <f t="shared" si="15"/>
        <v>0.2</v>
      </c>
      <c r="BG12" s="268">
        <f t="shared" si="16"/>
        <v>0.2</v>
      </c>
      <c r="BH12" s="268">
        <f t="shared" si="17"/>
        <v>0.2</v>
      </c>
      <c r="BI12" s="268">
        <f t="shared" si="18"/>
        <v>0.2</v>
      </c>
      <c r="BJ12" s="268">
        <f t="shared" si="19"/>
        <v>0.2</v>
      </c>
      <c r="BK12" s="268">
        <f t="shared" si="20"/>
        <v>0.2</v>
      </c>
      <c r="BL12" s="268">
        <f t="shared" si="21"/>
        <v>0.2</v>
      </c>
      <c r="BM12" s="268">
        <f t="shared" si="22"/>
        <v>0.2</v>
      </c>
      <c r="BN12" s="268">
        <f t="shared" si="23"/>
        <v>0.2</v>
      </c>
      <c r="BO12" s="268">
        <f t="shared" si="24"/>
        <v>0.2</v>
      </c>
      <c r="BP12" s="268">
        <f t="shared" si="25"/>
        <v>0.2</v>
      </c>
      <c r="BQ12" s="268">
        <f t="shared" si="26"/>
        <v>0.2</v>
      </c>
      <c r="BR12" s="268">
        <f t="shared" si="27"/>
        <v>0.2</v>
      </c>
      <c r="BS12" s="268">
        <f t="shared" si="28"/>
        <v>0.2</v>
      </c>
      <c r="BT12" s="268">
        <f t="shared" si="29"/>
        <v>0.2</v>
      </c>
      <c r="BU12" s="268">
        <f t="shared" si="30"/>
        <v>0.2</v>
      </c>
      <c r="BV12" s="268">
        <f t="shared" si="31"/>
        <v>0.2</v>
      </c>
      <c r="BW12" s="268">
        <f t="shared" si="32"/>
        <v>0.2</v>
      </c>
      <c r="BX12" s="268">
        <f t="shared" si="33"/>
        <v>0.2</v>
      </c>
      <c r="BY12" s="268">
        <f t="shared" si="34"/>
        <v>0.2</v>
      </c>
      <c r="BZ12" s="268">
        <f t="shared" si="35"/>
        <v>0.2</v>
      </c>
      <c r="CA12" s="268">
        <f t="shared" si="36"/>
        <v>0.2</v>
      </c>
      <c r="CB12" s="268">
        <f t="shared" si="37"/>
        <v>0.2</v>
      </c>
      <c r="CC12" s="268">
        <f t="shared" si="38"/>
        <v>0.2</v>
      </c>
      <c r="CD12" s="268">
        <f t="shared" si="39"/>
        <v>0.2</v>
      </c>
      <c r="CE12" s="268">
        <f t="shared" si="40"/>
        <v>0.2</v>
      </c>
      <c r="CF12" s="268">
        <f t="shared" si="41"/>
        <v>0.2</v>
      </c>
      <c r="CG12" s="268">
        <f t="shared" si="42"/>
        <v>0.2</v>
      </c>
      <c r="CH12" s="268">
        <f t="shared" si="43"/>
        <v>0.2</v>
      </c>
      <c r="CI12" s="268">
        <f t="shared" si="44"/>
        <v>0.2</v>
      </c>
      <c r="CJ12" s="268">
        <f t="shared" si="45"/>
        <v>0.2</v>
      </c>
      <c r="CK12" s="268">
        <f t="shared" si="46"/>
        <v>0.2</v>
      </c>
      <c r="CL12" s="268">
        <f t="shared" si="47"/>
        <v>0.2</v>
      </c>
      <c r="CM12" s="268">
        <f t="shared" si="48"/>
        <v>0.2</v>
      </c>
      <c r="CN12" s="268">
        <f t="shared" si="49"/>
        <v>0.2</v>
      </c>
      <c r="CO12" s="268">
        <f t="shared" si="50"/>
        <v>0.2</v>
      </c>
      <c r="CP12" s="268">
        <f t="shared" si="51"/>
        <v>0.2</v>
      </c>
      <c r="CQ12" s="362" t="s">
        <v>77</v>
      </c>
      <c r="CU12"/>
      <c r="CV12"/>
      <c r="CW12"/>
      <c r="CX12"/>
      <c r="CY12"/>
      <c r="CZ12"/>
      <c r="DA12" s="109"/>
      <c r="DB12" s="110"/>
      <c r="DC12" s="109"/>
      <c r="DD12" s="111"/>
      <c r="DE12" s="111"/>
      <c r="DF12" s="111"/>
      <c r="DG12" s="111"/>
      <c r="DH12" s="111"/>
      <c r="DI12" s="112"/>
      <c r="DJ12" s="112"/>
      <c r="DK12" s="112"/>
      <c r="DL12" s="109"/>
      <c r="DM12" s="109"/>
      <c r="DN12" s="109"/>
      <c r="DO12" s="109"/>
      <c r="DP12" s="109"/>
      <c r="DQ12" s="109"/>
      <c r="DR12" s="109"/>
      <c r="DS12" s="109"/>
    </row>
    <row r="13" spans="1:123" s="55" customFormat="1" ht="11.25" hidden="1" customHeight="1" outlineLevel="1" x14ac:dyDescent="0.2">
      <c r="B13" s="11" t="s">
        <v>219</v>
      </c>
      <c r="D13" s="56"/>
      <c r="E13" s="56"/>
      <c r="F13" s="56"/>
      <c r="G13" s="56"/>
      <c r="H13" s="56"/>
      <c r="I13" s="56"/>
      <c r="J13" s="56"/>
      <c r="K13" s="56" t="s">
        <v>78</v>
      </c>
      <c r="L13" s="56" t="s">
        <v>78</v>
      </c>
      <c r="M13" s="56" t="s">
        <v>78</v>
      </c>
      <c r="N13" s="56">
        <v>0</v>
      </c>
      <c r="O13" s="56">
        <v>0</v>
      </c>
      <c r="P13" s="56">
        <v>0</v>
      </c>
      <c r="Q13" s="56">
        <v>0</v>
      </c>
      <c r="R13" s="56">
        <v>0.5</v>
      </c>
      <c r="S13" s="56">
        <v>0.5</v>
      </c>
      <c r="T13" s="56">
        <v>0.5</v>
      </c>
      <c r="U13" s="269">
        <f t="shared" si="12"/>
        <v>0.5</v>
      </c>
      <c r="V13" s="461">
        <v>1</v>
      </c>
      <c r="W13" s="269">
        <f t="shared" ref="W13:BD13" si="52">+V13</f>
        <v>1</v>
      </c>
      <c r="X13" s="268">
        <f t="shared" si="52"/>
        <v>1</v>
      </c>
      <c r="Y13" s="268">
        <f t="shared" si="52"/>
        <v>1</v>
      </c>
      <c r="Z13" s="268">
        <f t="shared" si="52"/>
        <v>1</v>
      </c>
      <c r="AA13" s="268">
        <f t="shared" si="52"/>
        <v>1</v>
      </c>
      <c r="AB13" s="268">
        <f t="shared" si="52"/>
        <v>1</v>
      </c>
      <c r="AC13" s="268">
        <f t="shared" si="52"/>
        <v>1</v>
      </c>
      <c r="AD13" s="268">
        <f t="shared" si="52"/>
        <v>1</v>
      </c>
      <c r="AE13" s="268">
        <f t="shared" si="52"/>
        <v>1</v>
      </c>
      <c r="AF13" s="268">
        <f t="shared" si="52"/>
        <v>1</v>
      </c>
      <c r="AG13" s="268">
        <f t="shared" si="52"/>
        <v>1</v>
      </c>
      <c r="AH13" s="268">
        <f t="shared" si="52"/>
        <v>1</v>
      </c>
      <c r="AI13" s="268">
        <f t="shared" si="52"/>
        <v>1</v>
      </c>
      <c r="AJ13" s="268">
        <f t="shared" si="52"/>
        <v>1</v>
      </c>
      <c r="AK13" s="268">
        <f t="shared" si="52"/>
        <v>1</v>
      </c>
      <c r="AL13" s="268">
        <f t="shared" si="52"/>
        <v>1</v>
      </c>
      <c r="AM13" s="268">
        <f t="shared" si="52"/>
        <v>1</v>
      </c>
      <c r="AN13" s="268">
        <f t="shared" si="52"/>
        <v>1</v>
      </c>
      <c r="AO13" s="268">
        <f t="shared" si="52"/>
        <v>1</v>
      </c>
      <c r="AP13" s="268">
        <f t="shared" si="52"/>
        <v>1</v>
      </c>
      <c r="AQ13" s="268">
        <f t="shared" si="52"/>
        <v>1</v>
      </c>
      <c r="AR13" s="268">
        <f t="shared" si="52"/>
        <v>1</v>
      </c>
      <c r="AS13" s="268">
        <f t="shared" si="52"/>
        <v>1</v>
      </c>
      <c r="AT13" s="268">
        <f t="shared" si="52"/>
        <v>1</v>
      </c>
      <c r="AU13" s="268">
        <f t="shared" si="52"/>
        <v>1</v>
      </c>
      <c r="AV13" s="268">
        <f t="shared" si="52"/>
        <v>1</v>
      </c>
      <c r="AW13" s="268">
        <f t="shared" si="52"/>
        <v>1</v>
      </c>
      <c r="AX13" s="268">
        <f t="shared" si="52"/>
        <v>1</v>
      </c>
      <c r="AY13" s="268">
        <f t="shared" si="52"/>
        <v>1</v>
      </c>
      <c r="AZ13" s="268">
        <f t="shared" si="52"/>
        <v>1</v>
      </c>
      <c r="BA13" s="268">
        <f t="shared" si="52"/>
        <v>1</v>
      </c>
      <c r="BB13" s="268">
        <f t="shared" si="52"/>
        <v>1</v>
      </c>
      <c r="BC13" s="268">
        <f t="shared" si="52"/>
        <v>1</v>
      </c>
      <c r="BD13" s="268">
        <f t="shared" si="52"/>
        <v>1</v>
      </c>
      <c r="BE13" s="268">
        <f t="shared" si="14"/>
        <v>1</v>
      </c>
      <c r="BF13" s="268">
        <f t="shared" si="15"/>
        <v>1</v>
      </c>
      <c r="BG13" s="268">
        <f t="shared" si="16"/>
        <v>1</v>
      </c>
      <c r="BH13" s="268">
        <f t="shared" si="17"/>
        <v>1</v>
      </c>
      <c r="BI13" s="268">
        <f t="shared" si="18"/>
        <v>1</v>
      </c>
      <c r="BJ13" s="268">
        <f t="shared" si="19"/>
        <v>1</v>
      </c>
      <c r="BK13" s="268">
        <f t="shared" si="20"/>
        <v>1</v>
      </c>
      <c r="BL13" s="268">
        <f t="shared" si="21"/>
        <v>1</v>
      </c>
      <c r="BM13" s="268">
        <f t="shared" si="22"/>
        <v>1</v>
      </c>
      <c r="BN13" s="268">
        <f t="shared" si="23"/>
        <v>1</v>
      </c>
      <c r="BO13" s="268">
        <f t="shared" si="24"/>
        <v>1</v>
      </c>
      <c r="BP13" s="268">
        <f t="shared" si="25"/>
        <v>1</v>
      </c>
      <c r="BQ13" s="268">
        <f t="shared" si="26"/>
        <v>1</v>
      </c>
      <c r="BR13" s="268">
        <f t="shared" si="27"/>
        <v>1</v>
      </c>
      <c r="BS13" s="268">
        <f t="shared" si="28"/>
        <v>1</v>
      </c>
      <c r="BT13" s="268">
        <f t="shared" si="29"/>
        <v>1</v>
      </c>
      <c r="BU13" s="268">
        <f t="shared" si="30"/>
        <v>1</v>
      </c>
      <c r="BV13" s="268">
        <f t="shared" si="31"/>
        <v>1</v>
      </c>
      <c r="BW13" s="268">
        <f t="shared" si="32"/>
        <v>1</v>
      </c>
      <c r="BX13" s="268">
        <f t="shared" si="33"/>
        <v>1</v>
      </c>
      <c r="BY13" s="268">
        <f t="shared" si="34"/>
        <v>1</v>
      </c>
      <c r="BZ13" s="268">
        <f t="shared" si="35"/>
        <v>1</v>
      </c>
      <c r="CA13" s="268">
        <f t="shared" si="36"/>
        <v>1</v>
      </c>
      <c r="CB13" s="268">
        <f t="shared" si="37"/>
        <v>1</v>
      </c>
      <c r="CC13" s="268">
        <f t="shared" si="38"/>
        <v>1</v>
      </c>
      <c r="CD13" s="268">
        <f t="shared" si="39"/>
        <v>1</v>
      </c>
      <c r="CE13" s="268">
        <f t="shared" si="40"/>
        <v>1</v>
      </c>
      <c r="CF13" s="268">
        <f t="shared" si="41"/>
        <v>1</v>
      </c>
      <c r="CG13" s="268">
        <f t="shared" si="42"/>
        <v>1</v>
      </c>
      <c r="CH13" s="268">
        <f t="shared" si="43"/>
        <v>1</v>
      </c>
      <c r="CI13" s="268">
        <f t="shared" si="44"/>
        <v>1</v>
      </c>
      <c r="CJ13" s="268">
        <f t="shared" si="45"/>
        <v>1</v>
      </c>
      <c r="CK13" s="268">
        <f t="shared" si="46"/>
        <v>1</v>
      </c>
      <c r="CL13" s="268">
        <f t="shared" si="47"/>
        <v>1</v>
      </c>
      <c r="CM13" s="268">
        <f t="shared" si="48"/>
        <v>1</v>
      </c>
      <c r="CN13" s="268">
        <f t="shared" si="49"/>
        <v>1</v>
      </c>
      <c r="CO13" s="268">
        <f t="shared" si="50"/>
        <v>1</v>
      </c>
      <c r="CP13" s="268">
        <f t="shared" si="51"/>
        <v>1</v>
      </c>
      <c r="CQ13" s="362" t="s">
        <v>77</v>
      </c>
      <c r="CU13"/>
      <c r="CV13"/>
      <c r="CW13"/>
      <c r="CX13"/>
      <c r="CY13"/>
      <c r="CZ13"/>
      <c r="DA13" s="109"/>
      <c r="DB13" s="110"/>
      <c r="DC13" s="109"/>
      <c r="DD13" s="111"/>
      <c r="DE13" s="111"/>
      <c r="DF13" s="111"/>
      <c r="DG13" s="111"/>
      <c r="DH13" s="111"/>
      <c r="DI13" s="112"/>
      <c r="DJ13" s="112"/>
      <c r="DK13" s="112"/>
      <c r="DL13" s="109"/>
      <c r="DM13" s="109"/>
      <c r="DN13" s="109"/>
      <c r="DO13" s="109"/>
      <c r="DP13" s="109"/>
      <c r="DQ13" s="109"/>
      <c r="DR13" s="109"/>
      <c r="DS13" s="109"/>
    </row>
    <row r="14" spans="1:123" s="55" customFormat="1" ht="11.25" hidden="1" customHeight="1" outlineLevel="1" x14ac:dyDescent="0.2">
      <c r="B14" s="11" t="s">
        <v>220</v>
      </c>
      <c r="D14" s="56"/>
      <c r="E14" s="56"/>
      <c r="F14" s="56"/>
      <c r="G14" s="56"/>
      <c r="H14" s="56"/>
      <c r="I14" s="56"/>
      <c r="J14" s="56"/>
      <c r="K14" s="56" t="s">
        <v>78</v>
      </c>
      <c r="L14" s="56" t="s">
        <v>78</v>
      </c>
      <c r="M14" s="56" t="s">
        <v>78</v>
      </c>
      <c r="N14" s="56">
        <v>0</v>
      </c>
      <c r="O14" s="56">
        <v>0.19900000000000001</v>
      </c>
      <c r="P14" s="56">
        <v>0.19900000000000001</v>
      </c>
      <c r="Q14" s="56">
        <v>0.19900000000000001</v>
      </c>
      <c r="R14" s="56">
        <v>0.19900000000000001</v>
      </c>
      <c r="S14" s="56">
        <v>0.19900000000000001</v>
      </c>
      <c r="T14" s="56">
        <v>0.19900000000000001</v>
      </c>
      <c r="U14" s="269">
        <f t="shared" si="12"/>
        <v>0.19900000000000001</v>
      </c>
      <c r="V14" s="269">
        <f t="shared" ref="V14:AI14" si="53">+U14</f>
        <v>0.19900000000000001</v>
      </c>
      <c r="W14" s="269">
        <f t="shared" si="53"/>
        <v>0.19900000000000001</v>
      </c>
      <c r="X14" s="268">
        <f t="shared" si="53"/>
        <v>0.19900000000000001</v>
      </c>
      <c r="Y14" s="268">
        <f t="shared" si="53"/>
        <v>0.19900000000000001</v>
      </c>
      <c r="Z14" s="268">
        <f t="shared" si="53"/>
        <v>0.19900000000000001</v>
      </c>
      <c r="AA14" s="268">
        <f t="shared" si="53"/>
        <v>0.19900000000000001</v>
      </c>
      <c r="AB14" s="268">
        <f t="shared" si="53"/>
        <v>0.19900000000000001</v>
      </c>
      <c r="AC14" s="268">
        <f t="shared" si="53"/>
        <v>0.19900000000000001</v>
      </c>
      <c r="AD14" s="268">
        <f t="shared" si="53"/>
        <v>0.19900000000000001</v>
      </c>
      <c r="AE14" s="268">
        <f t="shared" si="53"/>
        <v>0.19900000000000001</v>
      </c>
      <c r="AF14" s="268">
        <f t="shared" si="53"/>
        <v>0.19900000000000001</v>
      </c>
      <c r="AG14" s="268">
        <f t="shared" si="53"/>
        <v>0.19900000000000001</v>
      </c>
      <c r="AH14" s="268">
        <f t="shared" si="53"/>
        <v>0.19900000000000001</v>
      </c>
      <c r="AI14" s="268">
        <f t="shared" si="53"/>
        <v>0.19900000000000001</v>
      </c>
      <c r="AJ14" s="268">
        <f t="shared" ref="AJ14:BD14" si="54">+AI14</f>
        <v>0.19900000000000001</v>
      </c>
      <c r="AK14" s="268">
        <f t="shared" si="54"/>
        <v>0.19900000000000001</v>
      </c>
      <c r="AL14" s="268">
        <f t="shared" si="54"/>
        <v>0.19900000000000001</v>
      </c>
      <c r="AM14" s="268">
        <f t="shared" si="54"/>
        <v>0.19900000000000001</v>
      </c>
      <c r="AN14" s="268">
        <f t="shared" si="54"/>
        <v>0.19900000000000001</v>
      </c>
      <c r="AO14" s="268">
        <f t="shared" si="54"/>
        <v>0.19900000000000001</v>
      </c>
      <c r="AP14" s="268">
        <f t="shared" si="54"/>
        <v>0.19900000000000001</v>
      </c>
      <c r="AQ14" s="268">
        <f t="shared" si="54"/>
        <v>0.19900000000000001</v>
      </c>
      <c r="AR14" s="268">
        <f t="shared" si="54"/>
        <v>0.19900000000000001</v>
      </c>
      <c r="AS14" s="268">
        <f t="shared" si="54"/>
        <v>0.19900000000000001</v>
      </c>
      <c r="AT14" s="268">
        <f t="shared" si="54"/>
        <v>0.19900000000000001</v>
      </c>
      <c r="AU14" s="268">
        <f t="shared" si="54"/>
        <v>0.19900000000000001</v>
      </c>
      <c r="AV14" s="268">
        <f t="shared" si="54"/>
        <v>0.19900000000000001</v>
      </c>
      <c r="AW14" s="268">
        <f t="shared" si="54"/>
        <v>0.19900000000000001</v>
      </c>
      <c r="AX14" s="268">
        <f t="shared" si="54"/>
        <v>0.19900000000000001</v>
      </c>
      <c r="AY14" s="268">
        <f t="shared" si="54"/>
        <v>0.19900000000000001</v>
      </c>
      <c r="AZ14" s="268">
        <f t="shared" si="54"/>
        <v>0.19900000000000001</v>
      </c>
      <c r="BA14" s="268">
        <f t="shared" si="54"/>
        <v>0.19900000000000001</v>
      </c>
      <c r="BB14" s="268">
        <f t="shared" si="54"/>
        <v>0.19900000000000001</v>
      </c>
      <c r="BC14" s="268">
        <f t="shared" si="54"/>
        <v>0.19900000000000001</v>
      </c>
      <c r="BD14" s="268">
        <f t="shared" si="54"/>
        <v>0.19900000000000001</v>
      </c>
      <c r="BE14" s="268">
        <f t="shared" si="14"/>
        <v>0.19900000000000001</v>
      </c>
      <c r="BF14" s="268">
        <f t="shared" si="15"/>
        <v>0.19900000000000001</v>
      </c>
      <c r="BG14" s="268">
        <f t="shared" si="16"/>
        <v>0.19900000000000001</v>
      </c>
      <c r="BH14" s="268">
        <f t="shared" si="17"/>
        <v>0.19900000000000001</v>
      </c>
      <c r="BI14" s="268">
        <f t="shared" si="18"/>
        <v>0.19900000000000001</v>
      </c>
      <c r="BJ14" s="268">
        <f t="shared" si="19"/>
        <v>0.19900000000000001</v>
      </c>
      <c r="BK14" s="268">
        <f t="shared" si="20"/>
        <v>0.19900000000000001</v>
      </c>
      <c r="BL14" s="268">
        <f t="shared" si="21"/>
        <v>0.19900000000000001</v>
      </c>
      <c r="BM14" s="268">
        <f t="shared" si="22"/>
        <v>0.19900000000000001</v>
      </c>
      <c r="BN14" s="268">
        <f t="shared" si="23"/>
        <v>0.19900000000000001</v>
      </c>
      <c r="BO14" s="268">
        <f t="shared" si="24"/>
        <v>0.19900000000000001</v>
      </c>
      <c r="BP14" s="268">
        <f t="shared" si="25"/>
        <v>0.19900000000000001</v>
      </c>
      <c r="BQ14" s="268">
        <f t="shared" si="26"/>
        <v>0.19900000000000001</v>
      </c>
      <c r="BR14" s="268">
        <f t="shared" si="27"/>
        <v>0.19900000000000001</v>
      </c>
      <c r="BS14" s="268">
        <f t="shared" si="28"/>
        <v>0.19900000000000001</v>
      </c>
      <c r="BT14" s="268">
        <f t="shared" si="29"/>
        <v>0.19900000000000001</v>
      </c>
      <c r="BU14" s="268">
        <f t="shared" si="30"/>
        <v>0.19900000000000001</v>
      </c>
      <c r="BV14" s="268">
        <f t="shared" si="31"/>
        <v>0.19900000000000001</v>
      </c>
      <c r="BW14" s="268">
        <f t="shared" si="32"/>
        <v>0.19900000000000001</v>
      </c>
      <c r="BX14" s="268">
        <f t="shared" si="33"/>
        <v>0.19900000000000001</v>
      </c>
      <c r="BY14" s="268">
        <f t="shared" si="34"/>
        <v>0.19900000000000001</v>
      </c>
      <c r="BZ14" s="268">
        <f t="shared" si="35"/>
        <v>0.19900000000000001</v>
      </c>
      <c r="CA14" s="268">
        <f t="shared" si="36"/>
        <v>0.19900000000000001</v>
      </c>
      <c r="CB14" s="268">
        <f t="shared" si="37"/>
        <v>0.19900000000000001</v>
      </c>
      <c r="CC14" s="268">
        <f t="shared" si="38"/>
        <v>0.19900000000000001</v>
      </c>
      <c r="CD14" s="268">
        <f t="shared" si="39"/>
        <v>0.19900000000000001</v>
      </c>
      <c r="CE14" s="268">
        <f t="shared" si="40"/>
        <v>0.19900000000000001</v>
      </c>
      <c r="CF14" s="268">
        <f t="shared" si="41"/>
        <v>0.19900000000000001</v>
      </c>
      <c r="CG14" s="268">
        <f t="shared" si="42"/>
        <v>0.19900000000000001</v>
      </c>
      <c r="CH14" s="268">
        <f t="shared" si="43"/>
        <v>0.19900000000000001</v>
      </c>
      <c r="CI14" s="268">
        <f t="shared" si="44"/>
        <v>0.19900000000000001</v>
      </c>
      <c r="CJ14" s="268">
        <f t="shared" si="45"/>
        <v>0.19900000000000001</v>
      </c>
      <c r="CK14" s="268">
        <f t="shared" si="46"/>
        <v>0.19900000000000001</v>
      </c>
      <c r="CL14" s="268">
        <f t="shared" si="47"/>
        <v>0.19900000000000001</v>
      </c>
      <c r="CM14" s="268">
        <f t="shared" si="48"/>
        <v>0.19900000000000001</v>
      </c>
      <c r="CN14" s="268">
        <f t="shared" si="49"/>
        <v>0.19900000000000001</v>
      </c>
      <c r="CO14" s="268">
        <f t="shared" si="50"/>
        <v>0.19900000000000001</v>
      </c>
      <c r="CP14" s="268">
        <f t="shared" si="51"/>
        <v>0.19900000000000001</v>
      </c>
      <c r="CQ14" s="362" t="s">
        <v>77</v>
      </c>
      <c r="CU14"/>
      <c r="CV14"/>
      <c r="CW14"/>
      <c r="CX14"/>
      <c r="CY14"/>
      <c r="CZ14"/>
      <c r="DA14" s="109"/>
      <c r="DB14" s="110"/>
      <c r="DC14" s="109"/>
      <c r="DD14" s="111"/>
      <c r="DE14" s="111"/>
      <c r="DF14" s="111"/>
      <c r="DG14" s="111"/>
      <c r="DH14" s="111"/>
      <c r="DI14" s="112"/>
      <c r="DJ14" s="112"/>
      <c r="DK14" s="112"/>
      <c r="DL14" s="109"/>
      <c r="DM14" s="109"/>
      <c r="DN14" s="109"/>
      <c r="DO14" s="109"/>
      <c r="DP14" s="109"/>
      <c r="DQ14" s="109"/>
      <c r="DR14" s="109"/>
      <c r="DS14" s="109"/>
    </row>
    <row r="15" spans="1:123" s="55" customFormat="1" ht="11.25" hidden="1" customHeight="1" outlineLevel="1" x14ac:dyDescent="0.2">
      <c r="B15" s="11" t="s">
        <v>278</v>
      </c>
      <c r="D15" s="56"/>
      <c r="E15" s="56"/>
      <c r="F15" s="56"/>
      <c r="G15" s="56"/>
      <c r="H15" s="56"/>
      <c r="I15" s="56"/>
      <c r="J15" s="56"/>
      <c r="K15" s="56" t="s">
        <v>78</v>
      </c>
      <c r="L15" s="56" t="s">
        <v>78</v>
      </c>
      <c r="M15" s="56" t="s">
        <v>78</v>
      </c>
      <c r="N15" s="56">
        <v>0</v>
      </c>
      <c r="O15" s="56">
        <v>0</v>
      </c>
      <c r="P15" s="56">
        <v>0.20200000000000001</v>
      </c>
      <c r="Q15" s="56">
        <v>0.20200000000000001</v>
      </c>
      <c r="R15" s="56">
        <v>0.20200000000000001</v>
      </c>
      <c r="S15" s="56">
        <v>0.20200000000000001</v>
      </c>
      <c r="T15" s="56">
        <v>0.20200000000000001</v>
      </c>
      <c r="U15" s="269">
        <f t="shared" si="12"/>
        <v>0.20200000000000001</v>
      </c>
      <c r="V15" s="269">
        <f t="shared" ref="V15:AI15" si="55">+U15</f>
        <v>0.20200000000000001</v>
      </c>
      <c r="W15" s="269">
        <f t="shared" si="55"/>
        <v>0.20200000000000001</v>
      </c>
      <c r="X15" s="268">
        <f t="shared" si="55"/>
        <v>0.20200000000000001</v>
      </c>
      <c r="Y15" s="268">
        <f t="shared" si="55"/>
        <v>0.20200000000000001</v>
      </c>
      <c r="Z15" s="268">
        <f t="shared" si="55"/>
        <v>0.20200000000000001</v>
      </c>
      <c r="AA15" s="268">
        <f t="shared" si="55"/>
        <v>0.20200000000000001</v>
      </c>
      <c r="AB15" s="268">
        <f t="shared" si="55"/>
        <v>0.20200000000000001</v>
      </c>
      <c r="AC15" s="268">
        <f t="shared" si="55"/>
        <v>0.20200000000000001</v>
      </c>
      <c r="AD15" s="268">
        <f t="shared" si="55"/>
        <v>0.20200000000000001</v>
      </c>
      <c r="AE15" s="268">
        <f t="shared" si="55"/>
        <v>0.20200000000000001</v>
      </c>
      <c r="AF15" s="268">
        <f t="shared" si="55"/>
        <v>0.20200000000000001</v>
      </c>
      <c r="AG15" s="268">
        <f t="shared" si="55"/>
        <v>0.20200000000000001</v>
      </c>
      <c r="AH15" s="268">
        <f t="shared" si="55"/>
        <v>0.20200000000000001</v>
      </c>
      <c r="AI15" s="268">
        <f t="shared" si="55"/>
        <v>0.20200000000000001</v>
      </c>
      <c r="AJ15" s="268">
        <f t="shared" ref="AJ15:BD15" si="56">+AI15</f>
        <v>0.20200000000000001</v>
      </c>
      <c r="AK15" s="268">
        <f t="shared" si="56"/>
        <v>0.20200000000000001</v>
      </c>
      <c r="AL15" s="268">
        <f t="shared" si="56"/>
        <v>0.20200000000000001</v>
      </c>
      <c r="AM15" s="268">
        <f t="shared" si="56"/>
        <v>0.20200000000000001</v>
      </c>
      <c r="AN15" s="268">
        <f t="shared" si="56"/>
        <v>0.20200000000000001</v>
      </c>
      <c r="AO15" s="268">
        <f t="shared" si="56"/>
        <v>0.20200000000000001</v>
      </c>
      <c r="AP15" s="268">
        <f t="shared" si="56"/>
        <v>0.20200000000000001</v>
      </c>
      <c r="AQ15" s="268">
        <f t="shared" si="56"/>
        <v>0.20200000000000001</v>
      </c>
      <c r="AR15" s="268">
        <f t="shared" si="56"/>
        <v>0.20200000000000001</v>
      </c>
      <c r="AS15" s="268">
        <f t="shared" si="56"/>
        <v>0.20200000000000001</v>
      </c>
      <c r="AT15" s="268">
        <f t="shared" si="56"/>
        <v>0.20200000000000001</v>
      </c>
      <c r="AU15" s="268">
        <f t="shared" si="56"/>
        <v>0.20200000000000001</v>
      </c>
      <c r="AV15" s="268">
        <f t="shared" si="56"/>
        <v>0.20200000000000001</v>
      </c>
      <c r="AW15" s="268">
        <f t="shared" si="56"/>
        <v>0.20200000000000001</v>
      </c>
      <c r="AX15" s="268">
        <f t="shared" si="56"/>
        <v>0.20200000000000001</v>
      </c>
      <c r="AY15" s="268">
        <f t="shared" si="56"/>
        <v>0.20200000000000001</v>
      </c>
      <c r="AZ15" s="268">
        <f t="shared" si="56"/>
        <v>0.20200000000000001</v>
      </c>
      <c r="BA15" s="268">
        <f t="shared" si="56"/>
        <v>0.20200000000000001</v>
      </c>
      <c r="BB15" s="268">
        <f t="shared" si="56"/>
        <v>0.20200000000000001</v>
      </c>
      <c r="BC15" s="268">
        <f t="shared" si="56"/>
        <v>0.20200000000000001</v>
      </c>
      <c r="BD15" s="268">
        <f t="shared" si="56"/>
        <v>0.20200000000000001</v>
      </c>
      <c r="BE15" s="268">
        <f t="shared" si="14"/>
        <v>0.20200000000000001</v>
      </c>
      <c r="BF15" s="268">
        <f t="shared" si="15"/>
        <v>0.20200000000000001</v>
      </c>
      <c r="BG15" s="268">
        <f t="shared" si="16"/>
        <v>0.20200000000000001</v>
      </c>
      <c r="BH15" s="268">
        <f t="shared" si="17"/>
        <v>0.20200000000000001</v>
      </c>
      <c r="BI15" s="268">
        <f t="shared" si="18"/>
        <v>0.20200000000000001</v>
      </c>
      <c r="BJ15" s="268">
        <f t="shared" si="19"/>
        <v>0.20200000000000001</v>
      </c>
      <c r="BK15" s="268">
        <f t="shared" si="20"/>
        <v>0.20200000000000001</v>
      </c>
      <c r="BL15" s="268">
        <f t="shared" si="21"/>
        <v>0.20200000000000001</v>
      </c>
      <c r="BM15" s="268">
        <f t="shared" si="22"/>
        <v>0.20200000000000001</v>
      </c>
      <c r="BN15" s="268">
        <f t="shared" si="23"/>
        <v>0.20200000000000001</v>
      </c>
      <c r="BO15" s="268">
        <f t="shared" si="24"/>
        <v>0.20200000000000001</v>
      </c>
      <c r="BP15" s="268">
        <f t="shared" si="25"/>
        <v>0.20200000000000001</v>
      </c>
      <c r="BQ15" s="268">
        <f t="shared" si="26"/>
        <v>0.20200000000000001</v>
      </c>
      <c r="BR15" s="268">
        <f t="shared" si="27"/>
        <v>0.20200000000000001</v>
      </c>
      <c r="BS15" s="268">
        <f t="shared" si="28"/>
        <v>0.20200000000000001</v>
      </c>
      <c r="BT15" s="268">
        <f t="shared" si="29"/>
        <v>0.20200000000000001</v>
      </c>
      <c r="BU15" s="268">
        <f t="shared" si="30"/>
        <v>0.20200000000000001</v>
      </c>
      <c r="BV15" s="268">
        <f t="shared" si="31"/>
        <v>0.20200000000000001</v>
      </c>
      <c r="BW15" s="268">
        <f t="shared" si="32"/>
        <v>0.20200000000000001</v>
      </c>
      <c r="BX15" s="268">
        <f t="shared" si="33"/>
        <v>0.20200000000000001</v>
      </c>
      <c r="BY15" s="268">
        <f t="shared" si="34"/>
        <v>0.20200000000000001</v>
      </c>
      <c r="BZ15" s="268">
        <f t="shared" si="35"/>
        <v>0.20200000000000001</v>
      </c>
      <c r="CA15" s="268">
        <f t="shared" si="36"/>
        <v>0.20200000000000001</v>
      </c>
      <c r="CB15" s="268">
        <f t="shared" si="37"/>
        <v>0.20200000000000001</v>
      </c>
      <c r="CC15" s="268">
        <f t="shared" si="38"/>
        <v>0.20200000000000001</v>
      </c>
      <c r="CD15" s="268">
        <f t="shared" si="39"/>
        <v>0.20200000000000001</v>
      </c>
      <c r="CE15" s="268">
        <f t="shared" si="40"/>
        <v>0.20200000000000001</v>
      </c>
      <c r="CF15" s="268">
        <f t="shared" si="41"/>
        <v>0.20200000000000001</v>
      </c>
      <c r="CG15" s="268">
        <f t="shared" si="42"/>
        <v>0.20200000000000001</v>
      </c>
      <c r="CH15" s="268">
        <f t="shared" si="43"/>
        <v>0.20200000000000001</v>
      </c>
      <c r="CI15" s="268">
        <f t="shared" si="44"/>
        <v>0.20200000000000001</v>
      </c>
      <c r="CJ15" s="268">
        <f t="shared" si="45"/>
        <v>0.20200000000000001</v>
      </c>
      <c r="CK15" s="268">
        <f t="shared" si="46"/>
        <v>0.20200000000000001</v>
      </c>
      <c r="CL15" s="268">
        <f t="shared" si="47"/>
        <v>0.20200000000000001</v>
      </c>
      <c r="CM15" s="268">
        <f t="shared" si="48"/>
        <v>0.20200000000000001</v>
      </c>
      <c r="CN15" s="268">
        <f t="shared" si="49"/>
        <v>0.20200000000000001</v>
      </c>
      <c r="CO15" s="268">
        <f t="shared" si="50"/>
        <v>0.20200000000000001</v>
      </c>
      <c r="CP15" s="268">
        <f t="shared" si="51"/>
        <v>0.20200000000000001</v>
      </c>
      <c r="CQ15" s="362" t="s">
        <v>77</v>
      </c>
      <c r="CS15" s="403"/>
      <c r="CT15" s="403"/>
      <c r="CU15"/>
      <c r="CV15"/>
      <c r="CW15"/>
      <c r="CX15"/>
      <c r="CY15"/>
      <c r="CZ15"/>
      <c r="DA15" s="109"/>
      <c r="DB15" s="110"/>
      <c r="DC15" s="109"/>
      <c r="DD15" s="111"/>
      <c r="DE15" s="111"/>
      <c r="DF15" s="111"/>
      <c r="DG15" s="111"/>
      <c r="DH15" s="111"/>
      <c r="DI15" s="112"/>
      <c r="DJ15" s="112"/>
      <c r="DK15" s="112"/>
      <c r="DL15" s="109"/>
      <c r="DM15" s="109"/>
      <c r="DN15" s="109"/>
      <c r="DO15" s="109"/>
      <c r="DP15" s="109"/>
      <c r="DQ15" s="109"/>
      <c r="DR15" s="109"/>
      <c r="DS15" s="109"/>
    </row>
    <row r="16" spans="1:123" s="55" customFormat="1" ht="11.25" hidden="1" customHeight="1" outlineLevel="1" x14ac:dyDescent="0.2">
      <c r="B16" s="11" t="s">
        <v>279</v>
      </c>
      <c r="D16" s="56"/>
      <c r="E16" s="56"/>
      <c r="F16" s="56"/>
      <c r="G16" s="56"/>
      <c r="H16" s="56"/>
      <c r="I16" s="56"/>
      <c r="J16" s="56"/>
      <c r="K16" s="56" t="s">
        <v>78</v>
      </c>
      <c r="L16" s="56" t="s">
        <v>78</v>
      </c>
      <c r="M16" s="56" t="s">
        <v>78</v>
      </c>
      <c r="N16" s="56">
        <v>0.5</v>
      </c>
      <c r="O16" s="56">
        <v>0.5</v>
      </c>
      <c r="P16" s="56">
        <v>0.5</v>
      </c>
      <c r="Q16" s="56">
        <v>0</v>
      </c>
      <c r="R16" s="56">
        <v>0</v>
      </c>
      <c r="S16" s="56">
        <v>0</v>
      </c>
      <c r="T16" s="56">
        <v>0</v>
      </c>
      <c r="U16" s="269">
        <f t="shared" si="12"/>
        <v>0</v>
      </c>
      <c r="V16" s="269">
        <f t="shared" ref="V16:BD16" si="57">+U16</f>
        <v>0</v>
      </c>
      <c r="W16" s="269">
        <f t="shared" si="57"/>
        <v>0</v>
      </c>
      <c r="X16" s="268">
        <f t="shared" si="57"/>
        <v>0</v>
      </c>
      <c r="Y16" s="268">
        <f t="shared" si="57"/>
        <v>0</v>
      </c>
      <c r="Z16" s="268">
        <f t="shared" si="57"/>
        <v>0</v>
      </c>
      <c r="AA16" s="268">
        <f t="shared" si="57"/>
        <v>0</v>
      </c>
      <c r="AB16" s="268">
        <f t="shared" si="57"/>
        <v>0</v>
      </c>
      <c r="AC16" s="268">
        <f t="shared" si="57"/>
        <v>0</v>
      </c>
      <c r="AD16" s="268">
        <f t="shared" si="57"/>
        <v>0</v>
      </c>
      <c r="AE16" s="268">
        <f t="shared" si="57"/>
        <v>0</v>
      </c>
      <c r="AF16" s="268">
        <f t="shared" si="57"/>
        <v>0</v>
      </c>
      <c r="AG16" s="268">
        <f t="shared" si="57"/>
        <v>0</v>
      </c>
      <c r="AH16" s="268">
        <f t="shared" si="57"/>
        <v>0</v>
      </c>
      <c r="AI16" s="268">
        <f t="shared" si="57"/>
        <v>0</v>
      </c>
      <c r="AJ16" s="268">
        <f t="shared" si="57"/>
        <v>0</v>
      </c>
      <c r="AK16" s="268">
        <f t="shared" si="57"/>
        <v>0</v>
      </c>
      <c r="AL16" s="268">
        <f t="shared" si="57"/>
        <v>0</v>
      </c>
      <c r="AM16" s="268">
        <f t="shared" si="57"/>
        <v>0</v>
      </c>
      <c r="AN16" s="268">
        <f t="shared" si="57"/>
        <v>0</v>
      </c>
      <c r="AO16" s="268">
        <f t="shared" si="57"/>
        <v>0</v>
      </c>
      <c r="AP16" s="268">
        <f t="shared" si="57"/>
        <v>0</v>
      </c>
      <c r="AQ16" s="268">
        <f t="shared" si="57"/>
        <v>0</v>
      </c>
      <c r="AR16" s="268">
        <f t="shared" si="57"/>
        <v>0</v>
      </c>
      <c r="AS16" s="268">
        <f t="shared" si="57"/>
        <v>0</v>
      </c>
      <c r="AT16" s="268">
        <f t="shared" si="57"/>
        <v>0</v>
      </c>
      <c r="AU16" s="268">
        <f t="shared" si="57"/>
        <v>0</v>
      </c>
      <c r="AV16" s="268">
        <f t="shared" si="57"/>
        <v>0</v>
      </c>
      <c r="AW16" s="268">
        <f t="shared" si="57"/>
        <v>0</v>
      </c>
      <c r="AX16" s="268">
        <f t="shared" si="57"/>
        <v>0</v>
      </c>
      <c r="AY16" s="268">
        <f t="shared" si="57"/>
        <v>0</v>
      </c>
      <c r="AZ16" s="268">
        <f t="shared" si="57"/>
        <v>0</v>
      </c>
      <c r="BA16" s="268">
        <f t="shared" si="57"/>
        <v>0</v>
      </c>
      <c r="BB16" s="268">
        <f t="shared" si="57"/>
        <v>0</v>
      </c>
      <c r="BC16" s="268">
        <f t="shared" si="57"/>
        <v>0</v>
      </c>
      <c r="BD16" s="268">
        <f t="shared" si="57"/>
        <v>0</v>
      </c>
      <c r="BE16" s="268">
        <f t="shared" si="14"/>
        <v>0</v>
      </c>
      <c r="BF16" s="268">
        <f t="shared" si="15"/>
        <v>0</v>
      </c>
      <c r="BG16" s="268">
        <f t="shared" si="16"/>
        <v>0</v>
      </c>
      <c r="BH16" s="268">
        <f t="shared" si="17"/>
        <v>0</v>
      </c>
      <c r="BI16" s="268">
        <f t="shared" si="18"/>
        <v>0</v>
      </c>
      <c r="BJ16" s="268">
        <f t="shared" si="19"/>
        <v>0</v>
      </c>
      <c r="BK16" s="268">
        <f t="shared" si="20"/>
        <v>0</v>
      </c>
      <c r="BL16" s="268">
        <f t="shared" si="21"/>
        <v>0</v>
      </c>
      <c r="BM16" s="268">
        <f t="shared" si="22"/>
        <v>0</v>
      </c>
      <c r="BN16" s="268">
        <f t="shared" si="23"/>
        <v>0</v>
      </c>
      <c r="BO16" s="268">
        <f t="shared" si="24"/>
        <v>0</v>
      </c>
      <c r="BP16" s="268">
        <f t="shared" si="25"/>
        <v>0</v>
      </c>
      <c r="BQ16" s="268">
        <f t="shared" si="26"/>
        <v>0</v>
      </c>
      <c r="BR16" s="268">
        <f t="shared" si="27"/>
        <v>0</v>
      </c>
      <c r="BS16" s="268">
        <f t="shared" si="28"/>
        <v>0</v>
      </c>
      <c r="BT16" s="268">
        <f t="shared" si="29"/>
        <v>0</v>
      </c>
      <c r="BU16" s="268">
        <f t="shared" si="30"/>
        <v>0</v>
      </c>
      <c r="BV16" s="268">
        <f t="shared" si="31"/>
        <v>0</v>
      </c>
      <c r="BW16" s="268">
        <f t="shared" si="32"/>
        <v>0</v>
      </c>
      <c r="BX16" s="268">
        <f t="shared" si="33"/>
        <v>0</v>
      </c>
      <c r="BY16" s="268">
        <f t="shared" si="34"/>
        <v>0</v>
      </c>
      <c r="BZ16" s="268">
        <f t="shared" si="35"/>
        <v>0</v>
      </c>
      <c r="CA16" s="268">
        <f t="shared" si="36"/>
        <v>0</v>
      </c>
      <c r="CB16" s="268">
        <f t="shared" si="37"/>
        <v>0</v>
      </c>
      <c r="CC16" s="268">
        <f t="shared" si="38"/>
        <v>0</v>
      </c>
      <c r="CD16" s="268">
        <f t="shared" si="39"/>
        <v>0</v>
      </c>
      <c r="CE16" s="268">
        <f t="shared" si="40"/>
        <v>0</v>
      </c>
      <c r="CF16" s="268">
        <f t="shared" si="41"/>
        <v>0</v>
      </c>
      <c r="CG16" s="268">
        <f t="shared" si="42"/>
        <v>0</v>
      </c>
      <c r="CH16" s="268">
        <f t="shared" si="43"/>
        <v>0</v>
      </c>
      <c r="CI16" s="268">
        <f t="shared" si="44"/>
        <v>0</v>
      </c>
      <c r="CJ16" s="268">
        <f t="shared" si="45"/>
        <v>0</v>
      </c>
      <c r="CK16" s="268">
        <f t="shared" si="46"/>
        <v>0</v>
      </c>
      <c r="CL16" s="268">
        <f t="shared" si="47"/>
        <v>0</v>
      </c>
      <c r="CM16" s="268">
        <f t="shared" si="48"/>
        <v>0</v>
      </c>
      <c r="CN16" s="268">
        <f t="shared" si="49"/>
        <v>0</v>
      </c>
      <c r="CO16" s="268">
        <f t="shared" si="50"/>
        <v>0</v>
      </c>
      <c r="CP16" s="268">
        <f t="shared" si="51"/>
        <v>0</v>
      </c>
      <c r="CQ16" s="362" t="s">
        <v>77</v>
      </c>
      <c r="CS16" s="404"/>
      <c r="CT16" s="404"/>
      <c r="CU16"/>
      <c r="CV16"/>
      <c r="CW16"/>
      <c r="CX16"/>
      <c r="CY16"/>
      <c r="CZ16"/>
      <c r="DA16" s="109"/>
      <c r="DB16" s="110"/>
      <c r="DC16" s="109"/>
      <c r="DD16" s="111"/>
      <c r="DE16" s="111"/>
      <c r="DF16" s="111"/>
      <c r="DG16" s="111"/>
      <c r="DH16" s="111"/>
      <c r="DI16" s="112"/>
      <c r="DJ16" s="112"/>
      <c r="DK16" s="112"/>
      <c r="DL16" s="109"/>
      <c r="DM16" s="109"/>
      <c r="DN16" s="109"/>
      <c r="DO16" s="109"/>
      <c r="DP16" s="109"/>
      <c r="DQ16" s="109"/>
      <c r="DR16" s="109"/>
      <c r="DS16" s="109"/>
    </row>
    <row r="17" spans="2:156" s="55" customFormat="1" ht="11.25" hidden="1" customHeight="1" outlineLevel="1" x14ac:dyDescent="0.2">
      <c r="B17" s="11" t="s">
        <v>221</v>
      </c>
      <c r="D17" s="56"/>
      <c r="E17" s="56"/>
      <c r="F17" s="56"/>
      <c r="G17" s="56"/>
      <c r="H17" s="56"/>
      <c r="I17" s="56"/>
      <c r="J17" s="56"/>
      <c r="K17" s="56" t="s">
        <v>78</v>
      </c>
      <c r="L17" s="56" t="s">
        <v>78</v>
      </c>
      <c r="M17" s="56" t="s">
        <v>78</v>
      </c>
      <c r="N17" s="56">
        <v>0</v>
      </c>
      <c r="O17" s="56">
        <v>0.30359999999999998</v>
      </c>
      <c r="P17" s="56">
        <v>0.31659999999999999</v>
      </c>
      <c r="Q17" s="56">
        <v>0.3301</v>
      </c>
      <c r="R17" s="56">
        <v>0.33439999999999998</v>
      </c>
      <c r="S17" s="56">
        <v>0.33050000000000002</v>
      </c>
      <c r="T17" s="56">
        <v>0.33050000000000002</v>
      </c>
      <c r="U17" s="56">
        <v>0</v>
      </c>
      <c r="V17" s="269">
        <f t="shared" ref="V17:BD17" si="58">+U17</f>
        <v>0</v>
      </c>
      <c r="W17" s="269">
        <f t="shared" si="58"/>
        <v>0</v>
      </c>
      <c r="X17" s="268">
        <f t="shared" si="58"/>
        <v>0</v>
      </c>
      <c r="Y17" s="268">
        <f t="shared" si="58"/>
        <v>0</v>
      </c>
      <c r="Z17" s="268">
        <f t="shared" si="58"/>
        <v>0</v>
      </c>
      <c r="AA17" s="268">
        <f t="shared" si="58"/>
        <v>0</v>
      </c>
      <c r="AB17" s="268">
        <f t="shared" si="58"/>
        <v>0</v>
      </c>
      <c r="AC17" s="268">
        <f t="shared" si="58"/>
        <v>0</v>
      </c>
      <c r="AD17" s="268">
        <f t="shared" si="58"/>
        <v>0</v>
      </c>
      <c r="AE17" s="268">
        <f t="shared" si="58"/>
        <v>0</v>
      </c>
      <c r="AF17" s="268">
        <f t="shared" si="58"/>
        <v>0</v>
      </c>
      <c r="AG17" s="268">
        <f t="shared" si="58"/>
        <v>0</v>
      </c>
      <c r="AH17" s="268">
        <f t="shared" si="58"/>
        <v>0</v>
      </c>
      <c r="AI17" s="268">
        <f t="shared" si="58"/>
        <v>0</v>
      </c>
      <c r="AJ17" s="268">
        <f t="shared" si="58"/>
        <v>0</v>
      </c>
      <c r="AK17" s="268">
        <f t="shared" si="58"/>
        <v>0</v>
      </c>
      <c r="AL17" s="268">
        <f t="shared" si="58"/>
        <v>0</v>
      </c>
      <c r="AM17" s="268">
        <f t="shared" si="58"/>
        <v>0</v>
      </c>
      <c r="AN17" s="268">
        <f t="shared" si="58"/>
        <v>0</v>
      </c>
      <c r="AO17" s="268">
        <f t="shared" si="58"/>
        <v>0</v>
      </c>
      <c r="AP17" s="268">
        <f t="shared" si="58"/>
        <v>0</v>
      </c>
      <c r="AQ17" s="268">
        <f t="shared" si="58"/>
        <v>0</v>
      </c>
      <c r="AR17" s="268">
        <f t="shared" si="58"/>
        <v>0</v>
      </c>
      <c r="AS17" s="268">
        <f t="shared" si="58"/>
        <v>0</v>
      </c>
      <c r="AT17" s="268">
        <f t="shared" si="58"/>
        <v>0</v>
      </c>
      <c r="AU17" s="268">
        <f t="shared" si="58"/>
        <v>0</v>
      </c>
      <c r="AV17" s="268">
        <f t="shared" si="58"/>
        <v>0</v>
      </c>
      <c r="AW17" s="268">
        <f t="shared" si="58"/>
        <v>0</v>
      </c>
      <c r="AX17" s="268">
        <f t="shared" si="58"/>
        <v>0</v>
      </c>
      <c r="AY17" s="268">
        <f t="shared" si="58"/>
        <v>0</v>
      </c>
      <c r="AZ17" s="268">
        <f t="shared" si="58"/>
        <v>0</v>
      </c>
      <c r="BA17" s="268">
        <f t="shared" si="58"/>
        <v>0</v>
      </c>
      <c r="BB17" s="268">
        <f t="shared" si="58"/>
        <v>0</v>
      </c>
      <c r="BC17" s="268">
        <f t="shared" si="58"/>
        <v>0</v>
      </c>
      <c r="BD17" s="268">
        <f t="shared" si="58"/>
        <v>0</v>
      </c>
      <c r="BE17" s="268">
        <f t="shared" si="14"/>
        <v>0</v>
      </c>
      <c r="BF17" s="268">
        <f t="shared" si="15"/>
        <v>0</v>
      </c>
      <c r="BG17" s="268">
        <f t="shared" si="16"/>
        <v>0</v>
      </c>
      <c r="BH17" s="268">
        <f t="shared" si="17"/>
        <v>0</v>
      </c>
      <c r="BI17" s="268">
        <f t="shared" si="18"/>
        <v>0</v>
      </c>
      <c r="BJ17" s="268">
        <f t="shared" si="19"/>
        <v>0</v>
      </c>
      <c r="BK17" s="268">
        <f t="shared" si="20"/>
        <v>0</v>
      </c>
      <c r="BL17" s="268">
        <f t="shared" si="21"/>
        <v>0</v>
      </c>
      <c r="BM17" s="268">
        <f t="shared" si="22"/>
        <v>0</v>
      </c>
      <c r="BN17" s="268">
        <f t="shared" si="23"/>
        <v>0</v>
      </c>
      <c r="BO17" s="268">
        <f t="shared" si="24"/>
        <v>0</v>
      </c>
      <c r="BP17" s="268">
        <f t="shared" si="25"/>
        <v>0</v>
      </c>
      <c r="BQ17" s="268">
        <f t="shared" si="26"/>
        <v>0</v>
      </c>
      <c r="BR17" s="268">
        <f t="shared" si="27"/>
        <v>0</v>
      </c>
      <c r="BS17" s="268">
        <f t="shared" si="28"/>
        <v>0</v>
      </c>
      <c r="BT17" s="268">
        <f t="shared" si="29"/>
        <v>0</v>
      </c>
      <c r="BU17" s="268">
        <f t="shared" si="30"/>
        <v>0</v>
      </c>
      <c r="BV17" s="268">
        <f t="shared" si="31"/>
        <v>0</v>
      </c>
      <c r="BW17" s="268">
        <f t="shared" si="32"/>
        <v>0</v>
      </c>
      <c r="BX17" s="268">
        <f t="shared" si="33"/>
        <v>0</v>
      </c>
      <c r="BY17" s="268">
        <f t="shared" si="34"/>
        <v>0</v>
      </c>
      <c r="BZ17" s="268">
        <f t="shared" si="35"/>
        <v>0</v>
      </c>
      <c r="CA17" s="268">
        <f t="shared" si="36"/>
        <v>0</v>
      </c>
      <c r="CB17" s="268">
        <f t="shared" si="37"/>
        <v>0</v>
      </c>
      <c r="CC17" s="268">
        <f t="shared" si="38"/>
        <v>0</v>
      </c>
      <c r="CD17" s="268">
        <f t="shared" si="39"/>
        <v>0</v>
      </c>
      <c r="CE17" s="268">
        <f t="shared" si="40"/>
        <v>0</v>
      </c>
      <c r="CF17" s="268">
        <f t="shared" si="41"/>
        <v>0</v>
      </c>
      <c r="CG17" s="268">
        <f t="shared" si="42"/>
        <v>0</v>
      </c>
      <c r="CH17" s="268">
        <f t="shared" si="43"/>
        <v>0</v>
      </c>
      <c r="CI17" s="268">
        <f t="shared" si="44"/>
        <v>0</v>
      </c>
      <c r="CJ17" s="268">
        <f t="shared" si="45"/>
        <v>0</v>
      </c>
      <c r="CK17" s="268">
        <f t="shared" si="46"/>
        <v>0</v>
      </c>
      <c r="CL17" s="268">
        <f t="shared" si="47"/>
        <v>0</v>
      </c>
      <c r="CM17" s="268">
        <f t="shared" si="48"/>
        <v>0</v>
      </c>
      <c r="CN17" s="268">
        <f t="shared" si="49"/>
        <v>0</v>
      </c>
      <c r="CO17" s="268">
        <f t="shared" si="50"/>
        <v>0</v>
      </c>
      <c r="CP17" s="268">
        <f t="shared" si="51"/>
        <v>0</v>
      </c>
      <c r="CQ17" s="362" t="s">
        <v>77</v>
      </c>
      <c r="CU17"/>
      <c r="CV17"/>
      <c r="CW17"/>
      <c r="CX17"/>
      <c r="CY17"/>
      <c r="CZ17"/>
      <c r="DA17" s="109"/>
      <c r="DB17" s="110"/>
      <c r="DC17" s="109"/>
      <c r="DD17" s="111"/>
      <c r="DE17" s="111"/>
      <c r="DF17" s="111"/>
      <c r="DG17" s="111"/>
      <c r="DH17" s="111"/>
      <c r="DI17" s="112"/>
      <c r="DJ17" s="112"/>
      <c r="DK17" s="112"/>
      <c r="DL17" s="109"/>
      <c r="DM17" s="109"/>
      <c r="DN17" s="109"/>
      <c r="DO17" s="109"/>
      <c r="DP17" s="109"/>
      <c r="DQ17" s="109"/>
      <c r="DR17" s="109"/>
      <c r="DS17" s="109"/>
    </row>
    <row r="18" spans="2:156" s="405" customFormat="1" ht="11.25" hidden="1" customHeight="1" outlineLevel="1" x14ac:dyDescent="0.2">
      <c r="B18" s="103" t="s">
        <v>397</v>
      </c>
      <c r="D18" s="57"/>
      <c r="E18" s="57"/>
      <c r="F18" s="57"/>
      <c r="G18" s="57"/>
      <c r="H18" s="57"/>
      <c r="I18" s="57"/>
      <c r="J18" s="57"/>
      <c r="K18" s="57" t="s">
        <v>78</v>
      </c>
      <c r="L18" s="57" t="s">
        <v>78</v>
      </c>
      <c r="M18" s="57" t="s">
        <v>78</v>
      </c>
      <c r="N18" s="57" t="s">
        <v>78</v>
      </c>
      <c r="O18" s="57">
        <v>12.933359999999995</v>
      </c>
      <c r="P18" s="57">
        <v>11.777519999999999</v>
      </c>
      <c r="Q18" s="57">
        <v>14.854499999999993</v>
      </c>
      <c r="R18" s="57">
        <v>24.690507599999979</v>
      </c>
      <c r="S18" s="57">
        <v>35.627900000000018</v>
      </c>
      <c r="T18" s="406">
        <v>46.327417634298108</v>
      </c>
      <c r="U18" s="406">
        <v>47.60140305383446</v>
      </c>
      <c r="V18" s="406">
        <v>50.732646383701031</v>
      </c>
      <c r="W18" s="406">
        <v>52.000962543293554</v>
      </c>
      <c r="X18" s="149">
        <v>53.300986606875888</v>
      </c>
      <c r="Y18" s="149">
        <f t="shared" ref="Y18:BD18" si="59">+X18*1.025</f>
        <v>54.633511272047784</v>
      </c>
      <c r="Z18" s="149">
        <f t="shared" si="59"/>
        <v>55.999349053848974</v>
      </c>
      <c r="AA18" s="149">
        <f t="shared" si="59"/>
        <v>57.399332780195195</v>
      </c>
      <c r="AB18" s="149">
        <f t="shared" si="59"/>
        <v>58.834316099700068</v>
      </c>
      <c r="AC18" s="149">
        <f t="shared" si="59"/>
        <v>60.305174002192565</v>
      </c>
      <c r="AD18" s="149">
        <f t="shared" si="59"/>
        <v>61.812803352247371</v>
      </c>
      <c r="AE18" s="149">
        <f t="shared" si="59"/>
        <v>63.358123436053553</v>
      </c>
      <c r="AF18" s="149">
        <f t="shared" si="59"/>
        <v>64.942076521954888</v>
      </c>
      <c r="AG18" s="149">
        <f t="shared" si="59"/>
        <v>66.565628435003759</v>
      </c>
      <c r="AH18" s="149">
        <f t="shared" si="59"/>
        <v>68.229769145878848</v>
      </c>
      <c r="AI18" s="149">
        <f t="shared" si="59"/>
        <v>69.935513374525812</v>
      </c>
      <c r="AJ18" s="149">
        <f t="shared" si="59"/>
        <v>71.683901208888955</v>
      </c>
      <c r="AK18" s="149">
        <f t="shared" si="59"/>
        <v>73.475998739111176</v>
      </c>
      <c r="AL18" s="149">
        <f t="shared" si="59"/>
        <v>75.312898707588943</v>
      </c>
      <c r="AM18" s="149">
        <f t="shared" si="59"/>
        <v>77.195721175278663</v>
      </c>
      <c r="AN18" s="149">
        <f t="shared" si="59"/>
        <v>79.125614204660621</v>
      </c>
      <c r="AO18" s="149">
        <f t="shared" si="59"/>
        <v>81.10375455977713</v>
      </c>
      <c r="AP18" s="149">
        <f t="shared" si="59"/>
        <v>83.131348423771556</v>
      </c>
      <c r="AQ18" s="149">
        <f t="shared" si="59"/>
        <v>85.209632134365833</v>
      </c>
      <c r="AR18" s="149">
        <f t="shared" si="59"/>
        <v>87.339872937724977</v>
      </c>
      <c r="AS18" s="149">
        <f t="shared" si="59"/>
        <v>89.523369761168098</v>
      </c>
      <c r="AT18" s="149">
        <f t="shared" si="59"/>
        <v>91.761454005197294</v>
      </c>
      <c r="AU18" s="149">
        <f t="shared" si="59"/>
        <v>94.055490355327223</v>
      </c>
      <c r="AV18" s="149">
        <f t="shared" si="59"/>
        <v>96.406877614210401</v>
      </c>
      <c r="AW18" s="149">
        <f t="shared" si="59"/>
        <v>98.817049554565656</v>
      </c>
      <c r="AX18" s="149">
        <f t="shared" si="59"/>
        <v>101.28747579342979</v>
      </c>
      <c r="AY18" s="149">
        <f t="shared" si="59"/>
        <v>103.81966268826552</v>
      </c>
      <c r="AZ18" s="149">
        <f t="shared" si="59"/>
        <v>106.41515425547215</v>
      </c>
      <c r="BA18" s="149">
        <f t="shared" si="59"/>
        <v>109.07553311185895</v>
      </c>
      <c r="BB18" s="149">
        <f t="shared" si="59"/>
        <v>111.8024214396554</v>
      </c>
      <c r="BC18" s="149">
        <f t="shared" si="59"/>
        <v>114.59748197564679</v>
      </c>
      <c r="BD18" s="149">
        <f t="shared" si="59"/>
        <v>117.46241902503795</v>
      </c>
      <c r="BE18" s="149">
        <f t="shared" ref="BE18:CP18" si="60">+BD18*1.025</f>
        <v>120.39897950066388</v>
      </c>
      <c r="BF18" s="149">
        <f t="shared" si="60"/>
        <v>123.40895398818047</v>
      </c>
      <c r="BG18" s="149">
        <f t="shared" si="60"/>
        <v>126.49417783788498</v>
      </c>
      <c r="BH18" s="149">
        <f t="shared" si="60"/>
        <v>129.65653228383209</v>
      </c>
      <c r="BI18" s="149">
        <f t="shared" si="60"/>
        <v>132.89794559092789</v>
      </c>
      <c r="BJ18" s="149">
        <f t="shared" si="60"/>
        <v>136.22039423070109</v>
      </c>
      <c r="BK18" s="149">
        <f t="shared" si="60"/>
        <v>139.62590408646861</v>
      </c>
      <c r="BL18" s="149">
        <f t="shared" si="60"/>
        <v>143.11655168863032</v>
      </c>
      <c r="BM18" s="149">
        <f t="shared" si="60"/>
        <v>146.69446548084608</v>
      </c>
      <c r="BN18" s="149">
        <f t="shared" si="60"/>
        <v>150.36182711786722</v>
      </c>
      <c r="BO18" s="149">
        <f t="shared" si="60"/>
        <v>154.12087279581388</v>
      </c>
      <c r="BP18" s="149">
        <f t="shared" si="60"/>
        <v>157.97389461570921</v>
      </c>
      <c r="BQ18" s="149">
        <f t="shared" si="60"/>
        <v>161.92324198110194</v>
      </c>
      <c r="BR18" s="149">
        <f t="shared" si="60"/>
        <v>165.97132303062946</v>
      </c>
      <c r="BS18" s="149">
        <f t="shared" si="60"/>
        <v>170.12060610639517</v>
      </c>
      <c r="BT18" s="149">
        <f t="shared" si="60"/>
        <v>174.37362125905503</v>
      </c>
      <c r="BU18" s="149">
        <f t="shared" si="60"/>
        <v>178.73296179053139</v>
      </c>
      <c r="BV18" s="149">
        <f t="shared" si="60"/>
        <v>183.20128583529467</v>
      </c>
      <c r="BW18" s="149">
        <f t="shared" si="60"/>
        <v>187.78131798117701</v>
      </c>
      <c r="BX18" s="149">
        <f t="shared" si="60"/>
        <v>192.47585093070643</v>
      </c>
      <c r="BY18" s="149">
        <f t="shared" si="60"/>
        <v>197.28774720397408</v>
      </c>
      <c r="BZ18" s="149">
        <f t="shared" si="60"/>
        <v>202.21994088407342</v>
      </c>
      <c r="CA18" s="149">
        <f t="shared" si="60"/>
        <v>207.27543940617525</v>
      </c>
      <c r="CB18" s="149">
        <f t="shared" si="60"/>
        <v>212.45732539132962</v>
      </c>
      <c r="CC18" s="149">
        <f t="shared" si="60"/>
        <v>217.76875852611283</v>
      </c>
      <c r="CD18" s="149">
        <f t="shared" si="60"/>
        <v>223.21297748926563</v>
      </c>
      <c r="CE18" s="149">
        <f t="shared" si="60"/>
        <v>228.79330192649724</v>
      </c>
      <c r="CF18" s="149">
        <f t="shared" si="60"/>
        <v>234.51313447465964</v>
      </c>
      <c r="CG18" s="149">
        <f t="shared" si="60"/>
        <v>240.3759628365261</v>
      </c>
      <c r="CH18" s="149">
        <f t="shared" si="60"/>
        <v>246.38536190743923</v>
      </c>
      <c r="CI18" s="149">
        <f t="shared" si="60"/>
        <v>252.54499595512519</v>
      </c>
      <c r="CJ18" s="149">
        <f t="shared" si="60"/>
        <v>258.85862085400328</v>
      </c>
      <c r="CK18" s="149">
        <f t="shared" si="60"/>
        <v>265.33008637535335</v>
      </c>
      <c r="CL18" s="149">
        <f t="shared" si="60"/>
        <v>271.96333853473715</v>
      </c>
      <c r="CM18" s="149">
        <f t="shared" si="60"/>
        <v>278.76242199810554</v>
      </c>
      <c r="CN18" s="149">
        <f t="shared" si="60"/>
        <v>285.73148254805812</v>
      </c>
      <c r="CO18" s="149">
        <f t="shared" si="60"/>
        <v>292.87476961175958</v>
      </c>
      <c r="CP18" s="149">
        <f t="shared" si="60"/>
        <v>300.19663885205352</v>
      </c>
      <c r="CQ18" s="52" t="s">
        <v>77</v>
      </c>
      <c r="CU18"/>
      <c r="CV18"/>
      <c r="CW18"/>
      <c r="CX18"/>
      <c r="CY18"/>
      <c r="CZ18"/>
      <c r="DA18" s="113"/>
      <c r="DB18" s="114"/>
      <c r="DC18" s="113"/>
      <c r="DD18" s="115"/>
      <c r="DE18" s="115"/>
      <c r="DF18" s="115"/>
      <c r="DG18" s="115"/>
      <c r="DH18" s="115"/>
      <c r="DI18" s="116"/>
      <c r="DJ18" s="116"/>
      <c r="DK18" s="116"/>
      <c r="DL18" s="113"/>
      <c r="DM18" s="113"/>
      <c r="DN18" s="113"/>
      <c r="DO18" s="113"/>
      <c r="DP18" s="113"/>
      <c r="DQ18" s="113"/>
      <c r="DR18" s="113"/>
      <c r="DS18" s="113"/>
      <c r="DT18" s="55"/>
      <c r="DU18" s="407"/>
      <c r="DV18" s="407"/>
      <c r="DW18" s="55"/>
      <c r="DX18" s="55"/>
      <c r="DY18" s="55"/>
      <c r="DZ18" s="55"/>
      <c r="EB18" s="55"/>
      <c r="EC18" s="55"/>
      <c r="ED18" s="55"/>
      <c r="EE18" s="55"/>
      <c r="EF18" s="55"/>
      <c r="EG18" s="55"/>
      <c r="EH18" s="55"/>
      <c r="EI18" s="55"/>
      <c r="EJ18" s="55"/>
      <c r="EK18" s="55"/>
      <c r="EL18" s="55"/>
      <c r="EM18" s="55"/>
      <c r="EN18" s="55"/>
      <c r="EO18" s="55"/>
      <c r="EP18" s="55"/>
      <c r="EQ18" s="55"/>
      <c r="ER18" s="55"/>
      <c r="ES18" s="55"/>
      <c r="ET18" s="55"/>
      <c r="EU18" s="55"/>
      <c r="EV18" s="55"/>
      <c r="EW18" s="55"/>
      <c r="EX18" s="55"/>
      <c r="EY18" s="55"/>
      <c r="EZ18" s="55"/>
    </row>
    <row r="19" spans="2:156" hidden="1" outlineLevel="1" x14ac:dyDescent="0.2">
      <c r="B19" s="7" t="s">
        <v>353</v>
      </c>
      <c r="U19" s="56">
        <v>6.0999999999999999E-2</v>
      </c>
      <c r="V19" s="56">
        <v>1</v>
      </c>
      <c r="W19" s="269">
        <f t="shared" ref="W19:BD19" si="61">V19</f>
        <v>1</v>
      </c>
      <c r="X19" s="268">
        <f t="shared" si="61"/>
        <v>1</v>
      </c>
      <c r="Y19" s="268">
        <f t="shared" si="61"/>
        <v>1</v>
      </c>
      <c r="Z19" s="268">
        <f t="shared" si="61"/>
        <v>1</v>
      </c>
      <c r="AA19" s="268">
        <f t="shared" si="61"/>
        <v>1</v>
      </c>
      <c r="AB19" s="268">
        <f t="shared" si="61"/>
        <v>1</v>
      </c>
      <c r="AC19" s="268">
        <f t="shared" si="61"/>
        <v>1</v>
      </c>
      <c r="AD19" s="268">
        <f t="shared" si="61"/>
        <v>1</v>
      </c>
      <c r="AE19" s="268">
        <f t="shared" si="61"/>
        <v>1</v>
      </c>
      <c r="AF19" s="268">
        <f t="shared" si="61"/>
        <v>1</v>
      </c>
      <c r="AG19" s="268">
        <f t="shared" si="61"/>
        <v>1</v>
      </c>
      <c r="AH19" s="268">
        <f t="shared" si="61"/>
        <v>1</v>
      </c>
      <c r="AI19" s="268">
        <f t="shared" si="61"/>
        <v>1</v>
      </c>
      <c r="AJ19" s="268">
        <f t="shared" si="61"/>
        <v>1</v>
      </c>
      <c r="AK19" s="268">
        <f t="shared" si="61"/>
        <v>1</v>
      </c>
      <c r="AL19" s="268">
        <f t="shared" si="61"/>
        <v>1</v>
      </c>
      <c r="AM19" s="268">
        <f t="shared" si="61"/>
        <v>1</v>
      </c>
      <c r="AN19" s="268">
        <f t="shared" si="61"/>
        <v>1</v>
      </c>
      <c r="AO19" s="268">
        <f t="shared" si="61"/>
        <v>1</v>
      </c>
      <c r="AP19" s="268">
        <f t="shared" si="61"/>
        <v>1</v>
      </c>
      <c r="AQ19" s="268">
        <f t="shared" si="61"/>
        <v>1</v>
      </c>
      <c r="AR19" s="268">
        <f t="shared" si="61"/>
        <v>1</v>
      </c>
      <c r="AS19" s="268">
        <f t="shared" si="61"/>
        <v>1</v>
      </c>
      <c r="AT19" s="268">
        <f t="shared" si="61"/>
        <v>1</v>
      </c>
      <c r="AU19" s="268">
        <f t="shared" si="61"/>
        <v>1</v>
      </c>
      <c r="AV19" s="268">
        <f t="shared" si="61"/>
        <v>1</v>
      </c>
      <c r="AW19" s="268">
        <f t="shared" si="61"/>
        <v>1</v>
      </c>
      <c r="AX19" s="268">
        <f t="shared" si="61"/>
        <v>1</v>
      </c>
      <c r="AY19" s="268">
        <f t="shared" si="61"/>
        <v>1</v>
      </c>
      <c r="AZ19" s="268">
        <f t="shared" si="61"/>
        <v>1</v>
      </c>
      <c r="BA19" s="268">
        <f t="shared" si="61"/>
        <v>1</v>
      </c>
      <c r="BB19" s="268">
        <f t="shared" si="61"/>
        <v>1</v>
      </c>
      <c r="BC19" s="268">
        <f t="shared" si="61"/>
        <v>1</v>
      </c>
      <c r="BD19" s="268">
        <f t="shared" si="61"/>
        <v>1</v>
      </c>
      <c r="BE19" s="268">
        <f t="shared" ref="BE19:CP19" si="62">BD19</f>
        <v>1</v>
      </c>
      <c r="BF19" s="268">
        <f t="shared" si="62"/>
        <v>1</v>
      </c>
      <c r="BG19" s="268">
        <f t="shared" si="62"/>
        <v>1</v>
      </c>
      <c r="BH19" s="268">
        <f t="shared" si="62"/>
        <v>1</v>
      </c>
      <c r="BI19" s="268">
        <f t="shared" si="62"/>
        <v>1</v>
      </c>
      <c r="BJ19" s="268">
        <f t="shared" si="62"/>
        <v>1</v>
      </c>
      <c r="BK19" s="268">
        <f t="shared" si="62"/>
        <v>1</v>
      </c>
      <c r="BL19" s="268">
        <f t="shared" si="62"/>
        <v>1</v>
      </c>
      <c r="BM19" s="268">
        <f t="shared" si="62"/>
        <v>1</v>
      </c>
      <c r="BN19" s="268">
        <f t="shared" si="62"/>
        <v>1</v>
      </c>
      <c r="BO19" s="268">
        <f t="shared" si="62"/>
        <v>1</v>
      </c>
      <c r="BP19" s="268">
        <f t="shared" si="62"/>
        <v>1</v>
      </c>
      <c r="BQ19" s="268">
        <f t="shared" si="62"/>
        <v>1</v>
      </c>
      <c r="BR19" s="268">
        <f t="shared" si="62"/>
        <v>1</v>
      </c>
      <c r="BS19" s="268">
        <f t="shared" si="62"/>
        <v>1</v>
      </c>
      <c r="BT19" s="268">
        <f t="shared" si="62"/>
        <v>1</v>
      </c>
      <c r="BU19" s="268">
        <f t="shared" si="62"/>
        <v>1</v>
      </c>
      <c r="BV19" s="268">
        <f t="shared" si="62"/>
        <v>1</v>
      </c>
      <c r="BW19" s="268">
        <f t="shared" si="62"/>
        <v>1</v>
      </c>
      <c r="BX19" s="268">
        <f t="shared" si="62"/>
        <v>1</v>
      </c>
      <c r="BY19" s="268">
        <f t="shared" si="62"/>
        <v>1</v>
      </c>
      <c r="BZ19" s="268">
        <f t="shared" si="62"/>
        <v>1</v>
      </c>
      <c r="CA19" s="268">
        <f t="shared" si="62"/>
        <v>1</v>
      </c>
      <c r="CB19" s="268">
        <f t="shared" si="62"/>
        <v>1</v>
      </c>
      <c r="CC19" s="268">
        <f t="shared" si="62"/>
        <v>1</v>
      </c>
      <c r="CD19" s="268">
        <f t="shared" si="62"/>
        <v>1</v>
      </c>
      <c r="CE19" s="268">
        <f t="shared" si="62"/>
        <v>1</v>
      </c>
      <c r="CF19" s="268">
        <f t="shared" si="62"/>
        <v>1</v>
      </c>
      <c r="CG19" s="268">
        <f t="shared" si="62"/>
        <v>1</v>
      </c>
      <c r="CH19" s="268">
        <f t="shared" si="62"/>
        <v>1</v>
      </c>
      <c r="CI19" s="268">
        <f t="shared" si="62"/>
        <v>1</v>
      </c>
      <c r="CJ19" s="268">
        <f t="shared" si="62"/>
        <v>1</v>
      </c>
      <c r="CK19" s="268">
        <f t="shared" si="62"/>
        <v>1</v>
      </c>
      <c r="CL19" s="268">
        <f t="shared" si="62"/>
        <v>1</v>
      </c>
      <c r="CM19" s="268">
        <f t="shared" si="62"/>
        <v>1</v>
      </c>
      <c r="CN19" s="268">
        <f t="shared" si="62"/>
        <v>1</v>
      </c>
      <c r="CO19" s="268">
        <f t="shared" si="62"/>
        <v>1</v>
      </c>
      <c r="CP19" s="268">
        <f t="shared" si="62"/>
        <v>1</v>
      </c>
      <c r="CQ19" s="362" t="s">
        <v>77</v>
      </c>
      <c r="DB19" s="7"/>
      <c r="DU19" s="233" t="s">
        <v>449</v>
      </c>
      <c r="EB19" s="233" t="s">
        <v>122</v>
      </c>
      <c r="EH19" s="233" t="s">
        <v>538</v>
      </c>
      <c r="EI19" s="194"/>
      <c r="EJ19" s="194"/>
    </row>
    <row r="20" spans="2:156" collapsed="1" x14ac:dyDescent="0.2">
      <c r="B20" s="7"/>
      <c r="U20" s="56"/>
      <c r="V20" s="183"/>
      <c r="W20" s="183"/>
      <c r="X20" s="148"/>
      <c r="Y20" s="148"/>
      <c r="Z20" s="148"/>
      <c r="AA20" s="148"/>
      <c r="AB20" s="148"/>
      <c r="AC20" s="148"/>
      <c r="AD20" s="148"/>
      <c r="AE20" s="148"/>
      <c r="AF20" s="148"/>
      <c r="AG20" s="148"/>
      <c r="AH20" s="148"/>
      <c r="AI20" s="148"/>
      <c r="AJ20" s="148"/>
      <c r="AK20" s="148"/>
      <c r="AL20" s="148"/>
      <c r="AM20" s="148"/>
      <c r="AN20" s="148"/>
      <c r="AO20" s="148"/>
      <c r="AP20" s="148"/>
      <c r="AQ20" s="148"/>
      <c r="AR20" s="148"/>
      <c r="AS20" s="148"/>
      <c r="AT20" s="148"/>
      <c r="AU20" s="148"/>
      <c r="AV20" s="148"/>
      <c r="AW20" s="148"/>
      <c r="AX20" s="148"/>
      <c r="AY20" s="148"/>
      <c r="AZ20" s="148"/>
      <c r="BA20" s="148"/>
      <c r="BB20" s="148"/>
      <c r="BC20" s="148"/>
      <c r="BD20" s="148"/>
      <c r="BE20" s="148"/>
      <c r="BF20" s="148"/>
      <c r="BG20" s="148"/>
      <c r="BH20" s="148"/>
      <c r="BI20" s="148"/>
      <c r="BJ20" s="148"/>
      <c r="BK20" s="148"/>
      <c r="BL20" s="148"/>
      <c r="BM20" s="148"/>
      <c r="BN20" s="148"/>
      <c r="BO20" s="148"/>
      <c r="BP20" s="148"/>
      <c r="BQ20" s="148"/>
      <c r="BR20" s="148"/>
      <c r="BS20" s="148"/>
      <c r="BT20" s="148"/>
      <c r="BU20" s="148"/>
      <c r="BV20" s="148"/>
      <c r="BW20" s="148"/>
      <c r="BX20" s="148"/>
      <c r="BY20" s="148"/>
      <c r="BZ20" s="148"/>
      <c r="CA20" s="148"/>
      <c r="CB20" s="148"/>
      <c r="CC20" s="148"/>
      <c r="CD20" s="148"/>
      <c r="CE20" s="148"/>
      <c r="CF20" s="148"/>
      <c r="CG20" s="148"/>
      <c r="CH20" s="148"/>
      <c r="CI20" s="148"/>
      <c r="CJ20" s="148"/>
      <c r="CK20" s="148"/>
      <c r="CL20" s="148"/>
      <c r="CM20" s="148"/>
      <c r="CN20" s="148"/>
      <c r="CO20" s="148"/>
      <c r="CP20" s="148"/>
      <c r="CQ20" s="362" t="s">
        <v>77</v>
      </c>
      <c r="DB20" s="7"/>
      <c r="DU20" s="233"/>
      <c r="EB20" s="233"/>
    </row>
    <row r="21" spans="2:156" s="233" customFormat="1" x14ac:dyDescent="0.2">
      <c r="B21" s="728" t="s">
        <v>222</v>
      </c>
      <c r="C21" s="312"/>
      <c r="D21" s="308"/>
      <c r="E21" s="308"/>
      <c r="F21" s="312">
        <f t="shared" ref="F21:BQ21" si="63">Fiscal_Year</f>
        <v>36707</v>
      </c>
      <c r="G21" s="312">
        <f t="shared" si="63"/>
        <v>37072</v>
      </c>
      <c r="H21" s="312">
        <f t="shared" si="63"/>
        <v>37437</v>
      </c>
      <c r="I21" s="312">
        <f t="shared" si="63"/>
        <v>37802</v>
      </c>
      <c r="J21" s="312">
        <f t="shared" si="63"/>
        <v>38168</v>
      </c>
      <c r="K21" s="312">
        <f t="shared" si="63"/>
        <v>38533</v>
      </c>
      <c r="L21" s="312">
        <f t="shared" si="63"/>
        <v>38898</v>
      </c>
      <c r="M21" s="312">
        <f t="shared" si="63"/>
        <v>39263</v>
      </c>
      <c r="N21" s="312">
        <f t="shared" si="63"/>
        <v>39629</v>
      </c>
      <c r="O21" s="312">
        <f t="shared" si="63"/>
        <v>39994</v>
      </c>
      <c r="P21" s="312">
        <f t="shared" si="63"/>
        <v>40359</v>
      </c>
      <c r="Q21" s="312">
        <f t="shared" si="63"/>
        <v>40724</v>
      </c>
      <c r="R21" s="312">
        <f t="shared" si="63"/>
        <v>41090</v>
      </c>
      <c r="S21" s="312">
        <f t="shared" si="63"/>
        <v>41455</v>
      </c>
      <c r="T21" s="312">
        <f t="shared" si="63"/>
        <v>41820</v>
      </c>
      <c r="U21" s="312">
        <f t="shared" si="63"/>
        <v>42185</v>
      </c>
      <c r="V21" s="312">
        <f t="shared" si="63"/>
        <v>42551</v>
      </c>
      <c r="W21" s="312">
        <f t="shared" si="63"/>
        <v>42916</v>
      </c>
      <c r="X21" s="312">
        <f t="shared" si="63"/>
        <v>43281</v>
      </c>
      <c r="Y21" s="312">
        <f t="shared" si="63"/>
        <v>43646</v>
      </c>
      <c r="Z21" s="312">
        <f t="shared" si="63"/>
        <v>44012</v>
      </c>
      <c r="AA21" s="312">
        <f t="shared" si="63"/>
        <v>44377</v>
      </c>
      <c r="AB21" s="312">
        <f t="shared" si="63"/>
        <v>44742</v>
      </c>
      <c r="AC21" s="312">
        <f t="shared" si="63"/>
        <v>45107</v>
      </c>
      <c r="AD21" s="312">
        <f t="shared" si="63"/>
        <v>45473</v>
      </c>
      <c r="AE21" s="312">
        <f t="shared" si="63"/>
        <v>45838</v>
      </c>
      <c r="AF21" s="312">
        <f t="shared" si="63"/>
        <v>46203</v>
      </c>
      <c r="AG21" s="312">
        <f t="shared" si="63"/>
        <v>46568</v>
      </c>
      <c r="AH21" s="312">
        <f t="shared" si="63"/>
        <v>46934</v>
      </c>
      <c r="AI21" s="312">
        <f t="shared" si="63"/>
        <v>47299</v>
      </c>
      <c r="AJ21" s="312">
        <f t="shared" si="63"/>
        <v>47664</v>
      </c>
      <c r="AK21" s="312">
        <f t="shared" si="63"/>
        <v>48029</v>
      </c>
      <c r="AL21" s="312">
        <f t="shared" si="63"/>
        <v>48395</v>
      </c>
      <c r="AM21" s="312">
        <f t="shared" si="63"/>
        <v>48760</v>
      </c>
      <c r="AN21" s="312">
        <f t="shared" si="63"/>
        <v>49125</v>
      </c>
      <c r="AO21" s="312">
        <f t="shared" si="63"/>
        <v>49490</v>
      </c>
      <c r="AP21" s="312">
        <f t="shared" si="63"/>
        <v>49856</v>
      </c>
      <c r="AQ21" s="312">
        <f t="shared" si="63"/>
        <v>50221</v>
      </c>
      <c r="AR21" s="312">
        <f t="shared" si="63"/>
        <v>50586</v>
      </c>
      <c r="AS21" s="312">
        <f t="shared" si="63"/>
        <v>50951</v>
      </c>
      <c r="AT21" s="312">
        <f t="shared" si="63"/>
        <v>51317</v>
      </c>
      <c r="AU21" s="312">
        <f t="shared" si="63"/>
        <v>51682</v>
      </c>
      <c r="AV21" s="312">
        <f t="shared" si="63"/>
        <v>52047</v>
      </c>
      <c r="AW21" s="312">
        <f t="shared" si="63"/>
        <v>52412</v>
      </c>
      <c r="AX21" s="312">
        <f t="shared" si="63"/>
        <v>52778</v>
      </c>
      <c r="AY21" s="312">
        <f t="shared" si="63"/>
        <v>53143</v>
      </c>
      <c r="AZ21" s="312">
        <f t="shared" si="63"/>
        <v>53508</v>
      </c>
      <c r="BA21" s="312">
        <f t="shared" si="63"/>
        <v>53873</v>
      </c>
      <c r="BB21" s="312">
        <f t="shared" si="63"/>
        <v>54239</v>
      </c>
      <c r="BC21" s="312">
        <f t="shared" si="63"/>
        <v>54604</v>
      </c>
      <c r="BD21" s="312">
        <f t="shared" si="63"/>
        <v>54969</v>
      </c>
      <c r="BE21" s="312">
        <f t="shared" si="63"/>
        <v>55334</v>
      </c>
      <c r="BF21" s="312">
        <f t="shared" si="63"/>
        <v>55700</v>
      </c>
      <c r="BG21" s="312">
        <f t="shared" si="63"/>
        <v>56065</v>
      </c>
      <c r="BH21" s="312">
        <f t="shared" si="63"/>
        <v>56430</v>
      </c>
      <c r="BI21" s="312">
        <f t="shared" si="63"/>
        <v>56795</v>
      </c>
      <c r="BJ21" s="312">
        <f t="shared" si="63"/>
        <v>57161</v>
      </c>
      <c r="BK21" s="312">
        <f t="shared" si="63"/>
        <v>57526</v>
      </c>
      <c r="BL21" s="312">
        <f t="shared" si="63"/>
        <v>57891</v>
      </c>
      <c r="BM21" s="312">
        <f t="shared" si="63"/>
        <v>58256</v>
      </c>
      <c r="BN21" s="312">
        <f t="shared" si="63"/>
        <v>58622</v>
      </c>
      <c r="BO21" s="312">
        <f t="shared" si="63"/>
        <v>58987</v>
      </c>
      <c r="BP21" s="312">
        <f t="shared" si="63"/>
        <v>59352</v>
      </c>
      <c r="BQ21" s="312">
        <f t="shared" si="63"/>
        <v>59717</v>
      </c>
      <c r="BR21" s="312">
        <f t="shared" ref="BR21:CP21" si="64">Fiscal_Year</f>
        <v>60083</v>
      </c>
      <c r="BS21" s="312">
        <f t="shared" si="64"/>
        <v>60448</v>
      </c>
      <c r="BT21" s="312">
        <f t="shared" si="64"/>
        <v>60813</v>
      </c>
      <c r="BU21" s="312">
        <f t="shared" si="64"/>
        <v>61178</v>
      </c>
      <c r="BV21" s="312">
        <f t="shared" si="64"/>
        <v>61544</v>
      </c>
      <c r="BW21" s="312">
        <f t="shared" si="64"/>
        <v>61909</v>
      </c>
      <c r="BX21" s="312">
        <f t="shared" si="64"/>
        <v>62274</v>
      </c>
      <c r="BY21" s="312">
        <f t="shared" si="64"/>
        <v>62639</v>
      </c>
      <c r="BZ21" s="312">
        <f t="shared" si="64"/>
        <v>63005</v>
      </c>
      <c r="CA21" s="312">
        <f t="shared" si="64"/>
        <v>63370</v>
      </c>
      <c r="CB21" s="312">
        <f t="shared" si="64"/>
        <v>63735</v>
      </c>
      <c r="CC21" s="312">
        <f t="shared" si="64"/>
        <v>64100</v>
      </c>
      <c r="CD21" s="312">
        <f t="shared" si="64"/>
        <v>64466</v>
      </c>
      <c r="CE21" s="312">
        <f t="shared" si="64"/>
        <v>64831</v>
      </c>
      <c r="CF21" s="312">
        <f t="shared" si="64"/>
        <v>65196</v>
      </c>
      <c r="CG21" s="312">
        <f t="shared" si="64"/>
        <v>65561</v>
      </c>
      <c r="CH21" s="312">
        <f t="shared" si="64"/>
        <v>65927</v>
      </c>
      <c r="CI21" s="312">
        <f t="shared" si="64"/>
        <v>66292</v>
      </c>
      <c r="CJ21" s="312">
        <f t="shared" si="64"/>
        <v>66657</v>
      </c>
      <c r="CK21" s="312">
        <f t="shared" si="64"/>
        <v>67022</v>
      </c>
      <c r="CL21" s="312">
        <f t="shared" si="64"/>
        <v>67388</v>
      </c>
      <c r="CM21" s="312">
        <f t="shared" si="64"/>
        <v>67753</v>
      </c>
      <c r="CN21" s="312">
        <f t="shared" si="64"/>
        <v>68118</v>
      </c>
      <c r="CO21" s="312">
        <f t="shared" si="64"/>
        <v>68483</v>
      </c>
      <c r="CP21" s="312">
        <f t="shared" si="64"/>
        <v>68849</v>
      </c>
      <c r="CQ21" s="362" t="s">
        <v>77</v>
      </c>
      <c r="CT21" s="408"/>
      <c r="CU21"/>
      <c r="CV21"/>
      <c r="CW21"/>
      <c r="CX21"/>
      <c r="CY21"/>
      <c r="CZ21"/>
      <c r="DB21" s="728" t="s">
        <v>222</v>
      </c>
      <c r="DC21" s="8"/>
      <c r="DD21" s="312">
        <f t="shared" ref="DD21:DQ21" si="65">+DD$3</f>
        <v>40908</v>
      </c>
      <c r="DE21" s="312">
        <f t="shared" si="65"/>
        <v>41090</v>
      </c>
      <c r="DF21" s="312">
        <f t="shared" si="65"/>
        <v>41274</v>
      </c>
      <c r="DG21" s="312">
        <f t="shared" si="65"/>
        <v>41455</v>
      </c>
      <c r="DH21" s="312">
        <f t="shared" si="65"/>
        <v>41639</v>
      </c>
      <c r="DI21" s="312">
        <f t="shared" si="65"/>
        <v>41820</v>
      </c>
      <c r="DJ21" s="312">
        <f t="shared" si="65"/>
        <v>42004</v>
      </c>
      <c r="DK21" s="312">
        <f t="shared" si="65"/>
        <v>42185</v>
      </c>
      <c r="DL21" s="312">
        <f t="shared" si="65"/>
        <v>42369</v>
      </c>
      <c r="DM21" s="312">
        <f t="shared" si="65"/>
        <v>42551</v>
      </c>
      <c r="DN21" s="312">
        <f t="shared" si="65"/>
        <v>42735</v>
      </c>
      <c r="DO21" s="312">
        <f t="shared" si="65"/>
        <v>42916</v>
      </c>
      <c r="DP21" s="312">
        <f t="shared" si="65"/>
        <v>43100</v>
      </c>
      <c r="DQ21" s="312">
        <f t="shared" si="65"/>
        <v>43281</v>
      </c>
      <c r="DR21" s="312"/>
      <c r="DS21" s="312"/>
      <c r="DU21" s="370" t="s">
        <v>427</v>
      </c>
      <c r="DV21" s="370" t="s">
        <v>428</v>
      </c>
      <c r="DW21" s="370" t="s">
        <v>429</v>
      </c>
      <c r="DX21" s="370" t="s">
        <v>430</v>
      </c>
      <c r="DY21" s="370" t="s">
        <v>528</v>
      </c>
      <c r="DZ21" s="370" t="s">
        <v>529</v>
      </c>
      <c r="EB21" s="370" t="s">
        <v>427</v>
      </c>
      <c r="EC21" s="370" t="s">
        <v>428</v>
      </c>
      <c r="ED21" s="370" t="s">
        <v>429</v>
      </c>
      <c r="EE21" s="370" t="s">
        <v>430</v>
      </c>
      <c r="EF21" s="370" t="s">
        <v>528</v>
      </c>
      <c r="EG21" s="386"/>
      <c r="EH21" s="409" t="s">
        <v>430</v>
      </c>
      <c r="EI21" s="409" t="s">
        <v>528</v>
      </c>
      <c r="EJ21" s="409" t="s">
        <v>529</v>
      </c>
    </row>
    <row r="22" spans="2:156" ht="5.0999999999999996" customHeight="1" x14ac:dyDescent="0.2">
      <c r="B22" s="107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M22" s="108"/>
      <c r="CN22" s="108"/>
      <c r="CO22" s="108"/>
      <c r="CP22" s="108"/>
      <c r="CQ22" s="362" t="s">
        <v>77</v>
      </c>
      <c r="DB22" s="107"/>
      <c r="DD22" s="108"/>
      <c r="DE22" s="108"/>
      <c r="DF22" s="108"/>
      <c r="DG22" s="108"/>
      <c r="DH22" s="108"/>
      <c r="DI22" s="108"/>
      <c r="DJ22" s="108"/>
      <c r="DK22" s="108"/>
    </row>
    <row r="23" spans="2:156" ht="11.25" customHeight="1" outlineLevel="1" x14ac:dyDescent="0.2">
      <c r="B23" s="410" t="s">
        <v>215</v>
      </c>
      <c r="D23" s="54"/>
      <c r="E23" s="54"/>
      <c r="F23" s="54"/>
      <c r="G23" s="54"/>
      <c r="H23" s="54"/>
      <c r="I23" s="54"/>
      <c r="J23" s="54"/>
      <c r="K23" s="54">
        <f t="shared" ref="K23:S23" si="66">SUM(K24:K29)</f>
        <v>0</v>
      </c>
      <c r="L23" s="54">
        <f t="shared" si="66"/>
        <v>0</v>
      </c>
      <c r="M23" s="54">
        <f t="shared" si="66"/>
        <v>394.07600000000002</v>
      </c>
      <c r="N23" s="54">
        <f>SUM(N24:N29)</f>
        <v>490.62399999999997</v>
      </c>
      <c r="O23" s="54">
        <f t="shared" si="66"/>
        <v>543.62800000000004</v>
      </c>
      <c r="P23" s="54">
        <f t="shared" si="66"/>
        <v>566.22099999999989</v>
      </c>
      <c r="Q23" s="54">
        <f t="shared" si="66"/>
        <v>545.11599999999999</v>
      </c>
      <c r="R23" s="54">
        <f t="shared" si="66"/>
        <v>609.97400000000005</v>
      </c>
      <c r="S23" s="54">
        <f t="shared" si="66"/>
        <v>741.47599999999989</v>
      </c>
      <c r="T23" s="54">
        <f t="shared" ref="T23:BD23" si="67">SUM(T24:T29)</f>
        <v>824.0693</v>
      </c>
      <c r="U23" s="54">
        <f t="shared" si="67"/>
        <v>987.07999999999993</v>
      </c>
      <c r="V23" s="54">
        <f t="shared" si="67"/>
        <v>1528.576</v>
      </c>
      <c r="W23" s="54">
        <f t="shared" si="67"/>
        <v>1772.9920000000002</v>
      </c>
      <c r="X23" s="54">
        <f t="shared" si="67"/>
        <v>1803.0316537922304</v>
      </c>
      <c r="Y23" s="54">
        <f t="shared" si="67"/>
        <v>1896.0880814669135</v>
      </c>
      <c r="Z23" s="54">
        <f t="shared" si="67"/>
        <v>1983.2628102729088</v>
      </c>
      <c r="AA23" s="54">
        <f t="shared" si="67"/>
        <v>1945.5239183286292</v>
      </c>
      <c r="AB23" s="54">
        <f t="shared" si="67"/>
        <v>1983.0214523841412</v>
      </c>
      <c r="AC23" s="54">
        <f t="shared" si="67"/>
        <v>2022.5703602681456</v>
      </c>
      <c r="AD23" s="54">
        <f t="shared" si="67"/>
        <v>2063.1240769022397</v>
      </c>
      <c r="AE23" s="54">
        <f t="shared" si="67"/>
        <v>2091.8051888768464</v>
      </c>
      <c r="AF23" s="54">
        <f t="shared" si="67"/>
        <v>2082.3318294798619</v>
      </c>
      <c r="AG23" s="54">
        <f t="shared" si="67"/>
        <v>2105.4719141801602</v>
      </c>
      <c r="AH23" s="54">
        <f t="shared" si="67"/>
        <v>2147.8051102904769</v>
      </c>
      <c r="AI23" s="54">
        <f t="shared" si="67"/>
        <v>2030.6519298656376</v>
      </c>
      <c r="AJ23" s="54">
        <f t="shared" si="67"/>
        <v>1911.3255443698285</v>
      </c>
      <c r="AK23" s="54">
        <f t="shared" si="67"/>
        <v>1906.2715450895396</v>
      </c>
      <c r="AL23" s="54">
        <f t="shared" si="67"/>
        <v>1943.5747991343239</v>
      </c>
      <c r="AM23" s="54">
        <f t="shared" si="67"/>
        <v>1981.7078334604421</v>
      </c>
      <c r="AN23" s="54">
        <f t="shared" si="67"/>
        <v>2007.8018755078983</v>
      </c>
      <c r="AO23" s="54">
        <f t="shared" si="67"/>
        <v>1986.9472340944749</v>
      </c>
      <c r="AP23" s="54">
        <f t="shared" si="67"/>
        <v>1445.3709375412752</v>
      </c>
      <c r="AQ23" s="54">
        <f t="shared" si="67"/>
        <v>1474.4890208965967</v>
      </c>
      <c r="AR23" s="54">
        <f t="shared" si="67"/>
        <v>1354.4097423515611</v>
      </c>
      <c r="AS23" s="54">
        <f t="shared" si="67"/>
        <v>1192.0950337281026</v>
      </c>
      <c r="AT23" s="54">
        <f t="shared" si="67"/>
        <v>1173.5170218463845</v>
      </c>
      <c r="AU23" s="54">
        <f t="shared" si="67"/>
        <v>1199.5252709493643</v>
      </c>
      <c r="AV23" s="54">
        <f t="shared" si="67"/>
        <v>1226.151999600419</v>
      </c>
      <c r="AW23" s="54">
        <f t="shared" si="67"/>
        <v>1179.799046439894</v>
      </c>
      <c r="AX23" s="54">
        <f t="shared" si="67"/>
        <v>1205.951606624996</v>
      </c>
      <c r="AY23" s="54">
        <f t="shared" si="67"/>
        <v>1232.7228944526619</v>
      </c>
      <c r="AZ23" s="54">
        <f t="shared" si="67"/>
        <v>1260.1261871210525</v>
      </c>
      <c r="BA23" s="54">
        <f t="shared" si="67"/>
        <v>1020.5085713927334</v>
      </c>
      <c r="BB23" s="54">
        <f t="shared" si="67"/>
        <v>1042.8645405179279</v>
      </c>
      <c r="BC23" s="54">
        <f t="shared" si="67"/>
        <v>1065.7459709863347</v>
      </c>
      <c r="BD23" s="54">
        <f t="shared" si="67"/>
        <v>1089.1659955046093</v>
      </c>
      <c r="BE23" s="54">
        <f t="shared" ref="BE23:CP23" si="68">SUM(BE24:BE29)</f>
        <v>1113.1379894555432</v>
      </c>
      <c r="BF23" s="54">
        <f t="shared" si="68"/>
        <v>1137.6715977803376</v>
      </c>
      <c r="BG23" s="54">
        <f t="shared" si="68"/>
        <v>1162.7838531346811</v>
      </c>
      <c r="BH23" s="54">
        <f t="shared" si="68"/>
        <v>1188.4829702305169</v>
      </c>
      <c r="BI23" s="54">
        <f t="shared" si="68"/>
        <v>1214.7875756815165</v>
      </c>
      <c r="BJ23" s="54">
        <f t="shared" si="68"/>
        <v>1241.7070431725294</v>
      </c>
      <c r="BK23" s="54">
        <f t="shared" si="68"/>
        <v>1269.2591325260671</v>
      </c>
      <c r="BL23" s="54">
        <f t="shared" si="68"/>
        <v>1297.4568859635933</v>
      </c>
      <c r="BM23" s="54">
        <f t="shared" si="68"/>
        <v>1326.3152270301205</v>
      </c>
      <c r="BN23" s="54">
        <f t="shared" si="68"/>
        <v>1355.8488774671123</v>
      </c>
      <c r="BO23" s="54">
        <f t="shared" si="68"/>
        <v>1386.0739666330633</v>
      </c>
      <c r="BP23" s="54">
        <f t="shared" si="68"/>
        <v>1417.0064690053409</v>
      </c>
      <c r="BQ23" s="54">
        <f t="shared" si="68"/>
        <v>1448.6627329967662</v>
      </c>
      <c r="BR23" s="54">
        <f t="shared" si="68"/>
        <v>1481.0584796013043</v>
      </c>
      <c r="BS23" s="54">
        <f t="shared" si="68"/>
        <v>1452.227279496039</v>
      </c>
      <c r="BT23" s="54">
        <f t="shared" si="68"/>
        <v>1431.3764785155433</v>
      </c>
      <c r="BU23" s="54">
        <f t="shared" si="68"/>
        <v>1463.3243652382967</v>
      </c>
      <c r="BV23" s="54">
        <f t="shared" si="68"/>
        <v>1496.0178159806969</v>
      </c>
      <c r="BW23" s="54">
        <f t="shared" si="68"/>
        <v>1529.4735500879704</v>
      </c>
      <c r="BX23" s="54">
        <f t="shared" si="68"/>
        <v>1563.7101997127008</v>
      </c>
      <c r="BY23" s="54">
        <f t="shared" si="68"/>
        <v>1598.7427686327351</v>
      </c>
      <c r="BZ23" s="54">
        <f t="shared" si="68"/>
        <v>1634.593243153982</v>
      </c>
      <c r="CA23" s="54">
        <f t="shared" si="68"/>
        <v>1671.2784906325023</v>
      </c>
      <c r="CB23" s="54">
        <f t="shared" si="68"/>
        <v>1708.8203607130338</v>
      </c>
      <c r="CC23" s="54">
        <f t="shared" si="68"/>
        <v>1739.6035984013795</v>
      </c>
      <c r="CD23" s="54">
        <f t="shared" si="68"/>
        <v>1694.6628643638026</v>
      </c>
      <c r="CE23" s="54">
        <f t="shared" si="68"/>
        <v>1732.7054817549779</v>
      </c>
      <c r="CF23" s="54">
        <f t="shared" si="68"/>
        <v>1771.6318118941092</v>
      </c>
      <c r="CG23" s="54">
        <f t="shared" si="68"/>
        <v>1811.4633529911503</v>
      </c>
      <c r="CH23" s="54">
        <f t="shared" si="68"/>
        <v>1028.9238189170669</v>
      </c>
      <c r="CI23" s="54">
        <f t="shared" si="68"/>
        <v>1051.0752593215354</v>
      </c>
      <c r="CJ23" s="54">
        <f t="shared" si="68"/>
        <v>1073.7328489883676</v>
      </c>
      <c r="CK23" s="54">
        <f t="shared" si="68"/>
        <v>1096.9064783857407</v>
      </c>
      <c r="CL23" s="54">
        <f t="shared" si="68"/>
        <v>1120.6068414897682</v>
      </c>
      <c r="CM23" s="54">
        <f t="shared" si="68"/>
        <v>1144.8468811271889</v>
      </c>
      <c r="CN23" s="54">
        <f t="shared" si="68"/>
        <v>1169.6393357017628</v>
      </c>
      <c r="CO23" s="54">
        <f t="shared" si="68"/>
        <v>1194.9977354448438</v>
      </c>
      <c r="CP23" s="54">
        <f t="shared" si="68"/>
        <v>1171.3723472566896</v>
      </c>
      <c r="CQ23" s="362" t="s">
        <v>77</v>
      </c>
      <c r="CS23" s="233"/>
      <c r="CT23" s="233"/>
      <c r="DB23" s="410" t="s">
        <v>215</v>
      </c>
      <c r="DD23" s="54">
        <f t="shared" ref="DD23:DI23" si="69">SUM(DD24:DD29)</f>
        <v>309.39999999999998</v>
      </c>
      <c r="DE23" s="54">
        <f t="shared" si="69"/>
        <v>300.57400000000001</v>
      </c>
      <c r="DF23" s="54">
        <f t="shared" si="69"/>
        <v>373.17</v>
      </c>
      <c r="DG23" s="54">
        <f t="shared" si="69"/>
        <v>368.30599999999998</v>
      </c>
      <c r="DH23" s="54">
        <f t="shared" si="69"/>
        <v>414.53200000000004</v>
      </c>
      <c r="DI23" s="54">
        <f t="shared" si="69"/>
        <v>409.53730000000007</v>
      </c>
      <c r="DJ23" s="54">
        <f t="shared" ref="DJ23:DO23" si="70">SUM(DJ24:DJ29)</f>
        <v>471.84599999999995</v>
      </c>
      <c r="DK23" s="54">
        <f t="shared" si="70"/>
        <v>515.23400000000004</v>
      </c>
      <c r="DL23" s="54">
        <f t="shared" si="70"/>
        <v>740.9</v>
      </c>
      <c r="DM23" s="54">
        <f t="shared" si="70"/>
        <v>787.67599999999993</v>
      </c>
      <c r="DN23" s="54">
        <f t="shared" si="70"/>
        <v>901.84399999999994</v>
      </c>
      <c r="DO23" s="54">
        <f t="shared" si="70"/>
        <v>871.14800000000014</v>
      </c>
      <c r="DP23" s="54">
        <f t="shared" ref="DP23" si="71">SUM(DP24:DP29)</f>
        <v>899.57</v>
      </c>
      <c r="DQ23" s="54">
        <f t="shared" ref="DQ23:DQ39" si="72">X23-DP23</f>
        <v>903.46165379223032</v>
      </c>
      <c r="DR23" s="54"/>
      <c r="DS23" s="54"/>
      <c r="DU23" s="376">
        <f t="shared" ref="DU23:DU32" si="73">+(DD23/(DD23+DE23))</f>
        <v>0.50723473459524504</v>
      </c>
      <c r="DV23" s="376">
        <f>+(DF23/(DF23+DG23))</f>
        <v>0.50327994432726075</v>
      </c>
      <c r="DW23" s="376">
        <f t="shared" ref="DW23:DW31" si="74">+(DH23/(DH23+DI23))</f>
        <v>0.50303050969135721</v>
      </c>
      <c r="DX23" s="376">
        <f t="shared" ref="DX23:DX31" si="75">+(DJ23/(DJ23+DK23))</f>
        <v>0.47802204481906224</v>
      </c>
      <c r="DY23" s="376">
        <f>+(DL23/(DL23+DM23))</f>
        <v>0.48469948501088594</v>
      </c>
      <c r="DZ23" s="376">
        <f>+(DN23/(DN23+DO23))</f>
        <v>0.50865655344186544</v>
      </c>
      <c r="EH23" s="411" t="b">
        <f>ROUND(U23,1)=ROUND(SUM(DJ23:DK23),1)</f>
        <v>1</v>
      </c>
      <c r="EI23" s="411" t="b">
        <f>ROUND(V23,1)=ROUND(SUM(DL23:DM23),1)</f>
        <v>1</v>
      </c>
      <c r="EJ23" s="411" t="b">
        <f>ROUND(W23,1)=ROUND(SUM(DN23:DO23),1)</f>
        <v>1</v>
      </c>
    </row>
    <row r="24" spans="2:156" s="98" customFormat="1" ht="11.25" customHeight="1" outlineLevel="1" x14ac:dyDescent="0.2">
      <c r="B24" s="103" t="s">
        <v>235</v>
      </c>
      <c r="D24" s="57"/>
      <c r="E24" s="57"/>
      <c r="F24" s="57"/>
      <c r="G24" s="57"/>
      <c r="H24" s="57"/>
      <c r="I24" s="57"/>
      <c r="J24" s="57"/>
      <c r="K24" s="57" t="s">
        <v>78</v>
      </c>
      <c r="L24" s="57" t="s">
        <v>78</v>
      </c>
      <c r="M24" s="57">
        <v>108.19</v>
      </c>
      <c r="N24" s="57">
        <v>137.38499999999999</v>
      </c>
      <c r="O24" s="57">
        <v>143.94200000000001</v>
      </c>
      <c r="P24" s="57">
        <v>151.20400000000001</v>
      </c>
      <c r="Q24" s="57">
        <v>107.708</v>
      </c>
      <c r="R24" s="57">
        <v>112.22499999999999</v>
      </c>
      <c r="S24" s="57">
        <v>217.53</v>
      </c>
      <c r="T24" s="406">
        <v>271.74700000000001</v>
      </c>
      <c r="U24" s="406">
        <v>388.916</v>
      </c>
      <c r="V24" s="406">
        <v>939.96299999999997</v>
      </c>
      <c r="W24" s="406">
        <v>1114.4280000000001</v>
      </c>
      <c r="X24" s="621">
        <f>+Qld!X21</f>
        <v>1138.6286348863459</v>
      </c>
      <c r="Y24" s="621">
        <f>+Qld!Y21</f>
        <v>1189.1864014760126</v>
      </c>
      <c r="Z24" s="621">
        <f>+Qld!Z21</f>
        <v>1216.3136903535533</v>
      </c>
      <c r="AA24" s="621">
        <f>+Qld!AA21</f>
        <v>1212.2318824470087</v>
      </c>
      <c r="AB24" s="621">
        <f>+Qld!AB21</f>
        <v>1234.2903350076863</v>
      </c>
      <c r="AC24" s="621">
        <f>+Qld!AC21</f>
        <v>1260.4758148693513</v>
      </c>
      <c r="AD24" s="621">
        <f>+Qld!AD21</f>
        <v>1288.0693771314659</v>
      </c>
      <c r="AE24" s="621">
        <f>+Qld!AE21</f>
        <v>1316.2729344533527</v>
      </c>
      <c r="AF24" s="621">
        <f>+Qld!AF21</f>
        <v>1345.1002285194259</v>
      </c>
      <c r="AG24" s="621">
        <f>+Qld!AG21</f>
        <v>1377.5358369359394</v>
      </c>
      <c r="AH24" s="621">
        <f>+Qld!AH21</f>
        <v>1407.1918859496452</v>
      </c>
      <c r="AI24" s="621">
        <f>+Qld!AI21</f>
        <v>1277.1120316135962</v>
      </c>
      <c r="AJ24" s="621">
        <f>+Qld!AJ21</f>
        <v>1150.6554898949526</v>
      </c>
      <c r="AK24" s="621">
        <f>+Qld!AK21</f>
        <v>1159.3435905257047</v>
      </c>
      <c r="AL24" s="621">
        <f>+Qld!AL21</f>
        <v>1183.5773453664744</v>
      </c>
      <c r="AM24" s="621">
        <f>+Qld!AM21</f>
        <v>1208.323957799149</v>
      </c>
      <c r="AN24" s="621">
        <f>+Qld!AN21</f>
        <v>1233.5929875726247</v>
      </c>
      <c r="AO24" s="621">
        <f>+Qld!AO21</f>
        <v>1198.9978790422458</v>
      </c>
      <c r="AP24" s="621">
        <f>+Qld!AP21</f>
        <v>643.34886110808498</v>
      </c>
      <c r="AQ24" s="621">
        <f>+Qld!AQ21</f>
        <v>658.0522205363543</v>
      </c>
      <c r="AR24" s="621">
        <f>+Qld!AR21</f>
        <v>523.20982508664008</v>
      </c>
      <c r="AS24" s="621">
        <f>+Qld!AS21</f>
        <v>535.16169979536767</v>
      </c>
      <c r="AT24" s="621">
        <f>+Qld!AT21</f>
        <v>547.38841871432328</v>
      </c>
      <c r="AU24" s="621">
        <f>+Qld!AU21</f>
        <v>559.89633815003151</v>
      </c>
      <c r="AV24" s="621">
        <f>+Qld!AV21</f>
        <v>572.69196211767132</v>
      </c>
      <c r="AW24" s="621">
        <f>+Qld!AW21</f>
        <v>569.42747998229163</v>
      </c>
      <c r="AX24" s="621">
        <f>+Qld!AX21</f>
        <v>582.43021464306071</v>
      </c>
      <c r="AY24" s="621">
        <f>+Qld!AY21</f>
        <v>595.73186206023558</v>
      </c>
      <c r="AZ24" s="621">
        <f>+Qld!AZ21</f>
        <v>609.3393332701371</v>
      </c>
      <c r="BA24" s="621">
        <f>+Qld!BA21</f>
        <v>516.68321755477893</v>
      </c>
      <c r="BB24" s="621">
        <f>+Qld!BB21</f>
        <v>528.39252399919724</v>
      </c>
      <c r="BC24" s="621">
        <f>+Qld!BC21</f>
        <v>540.36924999219275</v>
      </c>
      <c r="BD24" s="621">
        <f>+Qld!BD21</f>
        <v>552.61954389493417</v>
      </c>
      <c r="BE24" s="621">
        <f>+Qld!BE21</f>
        <v>565.14969623795878</v>
      </c>
      <c r="BF24" s="621">
        <f>+Qld!BF21</f>
        <v>577.96614302446505</v>
      </c>
      <c r="BG24" s="621">
        <f>+Qld!BG21</f>
        <v>591.07546911066709</v>
      </c>
      <c r="BH24" s="621">
        <f>+Qld!BH21</f>
        <v>604.4844116650147</v>
      </c>
      <c r="BI24" s="621">
        <f>+Qld!BI21</f>
        <v>618.19986370812433</v>
      </c>
      <c r="BJ24" s="621">
        <f>+Qld!BJ21</f>
        <v>632.22887773531306</v>
      </c>
      <c r="BK24" s="621">
        <f>+Qld!BK21</f>
        <v>646.5786694236657</v>
      </c>
      <c r="BL24" s="621">
        <f>+Qld!BL21</f>
        <v>661.25662142561748</v>
      </c>
      <c r="BM24" s="621">
        <f>+Qld!BM21</f>
        <v>676.27028725107539</v>
      </c>
      <c r="BN24" s="621">
        <f>+Qld!BN21</f>
        <v>691.62739524015319</v>
      </c>
      <c r="BO24" s="621">
        <f>+Qld!BO21</f>
        <v>707.33585262864187</v>
      </c>
      <c r="BP24" s="621">
        <f>+Qld!BP21</f>
        <v>723.4037497083865</v>
      </c>
      <c r="BQ24" s="621">
        <f>+Qld!BQ21</f>
        <v>739.83936408479144</v>
      </c>
      <c r="BR24" s="621">
        <f>+Qld!BR21</f>
        <v>756.65116503373201</v>
      </c>
      <c r="BS24" s="621">
        <f>+Qld!BS21</f>
        <v>773.84781796019615</v>
      </c>
      <c r="BT24" s="621">
        <f>+Qld!BT21</f>
        <v>791.43818896104563</v>
      </c>
      <c r="BU24" s="621">
        <f>+Qld!BU21</f>
        <v>809.43134949432658</v>
      </c>
      <c r="BV24" s="621">
        <f>+Qld!BV21</f>
        <v>827.83658115763672</v>
      </c>
      <c r="BW24" s="621">
        <f>+Qld!BW21</f>
        <v>846.66338057809389</v>
      </c>
      <c r="BX24" s="621">
        <f>+Qld!BX21</f>
        <v>865.92146441652835</v>
      </c>
      <c r="BY24" s="621">
        <f>+Qld!BY21</f>
        <v>885.62077448856996</v>
      </c>
      <c r="BZ24" s="621">
        <f>+Qld!BZ21</f>
        <v>905.77148300537351</v>
      </c>
      <c r="CA24" s="621">
        <f>+Qld!CA21</f>
        <v>926.38399793678229</v>
      </c>
      <c r="CB24" s="621">
        <f>+Qld!CB21</f>
        <v>947.46896849980283</v>
      </c>
      <c r="CC24" s="621">
        <f>+Qld!CC21</f>
        <v>969.03729077532341</v>
      </c>
      <c r="CD24" s="621">
        <f>+Qld!CD21</f>
        <v>991.100113456087</v>
      </c>
      <c r="CE24" s="621">
        <f>+Qld!CE21</f>
        <v>1013.6688437289906</v>
      </c>
      <c r="CF24" s="621">
        <f>+Qld!CF21</f>
        <v>1036.7551532948642</v>
      </c>
      <c r="CG24" s="621">
        <f>+Qld!CG21</f>
        <v>1060.3709845289459</v>
      </c>
      <c r="CH24" s="621">
        <f>+Qld!CH21</f>
        <v>261.23083445779082</v>
      </c>
      <c r="CI24" s="621">
        <f>+Qld!CI21</f>
        <v>266.38932961611857</v>
      </c>
      <c r="CJ24" s="621">
        <f>+Qld!CJ21</f>
        <v>271.65047002841573</v>
      </c>
      <c r="CK24" s="621">
        <f>+Qld!CK21</f>
        <v>277.01631600834935</v>
      </c>
      <c r="CL24" s="621">
        <f>+Qld!CL21</f>
        <v>282.48896962932486</v>
      </c>
      <c r="CM24" s="621">
        <f>+Qld!CM21</f>
        <v>288.07057557999826</v>
      </c>
      <c r="CN24" s="621">
        <f>+Qld!CN21</f>
        <v>293.7633220375177</v>
      </c>
      <c r="CO24" s="621">
        <f>+Qld!CO21</f>
        <v>299.56944155886561</v>
      </c>
      <c r="CP24" s="621">
        <f>+Qld!CP21</f>
        <v>255.93071105385837</v>
      </c>
      <c r="CQ24" s="362" t="s">
        <v>77</v>
      </c>
      <c r="CS24" s="412"/>
      <c r="CT24" s="412"/>
      <c r="CU24"/>
      <c r="CV24"/>
      <c r="CW24"/>
      <c r="CX24"/>
      <c r="CY24"/>
      <c r="CZ24"/>
      <c r="DB24" s="103" t="s">
        <v>235</v>
      </c>
      <c r="DD24" s="57">
        <v>55.47</v>
      </c>
      <c r="DE24" s="118">
        <f t="shared" ref="DE24:DE29" si="76">+R24-DD24</f>
        <v>56.754999999999995</v>
      </c>
      <c r="DF24" s="57">
        <v>86.718000000000004</v>
      </c>
      <c r="DG24" s="118">
        <f t="shared" ref="DG24:DG29" si="77">+S24-DF24</f>
        <v>130.81200000000001</v>
      </c>
      <c r="DH24" s="57">
        <v>132.29900000000001</v>
      </c>
      <c r="DI24" s="119">
        <f t="shared" ref="DI24:DI29" si="78">+T24-DH24</f>
        <v>139.44800000000001</v>
      </c>
      <c r="DJ24" s="142">
        <v>161.38300000000001</v>
      </c>
      <c r="DK24" s="119">
        <f t="shared" ref="DK24:DK29" si="79">+U24-DJ24</f>
        <v>227.53299999999999</v>
      </c>
      <c r="DL24" s="189">
        <v>448.28800000000001</v>
      </c>
      <c r="DM24" s="98">
        <f t="shared" ref="DM24:DM29" si="80">V24-DL24</f>
        <v>491.67499999999995</v>
      </c>
      <c r="DN24" s="189">
        <v>555.03700000000003</v>
      </c>
      <c r="DO24" s="98">
        <f t="shared" ref="DO24:DO29" si="81">W24-DN24</f>
        <v>559.39100000000008</v>
      </c>
      <c r="DP24" s="189">
        <v>568.88099999999997</v>
      </c>
      <c r="DQ24" s="98">
        <f t="shared" si="72"/>
        <v>569.74763488634596</v>
      </c>
      <c r="DR24" s="188"/>
      <c r="DU24" s="413">
        <f t="shared" si="73"/>
        <v>0.49427489418578752</v>
      </c>
      <c r="DV24" s="413">
        <f t="shared" ref="DV24:DV32" si="82">+(DF24/(DF24+DG24))</f>
        <v>0.39864846228106465</v>
      </c>
      <c r="DW24" s="413">
        <f t="shared" si="74"/>
        <v>0.48684622093344176</v>
      </c>
      <c r="DX24" s="413">
        <f t="shared" si="75"/>
        <v>0.41495592878667892</v>
      </c>
      <c r="DY24" s="376">
        <f t="shared" ref="DY24:DY32" si="83">+(DL24/(DL24+DM24))</f>
        <v>0.47692090007798182</v>
      </c>
      <c r="DZ24" s="376">
        <f t="shared" ref="DZ24:DZ32" si="84">+(DN24/(DN24+DO24))</f>
        <v>0.49804653149418354</v>
      </c>
      <c r="EB24" s="413">
        <f t="shared" ref="EB24:EC29" si="85">+DH24/DF24-1</f>
        <v>0.52562328466984942</v>
      </c>
      <c r="EC24" s="413">
        <f t="shared" si="85"/>
        <v>6.6018408097116454E-2</v>
      </c>
      <c r="ED24" s="413">
        <f t="shared" ref="ED24:ED29" si="86">+DJ24/DH24-1</f>
        <v>0.21983537290531308</v>
      </c>
      <c r="EE24" s="413">
        <f t="shared" ref="EE24:EF29" si="87">+DK24/DI24-1</f>
        <v>0.63166915265905543</v>
      </c>
      <c r="EF24" s="413">
        <f t="shared" si="87"/>
        <v>1.7777894821635489</v>
      </c>
      <c r="EG24" s="413"/>
      <c r="EH24" s="411" t="b">
        <f t="shared" ref="EH24:EH39" si="88">ROUND(U24,1)=ROUND(SUM(DJ24:DK24),1)</f>
        <v>1</v>
      </c>
      <c r="EI24" s="411" t="b">
        <f t="shared" ref="EI24:EI39" si="89">ROUND(V24,1)=ROUND(SUM(DL24:DM24),1)</f>
        <v>1</v>
      </c>
      <c r="EJ24" s="411" t="b">
        <f t="shared" ref="EJ24:EJ39" si="90">ROUND(W24,1)=ROUND(SUM(DN24:DO24),1)</f>
        <v>1</v>
      </c>
    </row>
    <row r="25" spans="2:156" s="98" customFormat="1" ht="11.25" customHeight="1" outlineLevel="1" x14ac:dyDescent="0.2">
      <c r="B25" s="103" t="s">
        <v>236</v>
      </c>
      <c r="D25" s="57"/>
      <c r="E25" s="57"/>
      <c r="F25" s="57"/>
      <c r="G25" s="57"/>
      <c r="H25" s="57"/>
      <c r="I25" s="57"/>
      <c r="J25" s="57"/>
      <c r="K25" s="57" t="s">
        <v>78</v>
      </c>
      <c r="L25" s="57" t="s">
        <v>78</v>
      </c>
      <c r="M25" s="57">
        <v>75.38</v>
      </c>
      <c r="N25" s="57">
        <v>82.087000000000003</v>
      </c>
      <c r="O25" s="57">
        <v>107.91500000000001</v>
      </c>
      <c r="P25" s="57">
        <v>120.773</v>
      </c>
      <c r="Q25" s="57">
        <v>126.657</v>
      </c>
      <c r="R25" s="57">
        <v>138.44300000000001</v>
      </c>
      <c r="S25" s="57">
        <v>139.321</v>
      </c>
      <c r="T25" s="406">
        <v>133.554</v>
      </c>
      <c r="U25" s="406">
        <v>137.99799999999999</v>
      </c>
      <c r="V25" s="406">
        <v>143.42699999999999</v>
      </c>
      <c r="W25" s="406">
        <v>176</v>
      </c>
      <c r="X25" s="621">
        <f>+NSW!X19</f>
        <v>160.35504738506114</v>
      </c>
      <c r="Y25" s="621">
        <f>+NSW!Y19</f>
        <v>164.36392356968764</v>
      </c>
      <c r="Z25" s="621">
        <f>+NSW!Z19</f>
        <v>168.47302165892984</v>
      </c>
      <c r="AA25" s="621">
        <f>+NSW!AA19</f>
        <v>121.19877811163731</v>
      </c>
      <c r="AB25" s="621">
        <f>+NSW!AB19</f>
        <v>124.07724909178869</v>
      </c>
      <c r="AC25" s="621">
        <f>+NSW!AC19</f>
        <v>127.02408375771867</v>
      </c>
      <c r="AD25" s="621">
        <f>+NSW!AD19</f>
        <v>130.04090574696448</v>
      </c>
      <c r="AE25" s="621">
        <f>+NSW!AE19</f>
        <v>133.12937725845489</v>
      </c>
      <c r="AF25" s="621">
        <f>+NSW!AF19</f>
        <v>119.24774849624222</v>
      </c>
      <c r="AG25" s="621">
        <f>+NSW!AG19</f>
        <v>122.07988252302798</v>
      </c>
      <c r="AH25" s="621">
        <f>+NSW!AH19</f>
        <v>124.97927973294988</v>
      </c>
      <c r="AI25" s="621">
        <f>+NSW!AI19</f>
        <v>127.94753762660741</v>
      </c>
      <c r="AJ25" s="621">
        <f>+NSW!AJ19</f>
        <v>130.98629164523933</v>
      </c>
      <c r="AK25" s="621">
        <f>+NSW!AK19</f>
        <v>134.09721607181376</v>
      </c>
      <c r="AL25" s="621">
        <f>+NSW!AL19</f>
        <v>137.28202495351934</v>
      </c>
      <c r="AM25" s="621">
        <f>+NSW!AM19</f>
        <v>140.54247304616541</v>
      </c>
      <c r="AN25" s="621">
        <f>+NSW!AN19</f>
        <v>143.88035678101184</v>
      </c>
      <c r="AO25" s="621">
        <f>+NSW!AO19</f>
        <v>147.29751525456086</v>
      </c>
      <c r="AP25" s="621">
        <f>+NSW!AP19</f>
        <v>150.79583124185666</v>
      </c>
      <c r="AQ25" s="621">
        <f>+NSW!AQ19</f>
        <v>154.37723223385075</v>
      </c>
      <c r="AR25" s="621">
        <f>+NSW!AR19</f>
        <v>158.0436914994047</v>
      </c>
      <c r="AS25" s="621">
        <f>+NSW!AS19</f>
        <v>161.79722917251556</v>
      </c>
      <c r="AT25" s="621">
        <f>+NSW!AT19</f>
        <v>165.63991336536279</v>
      </c>
      <c r="AU25" s="621">
        <f>+NSW!AU19</f>
        <v>169.57386130779014</v>
      </c>
      <c r="AV25" s="621">
        <f>+NSW!AV19</f>
        <v>173.60124051385014</v>
      </c>
      <c r="AW25" s="621">
        <f>+NSW!AW19</f>
        <v>177.72426997605407</v>
      </c>
      <c r="AX25" s="621">
        <f>+NSW!AX19</f>
        <v>181.94522138798536</v>
      </c>
      <c r="AY25" s="621">
        <f>+NSW!AY19</f>
        <v>186.26642039595001</v>
      </c>
      <c r="AZ25" s="621">
        <f>+NSW!AZ19</f>
        <v>190.69024788035381</v>
      </c>
      <c r="BA25" s="621">
        <f>+NSW!BA19</f>
        <v>34.12755699325546</v>
      </c>
      <c r="BB25" s="621">
        <f>+NSW!BB19</f>
        <v>34.938086471845274</v>
      </c>
      <c r="BC25" s="621">
        <f>+NSW!BC19</f>
        <v>35.767866025551598</v>
      </c>
      <c r="BD25" s="621">
        <f>+NSW!BD19</f>
        <v>36.617352843658445</v>
      </c>
      <c r="BE25" s="621">
        <f>+NSW!BE19</f>
        <v>37.487014973695331</v>
      </c>
      <c r="BF25" s="621">
        <f>+NSW!BF19</f>
        <v>38.37733157932059</v>
      </c>
      <c r="BG25" s="621">
        <f>+NSW!BG19</f>
        <v>39.288793204329451</v>
      </c>
      <c r="BH25" s="621">
        <f>+NSW!BH19</f>
        <v>40.221902042932271</v>
      </c>
      <c r="BI25" s="621">
        <f>+NSW!BI19</f>
        <v>41.177172216451908</v>
      </c>
      <c r="BJ25" s="621">
        <f>+NSW!BJ19</f>
        <v>42.15513005659264</v>
      </c>
      <c r="BK25" s="621">
        <f>+NSW!BK19</f>
        <v>43.156314395436709</v>
      </c>
      <c r="BL25" s="621">
        <f>+NSW!BL19</f>
        <v>44.181276862328332</v>
      </c>
      <c r="BM25" s="621">
        <f>+NSW!BM19</f>
        <v>45.230582187808629</v>
      </c>
      <c r="BN25" s="621">
        <f>+NSW!BN19</f>
        <v>46.304808514769078</v>
      </c>
      <c r="BO25" s="621">
        <f>+NSW!BO19</f>
        <v>47.404547716994841</v>
      </c>
      <c r="BP25" s="621">
        <f>+NSW!BP19</f>
        <v>48.530405725273468</v>
      </c>
      <c r="BQ25" s="621">
        <f>+NSW!BQ19</f>
        <v>49.68300286124871</v>
      </c>
      <c r="BR25" s="621">
        <f>+NSW!BR19</f>
        <v>50.862974179203363</v>
      </c>
      <c r="BS25" s="621">
        <f>+NSW!BS19</f>
        <v>52.070969815959437</v>
      </c>
      <c r="BT25" s="621">
        <f>+NSW!BT19</f>
        <v>0</v>
      </c>
      <c r="BU25" s="621">
        <f>+NSW!BU19</f>
        <v>0</v>
      </c>
      <c r="BV25" s="621">
        <f>+NSW!BV19</f>
        <v>0</v>
      </c>
      <c r="BW25" s="621">
        <f>+NSW!BW19</f>
        <v>0</v>
      </c>
      <c r="BX25" s="621">
        <f>+NSW!BX19</f>
        <v>0</v>
      </c>
      <c r="BY25" s="621">
        <f>+NSW!BY19</f>
        <v>0</v>
      </c>
      <c r="BZ25" s="621">
        <f>+NSW!BZ19</f>
        <v>0</v>
      </c>
      <c r="CA25" s="621">
        <f>+NSW!CA19</f>
        <v>0</v>
      </c>
      <c r="CB25" s="621">
        <f>+NSW!CB19</f>
        <v>0</v>
      </c>
      <c r="CC25" s="621">
        <f>+NSW!CC19</f>
        <v>0</v>
      </c>
      <c r="CD25" s="621">
        <f>+NSW!CD19</f>
        <v>0</v>
      </c>
      <c r="CE25" s="621">
        <f>+NSW!CE19</f>
        <v>0</v>
      </c>
      <c r="CF25" s="621">
        <f>+NSW!CF19</f>
        <v>0</v>
      </c>
      <c r="CG25" s="621">
        <f>+NSW!CG19</f>
        <v>0</v>
      </c>
      <c r="CH25" s="621">
        <f>+NSW!CH19</f>
        <v>0</v>
      </c>
      <c r="CI25" s="621">
        <f>+NSW!CI19</f>
        <v>0</v>
      </c>
      <c r="CJ25" s="621">
        <f>+NSW!CJ19</f>
        <v>0</v>
      </c>
      <c r="CK25" s="621">
        <f>+NSW!CK19</f>
        <v>0</v>
      </c>
      <c r="CL25" s="621">
        <f>+NSW!CL19</f>
        <v>0</v>
      </c>
      <c r="CM25" s="621">
        <f>+NSW!CM19</f>
        <v>0</v>
      </c>
      <c r="CN25" s="621">
        <f>+NSW!CN19</f>
        <v>0</v>
      </c>
      <c r="CO25" s="621">
        <f>+NSW!CO19</f>
        <v>0</v>
      </c>
      <c r="CP25" s="621">
        <f>+NSW!CP19</f>
        <v>0</v>
      </c>
      <c r="CQ25" s="362" t="s">
        <v>77</v>
      </c>
      <c r="CS25" s="412"/>
      <c r="CT25" s="412"/>
      <c r="CU25"/>
      <c r="CV25"/>
      <c r="CW25"/>
      <c r="CX25"/>
      <c r="CY25"/>
      <c r="CZ25"/>
      <c r="DB25" s="103" t="s">
        <v>236</v>
      </c>
      <c r="DD25" s="57">
        <v>71.902000000000001</v>
      </c>
      <c r="DE25" s="118">
        <f t="shared" si="76"/>
        <v>66.541000000000011</v>
      </c>
      <c r="DF25" s="57">
        <v>71.067999999999998</v>
      </c>
      <c r="DG25" s="118">
        <f t="shared" si="77"/>
        <v>68.253</v>
      </c>
      <c r="DH25" s="57">
        <v>74.138999999999996</v>
      </c>
      <c r="DI25" s="119">
        <f t="shared" si="78"/>
        <v>59.415000000000006</v>
      </c>
      <c r="DJ25" s="142">
        <v>71.953000000000003</v>
      </c>
      <c r="DK25" s="119">
        <f t="shared" si="79"/>
        <v>66.044999999999987</v>
      </c>
      <c r="DL25" s="189">
        <v>72.884</v>
      </c>
      <c r="DM25" s="98">
        <f t="shared" si="80"/>
        <v>70.542999999999992</v>
      </c>
      <c r="DN25" s="189">
        <v>91.929000000000002</v>
      </c>
      <c r="DO25" s="98">
        <f t="shared" si="81"/>
        <v>84.070999999999998</v>
      </c>
      <c r="DP25" s="189">
        <v>82.759</v>
      </c>
      <c r="DQ25" s="98">
        <f t="shared" si="72"/>
        <v>77.596047385061141</v>
      </c>
      <c r="DR25" s="188"/>
      <c r="DU25" s="413">
        <f t="shared" si="73"/>
        <v>0.51936175899106485</v>
      </c>
      <c r="DV25" s="413">
        <f t="shared" si="82"/>
        <v>0.51010256888767669</v>
      </c>
      <c r="DW25" s="413">
        <f t="shared" si="74"/>
        <v>0.5551237701603845</v>
      </c>
      <c r="DX25" s="413">
        <f t="shared" si="75"/>
        <v>0.52140610733488901</v>
      </c>
      <c r="DY25" s="376">
        <f t="shared" si="83"/>
        <v>0.50816094598646</v>
      </c>
      <c r="DZ25" s="376">
        <f t="shared" si="84"/>
        <v>0.52232386363636363</v>
      </c>
      <c r="EB25" s="413">
        <f t="shared" si="85"/>
        <v>4.3212134856756901E-2</v>
      </c>
      <c r="EC25" s="413">
        <f t="shared" si="85"/>
        <v>-0.1294888136785195</v>
      </c>
      <c r="ED25" s="413">
        <f t="shared" si="86"/>
        <v>-2.9485156260537493E-2</v>
      </c>
      <c r="EE25" s="413">
        <f t="shared" si="87"/>
        <v>0.11158798283261762</v>
      </c>
      <c r="EF25" s="413">
        <f t="shared" si="87"/>
        <v>1.2939001848428777E-2</v>
      </c>
      <c r="EG25" s="413"/>
      <c r="EH25" s="411" t="b">
        <f t="shared" si="88"/>
        <v>1</v>
      </c>
      <c r="EI25" s="411" t="b">
        <f t="shared" si="89"/>
        <v>1</v>
      </c>
      <c r="EJ25" s="411" t="b">
        <f t="shared" si="90"/>
        <v>1</v>
      </c>
    </row>
    <row r="26" spans="2:156" s="98" customFormat="1" ht="11.25" customHeight="1" outlineLevel="1" x14ac:dyDescent="0.2">
      <c r="B26" s="103" t="s">
        <v>237</v>
      </c>
      <c r="D26" s="57"/>
      <c r="E26" s="57"/>
      <c r="F26" s="57"/>
      <c r="G26" s="57"/>
      <c r="H26" s="57"/>
      <c r="I26" s="57"/>
      <c r="J26" s="57"/>
      <c r="K26" s="57" t="s">
        <v>78</v>
      </c>
      <c r="L26" s="57" t="s">
        <v>78</v>
      </c>
      <c r="M26" s="57">
        <v>66.628</v>
      </c>
      <c r="N26" s="57">
        <v>102.04900000000001</v>
      </c>
      <c r="O26" s="57">
        <v>135.625</v>
      </c>
      <c r="P26" s="57">
        <v>136.852</v>
      </c>
      <c r="Q26" s="57">
        <v>151.209</v>
      </c>
      <c r="R26" s="57">
        <v>161.297</v>
      </c>
      <c r="S26" s="57">
        <v>162.58199999999999</v>
      </c>
      <c r="T26" s="406">
        <v>153.66900000000001</v>
      </c>
      <c r="U26" s="406">
        <v>163.59200000000001</v>
      </c>
      <c r="V26" s="406">
        <v>152.99100000000001</v>
      </c>
      <c r="W26" s="406">
        <v>156.946</v>
      </c>
      <c r="X26" s="621">
        <f>+'VIC&amp;SA'!X19</f>
        <v>158.27643018123871</v>
      </c>
      <c r="Y26" s="621">
        <f>+'VIC&amp;SA'!Y19</f>
        <v>159.02741404813943</v>
      </c>
      <c r="Z26" s="621">
        <f>+'VIC&amp;SA'!Z19</f>
        <v>189.07785006607816</v>
      </c>
      <c r="AA26" s="621">
        <f>+'VIC&amp;SA'!AA19</f>
        <v>192.24608967092712</v>
      </c>
      <c r="AB26" s="621">
        <f>+'VIC&amp;SA'!AB19</f>
        <v>195.50137906972145</v>
      </c>
      <c r="AC26" s="621">
        <f>+'VIC&amp;SA'!AC19</f>
        <v>196.84554364093964</v>
      </c>
      <c r="AD26" s="621">
        <f>+'VIC&amp;SA'!AD19</f>
        <v>197.92566316327563</v>
      </c>
      <c r="AE26" s="621">
        <f>+'VIC&amp;SA'!AE19</f>
        <v>203.06105844357853</v>
      </c>
      <c r="AF26" s="621">
        <f>+'VIC&amp;SA'!AF19</f>
        <v>207.65656518658028</v>
      </c>
      <c r="AG26" s="621">
        <f>+'VIC&amp;SA'!AG19</f>
        <v>209.38118486399563</v>
      </c>
      <c r="AH26" s="621">
        <f>+'VIC&amp;SA'!AH19</f>
        <v>211.14427408159304</v>
      </c>
      <c r="AI26" s="621">
        <f>+'VIC&amp;SA'!AI19</f>
        <v>212.94726302707775</v>
      </c>
      <c r="AJ26" s="621">
        <f>+'VIC&amp;SA'!AJ19</f>
        <v>214.79059982316804</v>
      </c>
      <c r="AK26" s="621">
        <f>+'VIC&amp;SA'!AK19</f>
        <v>216.67575889596219</v>
      </c>
      <c r="AL26" s="621">
        <f>+'VIC&amp;SA'!AL19</f>
        <v>218.60323705661756</v>
      </c>
      <c r="AM26" s="621">
        <f>+'VIC&amp;SA'!AM19</f>
        <v>220.5735529509038</v>
      </c>
      <c r="AN26" s="621">
        <f>+'VIC&amp;SA'!AN19</f>
        <v>222.58925546775515</v>
      </c>
      <c r="AO26" s="621">
        <f>+'VIC&amp;SA'!AO19</f>
        <v>224.65041427130421</v>
      </c>
      <c r="AP26" s="621">
        <f>+'VIC&amp;SA'!AP19</f>
        <v>226.75762376522795</v>
      </c>
      <c r="AQ26" s="621">
        <f>+'VIC&amp;SA'!AQ19</f>
        <v>228.91300930814901</v>
      </c>
      <c r="AR26" s="621">
        <f>+'VIC&amp;SA'!AR19</f>
        <v>231.11772226252441</v>
      </c>
      <c r="AS26" s="621">
        <f>+'VIC&amp;SA'!AS19</f>
        <v>43.985229503019106</v>
      </c>
      <c r="AT26" s="621">
        <f>+'VIC&amp;SA'!AT19</f>
        <v>0</v>
      </c>
      <c r="AU26" s="621">
        <f>+'VIC&amp;SA'!AU19</f>
        <v>0</v>
      </c>
      <c r="AV26" s="621">
        <f>+'VIC&amp;SA'!AV19</f>
        <v>0</v>
      </c>
      <c r="AW26" s="621">
        <f>+'VIC&amp;SA'!AW19</f>
        <v>0</v>
      </c>
      <c r="AX26" s="621">
        <f>+'VIC&amp;SA'!AX19</f>
        <v>0</v>
      </c>
      <c r="AY26" s="621">
        <f>+'VIC&amp;SA'!AY19</f>
        <v>0</v>
      </c>
      <c r="AZ26" s="621">
        <f>+'VIC&amp;SA'!AZ19</f>
        <v>0</v>
      </c>
      <c r="BA26" s="621">
        <f>+'VIC&amp;SA'!BA19</f>
        <v>0</v>
      </c>
      <c r="BB26" s="621">
        <f>+'VIC&amp;SA'!BB19</f>
        <v>0</v>
      </c>
      <c r="BC26" s="621">
        <f>+'VIC&amp;SA'!BC19</f>
        <v>0</v>
      </c>
      <c r="BD26" s="621">
        <f>+'VIC&amp;SA'!BD19</f>
        <v>0</v>
      </c>
      <c r="BE26" s="621">
        <f>+'VIC&amp;SA'!BE19</f>
        <v>0</v>
      </c>
      <c r="BF26" s="621">
        <f>+'VIC&amp;SA'!BF19</f>
        <v>0</v>
      </c>
      <c r="BG26" s="621">
        <f>+'VIC&amp;SA'!BG19</f>
        <v>0</v>
      </c>
      <c r="BH26" s="621">
        <f>+'VIC&amp;SA'!BH19</f>
        <v>0</v>
      </c>
      <c r="BI26" s="621">
        <f>+'VIC&amp;SA'!BI19</f>
        <v>0</v>
      </c>
      <c r="BJ26" s="621">
        <f>+'VIC&amp;SA'!BJ19</f>
        <v>0</v>
      </c>
      <c r="BK26" s="621">
        <f>+'VIC&amp;SA'!BK19</f>
        <v>0</v>
      </c>
      <c r="BL26" s="621">
        <f>+'VIC&amp;SA'!BL19</f>
        <v>0</v>
      </c>
      <c r="BM26" s="621">
        <f>+'VIC&amp;SA'!BM19</f>
        <v>0</v>
      </c>
      <c r="BN26" s="621">
        <f>+'VIC&amp;SA'!BN19</f>
        <v>0</v>
      </c>
      <c r="BO26" s="621">
        <f>+'VIC&amp;SA'!BO19</f>
        <v>0</v>
      </c>
      <c r="BP26" s="621">
        <f>+'VIC&amp;SA'!BP19</f>
        <v>0</v>
      </c>
      <c r="BQ26" s="621">
        <f>+'VIC&amp;SA'!BQ19</f>
        <v>0</v>
      </c>
      <c r="BR26" s="621">
        <f>+'VIC&amp;SA'!BR19</f>
        <v>0</v>
      </c>
      <c r="BS26" s="621">
        <f>+'VIC&amp;SA'!BS19</f>
        <v>0</v>
      </c>
      <c r="BT26" s="621">
        <f>+'VIC&amp;SA'!BT19</f>
        <v>0</v>
      </c>
      <c r="BU26" s="621">
        <f>+'VIC&amp;SA'!BU19</f>
        <v>0</v>
      </c>
      <c r="BV26" s="621">
        <f>+'VIC&amp;SA'!BV19</f>
        <v>0</v>
      </c>
      <c r="BW26" s="621">
        <f>+'VIC&amp;SA'!BW19</f>
        <v>0</v>
      </c>
      <c r="BX26" s="621">
        <f>+'VIC&amp;SA'!BX19</f>
        <v>0</v>
      </c>
      <c r="BY26" s="621">
        <f>+'VIC&amp;SA'!BY19</f>
        <v>0</v>
      </c>
      <c r="BZ26" s="621">
        <f>+'VIC&amp;SA'!BZ19</f>
        <v>0</v>
      </c>
      <c r="CA26" s="621">
        <f>+'VIC&amp;SA'!CA19</f>
        <v>0</v>
      </c>
      <c r="CB26" s="621">
        <f>+'VIC&amp;SA'!CB19</f>
        <v>0</v>
      </c>
      <c r="CC26" s="621">
        <f>+'VIC&amp;SA'!CC19</f>
        <v>0</v>
      </c>
      <c r="CD26" s="621">
        <f>+'VIC&amp;SA'!CD19</f>
        <v>0</v>
      </c>
      <c r="CE26" s="621">
        <f>+'VIC&amp;SA'!CE19</f>
        <v>0</v>
      </c>
      <c r="CF26" s="621">
        <f>+'VIC&amp;SA'!CF19</f>
        <v>0</v>
      </c>
      <c r="CG26" s="621">
        <f>+'VIC&amp;SA'!CG19</f>
        <v>0</v>
      </c>
      <c r="CH26" s="621">
        <f>+'VIC&amp;SA'!CH19</f>
        <v>0</v>
      </c>
      <c r="CI26" s="621">
        <f>+'VIC&amp;SA'!CI19</f>
        <v>0</v>
      </c>
      <c r="CJ26" s="621">
        <f>+'VIC&amp;SA'!CJ19</f>
        <v>0</v>
      </c>
      <c r="CK26" s="621">
        <f>+'VIC&amp;SA'!CK19</f>
        <v>0</v>
      </c>
      <c r="CL26" s="621">
        <f>+'VIC&amp;SA'!CL19</f>
        <v>0</v>
      </c>
      <c r="CM26" s="621">
        <f>+'VIC&amp;SA'!CM19</f>
        <v>0</v>
      </c>
      <c r="CN26" s="621">
        <f>+'VIC&amp;SA'!CN19</f>
        <v>0</v>
      </c>
      <c r="CO26" s="621">
        <f>+'VIC&amp;SA'!CO19</f>
        <v>0</v>
      </c>
      <c r="CP26" s="621">
        <f>+'VIC&amp;SA'!CP19</f>
        <v>0</v>
      </c>
      <c r="CQ26" s="362" t="s">
        <v>77</v>
      </c>
      <c r="CS26" s="412"/>
      <c r="CT26" s="412"/>
      <c r="CU26"/>
      <c r="CV26"/>
      <c r="CW26"/>
      <c r="CX26"/>
      <c r="CY26"/>
      <c r="CZ26"/>
      <c r="DB26" s="103" t="s">
        <v>237</v>
      </c>
      <c r="DD26" s="57">
        <v>84.32</v>
      </c>
      <c r="DE26" s="118">
        <f t="shared" si="76"/>
        <v>76.977000000000004</v>
      </c>
      <c r="DF26" s="57">
        <v>94.713999999999999</v>
      </c>
      <c r="DG26" s="118">
        <f t="shared" si="77"/>
        <v>67.867999999999995</v>
      </c>
      <c r="DH26" s="57">
        <v>79.869</v>
      </c>
      <c r="DI26" s="119">
        <f t="shared" si="78"/>
        <v>73.800000000000011</v>
      </c>
      <c r="DJ26" s="142">
        <v>93.308999999999997</v>
      </c>
      <c r="DK26" s="119">
        <f t="shared" si="79"/>
        <v>70.283000000000015</v>
      </c>
      <c r="DL26" s="189">
        <v>83.266000000000005</v>
      </c>
      <c r="DM26" s="98">
        <f t="shared" si="80"/>
        <v>69.725000000000009</v>
      </c>
      <c r="DN26" s="189">
        <v>92.688999999999993</v>
      </c>
      <c r="DO26" s="98">
        <f t="shared" si="81"/>
        <v>64.257000000000005</v>
      </c>
      <c r="DP26" s="189">
        <v>85.093999999999994</v>
      </c>
      <c r="DQ26" s="98">
        <f t="shared" si="72"/>
        <v>73.182430181238715</v>
      </c>
      <c r="DR26" s="188"/>
      <c r="DU26" s="413">
        <f t="shared" si="73"/>
        <v>0.52276235763839374</v>
      </c>
      <c r="DV26" s="413">
        <f t="shared" si="82"/>
        <v>0.58256141516281013</v>
      </c>
      <c r="DW26" s="413">
        <f t="shared" si="74"/>
        <v>0.51974698865743896</v>
      </c>
      <c r="DX26" s="413">
        <f t="shared" si="75"/>
        <v>0.57037630201965861</v>
      </c>
      <c r="DY26" s="376">
        <f t="shared" si="83"/>
        <v>0.54425423717735033</v>
      </c>
      <c r="DZ26" s="376">
        <f t="shared" si="84"/>
        <v>0.59057892523543121</v>
      </c>
      <c r="EB26" s="413">
        <f t="shared" si="85"/>
        <v>-0.15673501277530244</v>
      </c>
      <c r="EC26" s="413">
        <f t="shared" si="85"/>
        <v>8.7404962574409328E-2</v>
      </c>
      <c r="ED26" s="413">
        <f t="shared" si="86"/>
        <v>0.16827555121511462</v>
      </c>
      <c r="EE26" s="413">
        <f t="shared" si="87"/>
        <v>-4.7655826558265502E-2</v>
      </c>
      <c r="EF26" s="413">
        <f t="shared" si="87"/>
        <v>-0.10763163253276742</v>
      </c>
      <c r="EG26" s="413"/>
      <c r="EH26" s="411" t="b">
        <f t="shared" si="88"/>
        <v>1</v>
      </c>
      <c r="EI26" s="411" t="b">
        <f t="shared" si="89"/>
        <v>1</v>
      </c>
      <c r="EJ26" s="411" t="b">
        <f t="shared" si="90"/>
        <v>1</v>
      </c>
    </row>
    <row r="27" spans="2:156" s="98" customFormat="1" ht="11.25" customHeight="1" outlineLevel="1" x14ac:dyDescent="0.2">
      <c r="B27" s="103" t="s">
        <v>238</v>
      </c>
      <c r="D27" s="57"/>
      <c r="E27" s="57"/>
      <c r="F27" s="57"/>
      <c r="G27" s="57"/>
      <c r="H27" s="57"/>
      <c r="I27" s="57"/>
      <c r="J27" s="57"/>
      <c r="K27" s="57" t="s">
        <v>78</v>
      </c>
      <c r="L27" s="57" t="s">
        <v>78</v>
      </c>
      <c r="M27" s="57">
        <v>0</v>
      </c>
      <c r="N27" s="57">
        <v>1.8939999999999999</v>
      </c>
      <c r="O27" s="57">
        <v>1.9430000000000001</v>
      </c>
      <c r="P27" s="57">
        <v>2.0049999999999999</v>
      </c>
      <c r="Q27" s="57">
        <v>2.0489999999999999</v>
      </c>
      <c r="R27" s="57">
        <v>2.109</v>
      </c>
      <c r="S27" s="57">
        <v>2.1640000000000001</v>
      </c>
      <c r="T27" s="406">
        <v>2.6869999999999998</v>
      </c>
      <c r="U27" s="406">
        <v>2.7250000000000001</v>
      </c>
      <c r="V27" s="406">
        <v>2.871</v>
      </c>
      <c r="W27" s="406">
        <v>2.9580000000000002</v>
      </c>
      <c r="X27" s="621">
        <f>+'VIC&amp;SA'!X20</f>
        <v>3.0319500000000001</v>
      </c>
      <c r="Y27" s="621">
        <f>+'VIC&amp;SA'!Y20</f>
        <v>3.1077487499999998</v>
      </c>
      <c r="Z27" s="621">
        <f>+'VIC&amp;SA'!Z20</f>
        <v>3.1854424687499994</v>
      </c>
      <c r="AA27" s="621">
        <f>+'VIC&amp;SA'!AA20</f>
        <v>3.2650785304687489</v>
      </c>
      <c r="AB27" s="621">
        <f>+'VIC&amp;SA'!AB20</f>
        <v>3.3426241455673815</v>
      </c>
      <c r="AC27" s="621">
        <f>+'VIC&amp;SA'!AC20</f>
        <v>3.4220114690246066</v>
      </c>
      <c r="AD27" s="621">
        <f>+'VIC&amp;SA'!AD20</f>
        <v>3.5032842414139407</v>
      </c>
      <c r="AE27" s="621">
        <f>+'VIC&amp;SA'!AE20</f>
        <v>2.3597075690461322</v>
      </c>
      <c r="AF27" s="621">
        <f>+'VIC&amp;SA'!AF20</f>
        <v>2.4157506238109776</v>
      </c>
      <c r="AG27" s="621">
        <f>+'VIC&amp;SA'!AG20</f>
        <v>2.4731247011264883</v>
      </c>
      <c r="AH27" s="621">
        <f>+'VIC&amp;SA'!AH20</f>
        <v>2.5318614127782424</v>
      </c>
      <c r="AI27" s="621">
        <f>+'VIC&amp;SA'!AI20</f>
        <v>2.5919931213317255</v>
      </c>
      <c r="AJ27" s="621">
        <f>+'VIC&amp;SA'!AJ20</f>
        <v>2.6535529579633539</v>
      </c>
      <c r="AK27" s="621">
        <f>+'VIC&amp;SA'!AK20</f>
        <v>2.7165748407149835</v>
      </c>
      <c r="AL27" s="621">
        <f>+'VIC&amp;SA'!AL20</f>
        <v>2.781093493181964</v>
      </c>
      <c r="AM27" s="621">
        <f>+'VIC&amp;SA'!AM20</f>
        <v>2.8471444636450354</v>
      </c>
      <c r="AN27" s="621">
        <f>+'VIC&amp;SA'!AN20</f>
        <v>2.9147641446566048</v>
      </c>
      <c r="AO27" s="621">
        <f>+'VIC&amp;SA'!AO20</f>
        <v>2.9839897930921988</v>
      </c>
      <c r="AP27" s="621">
        <f>+'VIC&amp;SA'!AP20</f>
        <v>3.0548595506781382</v>
      </c>
      <c r="AQ27" s="621">
        <f>+'VIC&amp;SA'!AQ20</f>
        <v>3.1274124650067439</v>
      </c>
      <c r="AR27" s="621">
        <f>+'VIC&amp;SA'!AR20</f>
        <v>3.2016885110506537</v>
      </c>
      <c r="AS27" s="621">
        <f>+'VIC&amp;SA'!AS20</f>
        <v>3.2777286131881067</v>
      </c>
      <c r="AT27" s="621">
        <f>+'VIC&amp;SA'!AT20</f>
        <v>3.3555746677513238</v>
      </c>
      <c r="AU27" s="621">
        <f>+'VIC&amp;SA'!AU20</f>
        <v>3.4352695661104176</v>
      </c>
      <c r="AV27" s="621">
        <f>+'VIC&amp;SA'!AV20</f>
        <v>3.5168572183055398</v>
      </c>
      <c r="AW27" s="621">
        <f>+'VIC&amp;SA'!AW20</f>
        <v>3.6003825772402962</v>
      </c>
      <c r="AX27" s="621">
        <f>+'VIC&amp;SA'!AX20</f>
        <v>3.6858916634497532</v>
      </c>
      <c r="AY27" s="621">
        <f>+'VIC&amp;SA'!AY20</f>
        <v>3.7734315904566844</v>
      </c>
      <c r="AZ27" s="621">
        <f>+'VIC&amp;SA'!AZ20</f>
        <v>3.8630505907300305</v>
      </c>
      <c r="BA27" s="621">
        <f>+'VIC&amp;SA'!BA20</f>
        <v>3.9547980422598683</v>
      </c>
      <c r="BB27" s="621">
        <f>+'VIC&amp;SA'!BB20</f>
        <v>4.0487244957635395</v>
      </c>
      <c r="BC27" s="621">
        <f>+'VIC&amp;SA'!BC20</f>
        <v>4.1448817025379237</v>
      </c>
      <c r="BD27" s="621">
        <f>+'VIC&amp;SA'!BD20</f>
        <v>4.2433226429731992</v>
      </c>
      <c r="BE27" s="621">
        <f>+'VIC&amp;SA'!BE20</f>
        <v>4.3441015557438121</v>
      </c>
      <c r="BF27" s="621">
        <f>+'VIC&amp;SA'!BF20</f>
        <v>4.4472739676927278</v>
      </c>
      <c r="BG27" s="621">
        <f>+'VIC&amp;SA'!BG20</f>
        <v>4.5528967244254295</v>
      </c>
      <c r="BH27" s="621">
        <f>+'VIC&amp;SA'!BH20</f>
        <v>4.6610280216305329</v>
      </c>
      <c r="BI27" s="621">
        <f>+'VIC&amp;SA'!BI20</f>
        <v>4.771727437144258</v>
      </c>
      <c r="BJ27" s="621">
        <f>+'VIC&amp;SA'!BJ20</f>
        <v>4.8850559637764341</v>
      </c>
      <c r="BK27" s="621">
        <f>+'VIC&amp;SA'!BK20</f>
        <v>5.0010760429161243</v>
      </c>
      <c r="BL27" s="621">
        <f>+'VIC&amp;SA'!BL20</f>
        <v>5.1198515989353819</v>
      </c>
      <c r="BM27" s="621">
        <f>+'VIC&amp;SA'!BM20</f>
        <v>5.2414480744100969</v>
      </c>
      <c r="BN27" s="621">
        <f>+'VIC&amp;SA'!BN20</f>
        <v>5.3659324661773367</v>
      </c>
      <c r="BO27" s="621">
        <f>+'VIC&amp;SA'!BO20</f>
        <v>5.4933733622490477</v>
      </c>
      <c r="BP27" s="621">
        <f>+'VIC&amp;SA'!BP20</f>
        <v>5.6238409796024627</v>
      </c>
      <c r="BQ27" s="621">
        <f>+'VIC&amp;SA'!BQ20</f>
        <v>5.7574072028680208</v>
      </c>
      <c r="BR27" s="621">
        <f>+'VIC&amp;SA'!BR20</f>
        <v>5.8941456239361356</v>
      </c>
      <c r="BS27" s="621">
        <f>+'VIC&amp;SA'!BS20</f>
        <v>6.0341315825046182</v>
      </c>
      <c r="BT27" s="621">
        <f>+'VIC&amp;SA'!BT20</f>
        <v>6.1774422075891025</v>
      </c>
      <c r="BU27" s="621">
        <f>+'VIC&amp;SA'!BU20</f>
        <v>6.324156460019343</v>
      </c>
      <c r="BV27" s="621">
        <f>+'VIC&amp;SA'!BV20</f>
        <v>6.4743551759448019</v>
      </c>
      <c r="BW27" s="621">
        <f>+'VIC&amp;SA'!BW20</f>
        <v>6.6281211113734901</v>
      </c>
      <c r="BX27" s="621">
        <f>+'VIC&amp;SA'!BX20</f>
        <v>6.7855389877686099</v>
      </c>
      <c r="BY27" s="621">
        <f>+'VIC&amp;SA'!BY20</f>
        <v>6.9466955387281137</v>
      </c>
      <c r="BZ27" s="621">
        <f>+'VIC&amp;SA'!BZ20</f>
        <v>7.1116795577729057</v>
      </c>
      <c r="CA27" s="621">
        <f>+'VIC&amp;SA'!CA20</f>
        <v>7.2805819472700115</v>
      </c>
      <c r="CB27" s="621">
        <f>+'VIC&amp;SA'!CB20</f>
        <v>7.4534957685176737</v>
      </c>
      <c r="CC27" s="621">
        <f>+'VIC&amp;SA'!CC20</f>
        <v>0</v>
      </c>
      <c r="CD27" s="621">
        <f>+'VIC&amp;SA'!CD20</f>
        <v>0</v>
      </c>
      <c r="CE27" s="621">
        <f>+'VIC&amp;SA'!CE20</f>
        <v>0</v>
      </c>
      <c r="CF27" s="621">
        <f>+'VIC&amp;SA'!CF20</f>
        <v>0</v>
      </c>
      <c r="CG27" s="621">
        <f>+'VIC&amp;SA'!CG20</f>
        <v>0</v>
      </c>
      <c r="CH27" s="621">
        <f>+'VIC&amp;SA'!CH20</f>
        <v>0</v>
      </c>
      <c r="CI27" s="621">
        <f>+'VIC&amp;SA'!CI20</f>
        <v>0</v>
      </c>
      <c r="CJ27" s="621">
        <f>+'VIC&amp;SA'!CJ20</f>
        <v>0</v>
      </c>
      <c r="CK27" s="621">
        <f>+'VIC&amp;SA'!CK20</f>
        <v>0</v>
      </c>
      <c r="CL27" s="621">
        <f>+'VIC&amp;SA'!CL20</f>
        <v>0</v>
      </c>
      <c r="CM27" s="621">
        <f>+'VIC&amp;SA'!CM20</f>
        <v>0</v>
      </c>
      <c r="CN27" s="621">
        <f>+'VIC&amp;SA'!CN20</f>
        <v>0</v>
      </c>
      <c r="CO27" s="621">
        <f>+'VIC&amp;SA'!CO20</f>
        <v>0</v>
      </c>
      <c r="CP27" s="621">
        <f>+'VIC&amp;SA'!CP20</f>
        <v>0</v>
      </c>
      <c r="CQ27" s="362" t="s">
        <v>77</v>
      </c>
      <c r="CS27" s="412"/>
      <c r="CT27" s="412"/>
      <c r="CU27"/>
      <c r="CV27"/>
      <c r="CW27"/>
      <c r="CX27"/>
      <c r="CY27"/>
      <c r="CZ27"/>
      <c r="DB27" s="103" t="s">
        <v>238</v>
      </c>
      <c r="DD27" s="57">
        <v>1.036</v>
      </c>
      <c r="DE27" s="118">
        <f t="shared" si="76"/>
        <v>1.073</v>
      </c>
      <c r="DF27" s="57">
        <v>13.696</v>
      </c>
      <c r="DG27" s="118">
        <f t="shared" si="77"/>
        <v>-11.532</v>
      </c>
      <c r="DH27" s="57">
        <v>1.0920000000000001</v>
      </c>
      <c r="DI27" s="119">
        <f t="shared" si="78"/>
        <v>1.5949999999999998</v>
      </c>
      <c r="DJ27" s="142">
        <v>1.351</v>
      </c>
      <c r="DK27" s="119">
        <f t="shared" si="79"/>
        <v>1.3740000000000001</v>
      </c>
      <c r="DL27" s="189">
        <v>1.393</v>
      </c>
      <c r="DM27" s="98">
        <f t="shared" si="80"/>
        <v>1.478</v>
      </c>
      <c r="DN27" s="189">
        <v>1.472</v>
      </c>
      <c r="DO27" s="98">
        <f t="shared" si="81"/>
        <v>1.4860000000000002</v>
      </c>
      <c r="DP27" s="189">
        <v>1.484</v>
      </c>
      <c r="DQ27" s="98">
        <f t="shared" si="72"/>
        <v>1.5479500000000002</v>
      </c>
      <c r="DR27" s="188"/>
      <c r="DU27" s="413">
        <f t="shared" si="73"/>
        <v>0.49122807017543862</v>
      </c>
      <c r="DV27" s="413">
        <f>+(DF27/(DF27+DG27))</f>
        <v>6.3290203327171914</v>
      </c>
      <c r="DW27" s="413">
        <f t="shared" si="74"/>
        <v>0.40640119091924082</v>
      </c>
      <c r="DX27" s="413">
        <f t="shared" si="75"/>
        <v>0.49577981651376146</v>
      </c>
      <c r="DY27" s="376">
        <f t="shared" si="83"/>
        <v>0.48519679554162315</v>
      </c>
      <c r="DZ27" s="376">
        <f t="shared" si="84"/>
        <v>0.49763353617308986</v>
      </c>
      <c r="EB27" s="413">
        <f t="shared" si="85"/>
        <v>-0.92026869158878499</v>
      </c>
      <c r="EC27" s="413">
        <f t="shared" si="85"/>
        <v>-1.1383107873742628</v>
      </c>
      <c r="ED27" s="413">
        <f t="shared" si="86"/>
        <v>0.237179487179487</v>
      </c>
      <c r="EE27" s="413">
        <f t="shared" si="87"/>
        <v>-0.13855799373040734</v>
      </c>
      <c r="EF27" s="413">
        <f t="shared" si="87"/>
        <v>3.1088082901554515E-2</v>
      </c>
      <c r="EG27" s="413"/>
      <c r="EH27" s="411" t="b">
        <f t="shared" si="88"/>
        <v>1</v>
      </c>
      <c r="EI27" s="411" t="b">
        <f t="shared" si="89"/>
        <v>1</v>
      </c>
      <c r="EJ27" s="411" t="b">
        <f t="shared" si="90"/>
        <v>1</v>
      </c>
    </row>
    <row r="28" spans="2:156" s="98" customFormat="1" ht="11.25" customHeight="1" outlineLevel="1" x14ac:dyDescent="0.2">
      <c r="B28" s="103" t="s">
        <v>239</v>
      </c>
      <c r="D28" s="57"/>
      <c r="E28" s="57"/>
      <c r="F28" s="57"/>
      <c r="G28" s="57"/>
      <c r="H28" s="57"/>
      <c r="I28" s="57"/>
      <c r="J28" s="57"/>
      <c r="K28" s="57" t="s">
        <v>78</v>
      </c>
      <c r="L28" s="57" t="s">
        <v>78</v>
      </c>
      <c r="M28" s="57">
        <v>128.72499999999999</v>
      </c>
      <c r="N28" s="57">
        <v>148.774</v>
      </c>
      <c r="O28" s="57">
        <v>136.815</v>
      </c>
      <c r="P28" s="57">
        <v>144.14500000000001</v>
      </c>
      <c r="Q28" s="57">
        <v>143.643</v>
      </c>
      <c r="R28" s="57">
        <v>174.166</v>
      </c>
      <c r="S28" s="57">
        <v>196.87799999999999</v>
      </c>
      <c r="T28" s="406">
        <v>237.56399999999999</v>
      </c>
      <c r="U28" s="406">
        <v>265.97199999999998</v>
      </c>
      <c r="V28" s="406">
        <v>260.48099999999999</v>
      </c>
      <c r="W28" s="406">
        <v>291.72800000000001</v>
      </c>
      <c r="X28" s="621">
        <f>+'WA&amp;NT'!X19</f>
        <v>320.33959133958422</v>
      </c>
      <c r="Y28" s="621">
        <f>+'WA&amp;NT'!Y19</f>
        <v>357.90259362307381</v>
      </c>
      <c r="Z28" s="621">
        <f>+'WA&amp;NT'!Z19</f>
        <v>383.41280572559765</v>
      </c>
      <c r="AA28" s="621">
        <f>+'WA&amp;NT'!AA19</f>
        <v>393.68208956858717</v>
      </c>
      <c r="AB28" s="621">
        <f>+'WA&amp;NT'!AB19</f>
        <v>402.05687171014137</v>
      </c>
      <c r="AC28" s="621">
        <f>+'WA&amp;NT'!AC19</f>
        <v>410.65534560328172</v>
      </c>
      <c r="AD28" s="621">
        <f>+'WA&amp;NT'!AD19</f>
        <v>419.03534531100854</v>
      </c>
      <c r="AE28" s="621">
        <f>+'WA&amp;NT'!AE19</f>
        <v>412.02210186322918</v>
      </c>
      <c r="AF28" s="621">
        <f>+'WA&amp;NT'!AF19</f>
        <v>382.53328320834709</v>
      </c>
      <c r="AG28" s="621">
        <f>+'WA&amp;NT'!AG19</f>
        <v>368.19545829922754</v>
      </c>
      <c r="AH28" s="621">
        <f>+'WA&amp;NT'!AH19</f>
        <v>375.71611252404568</v>
      </c>
      <c r="AI28" s="621">
        <f>+'WA&amp;NT'!AI19</f>
        <v>383.36582980799915</v>
      </c>
      <c r="AJ28" s="621">
        <f>+'WA&amp;NT'!AJ19</f>
        <v>385.09826273047048</v>
      </c>
      <c r="AK28" s="621">
        <f>+'WA&amp;NT'!AK19</f>
        <v>365.83327906949302</v>
      </c>
      <c r="AL28" s="621">
        <f>+'WA&amp;NT'!AL19</f>
        <v>373.2522928009119</v>
      </c>
      <c r="AM28" s="621">
        <f>+'WA&amp;NT'!AM19</f>
        <v>380.85910782937037</v>
      </c>
      <c r="AN28" s="621">
        <f>+'WA&amp;NT'!AN19</f>
        <v>375.77079439172519</v>
      </c>
      <c r="AO28" s="621">
        <f>+'WA&amp;NT'!AO19</f>
        <v>383.46002980148569</v>
      </c>
      <c r="AP28" s="621">
        <f>+'WA&amp;NT'!AP19</f>
        <v>391.34290238447176</v>
      </c>
      <c r="AQ28" s="621">
        <f>+'WA&amp;NT'!AQ19</f>
        <v>399.42381673989667</v>
      </c>
      <c r="AR28" s="621">
        <f>+'WA&amp;NT'!AR19</f>
        <v>407.70678188537016</v>
      </c>
      <c r="AS28" s="621">
        <f>+'WA&amp;NT'!AS19</f>
        <v>416.19691371850314</v>
      </c>
      <c r="AT28" s="621">
        <f>+'WA&amp;NT'!AT19</f>
        <v>424.89893753692962</v>
      </c>
      <c r="AU28" s="621">
        <f>+'WA&amp;NT'!AU19</f>
        <v>433.81669061813153</v>
      </c>
      <c r="AV28" s="621">
        <f>+'WA&amp;NT'!AV19</f>
        <v>442.95562486048084</v>
      </c>
      <c r="AW28" s="621">
        <f>+'WA&amp;NT'!AW19</f>
        <v>395.06789940044416</v>
      </c>
      <c r="AX28" s="621">
        <f>+'WA&amp;NT'!AX19</f>
        <v>403.30475523691678</v>
      </c>
      <c r="AY28" s="621">
        <f>+'WA&amp;NT'!AY19</f>
        <v>411.74606851275666</v>
      </c>
      <c r="AZ28" s="621">
        <f>+'WA&amp;NT'!AZ19</f>
        <v>420.39651030175116</v>
      </c>
      <c r="BA28" s="621">
        <f>+'WA&amp;NT'!BA19</f>
        <v>429.26036225791927</v>
      </c>
      <c r="BB28" s="621">
        <f>+'WA&amp;NT'!BB19</f>
        <v>438.34301922291547</v>
      </c>
      <c r="BC28" s="621">
        <f>+'WA&amp;NT'!BC19</f>
        <v>447.64899189527944</v>
      </c>
      <c r="BD28" s="621">
        <f>+'WA&amp;NT'!BD19</f>
        <v>457.18340956299647</v>
      </c>
      <c r="BE28" s="621">
        <f>+'WA&amp;NT'!BE19</f>
        <v>466.95152290086787</v>
      </c>
      <c r="BF28" s="621">
        <f>+'WA&amp;NT'!BF19</f>
        <v>476.95870683422731</v>
      </c>
      <c r="BG28" s="621">
        <f>+'WA&amp;NT'!BG19</f>
        <v>487.21046347057427</v>
      </c>
      <c r="BH28" s="621">
        <f>+'WA&amp;NT'!BH19</f>
        <v>497.71242510073358</v>
      </c>
      <c r="BI28" s="621">
        <f>+'WA&amp;NT'!BI19</f>
        <v>508.47035727118873</v>
      </c>
      <c r="BJ28" s="621">
        <f>+'WA&amp;NT'!BJ19</f>
        <v>519.48966192927458</v>
      </c>
      <c r="BK28" s="621">
        <f>+'WA&amp;NT'!BK19</f>
        <v>530.77688064295569</v>
      </c>
      <c r="BL28" s="621">
        <f>+'WA&amp;NT'!BL19</f>
        <v>542.33769789695907</v>
      </c>
      <c r="BM28" s="621">
        <f>+'WA&amp;NT'!BM19</f>
        <v>554.17844446706818</v>
      </c>
      <c r="BN28" s="621">
        <f>+'WA&amp;NT'!BN19</f>
        <v>566.30610087443233</v>
      </c>
      <c r="BO28" s="621">
        <f>+'WA&amp;NT'!BO19</f>
        <v>578.72680092178666</v>
      </c>
      <c r="BP28" s="621">
        <f>+'WA&amp;NT'!BP19</f>
        <v>591.44733531352404</v>
      </c>
      <c r="BQ28" s="621">
        <f>+'WA&amp;NT'!BQ19</f>
        <v>604.47465536160678</v>
      </c>
      <c r="BR28" s="621">
        <f>+'WA&amp;NT'!BR19</f>
        <v>617.81587677935033</v>
      </c>
      <c r="BS28" s="621">
        <f>+'WA&amp;NT'!BS19</f>
        <v>569.49272131826581</v>
      </c>
      <c r="BT28" s="621">
        <f>+'WA&amp;NT'!BT19</f>
        <v>582.01111262812219</v>
      </c>
      <c r="BU28" s="621">
        <f>+'WA&amp;NT'!BU19</f>
        <v>594.83081442453772</v>
      </c>
      <c r="BV28" s="621">
        <f>+'WA&amp;NT'!BV19</f>
        <v>607.9588094068846</v>
      </c>
      <c r="BW28" s="621">
        <f>+'WA&amp;NT'!BW19</f>
        <v>621.40174531583455</v>
      </c>
      <c r="BX28" s="621">
        <f>+'WA&amp;NT'!BX19</f>
        <v>635.16693883150128</v>
      </c>
      <c r="BY28" s="621">
        <f>+'WA&amp;NT'!BY19</f>
        <v>649.26187956399201</v>
      </c>
      <c r="BZ28" s="621">
        <f>+'WA&amp;NT'!BZ19</f>
        <v>663.69473413855565</v>
      </c>
      <c r="CA28" s="621">
        <f>+'WA&amp;NT'!CA19</f>
        <v>678.47335037757284</v>
      </c>
      <c r="CB28" s="621">
        <f>+'WA&amp;NT'!CB19</f>
        <v>693.60526158168125</v>
      </c>
      <c r="CC28" s="621">
        <f>+'WA&amp;NT'!CC19</f>
        <v>709.09819091238535</v>
      </c>
      <c r="CD28" s="621">
        <f>+'WA&amp;NT'!CD19</f>
        <v>640.8931644200311</v>
      </c>
      <c r="CE28" s="621">
        <f>+'WA&amp;NT'!CE19</f>
        <v>655.13796904863079</v>
      </c>
      <c r="CF28" s="621">
        <f>+'WA&amp;NT'!CF19</f>
        <v>669.72272630782254</v>
      </c>
      <c r="CG28" s="621">
        <f>+'WA&amp;NT'!CG19</f>
        <v>684.65533852960243</v>
      </c>
      <c r="CH28" s="621">
        <f>+'WA&amp;NT'!CH19</f>
        <v>699.94339468080273</v>
      </c>
      <c r="CI28" s="621">
        <f>+'WA&amp;NT'!CI19</f>
        <v>715.5956747719224</v>
      </c>
      <c r="CJ28" s="621">
        <f>+'WA&amp;NT'!CJ19</f>
        <v>731.62065437044271</v>
      </c>
      <c r="CK28" s="621">
        <f>+'WA&amp;NT'!CK19</f>
        <v>748.02650922110411</v>
      </c>
      <c r="CL28" s="621">
        <f>+'WA&amp;NT'!CL19</f>
        <v>764.82211997567879</v>
      </c>
      <c r="CM28" s="621">
        <f>+'WA&amp;NT'!CM19</f>
        <v>782.01657703483511</v>
      </c>
      <c r="CN28" s="621">
        <f>+'WA&amp;NT'!CN19</f>
        <v>799.61968550475081</v>
      </c>
      <c r="CO28" s="621">
        <f>+'WA&amp;NT'!CO19</f>
        <v>817.64097027119487</v>
      </c>
      <c r="CP28" s="621">
        <f>+'WA&amp;NT'!CP19</f>
        <v>836.08918119386317</v>
      </c>
      <c r="CQ28" s="362" t="s">
        <v>77</v>
      </c>
      <c r="CS28" s="412"/>
      <c r="CT28" s="412"/>
      <c r="CU28"/>
      <c r="CV28"/>
      <c r="CW28"/>
      <c r="CX28"/>
      <c r="CY28"/>
      <c r="CZ28"/>
      <c r="DB28" s="103" t="s">
        <v>239</v>
      </c>
      <c r="DD28" s="57">
        <v>85.906999999999996</v>
      </c>
      <c r="DE28" s="118">
        <f t="shared" si="76"/>
        <v>88.259</v>
      </c>
      <c r="DF28" s="57">
        <v>95.697000000000003</v>
      </c>
      <c r="DG28" s="118">
        <f t="shared" si="77"/>
        <v>101.18099999999998</v>
      </c>
      <c r="DH28" s="57">
        <v>115.211</v>
      </c>
      <c r="DI28" s="119">
        <f t="shared" si="78"/>
        <v>122.35299999999999</v>
      </c>
      <c r="DJ28" s="142">
        <v>130.02500000000001</v>
      </c>
      <c r="DK28" s="119">
        <f t="shared" si="79"/>
        <v>135.94699999999997</v>
      </c>
      <c r="DL28" s="189">
        <v>120.611</v>
      </c>
      <c r="DM28" s="98">
        <f t="shared" si="80"/>
        <v>139.87</v>
      </c>
      <c r="DN28" s="189">
        <v>145.68799999999999</v>
      </c>
      <c r="DO28" s="98">
        <f t="shared" si="81"/>
        <v>146.04000000000002</v>
      </c>
      <c r="DP28" s="189">
        <v>144.83000000000001</v>
      </c>
      <c r="DQ28" s="98">
        <f t="shared" si="72"/>
        <v>175.5095913395842</v>
      </c>
      <c r="DR28" s="188"/>
      <c r="DU28" s="413">
        <f t="shared" si="73"/>
        <v>0.49324782104429105</v>
      </c>
      <c r="DV28" s="413">
        <f t="shared" si="82"/>
        <v>0.48607259317953255</v>
      </c>
      <c r="DW28" s="413">
        <f t="shared" si="74"/>
        <v>0.48496826118435454</v>
      </c>
      <c r="DX28" s="413">
        <f t="shared" si="75"/>
        <v>0.48886724918412472</v>
      </c>
      <c r="DY28" s="376">
        <f t="shared" si="83"/>
        <v>0.46303185261113095</v>
      </c>
      <c r="DZ28" s="376">
        <f t="shared" si="84"/>
        <v>0.4993966982943015</v>
      </c>
      <c r="EB28" s="413">
        <f t="shared" si="85"/>
        <v>0.20391443827915179</v>
      </c>
      <c r="EC28" s="413">
        <f t="shared" si="85"/>
        <v>0.2092487720026488</v>
      </c>
      <c r="ED28" s="413">
        <f t="shared" si="86"/>
        <v>0.1285814722552534</v>
      </c>
      <c r="EE28" s="413">
        <f t="shared" si="87"/>
        <v>0.11110475427656019</v>
      </c>
      <c r="EF28" s="413">
        <f t="shared" si="87"/>
        <v>-7.2401461257450506E-2</v>
      </c>
      <c r="EG28" s="413"/>
      <c r="EH28" s="411" t="b">
        <f t="shared" si="88"/>
        <v>1</v>
      </c>
      <c r="EI28" s="411" t="b">
        <f t="shared" si="89"/>
        <v>1</v>
      </c>
      <c r="EJ28" s="411" t="b">
        <f t="shared" si="90"/>
        <v>1</v>
      </c>
    </row>
    <row r="29" spans="2:156" s="98" customFormat="1" ht="11.25" customHeight="1" outlineLevel="1" x14ac:dyDescent="0.2">
      <c r="B29" s="103" t="s">
        <v>240</v>
      </c>
      <c r="D29" s="57"/>
      <c r="E29" s="57"/>
      <c r="F29" s="57"/>
      <c r="G29" s="57"/>
      <c r="H29" s="57"/>
      <c r="I29" s="57"/>
      <c r="J29" s="57"/>
      <c r="K29" s="57" t="s">
        <v>78</v>
      </c>
      <c r="L29" s="57" t="s">
        <v>78</v>
      </c>
      <c r="M29" s="57">
        <v>15.153</v>
      </c>
      <c r="N29" s="57">
        <v>18.434999999999999</v>
      </c>
      <c r="O29" s="57">
        <v>17.388000000000002</v>
      </c>
      <c r="P29" s="57">
        <v>11.242000000000001</v>
      </c>
      <c r="Q29" s="57">
        <v>13.85</v>
      </c>
      <c r="R29" s="57">
        <v>21.734000000000002</v>
      </c>
      <c r="S29" s="57">
        <v>23.001000000000001</v>
      </c>
      <c r="T29" s="406">
        <v>24.848299999999998</v>
      </c>
      <c r="U29" s="406">
        <v>27.876999999999999</v>
      </c>
      <c r="V29" s="406">
        <v>28.843</v>
      </c>
      <c r="W29" s="406">
        <v>30.931999999999999</v>
      </c>
      <c r="X29" s="621">
        <f>+'WA&amp;NT'!X20</f>
        <v>22.4</v>
      </c>
      <c r="Y29" s="621">
        <f>+'WA&amp;NT'!Y20</f>
        <v>22.5</v>
      </c>
      <c r="Z29" s="621">
        <f>+'WA&amp;NT'!Z20</f>
        <v>22.8</v>
      </c>
      <c r="AA29" s="621">
        <f>+'WA&amp;NT'!AA20</f>
        <v>22.9</v>
      </c>
      <c r="AB29" s="621">
        <f>+'WA&amp;NT'!AB20</f>
        <v>23.75299335923598</v>
      </c>
      <c r="AC29" s="621">
        <f>+'WA&amp;NT'!AC20</f>
        <v>24.14756092782957</v>
      </c>
      <c r="AD29" s="621">
        <f>+'WA&amp;NT'!AD20</f>
        <v>24.549501308111235</v>
      </c>
      <c r="AE29" s="621">
        <f>+'WA&amp;NT'!AE20</f>
        <v>24.960009289184519</v>
      </c>
      <c r="AF29" s="621">
        <f>+'WA&amp;NT'!AF20</f>
        <v>25.378253445455194</v>
      </c>
      <c r="AG29" s="621">
        <f>+'WA&amp;NT'!AG20</f>
        <v>25.806426856843142</v>
      </c>
      <c r="AH29" s="621">
        <f>+'WA&amp;NT'!AH20</f>
        <v>26.241696589464983</v>
      </c>
      <c r="AI29" s="621">
        <f>+'WA&amp;NT'!AI20</f>
        <v>26.687274669025605</v>
      </c>
      <c r="AJ29" s="621">
        <f>+'WA&amp;NT'!AJ20</f>
        <v>27.141347318034938</v>
      </c>
      <c r="AK29" s="621">
        <f>+'WA&amp;NT'!AK20</f>
        <v>27.605125685851011</v>
      </c>
      <c r="AL29" s="621">
        <f>+'WA&amp;NT'!AL20</f>
        <v>28.078805463618835</v>
      </c>
      <c r="AM29" s="621">
        <f>+'WA&amp;NT'!AM20</f>
        <v>28.561597371208375</v>
      </c>
      <c r="AN29" s="621">
        <f>+'WA&amp;NT'!AN20</f>
        <v>29.053717150124701</v>
      </c>
      <c r="AO29" s="621">
        <f>+'WA&amp;NT'!AO20</f>
        <v>29.557405931786057</v>
      </c>
      <c r="AP29" s="621">
        <f>+'WA&amp;NT'!AP20</f>
        <v>30.070859490955964</v>
      </c>
      <c r="AQ29" s="621">
        <f>+'WA&amp;NT'!AQ20</f>
        <v>30.595329613339427</v>
      </c>
      <c r="AR29" s="621">
        <f>+'WA&amp;NT'!AR20</f>
        <v>31.130033106571037</v>
      </c>
      <c r="AS29" s="621">
        <f>+'WA&amp;NT'!AS20</f>
        <v>31.676232925509154</v>
      </c>
      <c r="AT29" s="621">
        <f>+'WA&amp;NT'!AT20</f>
        <v>32.234177562017472</v>
      </c>
      <c r="AU29" s="621">
        <f>+'WA&amp;NT'!AU20</f>
        <v>32.803111307300689</v>
      </c>
      <c r="AV29" s="621">
        <f>+'WA&amp;NT'!AV20</f>
        <v>33.386314890111088</v>
      </c>
      <c r="AW29" s="621">
        <f>+'WA&amp;NT'!AW20</f>
        <v>33.979014503863695</v>
      </c>
      <c r="AX29" s="621">
        <f>+'WA&amp;NT'!AX20</f>
        <v>34.585523693583355</v>
      </c>
      <c r="AY29" s="621">
        <f>+'WA&amp;NT'!AY20</f>
        <v>35.205111893262924</v>
      </c>
      <c r="AZ29" s="621">
        <f>+'WA&amp;NT'!AZ20</f>
        <v>35.837045078080308</v>
      </c>
      <c r="BA29" s="621">
        <f>+'WA&amp;NT'!BA20</f>
        <v>36.482636544519899</v>
      </c>
      <c r="BB29" s="621">
        <f>+'WA&amp;NT'!BB20</f>
        <v>37.142186328206371</v>
      </c>
      <c r="BC29" s="621">
        <f>+'WA&amp;NT'!BC20</f>
        <v>37.814981370772941</v>
      </c>
      <c r="BD29" s="621">
        <f>+'WA&amp;NT'!BD20</f>
        <v>38.502366560047058</v>
      </c>
      <c r="BE29" s="621">
        <f>+'WA&amp;NT'!BE20</f>
        <v>39.20565378727747</v>
      </c>
      <c r="BF29" s="621">
        <f>+'WA&amp;NT'!BF20</f>
        <v>39.922142374631839</v>
      </c>
      <c r="BG29" s="621">
        <f>+'WA&amp;NT'!BG20</f>
        <v>40.656230624684788</v>
      </c>
      <c r="BH29" s="621">
        <f>+'WA&amp;NT'!BH20</f>
        <v>41.403203400205925</v>
      </c>
      <c r="BI29" s="621">
        <f>+'WA&amp;NT'!BI20</f>
        <v>42.16845504860737</v>
      </c>
      <c r="BJ29" s="621">
        <f>+'WA&amp;NT'!BJ20</f>
        <v>42.948317487572908</v>
      </c>
      <c r="BK29" s="621">
        <f>+'WA&amp;NT'!BK20</f>
        <v>43.746192021092767</v>
      </c>
      <c r="BL29" s="621">
        <f>+'WA&amp;NT'!BL20</f>
        <v>44.561438179753125</v>
      </c>
      <c r="BM29" s="621">
        <f>+'WA&amp;NT'!BM20</f>
        <v>45.394465049758161</v>
      </c>
      <c r="BN29" s="621">
        <f>+'WA&amp;NT'!BN20</f>
        <v>46.244640371580211</v>
      </c>
      <c r="BO29" s="621">
        <f>+'WA&amp;NT'!BO20</f>
        <v>47.113392003390835</v>
      </c>
      <c r="BP29" s="621">
        <f>+'WA&amp;NT'!BP20</f>
        <v>48.001137278554289</v>
      </c>
      <c r="BQ29" s="621">
        <f>+'WA&amp;NT'!BQ20</f>
        <v>48.908303486251356</v>
      </c>
      <c r="BR29" s="621">
        <f>+'WA&amp;NT'!BR20</f>
        <v>49.834317985082464</v>
      </c>
      <c r="BS29" s="621">
        <f>+'WA&amp;NT'!BS20</f>
        <v>50.781638819113041</v>
      </c>
      <c r="BT29" s="621">
        <f>+'WA&amp;NT'!BT20</f>
        <v>51.749734718786343</v>
      </c>
      <c r="BU29" s="621">
        <f>+'WA&amp;NT'!BU20</f>
        <v>52.738044859413066</v>
      </c>
      <c r="BV29" s="621">
        <f>+'WA&amp;NT'!BV20</f>
        <v>53.748070240230945</v>
      </c>
      <c r="BW29" s="621">
        <f>+'WA&amp;NT'!BW20</f>
        <v>54.780303082668318</v>
      </c>
      <c r="BX29" s="621">
        <f>+'WA&amp;NT'!BX20</f>
        <v>55.836257476902539</v>
      </c>
      <c r="BY29" s="621">
        <f>+'WA&amp;NT'!BY20</f>
        <v>56.913419041444854</v>
      </c>
      <c r="BZ29" s="621">
        <f>+'WA&amp;NT'!BZ20</f>
        <v>58.015346452279857</v>
      </c>
      <c r="CA29" s="621">
        <f>+'WA&amp;NT'!CA20</f>
        <v>59.140560370877118</v>
      </c>
      <c r="CB29" s="621">
        <f>+'WA&amp;NT'!CB20</f>
        <v>60.292634863031928</v>
      </c>
      <c r="CC29" s="621">
        <f>+'WA&amp;NT'!CC20</f>
        <v>61.468116713670618</v>
      </c>
      <c r="CD29" s="621">
        <f>+'WA&amp;NT'!CD20</f>
        <v>62.669586487684356</v>
      </c>
      <c r="CE29" s="621">
        <f>+'WA&amp;NT'!CE20</f>
        <v>63.89866897735638</v>
      </c>
      <c r="CF29" s="621">
        <f>+'WA&amp;NT'!CF20</f>
        <v>65.153932291422535</v>
      </c>
      <c r="CG29" s="621">
        <f>+'WA&amp;NT'!CG20</f>
        <v>66.437029932601845</v>
      </c>
      <c r="CH29" s="621">
        <f>+'WA&amp;NT'!CH20</f>
        <v>67.749589778473279</v>
      </c>
      <c r="CI29" s="621">
        <f>+'WA&amp;NT'!CI20</f>
        <v>69.090254933494322</v>
      </c>
      <c r="CJ29" s="621">
        <f>+'WA&amp;NT'!CJ20</f>
        <v>70.461724589509004</v>
      </c>
      <c r="CK29" s="621">
        <f>+'WA&amp;NT'!CK20</f>
        <v>71.863653156287114</v>
      </c>
      <c r="CL29" s="621">
        <f>+'WA&amp;NT'!CL20</f>
        <v>73.295751884764599</v>
      </c>
      <c r="CM29" s="621">
        <f>+'WA&amp;NT'!CM20</f>
        <v>74.759728512355395</v>
      </c>
      <c r="CN29" s="621">
        <f>+'WA&amp;NT'!CN20</f>
        <v>76.256328159494387</v>
      </c>
      <c r="CO29" s="621">
        <f>+'WA&amp;NT'!CO20</f>
        <v>77.787323614783304</v>
      </c>
      <c r="CP29" s="621">
        <f>+'WA&amp;NT'!CP20</f>
        <v>79.352455008967951</v>
      </c>
      <c r="CQ29" s="362" t="s">
        <v>77</v>
      </c>
      <c r="CS29" s="412"/>
      <c r="CT29" s="412"/>
      <c r="CU29"/>
      <c r="CV29"/>
      <c r="CW29"/>
      <c r="CX29"/>
      <c r="CY29"/>
      <c r="CZ29"/>
      <c r="DB29" s="103" t="s">
        <v>240</v>
      </c>
      <c r="DD29" s="57">
        <v>10.765000000000001</v>
      </c>
      <c r="DE29" s="118">
        <f t="shared" si="76"/>
        <v>10.969000000000001</v>
      </c>
      <c r="DF29" s="57">
        <v>11.276999999999999</v>
      </c>
      <c r="DG29" s="118">
        <f t="shared" si="77"/>
        <v>11.724000000000002</v>
      </c>
      <c r="DH29" s="57">
        <v>11.922000000000001</v>
      </c>
      <c r="DI29" s="119">
        <f t="shared" si="78"/>
        <v>12.926299999999998</v>
      </c>
      <c r="DJ29" s="142">
        <v>13.824999999999999</v>
      </c>
      <c r="DK29" s="119">
        <f t="shared" si="79"/>
        <v>14.052</v>
      </c>
      <c r="DL29" s="189">
        <v>14.458</v>
      </c>
      <c r="DM29" s="98">
        <f t="shared" si="80"/>
        <v>14.385</v>
      </c>
      <c r="DN29" s="189">
        <v>15.029</v>
      </c>
      <c r="DO29" s="98">
        <f t="shared" si="81"/>
        <v>15.902999999999999</v>
      </c>
      <c r="DP29" s="189">
        <v>16.521999999999998</v>
      </c>
      <c r="DQ29" s="98">
        <f t="shared" si="72"/>
        <v>5.8780000000000001</v>
      </c>
      <c r="DR29" s="188"/>
      <c r="DU29" s="413">
        <f t="shared" si="73"/>
        <v>0.49530689242661269</v>
      </c>
      <c r="DV29" s="413">
        <f t="shared" si="82"/>
        <v>0.49028303117255767</v>
      </c>
      <c r="DW29" s="413">
        <f t="shared" si="74"/>
        <v>0.47979137405778266</v>
      </c>
      <c r="DX29" s="413">
        <f t="shared" si="75"/>
        <v>0.49592854324353408</v>
      </c>
      <c r="DY29" s="376">
        <f t="shared" si="83"/>
        <v>0.50126547169157165</v>
      </c>
      <c r="DZ29" s="376">
        <f t="shared" si="84"/>
        <v>0.48587223587223588</v>
      </c>
      <c r="EB29" s="413">
        <f t="shared" si="85"/>
        <v>5.7196062782655099E-2</v>
      </c>
      <c r="EC29" s="413">
        <f t="shared" si="85"/>
        <v>0.10255032412145981</v>
      </c>
      <c r="ED29" s="413">
        <f t="shared" si="86"/>
        <v>0.15962086898171446</v>
      </c>
      <c r="EE29" s="413">
        <f t="shared" si="87"/>
        <v>8.7086018427547041E-2</v>
      </c>
      <c r="EF29" s="413">
        <f t="shared" si="87"/>
        <v>4.5786618444846328E-2</v>
      </c>
      <c r="EG29" s="413"/>
      <c r="EH29" s="411" t="b">
        <f t="shared" si="88"/>
        <v>1</v>
      </c>
      <c r="EI29" s="411" t="b">
        <f t="shared" si="89"/>
        <v>1</v>
      </c>
      <c r="EJ29" s="411" t="b">
        <f t="shared" si="90"/>
        <v>1</v>
      </c>
    </row>
    <row r="30" spans="2:156" ht="11.25" customHeight="1" outlineLevel="1" x14ac:dyDescent="0.2">
      <c r="B30" s="410" t="s">
        <v>274</v>
      </c>
      <c r="D30" s="54"/>
      <c r="E30" s="54"/>
      <c r="F30" s="54"/>
      <c r="G30" s="54"/>
      <c r="H30" s="54"/>
      <c r="I30" s="54"/>
      <c r="J30" s="54"/>
      <c r="K30" s="54">
        <f>SUM(K31:K33)</f>
        <v>0</v>
      </c>
      <c r="L30" s="54">
        <f t="shared" ref="L30:BD30" si="91">SUM(L31:L33)</f>
        <v>0</v>
      </c>
      <c r="M30" s="54">
        <f t="shared" si="91"/>
        <v>27.949000000000002</v>
      </c>
      <c r="N30" s="54">
        <f>SUM(N31:N33)</f>
        <v>110.97399999999999</v>
      </c>
      <c r="O30" s="54">
        <f t="shared" si="91"/>
        <v>72.194000000000003</v>
      </c>
      <c r="P30" s="54">
        <f t="shared" si="91"/>
        <v>79.460999999999999</v>
      </c>
      <c r="Q30" s="54">
        <f t="shared" si="91"/>
        <v>95.768000000000001</v>
      </c>
      <c r="R30" s="54">
        <f t="shared" si="91"/>
        <v>111.04300000000001</v>
      </c>
      <c r="S30" s="54">
        <f t="shared" si="91"/>
        <v>133.47300000000001</v>
      </c>
      <c r="T30" s="54">
        <f t="shared" si="91"/>
        <v>167.304</v>
      </c>
      <c r="U30" s="54">
        <f t="shared" si="91"/>
        <v>106.84</v>
      </c>
      <c r="V30" s="54">
        <f t="shared" si="91"/>
        <v>123.70100000000001</v>
      </c>
      <c r="W30" s="54">
        <f>SUM(W31:W33)</f>
        <v>110.80600000000001</v>
      </c>
      <c r="X30" s="54">
        <f t="shared" si="91"/>
        <v>113.57615</v>
      </c>
      <c r="Y30" s="54">
        <f t="shared" si="91"/>
        <v>115.97263074999999</v>
      </c>
      <c r="Z30" s="54">
        <f t="shared" si="91"/>
        <v>118.42016505874999</v>
      </c>
      <c r="AA30" s="54">
        <f t="shared" si="91"/>
        <v>120.91985209601873</v>
      </c>
      <c r="AB30" s="54">
        <f t="shared" si="91"/>
        <v>123.4728149674352</v>
      </c>
      <c r="AC30" s="54">
        <f t="shared" si="91"/>
        <v>126.0802012420174</v>
      </c>
      <c r="AD30" s="54">
        <f t="shared" si="91"/>
        <v>128.74318349147208</v>
      </c>
      <c r="AE30" s="54">
        <f t="shared" si="91"/>
        <v>131.46295984153119</v>
      </c>
      <c r="AF30" s="54">
        <f t="shared" si="91"/>
        <v>134.24075453559726</v>
      </c>
      <c r="AG30" s="54">
        <f t="shared" si="91"/>
        <v>137.07781851097553</v>
      </c>
      <c r="AH30" s="54">
        <f t="shared" si="91"/>
        <v>139.975429987978</v>
      </c>
      <c r="AI30" s="54">
        <f t="shared" si="91"/>
        <v>142.9348950721901</v>
      </c>
      <c r="AJ30" s="54">
        <f t="shared" si="91"/>
        <v>145.95754837019777</v>
      </c>
      <c r="AK30" s="54">
        <f t="shared" si="91"/>
        <v>149.0447536190797</v>
      </c>
      <c r="AL30" s="54">
        <f t="shared" si="91"/>
        <v>152.19790432997621</v>
      </c>
      <c r="AM30" s="54">
        <f t="shared" si="91"/>
        <v>155.41842444605351</v>
      </c>
      <c r="AN30" s="54">
        <f t="shared" si="91"/>
        <v>158.70776901518929</v>
      </c>
      <c r="AO30" s="54">
        <f t="shared" si="91"/>
        <v>162.06742487771317</v>
      </c>
      <c r="AP30" s="54">
        <f t="shared" si="91"/>
        <v>165.49891136954304</v>
      </c>
      <c r="AQ30" s="54">
        <f t="shared" si="91"/>
        <v>169.00378104106639</v>
      </c>
      <c r="AR30" s="54">
        <f t="shared" si="91"/>
        <v>172.58362039212352</v>
      </c>
      <c r="AS30" s="54">
        <f t="shared" si="91"/>
        <v>176.24005062345768</v>
      </c>
      <c r="AT30" s="54">
        <f t="shared" si="91"/>
        <v>179.97472840500581</v>
      </c>
      <c r="AU30" s="54">
        <f t="shared" si="91"/>
        <v>183.78934666141186</v>
      </c>
      <c r="AV30" s="54">
        <f t="shared" si="91"/>
        <v>187.68563537515371</v>
      </c>
      <c r="AW30" s="54">
        <f t="shared" si="91"/>
        <v>191.66536240768323</v>
      </c>
      <c r="AX30" s="54">
        <f t="shared" si="91"/>
        <v>195.730334338989</v>
      </c>
      <c r="AY30" s="54">
        <f t="shared" si="91"/>
        <v>199.8823973259997</v>
      </c>
      <c r="AZ30" s="54">
        <f t="shared" si="91"/>
        <v>204.1234379802564</v>
      </c>
      <c r="BA30" s="54">
        <f t="shared" si="91"/>
        <v>208.45538426529163</v>
      </c>
      <c r="BB30" s="54">
        <f t="shared" si="91"/>
        <v>212.8802064141633</v>
      </c>
      <c r="BC30" s="54">
        <f t="shared" si="91"/>
        <v>217.39991786760157</v>
      </c>
      <c r="BD30" s="54">
        <f t="shared" si="91"/>
        <v>222.01657623323749</v>
      </c>
      <c r="BE30" s="54">
        <f t="shared" ref="BE30:CP30" si="92">SUM(BE31:BE33)</f>
        <v>226.73228426639321</v>
      </c>
      <c r="BF30" s="54">
        <f t="shared" si="92"/>
        <v>231.54919087292433</v>
      </c>
      <c r="BG30" s="54">
        <f t="shared" si="92"/>
        <v>236.46949213461613</v>
      </c>
      <c r="BH30" s="54">
        <f t="shared" si="92"/>
        <v>241.49543235764764</v>
      </c>
      <c r="BI30" s="54">
        <f t="shared" si="92"/>
        <v>246.62930514464824</v>
      </c>
      <c r="BJ30" s="54">
        <f t="shared" si="92"/>
        <v>251.87345449088502</v>
      </c>
      <c r="BK30" s="54">
        <f t="shared" si="92"/>
        <v>257.23027590513016</v>
      </c>
      <c r="BL30" s="54">
        <f t="shared" si="92"/>
        <v>262.70221755577086</v>
      </c>
      <c r="BM30" s="54">
        <f t="shared" si="92"/>
        <v>268.29178144273789</v>
      </c>
      <c r="BN30" s="54">
        <f t="shared" si="92"/>
        <v>274.00152459584046</v>
      </c>
      <c r="BO30" s="54">
        <f t="shared" si="92"/>
        <v>279.83406030011133</v>
      </c>
      <c r="BP30" s="54">
        <f t="shared" si="92"/>
        <v>285.79205934877649</v>
      </c>
      <c r="BQ30" s="54">
        <f t="shared" si="92"/>
        <v>291.87825132448148</v>
      </c>
      <c r="BR30" s="54">
        <f t="shared" si="92"/>
        <v>298.09542590941885</v>
      </c>
      <c r="BS30" s="54">
        <f t="shared" si="92"/>
        <v>304.44643422501611</v>
      </c>
      <c r="BT30" s="54">
        <f t="shared" si="92"/>
        <v>310.93419020186059</v>
      </c>
      <c r="BU30" s="54">
        <f t="shared" si="92"/>
        <v>317.5616719805505</v>
      </c>
      <c r="BV30" s="54">
        <f t="shared" si="92"/>
        <v>324.33192334418061</v>
      </c>
      <c r="BW30" s="54">
        <f t="shared" si="92"/>
        <v>331.24805518318374</v>
      </c>
      <c r="BX30" s="54">
        <f t="shared" si="92"/>
        <v>338.3132469932699</v>
      </c>
      <c r="BY30" s="54">
        <f t="shared" si="92"/>
        <v>345.53074840721837</v>
      </c>
      <c r="BZ30" s="54">
        <f t="shared" si="92"/>
        <v>352.90388076129784</v>
      </c>
      <c r="CA30" s="54">
        <f t="shared" si="92"/>
        <v>360.43603869710739</v>
      </c>
      <c r="CB30" s="54">
        <f t="shared" si="92"/>
        <v>368.13069179964759</v>
      </c>
      <c r="CC30" s="54">
        <f t="shared" si="92"/>
        <v>375.99138627245367</v>
      </c>
      <c r="CD30" s="54">
        <f t="shared" si="92"/>
        <v>384.02174665063615</v>
      </c>
      <c r="CE30" s="54">
        <f t="shared" si="92"/>
        <v>392.22547755270062</v>
      </c>
      <c r="CF30" s="54">
        <f t="shared" si="92"/>
        <v>400.60636547203262</v>
      </c>
      <c r="CG30" s="54">
        <f t="shared" si="92"/>
        <v>409.1682806089583</v>
      </c>
      <c r="CH30" s="54">
        <f t="shared" si="92"/>
        <v>417.91517874430951</v>
      </c>
      <c r="CI30" s="54">
        <f t="shared" si="92"/>
        <v>426.85110315544716</v>
      </c>
      <c r="CJ30" s="54">
        <f t="shared" si="92"/>
        <v>435.98018657571379</v>
      </c>
      <c r="CK30" s="54">
        <f t="shared" si="92"/>
        <v>445.30665319831468</v>
      </c>
      <c r="CL30" s="54">
        <f t="shared" si="92"/>
        <v>454.83482072564476</v>
      </c>
      <c r="CM30" s="54">
        <f t="shared" si="92"/>
        <v>464.56910246510557</v>
      </c>
      <c r="CN30" s="54">
        <f t="shared" si="92"/>
        <v>474.5140094724793</v>
      </c>
      <c r="CO30" s="54">
        <f t="shared" si="92"/>
        <v>484.67415274395228</v>
      </c>
      <c r="CP30" s="54">
        <f t="shared" si="92"/>
        <v>495.05424545790527</v>
      </c>
      <c r="CQ30" s="362" t="s">
        <v>77</v>
      </c>
      <c r="CS30" s="233"/>
      <c r="CT30" s="233"/>
      <c r="DB30" s="410" t="s">
        <v>274</v>
      </c>
      <c r="DD30" s="54">
        <f t="shared" ref="DD30:DI30" si="93">SUM(DD31:DD33)</f>
        <v>57.037999999999997</v>
      </c>
      <c r="DE30" s="54">
        <f t="shared" si="93"/>
        <v>54.00500000000001</v>
      </c>
      <c r="DF30" s="54">
        <f t="shared" si="93"/>
        <v>68.402999999999992</v>
      </c>
      <c r="DG30" s="54">
        <f t="shared" si="93"/>
        <v>65.070000000000007</v>
      </c>
      <c r="DH30" s="54">
        <f t="shared" si="93"/>
        <v>94.448999999999998</v>
      </c>
      <c r="DI30" s="54">
        <f t="shared" si="93"/>
        <v>72.855000000000004</v>
      </c>
      <c r="DJ30" s="54">
        <f t="shared" ref="DJ30:DO30" si="94">SUM(DJ31:DJ33)</f>
        <v>46.067</v>
      </c>
      <c r="DK30" s="54">
        <f t="shared" si="94"/>
        <v>60.772999999999996</v>
      </c>
      <c r="DL30" s="54">
        <f t="shared" si="94"/>
        <v>69.376000000000005</v>
      </c>
      <c r="DM30" s="54">
        <f t="shared" si="94"/>
        <v>54.32500000000001</v>
      </c>
      <c r="DN30" s="54">
        <f t="shared" si="94"/>
        <v>51.706999999999994</v>
      </c>
      <c r="DO30" s="54">
        <f t="shared" si="94"/>
        <v>59.099000000000011</v>
      </c>
      <c r="DP30" s="54">
        <f t="shared" ref="DP30" si="95">SUM(DP31:DP33)</f>
        <v>51.469000000000001</v>
      </c>
      <c r="DQ30" s="54">
        <f t="shared" si="72"/>
        <v>62.107149999999997</v>
      </c>
      <c r="DR30" s="54"/>
      <c r="DS30" s="54"/>
      <c r="DU30" s="376">
        <f t="shared" si="73"/>
        <v>0.51365687166232898</v>
      </c>
      <c r="DV30" s="376">
        <f t="shared" si="82"/>
        <v>0.51248567125935574</v>
      </c>
      <c r="DW30" s="376">
        <f t="shared" si="74"/>
        <v>0.56453521732893419</v>
      </c>
      <c r="DX30" s="376">
        <f t="shared" si="75"/>
        <v>0.43117746162485959</v>
      </c>
      <c r="DY30" s="376">
        <f t="shared" si="83"/>
        <v>0.56083620989321015</v>
      </c>
      <c r="DZ30" s="376">
        <f t="shared" si="84"/>
        <v>0.46664440553760617</v>
      </c>
      <c r="EH30" s="411" t="b">
        <f t="shared" si="88"/>
        <v>1</v>
      </c>
      <c r="EI30" s="411" t="b">
        <f t="shared" si="89"/>
        <v>1</v>
      </c>
      <c r="EJ30" s="411" t="b">
        <f t="shared" si="90"/>
        <v>1</v>
      </c>
    </row>
    <row r="31" spans="2:156" s="98" customFormat="1" ht="11.25" customHeight="1" outlineLevel="1" x14ac:dyDescent="0.2">
      <c r="B31" s="103" t="s">
        <v>456</v>
      </c>
      <c r="D31" s="57"/>
      <c r="E31" s="57"/>
      <c r="F31" s="57"/>
      <c r="G31" s="57"/>
      <c r="H31" s="57"/>
      <c r="I31" s="57"/>
      <c r="J31" s="57"/>
      <c r="K31" s="57" t="s">
        <v>78</v>
      </c>
      <c r="L31" s="57" t="s">
        <v>78</v>
      </c>
      <c r="M31" s="57">
        <v>6.726</v>
      </c>
      <c r="N31" s="57">
        <v>51.98</v>
      </c>
      <c r="O31" s="57">
        <v>60.475999999999999</v>
      </c>
      <c r="P31" s="57">
        <v>60.052999999999997</v>
      </c>
      <c r="Q31" s="57">
        <v>68.647000000000006</v>
      </c>
      <c r="R31" s="57">
        <v>69.296000000000006</v>
      </c>
      <c r="S31" s="57">
        <v>82.293000000000006</v>
      </c>
      <c r="T31" s="406">
        <v>99.171000000000006</v>
      </c>
      <c r="U31" s="406">
        <v>85.055999999999997</v>
      </c>
      <c r="V31" s="406">
        <v>95.43</v>
      </c>
      <c r="W31" s="406">
        <f>86.424</f>
        <v>86.424000000000007</v>
      </c>
      <c r="X31" s="149">
        <f>+W31*1.025</f>
        <v>88.584599999999995</v>
      </c>
      <c r="Y31" s="149">
        <f>+X31*1.02</f>
        <v>90.356291999999996</v>
      </c>
      <c r="Z31" s="149">
        <f t="shared" ref="Z31:BD31" si="96">+Y31*1.02</f>
        <v>92.163417839999994</v>
      </c>
      <c r="AA31" s="149">
        <f t="shared" si="96"/>
        <v>94.00668619679999</v>
      </c>
      <c r="AB31" s="149">
        <f t="shared" si="96"/>
        <v>95.886819920735988</v>
      </c>
      <c r="AC31" s="149">
        <f t="shared" si="96"/>
        <v>97.804556319150706</v>
      </c>
      <c r="AD31" s="149">
        <f t="shared" si="96"/>
        <v>99.760647445533721</v>
      </c>
      <c r="AE31" s="149">
        <f t="shared" si="96"/>
        <v>101.7558603944444</v>
      </c>
      <c r="AF31" s="149">
        <f t="shared" si="96"/>
        <v>103.79097760233329</v>
      </c>
      <c r="AG31" s="149">
        <f t="shared" si="96"/>
        <v>105.86679715437995</v>
      </c>
      <c r="AH31" s="149">
        <f t="shared" si="96"/>
        <v>107.98413309746755</v>
      </c>
      <c r="AI31" s="149">
        <f t="shared" si="96"/>
        <v>110.1438157594169</v>
      </c>
      <c r="AJ31" s="149">
        <f t="shared" si="96"/>
        <v>112.34669207460523</v>
      </c>
      <c r="AK31" s="149">
        <f t="shared" si="96"/>
        <v>114.59362591609734</v>
      </c>
      <c r="AL31" s="149">
        <f t="shared" si="96"/>
        <v>116.88549843441929</v>
      </c>
      <c r="AM31" s="149">
        <f t="shared" si="96"/>
        <v>119.22320840310768</v>
      </c>
      <c r="AN31" s="149">
        <f t="shared" si="96"/>
        <v>121.60767257116983</v>
      </c>
      <c r="AO31" s="149">
        <f t="shared" si="96"/>
        <v>124.03982602259323</v>
      </c>
      <c r="AP31" s="149">
        <f t="shared" si="96"/>
        <v>126.52062254304509</v>
      </c>
      <c r="AQ31" s="149">
        <f t="shared" si="96"/>
        <v>129.051034993906</v>
      </c>
      <c r="AR31" s="149">
        <f t="shared" si="96"/>
        <v>131.63205569378411</v>
      </c>
      <c r="AS31" s="149">
        <f t="shared" si="96"/>
        <v>134.26469680765979</v>
      </c>
      <c r="AT31" s="149">
        <f t="shared" si="96"/>
        <v>136.94999074381298</v>
      </c>
      <c r="AU31" s="149">
        <f t="shared" si="96"/>
        <v>139.68899055868923</v>
      </c>
      <c r="AV31" s="149">
        <f t="shared" si="96"/>
        <v>142.482770369863</v>
      </c>
      <c r="AW31" s="149">
        <f t="shared" si="96"/>
        <v>145.33242577726026</v>
      </c>
      <c r="AX31" s="149">
        <f t="shared" si="96"/>
        <v>148.23907429280547</v>
      </c>
      <c r="AY31" s="149">
        <f t="shared" si="96"/>
        <v>151.20385577866159</v>
      </c>
      <c r="AZ31" s="149">
        <f t="shared" si="96"/>
        <v>154.22793289423481</v>
      </c>
      <c r="BA31" s="149">
        <f t="shared" si="96"/>
        <v>157.3124915521195</v>
      </c>
      <c r="BB31" s="149">
        <f t="shared" si="96"/>
        <v>160.45874138316188</v>
      </c>
      <c r="BC31" s="149">
        <f t="shared" si="96"/>
        <v>163.66791621082513</v>
      </c>
      <c r="BD31" s="149">
        <f t="shared" si="96"/>
        <v>166.94127453504163</v>
      </c>
      <c r="BE31" s="149">
        <f t="shared" ref="BE31:CP31" si="97">+BD31*1.02</f>
        <v>170.28010002574246</v>
      </c>
      <c r="BF31" s="149">
        <f t="shared" si="97"/>
        <v>173.6857020262573</v>
      </c>
      <c r="BG31" s="149">
        <f t="shared" si="97"/>
        <v>177.15941606678246</v>
      </c>
      <c r="BH31" s="149">
        <f t="shared" si="97"/>
        <v>180.70260438811812</v>
      </c>
      <c r="BI31" s="149">
        <f t="shared" si="97"/>
        <v>184.31665647588048</v>
      </c>
      <c r="BJ31" s="149">
        <f t="shared" si="97"/>
        <v>188.00298960539808</v>
      </c>
      <c r="BK31" s="149">
        <f t="shared" si="97"/>
        <v>191.76304939750605</v>
      </c>
      <c r="BL31" s="149">
        <f t="shared" si="97"/>
        <v>195.59831038545619</v>
      </c>
      <c r="BM31" s="149">
        <f t="shared" si="97"/>
        <v>199.51027659316532</v>
      </c>
      <c r="BN31" s="149">
        <f t="shared" si="97"/>
        <v>203.50048212502861</v>
      </c>
      <c r="BO31" s="149">
        <f t="shared" si="97"/>
        <v>207.57049176752918</v>
      </c>
      <c r="BP31" s="149">
        <f t="shared" si="97"/>
        <v>211.72190160287977</v>
      </c>
      <c r="BQ31" s="149">
        <f t="shared" si="97"/>
        <v>215.95633963493736</v>
      </c>
      <c r="BR31" s="149">
        <f t="shared" si="97"/>
        <v>220.2754664276361</v>
      </c>
      <c r="BS31" s="149">
        <f t="shared" si="97"/>
        <v>224.68097575618884</v>
      </c>
      <c r="BT31" s="149">
        <f t="shared" si="97"/>
        <v>229.17459527131263</v>
      </c>
      <c r="BU31" s="149">
        <f t="shared" si="97"/>
        <v>233.75808717673888</v>
      </c>
      <c r="BV31" s="149">
        <f t="shared" si="97"/>
        <v>238.43324892027366</v>
      </c>
      <c r="BW31" s="149">
        <f t="shared" si="97"/>
        <v>243.20191389867912</v>
      </c>
      <c r="BX31" s="149">
        <f t="shared" si="97"/>
        <v>248.0659521766527</v>
      </c>
      <c r="BY31" s="149">
        <f t="shared" si="97"/>
        <v>253.02727122018575</v>
      </c>
      <c r="BZ31" s="149">
        <f t="shared" si="97"/>
        <v>258.08781664458945</v>
      </c>
      <c r="CA31" s="149">
        <f t="shared" si="97"/>
        <v>263.24957297748125</v>
      </c>
      <c r="CB31" s="149">
        <f t="shared" si="97"/>
        <v>268.51456443703086</v>
      </c>
      <c r="CC31" s="149">
        <f t="shared" si="97"/>
        <v>273.8848557257715</v>
      </c>
      <c r="CD31" s="149">
        <f t="shared" si="97"/>
        <v>279.36255284028692</v>
      </c>
      <c r="CE31" s="149">
        <f t="shared" si="97"/>
        <v>284.94980389709269</v>
      </c>
      <c r="CF31" s="149">
        <f t="shared" si="97"/>
        <v>290.64879997503454</v>
      </c>
      <c r="CG31" s="149">
        <f t="shared" si="97"/>
        <v>296.46177597453521</v>
      </c>
      <c r="CH31" s="149">
        <f t="shared" si="97"/>
        <v>302.39101149402592</v>
      </c>
      <c r="CI31" s="149">
        <f t="shared" si="97"/>
        <v>308.43883172390645</v>
      </c>
      <c r="CJ31" s="149">
        <f t="shared" si="97"/>
        <v>314.6076083583846</v>
      </c>
      <c r="CK31" s="149">
        <f t="shared" si="97"/>
        <v>320.89976052555227</v>
      </c>
      <c r="CL31" s="149">
        <f t="shared" si="97"/>
        <v>327.3177557360633</v>
      </c>
      <c r="CM31" s="149">
        <f t="shared" si="97"/>
        <v>333.86411085078458</v>
      </c>
      <c r="CN31" s="149">
        <f t="shared" si="97"/>
        <v>340.5413930678003</v>
      </c>
      <c r="CO31" s="149">
        <f t="shared" si="97"/>
        <v>347.35222092915632</v>
      </c>
      <c r="CP31" s="149">
        <f t="shared" si="97"/>
        <v>354.29926534773944</v>
      </c>
      <c r="CQ31" s="362" t="s">
        <v>77</v>
      </c>
      <c r="CS31" s="412"/>
      <c r="CT31" s="412"/>
      <c r="CU31"/>
      <c r="CV31"/>
      <c r="CW31"/>
      <c r="CX31"/>
      <c r="CY31"/>
      <c r="CZ31"/>
      <c r="DB31" s="103" t="s">
        <v>214</v>
      </c>
      <c r="DD31" s="57">
        <v>34.244999999999997</v>
      </c>
      <c r="DE31" s="118">
        <f>+R31-DD31</f>
        <v>35.051000000000009</v>
      </c>
      <c r="DF31" s="57">
        <v>37.68</v>
      </c>
      <c r="DG31" s="118">
        <f>+S31-DF31</f>
        <v>44.613000000000007</v>
      </c>
      <c r="DH31" s="57">
        <v>56.08</v>
      </c>
      <c r="DI31" s="119">
        <f>+T31-DH31</f>
        <v>43.091000000000008</v>
      </c>
      <c r="DJ31" s="142">
        <v>38.42</v>
      </c>
      <c r="DK31" s="119">
        <f>+U31-DJ31</f>
        <v>46.635999999999996</v>
      </c>
      <c r="DL31" s="189">
        <v>55.402999999999999</v>
      </c>
      <c r="DM31" s="98">
        <f>V31-DL31</f>
        <v>40.027000000000008</v>
      </c>
      <c r="DN31" s="189">
        <v>39.156999999999996</v>
      </c>
      <c r="DO31" s="98">
        <f>W31-DN31</f>
        <v>47.26700000000001</v>
      </c>
      <c r="DP31" s="189">
        <v>39.557000000000002</v>
      </c>
      <c r="DQ31" s="98">
        <f t="shared" si="72"/>
        <v>49.027599999999993</v>
      </c>
      <c r="DR31" s="188"/>
      <c r="DU31" s="413">
        <f t="shared" si="73"/>
        <v>0.49418436850611858</v>
      </c>
      <c r="DV31" s="413">
        <f t="shared" si="82"/>
        <v>0.45787612555138341</v>
      </c>
      <c r="DW31" s="413">
        <f t="shared" si="74"/>
        <v>0.56548789464662041</v>
      </c>
      <c r="DX31" s="413">
        <f t="shared" si="75"/>
        <v>0.45170240782543269</v>
      </c>
      <c r="DY31" s="376">
        <f t="shared" si="83"/>
        <v>0.58056166823849942</v>
      </c>
      <c r="DZ31" s="376">
        <f t="shared" si="84"/>
        <v>0.45308016291770797</v>
      </c>
      <c r="EH31" s="411" t="b">
        <f t="shared" si="88"/>
        <v>1</v>
      </c>
      <c r="EI31" s="411" t="b">
        <f t="shared" si="89"/>
        <v>1</v>
      </c>
      <c r="EJ31" s="411" t="b">
        <f t="shared" si="90"/>
        <v>1</v>
      </c>
    </row>
    <row r="32" spans="2:156" s="98" customFormat="1" ht="11.25" customHeight="1" outlineLevel="1" x14ac:dyDescent="0.2">
      <c r="B32" s="103" t="s">
        <v>241</v>
      </c>
      <c r="D32" s="57"/>
      <c r="E32" s="57"/>
      <c r="F32" s="57"/>
      <c r="G32" s="57"/>
      <c r="H32" s="57"/>
      <c r="I32" s="57"/>
      <c r="J32" s="57"/>
      <c r="K32" s="57" t="s">
        <v>78</v>
      </c>
      <c r="L32" s="57" t="s">
        <v>78</v>
      </c>
      <c r="M32" s="57">
        <v>0</v>
      </c>
      <c r="N32" s="57">
        <v>18.084</v>
      </c>
      <c r="O32" s="57">
        <v>11.718</v>
      </c>
      <c r="P32" s="57">
        <v>19.408000000000001</v>
      </c>
      <c r="Q32" s="57">
        <v>27.120999999999999</v>
      </c>
      <c r="R32" s="57">
        <v>41.747</v>
      </c>
      <c r="S32" s="57">
        <v>51.18</v>
      </c>
      <c r="T32" s="406">
        <v>68.132999999999996</v>
      </c>
      <c r="U32" s="406">
        <v>21.783999999999999</v>
      </c>
      <c r="V32" s="406">
        <v>28.271000000000001</v>
      </c>
      <c r="W32" s="406">
        <v>24.382000000000001</v>
      </c>
      <c r="X32" s="149">
        <f>W32*(1+2.5%)</f>
        <v>24.99155</v>
      </c>
      <c r="Y32" s="149">
        <f t="shared" ref="Y32:BD32" si="98">X32*(1+2.5%)</f>
        <v>25.616338749999997</v>
      </c>
      <c r="Z32" s="149">
        <f t="shared" si="98"/>
        <v>26.256747218749993</v>
      </c>
      <c r="AA32" s="149">
        <f t="shared" si="98"/>
        <v>26.91316589921874</v>
      </c>
      <c r="AB32" s="149">
        <f t="shared" si="98"/>
        <v>27.585995046699207</v>
      </c>
      <c r="AC32" s="149">
        <f t="shared" si="98"/>
        <v>28.275644922866686</v>
      </c>
      <c r="AD32" s="149">
        <f t="shared" si="98"/>
        <v>28.98253604593835</v>
      </c>
      <c r="AE32" s="149">
        <f t="shared" si="98"/>
        <v>29.707099447086804</v>
      </c>
      <c r="AF32" s="149">
        <f t="shared" si="98"/>
        <v>30.449776933263973</v>
      </c>
      <c r="AG32" s="149">
        <f t="shared" si="98"/>
        <v>31.21102135659557</v>
      </c>
      <c r="AH32" s="149">
        <f t="shared" si="98"/>
        <v>31.991296890510455</v>
      </c>
      <c r="AI32" s="149">
        <f t="shared" si="98"/>
        <v>32.791079312773213</v>
      </c>
      <c r="AJ32" s="149">
        <f t="shared" si="98"/>
        <v>33.610856295592541</v>
      </c>
      <c r="AK32" s="149">
        <f t="shared" si="98"/>
        <v>34.451127702982355</v>
      </c>
      <c r="AL32" s="149">
        <f t="shared" si="98"/>
        <v>35.312405895556907</v>
      </c>
      <c r="AM32" s="149">
        <f t="shared" si="98"/>
        <v>36.195216042945823</v>
      </c>
      <c r="AN32" s="149">
        <f t="shared" si="98"/>
        <v>37.100096444019464</v>
      </c>
      <c r="AO32" s="149">
        <f t="shared" si="98"/>
        <v>38.027598855119948</v>
      </c>
      <c r="AP32" s="149">
        <f t="shared" si="98"/>
        <v>38.978288826497945</v>
      </c>
      <c r="AQ32" s="149">
        <f t="shared" si="98"/>
        <v>39.952746047160389</v>
      </c>
      <c r="AR32" s="149">
        <f t="shared" si="98"/>
        <v>40.951564698339396</v>
      </c>
      <c r="AS32" s="149">
        <f t="shared" si="98"/>
        <v>41.975353815797881</v>
      </c>
      <c r="AT32" s="149">
        <f t="shared" si="98"/>
        <v>43.024737661192823</v>
      </c>
      <c r="AU32" s="149">
        <f t="shared" si="98"/>
        <v>44.100356102722643</v>
      </c>
      <c r="AV32" s="149">
        <f t="shared" si="98"/>
        <v>45.202865005290704</v>
      </c>
      <c r="AW32" s="149">
        <f t="shared" si="98"/>
        <v>46.332936630422971</v>
      </c>
      <c r="AX32" s="149">
        <f t="shared" si="98"/>
        <v>47.491260046183541</v>
      </c>
      <c r="AY32" s="149">
        <f t="shared" si="98"/>
        <v>48.678541547338128</v>
      </c>
      <c r="AZ32" s="149">
        <f t="shared" si="98"/>
        <v>49.895505086021579</v>
      </c>
      <c r="BA32" s="149">
        <f t="shared" si="98"/>
        <v>51.142892713172117</v>
      </c>
      <c r="BB32" s="149">
        <f t="shared" si="98"/>
        <v>52.421465031001418</v>
      </c>
      <c r="BC32" s="149">
        <f t="shared" si="98"/>
        <v>53.732001656776447</v>
      </c>
      <c r="BD32" s="149">
        <f t="shared" si="98"/>
        <v>55.075301698195851</v>
      </c>
      <c r="BE32" s="149">
        <f t="shared" ref="BE32:CP32" si="99">BD32*(1+2.5%)</f>
        <v>56.452184240650745</v>
      </c>
      <c r="BF32" s="149">
        <f t="shared" si="99"/>
        <v>57.863488846667011</v>
      </c>
      <c r="BG32" s="149">
        <f t="shared" si="99"/>
        <v>59.310076067833684</v>
      </c>
      <c r="BH32" s="149">
        <f t="shared" si="99"/>
        <v>60.792827969529519</v>
      </c>
      <c r="BI32" s="149">
        <f t="shared" si="99"/>
        <v>62.31264866876775</v>
      </c>
      <c r="BJ32" s="149">
        <f t="shared" si="99"/>
        <v>63.870464885486939</v>
      </c>
      <c r="BK32" s="149">
        <f t="shared" si="99"/>
        <v>65.467226507624105</v>
      </c>
      <c r="BL32" s="149">
        <f t="shared" si="99"/>
        <v>67.103907170314699</v>
      </c>
      <c r="BM32" s="149">
        <f t="shared" si="99"/>
        <v>68.781504849572556</v>
      </c>
      <c r="BN32" s="149">
        <f t="shared" si="99"/>
        <v>70.501042470811868</v>
      </c>
      <c r="BO32" s="149">
        <f t="shared" si="99"/>
        <v>72.263568532582156</v>
      </c>
      <c r="BP32" s="149">
        <f t="shared" si="99"/>
        <v>74.070157745896708</v>
      </c>
      <c r="BQ32" s="149">
        <f t="shared" si="99"/>
        <v>75.921911689544118</v>
      </c>
      <c r="BR32" s="149">
        <f t="shared" si="99"/>
        <v>77.819959481782718</v>
      </c>
      <c r="BS32" s="149">
        <f t="shared" si="99"/>
        <v>79.765458468827276</v>
      </c>
      <c r="BT32" s="149">
        <f t="shared" si="99"/>
        <v>81.759594930547948</v>
      </c>
      <c r="BU32" s="149">
        <f t="shared" si="99"/>
        <v>83.803584803811646</v>
      </c>
      <c r="BV32" s="149">
        <f t="shared" si="99"/>
        <v>85.898674423906925</v>
      </c>
      <c r="BW32" s="149">
        <f t="shared" si="99"/>
        <v>88.046141284504586</v>
      </c>
      <c r="BX32" s="149">
        <f t="shared" si="99"/>
        <v>90.247294816617199</v>
      </c>
      <c r="BY32" s="149">
        <f t="shared" si="99"/>
        <v>92.503477187032615</v>
      </c>
      <c r="BZ32" s="149">
        <f t="shared" si="99"/>
        <v>94.816064116708418</v>
      </c>
      <c r="CA32" s="149">
        <f t="shared" si="99"/>
        <v>97.186465719626113</v>
      </c>
      <c r="CB32" s="149">
        <f t="shared" si="99"/>
        <v>99.616127362616751</v>
      </c>
      <c r="CC32" s="149">
        <f t="shared" si="99"/>
        <v>102.10653054668217</v>
      </c>
      <c r="CD32" s="149">
        <f t="shared" si="99"/>
        <v>104.65919381034921</v>
      </c>
      <c r="CE32" s="149">
        <f t="shared" si="99"/>
        <v>107.27567365560793</v>
      </c>
      <c r="CF32" s="149">
        <f t="shared" si="99"/>
        <v>109.95756549699811</v>
      </c>
      <c r="CG32" s="149">
        <f t="shared" si="99"/>
        <v>112.70650463442306</v>
      </c>
      <c r="CH32" s="149">
        <f t="shared" si="99"/>
        <v>115.52416725028363</v>
      </c>
      <c r="CI32" s="149">
        <f t="shared" si="99"/>
        <v>118.4122714315407</v>
      </c>
      <c r="CJ32" s="149">
        <f t="shared" si="99"/>
        <v>121.37257821732921</v>
      </c>
      <c r="CK32" s="149">
        <f t="shared" si="99"/>
        <v>124.40689267276242</v>
      </c>
      <c r="CL32" s="149">
        <f t="shared" si="99"/>
        <v>127.51706498958147</v>
      </c>
      <c r="CM32" s="149">
        <f t="shared" si="99"/>
        <v>130.70499161432099</v>
      </c>
      <c r="CN32" s="149">
        <f t="shared" si="99"/>
        <v>133.972616404679</v>
      </c>
      <c r="CO32" s="149">
        <f t="shared" si="99"/>
        <v>137.32193181479596</v>
      </c>
      <c r="CP32" s="149">
        <f t="shared" si="99"/>
        <v>140.75498011016586</v>
      </c>
      <c r="CQ32" s="362" t="s">
        <v>77</v>
      </c>
      <c r="CS32" s="412"/>
      <c r="CT32" s="412"/>
      <c r="CU32"/>
      <c r="CV32"/>
      <c r="CW32"/>
      <c r="CX32"/>
      <c r="CY32"/>
      <c r="CZ32"/>
      <c r="DB32" s="103" t="s">
        <v>241</v>
      </c>
      <c r="DD32" s="57">
        <v>22.792999999999999</v>
      </c>
      <c r="DE32" s="118">
        <f>+R32-DD32</f>
        <v>18.954000000000001</v>
      </c>
      <c r="DF32" s="57">
        <v>30.722999999999999</v>
      </c>
      <c r="DG32" s="118">
        <f>+S32-DF32</f>
        <v>20.457000000000001</v>
      </c>
      <c r="DH32" s="57">
        <v>38.369</v>
      </c>
      <c r="DI32" s="119">
        <f>+T32-DH32</f>
        <v>29.763999999999996</v>
      </c>
      <c r="DJ32" s="142">
        <v>7.6470000000000002</v>
      </c>
      <c r="DK32" s="119">
        <f>+U32-DJ32</f>
        <v>14.136999999999999</v>
      </c>
      <c r="DL32" s="189">
        <v>13.973000000000001</v>
      </c>
      <c r="DM32" s="98">
        <f>V32-DL32</f>
        <v>14.298</v>
      </c>
      <c r="DN32" s="189">
        <v>12.55</v>
      </c>
      <c r="DO32" s="98">
        <f>W32-DN32</f>
        <v>11.832000000000001</v>
      </c>
      <c r="DP32" s="189">
        <v>11.912000000000001</v>
      </c>
      <c r="DQ32" s="98">
        <f t="shared" si="72"/>
        <v>13.079549999999999</v>
      </c>
      <c r="DR32" s="188"/>
      <c r="DU32" s="413">
        <f t="shared" si="73"/>
        <v>0.54597935180971091</v>
      </c>
      <c r="DV32" s="413">
        <f t="shared" si="82"/>
        <v>0.6002930832356389</v>
      </c>
      <c r="DW32" s="413">
        <f>+(DH32/(DH32+DI32))</f>
        <v>0.56314854769348188</v>
      </c>
      <c r="DX32" s="413">
        <f>+(DJ32/(DJ32+DK32))</f>
        <v>0.35103745868527364</v>
      </c>
      <c r="DY32" s="376">
        <f t="shared" si="83"/>
        <v>0.49425206041526654</v>
      </c>
      <c r="DZ32" s="376">
        <f t="shared" si="84"/>
        <v>0.51472397670412595</v>
      </c>
      <c r="EH32" s="411" t="b">
        <f t="shared" si="88"/>
        <v>1</v>
      </c>
      <c r="EI32" s="411" t="b">
        <f t="shared" si="89"/>
        <v>1</v>
      </c>
      <c r="EJ32" s="411" t="b">
        <f t="shared" si="90"/>
        <v>1</v>
      </c>
    </row>
    <row r="33" spans="2:156" s="98" customFormat="1" ht="11.25" customHeight="1" outlineLevel="1" x14ac:dyDescent="0.2">
      <c r="B33" s="103" t="s">
        <v>205</v>
      </c>
      <c r="D33" s="57"/>
      <c r="E33" s="57"/>
      <c r="F33" s="57"/>
      <c r="G33" s="57"/>
      <c r="H33" s="57"/>
      <c r="I33" s="57"/>
      <c r="J33" s="57"/>
      <c r="K33" s="57" t="s">
        <v>78</v>
      </c>
      <c r="L33" s="57" t="s">
        <v>78</v>
      </c>
      <c r="M33" s="57">
        <f>4.03+17.193</f>
        <v>21.223000000000003</v>
      </c>
      <c r="N33" s="57">
        <f>25.227+15.683</f>
        <v>40.909999999999997</v>
      </c>
      <c r="O33" s="57">
        <v>0</v>
      </c>
      <c r="P33" s="57">
        <v>0</v>
      </c>
      <c r="Q33" s="57">
        <v>0</v>
      </c>
      <c r="R33" s="57">
        <v>0</v>
      </c>
      <c r="S33" s="57">
        <v>0</v>
      </c>
      <c r="T33" s="406">
        <v>0</v>
      </c>
      <c r="U33" s="414">
        <f>T33</f>
        <v>0</v>
      </c>
      <c r="V33" s="406">
        <v>0</v>
      </c>
      <c r="W33" s="406">
        <v>0</v>
      </c>
      <c r="X33" s="149">
        <v>0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v>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  <c r="CA33" s="149">
        <v>0</v>
      </c>
      <c r="CB33" s="149">
        <v>0</v>
      </c>
      <c r="CC33" s="149">
        <v>0</v>
      </c>
      <c r="CD33" s="149">
        <v>0</v>
      </c>
      <c r="CE33" s="149">
        <v>0</v>
      </c>
      <c r="CF33" s="149">
        <v>0</v>
      </c>
      <c r="CG33" s="149">
        <v>0</v>
      </c>
      <c r="CH33" s="149">
        <v>0</v>
      </c>
      <c r="CI33" s="149">
        <v>0</v>
      </c>
      <c r="CJ33" s="149">
        <v>0</v>
      </c>
      <c r="CK33" s="149">
        <v>0</v>
      </c>
      <c r="CL33" s="149">
        <v>0</v>
      </c>
      <c r="CM33" s="149">
        <v>0</v>
      </c>
      <c r="CN33" s="149">
        <v>0</v>
      </c>
      <c r="CO33" s="149">
        <v>0</v>
      </c>
      <c r="CP33" s="149">
        <v>0</v>
      </c>
      <c r="CQ33" s="362" t="s">
        <v>77</v>
      </c>
      <c r="CS33" s="412"/>
      <c r="CT33" s="412"/>
      <c r="CU33"/>
      <c r="CV33"/>
      <c r="CW33"/>
      <c r="CX33"/>
      <c r="CY33"/>
      <c r="CZ33"/>
      <c r="DB33" s="103" t="s">
        <v>205</v>
      </c>
      <c r="DD33" s="57">
        <v>0</v>
      </c>
      <c r="DE33" s="118">
        <f>+R33-DD33</f>
        <v>0</v>
      </c>
      <c r="DF33" s="57">
        <v>0</v>
      </c>
      <c r="DG33" s="118">
        <f>+S33-DF33</f>
        <v>0</v>
      </c>
      <c r="DH33" s="57">
        <v>0</v>
      </c>
      <c r="DI33" s="119">
        <f>+T33-DH33</f>
        <v>0</v>
      </c>
      <c r="DJ33" s="142">
        <v>0</v>
      </c>
      <c r="DK33" s="119">
        <f>+U33-DJ33</f>
        <v>0</v>
      </c>
      <c r="DL33" s="189">
        <v>0</v>
      </c>
      <c r="DM33" s="98">
        <f>V33-DL33</f>
        <v>0</v>
      </c>
      <c r="DN33" s="189">
        <v>0</v>
      </c>
      <c r="DO33" s="98">
        <f>W33-DN33</f>
        <v>0</v>
      </c>
      <c r="DP33" s="189">
        <v>0</v>
      </c>
      <c r="DQ33" s="98">
        <f t="shared" si="72"/>
        <v>0</v>
      </c>
      <c r="DR33" s="188"/>
      <c r="DU33" s="413"/>
      <c r="DV33" s="413"/>
      <c r="DW33" s="413"/>
      <c r="DX33" s="413"/>
      <c r="DY33" s="413"/>
      <c r="DZ33" s="413"/>
      <c r="EH33" s="411" t="b">
        <f t="shared" si="88"/>
        <v>1</v>
      </c>
      <c r="EI33" s="411" t="b">
        <f t="shared" si="89"/>
        <v>1</v>
      </c>
      <c r="EJ33" s="411" t="b">
        <f t="shared" si="90"/>
        <v>1</v>
      </c>
    </row>
    <row r="34" spans="2:156" ht="11.25" customHeight="1" outlineLevel="1" x14ac:dyDescent="0.2">
      <c r="B34" s="410" t="s">
        <v>216</v>
      </c>
      <c r="D34" s="54"/>
      <c r="E34" s="54"/>
      <c r="F34" s="54"/>
      <c r="G34" s="54"/>
      <c r="H34" s="54"/>
      <c r="I34" s="54"/>
      <c r="J34" s="54"/>
      <c r="K34" s="54">
        <f>SUM(K35:K38)</f>
        <v>0</v>
      </c>
      <c r="L34" s="54">
        <f t="shared" ref="L34:BD34" si="100">SUM(L35:L38)</f>
        <v>0</v>
      </c>
      <c r="M34" s="54">
        <f t="shared" si="100"/>
        <v>110.675</v>
      </c>
      <c r="N34" s="54">
        <f t="shared" si="100"/>
        <v>280.13100000000003</v>
      </c>
      <c r="O34" s="54">
        <f t="shared" si="100"/>
        <v>328.59399999999999</v>
      </c>
      <c r="P34" s="54">
        <f t="shared" si="100"/>
        <v>343.80799999999999</v>
      </c>
      <c r="Q34" s="54">
        <f t="shared" si="100"/>
        <v>461.10500000000002</v>
      </c>
      <c r="R34" s="54">
        <f t="shared" si="100"/>
        <v>339.64499999999998</v>
      </c>
      <c r="S34" s="54">
        <f t="shared" si="100"/>
        <v>397.31799999999998</v>
      </c>
      <c r="T34" s="54">
        <f t="shared" si="100"/>
        <v>404.61899999999997</v>
      </c>
      <c r="U34" s="54">
        <f t="shared" si="100"/>
        <v>459.69499999999999</v>
      </c>
      <c r="V34" s="54">
        <f t="shared" si="100"/>
        <v>442.02699999999999</v>
      </c>
      <c r="W34" s="54">
        <f t="shared" si="100"/>
        <v>442.62200000000001</v>
      </c>
      <c r="X34" s="54">
        <f t="shared" si="100"/>
        <v>451.49684999999999</v>
      </c>
      <c r="Y34" s="54">
        <f t="shared" si="100"/>
        <v>462.78427124999996</v>
      </c>
      <c r="Z34" s="54">
        <f t="shared" si="100"/>
        <v>474.35387803124996</v>
      </c>
      <c r="AA34" s="54">
        <f t="shared" si="100"/>
        <v>486.21272498203115</v>
      </c>
      <c r="AB34" s="54">
        <f t="shared" si="100"/>
        <v>498.36804310658192</v>
      </c>
      <c r="AC34" s="54">
        <f t="shared" si="100"/>
        <v>510.82724418424641</v>
      </c>
      <c r="AD34" s="54">
        <f t="shared" si="100"/>
        <v>523.59792528885259</v>
      </c>
      <c r="AE34" s="54">
        <f t="shared" si="100"/>
        <v>536.68787342107385</v>
      </c>
      <c r="AF34" s="54">
        <f t="shared" si="100"/>
        <v>550.10507025660058</v>
      </c>
      <c r="AG34" s="54">
        <f t="shared" si="100"/>
        <v>563.85769701301558</v>
      </c>
      <c r="AH34" s="54">
        <f t="shared" si="100"/>
        <v>577.95413943834092</v>
      </c>
      <c r="AI34" s="54">
        <f t="shared" si="100"/>
        <v>592.40299292429938</v>
      </c>
      <c r="AJ34" s="54">
        <f t="shared" si="100"/>
        <v>607.21306774740685</v>
      </c>
      <c r="AK34" s="54">
        <f t="shared" si="100"/>
        <v>622.39339444109191</v>
      </c>
      <c r="AL34" s="54">
        <f t="shared" si="100"/>
        <v>637.95322930211921</v>
      </c>
      <c r="AM34" s="54">
        <f t="shared" si="100"/>
        <v>653.90206003467199</v>
      </c>
      <c r="AN34" s="54">
        <f t="shared" si="100"/>
        <v>670.24961153553875</v>
      </c>
      <c r="AO34" s="54">
        <f t="shared" si="100"/>
        <v>687.00585182392717</v>
      </c>
      <c r="AP34" s="54">
        <f t="shared" si="100"/>
        <v>704.18099811952527</v>
      </c>
      <c r="AQ34" s="54">
        <f t="shared" si="100"/>
        <v>721.78552307251334</v>
      </c>
      <c r="AR34" s="54">
        <f t="shared" si="100"/>
        <v>739.83016114932616</v>
      </c>
      <c r="AS34" s="54">
        <f t="shared" si="100"/>
        <v>758.32591517805918</v>
      </c>
      <c r="AT34" s="54">
        <f t="shared" si="100"/>
        <v>777.28406305751071</v>
      </c>
      <c r="AU34" s="54">
        <f t="shared" si="100"/>
        <v>796.71616463394844</v>
      </c>
      <c r="AV34" s="54">
        <f t="shared" si="100"/>
        <v>816.63406874979717</v>
      </c>
      <c r="AW34" s="54">
        <f t="shared" si="100"/>
        <v>837.04992046854193</v>
      </c>
      <c r="AX34" s="54">
        <f t="shared" si="100"/>
        <v>857.97616848025541</v>
      </c>
      <c r="AY34" s="54">
        <f t="shared" si="100"/>
        <v>879.42557269226165</v>
      </c>
      <c r="AZ34" s="54">
        <f t="shared" si="100"/>
        <v>901.41121200956809</v>
      </c>
      <c r="BA34" s="54">
        <f t="shared" si="100"/>
        <v>923.94649230980724</v>
      </c>
      <c r="BB34" s="54">
        <f t="shared" si="100"/>
        <v>947.04515461755238</v>
      </c>
      <c r="BC34" s="54">
        <f t="shared" si="100"/>
        <v>970.72128348299111</v>
      </c>
      <c r="BD34" s="54">
        <f t="shared" si="100"/>
        <v>994.98931557006586</v>
      </c>
      <c r="BE34" s="54">
        <f t="shared" ref="BE34:CP34" si="101">SUM(BE35:BE38)</f>
        <v>1019.8640484593175</v>
      </c>
      <c r="BF34" s="54">
        <f t="shared" si="101"/>
        <v>1045.3606496708003</v>
      </c>
      <c r="BG34" s="54">
        <f t="shared" si="101"/>
        <v>1071.4946659125701</v>
      </c>
      <c r="BH34" s="54">
        <f t="shared" si="101"/>
        <v>1098.2820325603843</v>
      </c>
      <c r="BI34" s="54">
        <f t="shared" si="101"/>
        <v>1125.7390833743939</v>
      </c>
      <c r="BJ34" s="54">
        <f t="shared" si="101"/>
        <v>1153.8825604587537</v>
      </c>
      <c r="BK34" s="54">
        <f t="shared" si="101"/>
        <v>1182.7296244702225</v>
      </c>
      <c r="BL34" s="54">
        <f t="shared" si="101"/>
        <v>1212.297865081978</v>
      </c>
      <c r="BM34" s="54">
        <f t="shared" si="101"/>
        <v>1242.6053117090271</v>
      </c>
      <c r="BN34" s="54">
        <f t="shared" si="101"/>
        <v>1273.6704445017526</v>
      </c>
      <c r="BO34" s="54">
        <f t="shared" si="101"/>
        <v>1305.5122056142966</v>
      </c>
      <c r="BP34" s="54">
        <f t="shared" si="101"/>
        <v>1338.1500107546537</v>
      </c>
      <c r="BQ34" s="54">
        <f t="shared" si="101"/>
        <v>1371.6037610235201</v>
      </c>
      <c r="BR34" s="54">
        <f t="shared" si="101"/>
        <v>1405.893855049108</v>
      </c>
      <c r="BS34" s="54">
        <f t="shared" si="101"/>
        <v>1441.0412014253357</v>
      </c>
      <c r="BT34" s="54">
        <f t="shared" si="101"/>
        <v>1477.0672314609687</v>
      </c>
      <c r="BU34" s="54">
        <f t="shared" si="101"/>
        <v>1513.993912247493</v>
      </c>
      <c r="BV34" s="54">
        <f t="shared" si="101"/>
        <v>1551.8437600536802</v>
      </c>
      <c r="BW34" s="54">
        <f t="shared" si="101"/>
        <v>1590.6398540550222</v>
      </c>
      <c r="BX34" s="54">
        <f t="shared" si="101"/>
        <v>1630.4058504063976</v>
      </c>
      <c r="BY34" s="54">
        <f t="shared" si="101"/>
        <v>1671.1659966665575</v>
      </c>
      <c r="BZ34" s="54">
        <f t="shared" si="101"/>
        <v>1712.9451465832212</v>
      </c>
      <c r="CA34" s="54">
        <f t="shared" si="101"/>
        <v>1755.7687752478016</v>
      </c>
      <c r="CB34" s="54">
        <f t="shared" si="101"/>
        <v>1799.6629946289966</v>
      </c>
      <c r="CC34" s="54">
        <f t="shared" si="101"/>
        <v>1844.6545694947213</v>
      </c>
      <c r="CD34" s="54">
        <f t="shared" si="101"/>
        <v>1890.7709337320891</v>
      </c>
      <c r="CE34" s="54">
        <f t="shared" si="101"/>
        <v>1938.0402070753912</v>
      </c>
      <c r="CF34" s="54">
        <f t="shared" si="101"/>
        <v>1986.4912122522758</v>
      </c>
      <c r="CG34" s="54">
        <f t="shared" si="101"/>
        <v>2036.1534925585825</v>
      </c>
      <c r="CH34" s="54">
        <f t="shared" si="101"/>
        <v>2087.0573298725471</v>
      </c>
      <c r="CI34" s="54">
        <f t="shared" si="101"/>
        <v>2139.2337631193604</v>
      </c>
      <c r="CJ34" s="54">
        <f t="shared" si="101"/>
        <v>2192.7146071973443</v>
      </c>
      <c r="CK34" s="54">
        <f t="shared" si="101"/>
        <v>2247.5324723772778</v>
      </c>
      <c r="CL34" s="54">
        <f t="shared" si="101"/>
        <v>2303.7207841867094</v>
      </c>
      <c r="CM34" s="54">
        <f t="shared" si="101"/>
        <v>2361.3138037913768</v>
      </c>
      <c r="CN34" s="54">
        <f t="shared" si="101"/>
        <v>2420.3466488861613</v>
      </c>
      <c r="CO34" s="54">
        <f t="shared" si="101"/>
        <v>2480.8553151083152</v>
      </c>
      <c r="CP34" s="54">
        <f t="shared" si="101"/>
        <v>2542.8766979860225</v>
      </c>
      <c r="CQ34" s="362" t="s">
        <v>77</v>
      </c>
      <c r="CS34" s="233"/>
      <c r="CT34" s="233"/>
      <c r="DB34" s="410" t="s">
        <v>216</v>
      </c>
      <c r="DD34" s="54">
        <f t="shared" ref="DD34:DI34" si="102">SUM(DD35:DD38)</f>
        <v>164.01399999999998</v>
      </c>
      <c r="DE34" s="54">
        <f t="shared" si="102"/>
        <v>175.631</v>
      </c>
      <c r="DF34" s="54">
        <f t="shared" si="102"/>
        <v>183.11500000000001</v>
      </c>
      <c r="DG34" s="54">
        <f t="shared" si="102"/>
        <v>214.20299999999997</v>
      </c>
      <c r="DH34" s="54">
        <f t="shared" si="102"/>
        <v>202.42399999999998</v>
      </c>
      <c r="DI34" s="54">
        <f t="shared" si="102"/>
        <v>202.19499999999999</v>
      </c>
      <c r="DJ34" s="54">
        <f t="shared" ref="DJ34:DO34" si="103">SUM(DJ35:DJ38)</f>
        <v>222.18799999999999</v>
      </c>
      <c r="DK34" s="54">
        <f t="shared" si="103"/>
        <v>237.50700000000001</v>
      </c>
      <c r="DL34" s="54">
        <f t="shared" si="103"/>
        <v>238.80499999999998</v>
      </c>
      <c r="DM34" s="54">
        <f t="shared" si="103"/>
        <v>203.22200000000001</v>
      </c>
      <c r="DN34" s="54">
        <f t="shared" si="103"/>
        <v>225.53399999999999</v>
      </c>
      <c r="DO34" s="54">
        <f t="shared" si="103"/>
        <v>217.08799999999999</v>
      </c>
      <c r="DP34" s="54">
        <f t="shared" ref="DP34" si="104">SUM(DP35:DP38)</f>
        <v>237.61</v>
      </c>
      <c r="DQ34" s="54">
        <f t="shared" si="72"/>
        <v>213.88684999999998</v>
      </c>
      <c r="DR34" s="54"/>
      <c r="DS34" s="54"/>
      <c r="DU34" s="376">
        <f t="shared" ref="DU34:DU39" si="105">+(DD34/(DD34+DE34))</f>
        <v>0.48289832030502433</v>
      </c>
      <c r="DV34" s="376">
        <f t="shared" ref="DV34:DV39" si="106">+(DF34/(DF34+DG34))</f>
        <v>0.46087768487710101</v>
      </c>
      <c r="DW34" s="376">
        <f t="shared" ref="DW34:DW39" si="107">+(DH34/(DH34+DI34))</f>
        <v>0.50028298226232581</v>
      </c>
      <c r="DX34" s="376">
        <f>+(DJ34/(DJ34+DK34))</f>
        <v>0.48333786532374723</v>
      </c>
      <c r="DY34" s="376">
        <f t="shared" ref="DY34:DZ36" si="108">+(DL34/(DL34+DM34))</f>
        <v>0.54024980374502007</v>
      </c>
      <c r="DZ34" s="376">
        <f t="shared" si="108"/>
        <v>0.47398053904785009</v>
      </c>
      <c r="EH34" s="411" t="b">
        <f t="shared" si="88"/>
        <v>1</v>
      </c>
      <c r="EI34" s="411" t="b">
        <f t="shared" si="89"/>
        <v>1</v>
      </c>
      <c r="EJ34" s="411" t="b">
        <f t="shared" si="90"/>
        <v>1</v>
      </c>
    </row>
    <row r="35" spans="2:156" s="98" customFormat="1" ht="11.25" customHeight="1" outlineLevel="1" x14ac:dyDescent="0.2">
      <c r="B35" s="103" t="s">
        <v>242</v>
      </c>
      <c r="D35" s="57"/>
      <c r="E35" s="57"/>
      <c r="F35" s="57"/>
      <c r="G35" s="57"/>
      <c r="H35" s="57"/>
      <c r="I35" s="57"/>
      <c r="J35" s="57"/>
      <c r="K35" s="57" t="s">
        <v>78</v>
      </c>
      <c r="L35" s="57" t="s">
        <v>78</v>
      </c>
      <c r="M35" s="57">
        <v>95.911000000000001</v>
      </c>
      <c r="N35" s="57">
        <v>282.87400000000002</v>
      </c>
      <c r="O35" s="57">
        <v>271.387</v>
      </c>
      <c r="P35" s="57">
        <v>329.94200000000001</v>
      </c>
      <c r="Q35" s="57">
        <v>381.733</v>
      </c>
      <c r="R35" s="57">
        <v>302.63299999999998</v>
      </c>
      <c r="S35" s="57">
        <v>352.74299999999999</v>
      </c>
      <c r="T35" s="406">
        <v>403.47699999999998</v>
      </c>
      <c r="U35" s="406">
        <v>434.38200000000001</v>
      </c>
      <c r="V35" s="406">
        <v>438.33</v>
      </c>
      <c r="W35" s="406">
        <v>438.14</v>
      </c>
      <c r="X35" s="149">
        <f>+W35*1.02</f>
        <v>446.90280000000001</v>
      </c>
      <c r="Y35" s="149">
        <f t="shared" ref="W35:BD37" si="109">+X35*1.025</f>
        <v>458.07536999999996</v>
      </c>
      <c r="Z35" s="149">
        <f t="shared" si="109"/>
        <v>469.52725424999994</v>
      </c>
      <c r="AA35" s="149">
        <f t="shared" si="109"/>
        <v>481.26543560624992</v>
      </c>
      <c r="AB35" s="149">
        <f t="shared" si="109"/>
        <v>493.29707149640615</v>
      </c>
      <c r="AC35" s="149">
        <f t="shared" si="109"/>
        <v>505.62949828381625</v>
      </c>
      <c r="AD35" s="149">
        <f t="shared" si="109"/>
        <v>518.27023574091163</v>
      </c>
      <c r="AE35" s="149">
        <f t="shared" si="109"/>
        <v>531.2269916344344</v>
      </c>
      <c r="AF35" s="149">
        <f t="shared" si="109"/>
        <v>544.50766642529516</v>
      </c>
      <c r="AG35" s="149">
        <f t="shared" si="109"/>
        <v>558.12035808592748</v>
      </c>
      <c r="AH35" s="149">
        <f t="shared" si="109"/>
        <v>572.07336703807562</v>
      </c>
      <c r="AI35" s="149">
        <f t="shared" si="109"/>
        <v>586.37520121402747</v>
      </c>
      <c r="AJ35" s="149">
        <f t="shared" si="109"/>
        <v>601.03458124437816</v>
      </c>
      <c r="AK35" s="149">
        <f t="shared" si="109"/>
        <v>616.06044577548755</v>
      </c>
      <c r="AL35" s="149">
        <f t="shared" si="109"/>
        <v>631.46195691987464</v>
      </c>
      <c r="AM35" s="149">
        <f t="shared" si="109"/>
        <v>647.2485058428714</v>
      </c>
      <c r="AN35" s="149">
        <f t="shared" si="109"/>
        <v>663.42971848894308</v>
      </c>
      <c r="AO35" s="149">
        <f t="shared" si="109"/>
        <v>680.01546145116663</v>
      </c>
      <c r="AP35" s="149">
        <f t="shared" si="109"/>
        <v>697.01584798744568</v>
      </c>
      <c r="AQ35" s="149">
        <f t="shared" si="109"/>
        <v>714.44124418713182</v>
      </c>
      <c r="AR35" s="149">
        <f t="shared" si="109"/>
        <v>732.30227529181002</v>
      </c>
      <c r="AS35" s="149">
        <f t="shared" si="109"/>
        <v>750.60983217410524</v>
      </c>
      <c r="AT35" s="149">
        <f t="shared" si="109"/>
        <v>769.37507797845785</v>
      </c>
      <c r="AU35" s="149">
        <f t="shared" si="109"/>
        <v>788.60945492791927</v>
      </c>
      <c r="AV35" s="149">
        <f t="shared" si="109"/>
        <v>808.32469130111724</v>
      </c>
      <c r="AW35" s="149">
        <f t="shared" si="109"/>
        <v>828.53280858364508</v>
      </c>
      <c r="AX35" s="149">
        <f t="shared" si="109"/>
        <v>849.2461287982361</v>
      </c>
      <c r="AY35" s="149">
        <f t="shared" si="109"/>
        <v>870.47728201819189</v>
      </c>
      <c r="AZ35" s="149">
        <f t="shared" si="109"/>
        <v>892.23921406864656</v>
      </c>
      <c r="BA35" s="149">
        <f t="shared" si="109"/>
        <v>914.54519442036269</v>
      </c>
      <c r="BB35" s="149">
        <f t="shared" si="109"/>
        <v>937.40882428087173</v>
      </c>
      <c r="BC35" s="149">
        <f t="shared" si="109"/>
        <v>960.84404488789346</v>
      </c>
      <c r="BD35" s="149">
        <f t="shared" si="109"/>
        <v>984.86514601009071</v>
      </c>
      <c r="BE35" s="149">
        <f t="shared" ref="BE35:CP35" si="110">+BD35*1.025</f>
        <v>1009.4867746603429</v>
      </c>
      <c r="BF35" s="149">
        <f t="shared" si="110"/>
        <v>1034.7239440268513</v>
      </c>
      <c r="BG35" s="149">
        <f t="shared" si="110"/>
        <v>1060.5920426275225</v>
      </c>
      <c r="BH35" s="149">
        <f t="shared" si="110"/>
        <v>1087.1068436932105</v>
      </c>
      <c r="BI35" s="149">
        <f t="shared" si="110"/>
        <v>1114.2845147855408</v>
      </c>
      <c r="BJ35" s="149">
        <f t="shared" si="110"/>
        <v>1142.1416276551793</v>
      </c>
      <c r="BK35" s="149">
        <f t="shared" si="110"/>
        <v>1170.6951683465586</v>
      </c>
      <c r="BL35" s="149">
        <f t="shared" si="110"/>
        <v>1199.9625475552225</v>
      </c>
      <c r="BM35" s="149">
        <f t="shared" si="110"/>
        <v>1229.9616112441029</v>
      </c>
      <c r="BN35" s="149">
        <f t="shared" si="110"/>
        <v>1260.7106515252053</v>
      </c>
      <c r="BO35" s="149">
        <f t="shared" si="110"/>
        <v>1292.2284178133355</v>
      </c>
      <c r="BP35" s="149">
        <f t="shared" si="110"/>
        <v>1324.5341282586687</v>
      </c>
      <c r="BQ35" s="149">
        <f t="shared" si="110"/>
        <v>1357.6474814651353</v>
      </c>
      <c r="BR35" s="149">
        <f t="shared" si="110"/>
        <v>1391.5886685017636</v>
      </c>
      <c r="BS35" s="149">
        <f t="shared" si="110"/>
        <v>1426.3783852143076</v>
      </c>
      <c r="BT35" s="149">
        <f t="shared" si="110"/>
        <v>1462.0378448446652</v>
      </c>
      <c r="BU35" s="149">
        <f t="shared" si="110"/>
        <v>1498.5887909657818</v>
      </c>
      <c r="BV35" s="149">
        <f t="shared" si="110"/>
        <v>1536.0535107399262</v>
      </c>
      <c r="BW35" s="149">
        <f t="shared" si="110"/>
        <v>1574.4548485084242</v>
      </c>
      <c r="BX35" s="149">
        <f t="shared" si="110"/>
        <v>1613.8162197211348</v>
      </c>
      <c r="BY35" s="149">
        <f t="shared" si="110"/>
        <v>1654.161625214163</v>
      </c>
      <c r="BZ35" s="149">
        <f t="shared" si="110"/>
        <v>1695.5156658445169</v>
      </c>
      <c r="CA35" s="149">
        <f t="shared" si="110"/>
        <v>1737.9035574906297</v>
      </c>
      <c r="CB35" s="149">
        <f t="shared" si="110"/>
        <v>1781.3511464278954</v>
      </c>
      <c r="CC35" s="149">
        <f t="shared" si="110"/>
        <v>1825.8849250885926</v>
      </c>
      <c r="CD35" s="149">
        <f t="shared" si="110"/>
        <v>1871.5320482158072</v>
      </c>
      <c r="CE35" s="149">
        <f t="shared" si="110"/>
        <v>1918.3203494212023</v>
      </c>
      <c r="CF35" s="149">
        <f t="shared" si="110"/>
        <v>1966.2783581567321</v>
      </c>
      <c r="CG35" s="149">
        <f t="shared" si="110"/>
        <v>2015.4353171106502</v>
      </c>
      <c r="CH35" s="149">
        <f t="shared" si="110"/>
        <v>2065.8212000384165</v>
      </c>
      <c r="CI35" s="149">
        <f t="shared" si="110"/>
        <v>2117.4667300393767</v>
      </c>
      <c r="CJ35" s="149">
        <f t="shared" si="110"/>
        <v>2170.4033982903611</v>
      </c>
      <c r="CK35" s="149">
        <f t="shared" si="110"/>
        <v>2224.6634832476198</v>
      </c>
      <c r="CL35" s="149">
        <f t="shared" si="110"/>
        <v>2280.2800703288099</v>
      </c>
      <c r="CM35" s="149">
        <f t="shared" si="110"/>
        <v>2337.2870720870301</v>
      </c>
      <c r="CN35" s="149">
        <f t="shared" si="110"/>
        <v>2395.7192488892056</v>
      </c>
      <c r="CO35" s="149">
        <f t="shared" si="110"/>
        <v>2455.6122301114356</v>
      </c>
      <c r="CP35" s="149">
        <f t="shared" si="110"/>
        <v>2517.002535864221</v>
      </c>
      <c r="CQ35" s="362" t="s">
        <v>77</v>
      </c>
      <c r="CU35"/>
      <c r="CV35"/>
      <c r="CW35"/>
      <c r="CX35"/>
      <c r="CY35"/>
      <c r="CZ35"/>
      <c r="DB35" s="103" t="s">
        <v>242</v>
      </c>
      <c r="DD35" s="57">
        <v>130.87299999999999</v>
      </c>
      <c r="DE35" s="118">
        <f>+R35-DD35</f>
        <v>171.76</v>
      </c>
      <c r="DF35" s="57">
        <v>172.60900000000001</v>
      </c>
      <c r="DG35" s="118">
        <f>+S35-DF35</f>
        <v>180.13399999999999</v>
      </c>
      <c r="DH35" s="57">
        <v>201.77099999999999</v>
      </c>
      <c r="DI35" s="119">
        <f>+T35-DH35</f>
        <v>201.70599999999999</v>
      </c>
      <c r="DJ35" s="142">
        <v>217.429</v>
      </c>
      <c r="DK35" s="119">
        <f>+U35-DJ35</f>
        <v>216.953</v>
      </c>
      <c r="DL35" s="189">
        <v>236.58699999999999</v>
      </c>
      <c r="DM35" s="98">
        <f>V35-DL35</f>
        <v>201.74299999999999</v>
      </c>
      <c r="DN35" s="189">
        <v>224.78</v>
      </c>
      <c r="DO35" s="98">
        <f>W35-DN35</f>
        <v>213.35999999999999</v>
      </c>
      <c r="DP35" s="189">
        <v>233.935</v>
      </c>
      <c r="DQ35" s="98">
        <f t="shared" si="72"/>
        <v>212.96780000000001</v>
      </c>
      <c r="DR35" s="188"/>
      <c r="DU35" s="413">
        <f t="shared" si="105"/>
        <v>0.43244788241863907</v>
      </c>
      <c r="DV35" s="413">
        <f t="shared" si="106"/>
        <v>0.48933359414644662</v>
      </c>
      <c r="DW35" s="413">
        <f t="shared" si="107"/>
        <v>0.50008054982068373</v>
      </c>
      <c r="DX35" s="413">
        <f>+(DJ35/(DJ35+DK35))</f>
        <v>0.50054790483951916</v>
      </c>
      <c r="DY35" s="376">
        <f t="shared" si="108"/>
        <v>0.53974630985786964</v>
      </c>
      <c r="DZ35" s="376">
        <f t="shared" si="108"/>
        <v>0.47299442234064748</v>
      </c>
      <c r="EH35" s="411" t="b">
        <f t="shared" si="88"/>
        <v>1</v>
      </c>
      <c r="EI35" s="411" t="b">
        <f t="shared" si="89"/>
        <v>1</v>
      </c>
      <c r="EJ35" s="411" t="b">
        <f t="shared" si="90"/>
        <v>1</v>
      </c>
    </row>
    <row r="36" spans="2:156" s="98" customFormat="1" ht="11.25" customHeight="1" outlineLevel="1" x14ac:dyDescent="0.2">
      <c r="B36" s="103" t="s">
        <v>244</v>
      </c>
      <c r="D36" s="57"/>
      <c r="E36" s="57"/>
      <c r="F36" s="57"/>
      <c r="G36" s="57"/>
      <c r="H36" s="57"/>
      <c r="I36" s="57"/>
      <c r="J36" s="57"/>
      <c r="K36" s="57" t="s">
        <v>78</v>
      </c>
      <c r="L36" s="57" t="s">
        <v>78</v>
      </c>
      <c r="M36" s="57">
        <v>14.763999999999999</v>
      </c>
      <c r="N36" s="57">
        <v>13.32</v>
      </c>
      <c r="O36" s="57">
        <v>23.353999999999999</v>
      </c>
      <c r="P36" s="57">
        <v>13.866</v>
      </c>
      <c r="Q36" s="57">
        <v>12.932</v>
      </c>
      <c r="R36" s="57">
        <v>6.3170000000000002</v>
      </c>
      <c r="S36" s="57">
        <v>11.696999999999999</v>
      </c>
      <c r="T36" s="406">
        <v>1.1419999999999999</v>
      </c>
      <c r="U36" s="406">
        <v>24.321999999999999</v>
      </c>
      <c r="V36" s="406">
        <v>3.6970000000000001</v>
      </c>
      <c r="W36" s="406">
        <v>4.4820000000000002</v>
      </c>
      <c r="X36" s="149">
        <f t="shared" si="109"/>
        <v>4.5940500000000002</v>
      </c>
      <c r="Y36" s="149">
        <f t="shared" si="109"/>
        <v>4.7089012499999994</v>
      </c>
      <c r="Z36" s="149">
        <f t="shared" si="109"/>
        <v>4.8266237812499986</v>
      </c>
      <c r="AA36" s="149">
        <f t="shared" si="109"/>
        <v>4.9472893757812484</v>
      </c>
      <c r="AB36" s="149">
        <f t="shared" si="109"/>
        <v>5.0709716101757794</v>
      </c>
      <c r="AC36" s="149">
        <f t="shared" si="109"/>
        <v>5.1977459004301734</v>
      </c>
      <c r="AD36" s="149">
        <f t="shared" si="109"/>
        <v>5.3276895479409276</v>
      </c>
      <c r="AE36" s="149">
        <f t="shared" si="109"/>
        <v>5.4608817866394501</v>
      </c>
      <c r="AF36" s="149">
        <f t="shared" si="109"/>
        <v>5.597403831305436</v>
      </c>
      <c r="AG36" s="149">
        <f t="shared" si="109"/>
        <v>5.7373389270880715</v>
      </c>
      <c r="AH36" s="149">
        <f t="shared" si="109"/>
        <v>5.8807724002652728</v>
      </c>
      <c r="AI36" s="149">
        <f t="shared" si="109"/>
        <v>6.0277917102719041</v>
      </c>
      <c r="AJ36" s="149">
        <f t="shared" si="109"/>
        <v>6.1784865030287008</v>
      </c>
      <c r="AK36" s="149">
        <f t="shared" si="109"/>
        <v>6.3329486656044178</v>
      </c>
      <c r="AL36" s="149">
        <f t="shared" si="109"/>
        <v>6.491272382244528</v>
      </c>
      <c r="AM36" s="149">
        <f t="shared" si="109"/>
        <v>6.6535541918006409</v>
      </c>
      <c r="AN36" s="149">
        <f t="shared" si="109"/>
        <v>6.8198930465956566</v>
      </c>
      <c r="AO36" s="149">
        <f t="shared" si="109"/>
        <v>6.9903903727605474</v>
      </c>
      <c r="AP36" s="149">
        <f t="shared" si="109"/>
        <v>7.1651501320795603</v>
      </c>
      <c r="AQ36" s="149">
        <f t="shared" si="109"/>
        <v>7.3442788853815486</v>
      </c>
      <c r="AR36" s="149">
        <f t="shared" si="109"/>
        <v>7.527885857516087</v>
      </c>
      <c r="AS36" s="149">
        <f t="shared" si="109"/>
        <v>7.7160830039539885</v>
      </c>
      <c r="AT36" s="149">
        <f t="shared" si="109"/>
        <v>7.9089850790528375</v>
      </c>
      <c r="AU36" s="149">
        <f t="shared" si="109"/>
        <v>8.1067097060291573</v>
      </c>
      <c r="AV36" s="149">
        <f t="shared" si="109"/>
        <v>8.3093774486798857</v>
      </c>
      <c r="AW36" s="149">
        <f t="shared" si="109"/>
        <v>8.5171118848968828</v>
      </c>
      <c r="AX36" s="149">
        <f t="shared" si="109"/>
        <v>8.7300396820193047</v>
      </c>
      <c r="AY36" s="149">
        <f t="shared" si="109"/>
        <v>8.9482906740697867</v>
      </c>
      <c r="AZ36" s="149">
        <f t="shared" si="109"/>
        <v>9.1719979409215302</v>
      </c>
      <c r="BA36" s="149">
        <f t="shared" si="109"/>
        <v>9.4012978894445673</v>
      </c>
      <c r="BB36" s="149">
        <f t="shared" si="109"/>
        <v>9.6363303366806807</v>
      </c>
      <c r="BC36" s="149">
        <f t="shared" si="109"/>
        <v>9.8772385950976975</v>
      </c>
      <c r="BD36" s="149">
        <f t="shared" si="109"/>
        <v>10.124169559975138</v>
      </c>
      <c r="BE36" s="149">
        <f t="shared" ref="BE36:CP36" si="111">+BD36*1.025</f>
        <v>10.377273798974516</v>
      </c>
      <c r="BF36" s="149">
        <f t="shared" si="111"/>
        <v>10.636705643948877</v>
      </c>
      <c r="BG36" s="149">
        <f t="shared" si="111"/>
        <v>10.902623285047598</v>
      </c>
      <c r="BH36" s="149">
        <f t="shared" si="111"/>
        <v>11.175188867173787</v>
      </c>
      <c r="BI36" s="149">
        <f t="shared" si="111"/>
        <v>11.454568588853132</v>
      </c>
      <c r="BJ36" s="149">
        <f t="shared" si="111"/>
        <v>11.740932803574459</v>
      </c>
      <c r="BK36" s="149">
        <f t="shared" si="111"/>
        <v>12.034456123663819</v>
      </c>
      <c r="BL36" s="149">
        <f t="shared" si="111"/>
        <v>12.335317526755414</v>
      </c>
      <c r="BM36" s="149">
        <f t="shared" si="111"/>
        <v>12.643700464924299</v>
      </c>
      <c r="BN36" s="149">
        <f t="shared" si="111"/>
        <v>12.959792976547405</v>
      </c>
      <c r="BO36" s="149">
        <f t="shared" si="111"/>
        <v>13.28378780096109</v>
      </c>
      <c r="BP36" s="149">
        <f t="shared" si="111"/>
        <v>13.615882495985115</v>
      </c>
      <c r="BQ36" s="149">
        <f t="shared" si="111"/>
        <v>13.956279558384741</v>
      </c>
      <c r="BR36" s="149">
        <f t="shared" si="111"/>
        <v>14.305186547344359</v>
      </c>
      <c r="BS36" s="149">
        <f t="shared" si="111"/>
        <v>14.662816211027966</v>
      </c>
      <c r="BT36" s="149">
        <f t="shared" si="111"/>
        <v>15.029386616303665</v>
      </c>
      <c r="BU36" s="149">
        <f t="shared" si="111"/>
        <v>15.405121281711255</v>
      </c>
      <c r="BV36" s="149">
        <f t="shared" si="111"/>
        <v>15.790249313754035</v>
      </c>
      <c r="BW36" s="149">
        <f t="shared" si="111"/>
        <v>16.185005546597885</v>
      </c>
      <c r="BX36" s="149">
        <f t="shared" si="111"/>
        <v>16.589630685262833</v>
      </c>
      <c r="BY36" s="149">
        <f t="shared" si="111"/>
        <v>17.004371452394402</v>
      </c>
      <c r="BZ36" s="149">
        <f t="shared" si="111"/>
        <v>17.42948073870426</v>
      </c>
      <c r="CA36" s="149">
        <f t="shared" si="111"/>
        <v>17.865217757171866</v>
      </c>
      <c r="CB36" s="149">
        <f t="shared" si="111"/>
        <v>18.31184820110116</v>
      </c>
      <c r="CC36" s="149">
        <f t="shared" si="111"/>
        <v>18.769644406128688</v>
      </c>
      <c r="CD36" s="149">
        <f t="shared" si="111"/>
        <v>19.238885516281904</v>
      </c>
      <c r="CE36" s="149">
        <f t="shared" si="111"/>
        <v>19.719857654188949</v>
      </c>
      <c r="CF36" s="149">
        <f t="shared" si="111"/>
        <v>20.212854095543673</v>
      </c>
      <c r="CG36" s="149">
        <f t="shared" si="111"/>
        <v>20.718175447932264</v>
      </c>
      <c r="CH36" s="149">
        <f t="shared" si="111"/>
        <v>21.236129834130569</v>
      </c>
      <c r="CI36" s="149">
        <f t="shared" si="111"/>
        <v>21.767033079983833</v>
      </c>
      <c r="CJ36" s="149">
        <f t="shared" si="111"/>
        <v>22.311208906983428</v>
      </c>
      <c r="CK36" s="149">
        <f t="shared" si="111"/>
        <v>22.868989129658011</v>
      </c>
      <c r="CL36" s="149">
        <f t="shared" si="111"/>
        <v>23.44071385789946</v>
      </c>
      <c r="CM36" s="149">
        <f t="shared" si="111"/>
        <v>24.026731704346943</v>
      </c>
      <c r="CN36" s="149">
        <f t="shared" si="111"/>
        <v>24.627399996955614</v>
      </c>
      <c r="CO36" s="149">
        <f t="shared" si="111"/>
        <v>25.243084996879503</v>
      </c>
      <c r="CP36" s="149">
        <f t="shared" si="111"/>
        <v>25.87416212180149</v>
      </c>
      <c r="CQ36" s="362" t="s">
        <v>77</v>
      </c>
      <c r="CU36"/>
      <c r="CV36"/>
      <c r="CW36"/>
      <c r="CX36"/>
      <c r="CY36"/>
      <c r="CZ36"/>
      <c r="DB36" s="103" t="s">
        <v>244</v>
      </c>
      <c r="DD36" s="57">
        <v>2.4460000000000002</v>
      </c>
      <c r="DE36" s="118">
        <f>+R36-DD36</f>
        <v>3.871</v>
      </c>
      <c r="DF36" s="57">
        <v>10.506</v>
      </c>
      <c r="DG36" s="118">
        <f>+S36-DF36</f>
        <v>1.1909999999999989</v>
      </c>
      <c r="DH36" s="57">
        <v>0.65300000000000002</v>
      </c>
      <c r="DI36" s="119">
        <f>+T36-DH36</f>
        <v>0.48899999999999988</v>
      </c>
      <c r="DJ36" s="142">
        <v>3.7669999999999999</v>
      </c>
      <c r="DK36" s="119">
        <f>+U36-DJ36</f>
        <v>20.555</v>
      </c>
      <c r="DL36" s="189">
        <v>2.218</v>
      </c>
      <c r="DM36" s="98">
        <f>V36-DL36</f>
        <v>1.4790000000000001</v>
      </c>
      <c r="DN36" s="189">
        <v>0.754</v>
      </c>
      <c r="DO36" s="98">
        <f>W36-DN36</f>
        <v>3.7280000000000002</v>
      </c>
      <c r="DP36" s="189">
        <v>3.6749999999999998</v>
      </c>
      <c r="DQ36" s="98">
        <f t="shared" si="72"/>
        <v>0.91905000000000037</v>
      </c>
      <c r="DR36" s="188"/>
      <c r="DU36" s="413">
        <f t="shared" si="105"/>
        <v>0.38720911825233501</v>
      </c>
      <c r="DV36" s="413">
        <f t="shared" si="106"/>
        <v>0.89817902026160568</v>
      </c>
      <c r="DW36" s="413">
        <f t="shared" si="107"/>
        <v>0.57180385288966729</v>
      </c>
      <c r="DX36" s="413">
        <f>+(DJ36/(DJ36+DK36))</f>
        <v>0.15488035523394458</v>
      </c>
      <c r="DY36" s="376">
        <f t="shared" si="108"/>
        <v>0.59994590208276977</v>
      </c>
      <c r="DZ36" s="376">
        <f t="shared" si="108"/>
        <v>0.66233766233766234</v>
      </c>
      <c r="EH36" s="411" t="b">
        <f t="shared" si="88"/>
        <v>1</v>
      </c>
      <c r="EI36" s="411" t="b">
        <f t="shared" si="89"/>
        <v>1</v>
      </c>
      <c r="EJ36" s="411" t="b">
        <f t="shared" si="90"/>
        <v>1</v>
      </c>
    </row>
    <row r="37" spans="2:156" s="98" customFormat="1" ht="11.25" customHeight="1" outlineLevel="1" x14ac:dyDescent="0.2">
      <c r="B37" s="103" t="s">
        <v>243</v>
      </c>
      <c r="D37" s="57"/>
      <c r="E37" s="57"/>
      <c r="F37" s="57"/>
      <c r="G37" s="57"/>
      <c r="H37" s="57"/>
      <c r="I37" s="57"/>
      <c r="J37" s="57"/>
      <c r="K37" s="57" t="s">
        <v>78</v>
      </c>
      <c r="L37" s="57" t="s">
        <v>78</v>
      </c>
      <c r="M37" s="57">
        <v>0</v>
      </c>
      <c r="N37" s="57">
        <v>0</v>
      </c>
      <c r="O37" s="57">
        <v>33.853000000000002</v>
      </c>
      <c r="P37" s="57">
        <v>0</v>
      </c>
      <c r="Q37" s="57">
        <v>56.6</v>
      </c>
      <c r="R37" s="57">
        <v>30.695</v>
      </c>
      <c r="S37" s="57">
        <v>32.878</v>
      </c>
      <c r="T37" s="406">
        <v>0</v>
      </c>
      <c r="U37" s="406">
        <v>0.99099999999999999</v>
      </c>
      <c r="V37" s="406">
        <f>+T37*1.025</f>
        <v>0</v>
      </c>
      <c r="W37" s="406">
        <f t="shared" si="109"/>
        <v>0</v>
      </c>
      <c r="X37" s="149">
        <f t="shared" si="109"/>
        <v>0</v>
      </c>
      <c r="Y37" s="149">
        <f t="shared" si="109"/>
        <v>0</v>
      </c>
      <c r="Z37" s="149">
        <f t="shared" si="109"/>
        <v>0</v>
      </c>
      <c r="AA37" s="149">
        <f t="shared" si="109"/>
        <v>0</v>
      </c>
      <c r="AB37" s="149">
        <f t="shared" si="109"/>
        <v>0</v>
      </c>
      <c r="AC37" s="149">
        <f t="shared" si="109"/>
        <v>0</v>
      </c>
      <c r="AD37" s="149">
        <f t="shared" si="109"/>
        <v>0</v>
      </c>
      <c r="AE37" s="149">
        <f t="shared" si="109"/>
        <v>0</v>
      </c>
      <c r="AF37" s="149">
        <f t="shared" si="109"/>
        <v>0</v>
      </c>
      <c r="AG37" s="149">
        <f t="shared" si="109"/>
        <v>0</v>
      </c>
      <c r="AH37" s="149">
        <f t="shared" si="109"/>
        <v>0</v>
      </c>
      <c r="AI37" s="149">
        <f t="shared" si="109"/>
        <v>0</v>
      </c>
      <c r="AJ37" s="149">
        <f t="shared" si="109"/>
        <v>0</v>
      </c>
      <c r="AK37" s="149">
        <f t="shared" si="109"/>
        <v>0</v>
      </c>
      <c r="AL37" s="149">
        <f t="shared" si="109"/>
        <v>0</v>
      </c>
      <c r="AM37" s="149">
        <f t="shared" si="109"/>
        <v>0</v>
      </c>
      <c r="AN37" s="149">
        <f t="shared" si="109"/>
        <v>0</v>
      </c>
      <c r="AO37" s="149">
        <f t="shared" si="109"/>
        <v>0</v>
      </c>
      <c r="AP37" s="149">
        <f t="shared" si="109"/>
        <v>0</v>
      </c>
      <c r="AQ37" s="149">
        <f t="shared" si="109"/>
        <v>0</v>
      </c>
      <c r="AR37" s="149">
        <f t="shared" si="109"/>
        <v>0</v>
      </c>
      <c r="AS37" s="149">
        <f t="shared" si="109"/>
        <v>0</v>
      </c>
      <c r="AT37" s="149">
        <f t="shared" si="109"/>
        <v>0</v>
      </c>
      <c r="AU37" s="149">
        <f t="shared" si="109"/>
        <v>0</v>
      </c>
      <c r="AV37" s="149">
        <f t="shared" si="109"/>
        <v>0</v>
      </c>
      <c r="AW37" s="149">
        <f t="shared" si="109"/>
        <v>0</v>
      </c>
      <c r="AX37" s="149">
        <f t="shared" si="109"/>
        <v>0</v>
      </c>
      <c r="AY37" s="149">
        <f t="shared" si="109"/>
        <v>0</v>
      </c>
      <c r="AZ37" s="149">
        <f t="shared" si="109"/>
        <v>0</v>
      </c>
      <c r="BA37" s="149">
        <f t="shared" si="109"/>
        <v>0</v>
      </c>
      <c r="BB37" s="149">
        <f t="shared" si="109"/>
        <v>0</v>
      </c>
      <c r="BC37" s="149">
        <f t="shared" si="109"/>
        <v>0</v>
      </c>
      <c r="BD37" s="149">
        <f t="shared" si="109"/>
        <v>0</v>
      </c>
      <c r="BE37" s="149">
        <f t="shared" ref="BE37:CP37" si="112">+BD37*1.025</f>
        <v>0</v>
      </c>
      <c r="BF37" s="149">
        <f t="shared" si="112"/>
        <v>0</v>
      </c>
      <c r="BG37" s="149">
        <f t="shared" si="112"/>
        <v>0</v>
      </c>
      <c r="BH37" s="149">
        <f t="shared" si="112"/>
        <v>0</v>
      </c>
      <c r="BI37" s="149">
        <f t="shared" si="112"/>
        <v>0</v>
      </c>
      <c r="BJ37" s="149">
        <f t="shared" si="112"/>
        <v>0</v>
      </c>
      <c r="BK37" s="149">
        <f t="shared" si="112"/>
        <v>0</v>
      </c>
      <c r="BL37" s="149">
        <f t="shared" si="112"/>
        <v>0</v>
      </c>
      <c r="BM37" s="149">
        <f t="shared" si="112"/>
        <v>0</v>
      </c>
      <c r="BN37" s="149">
        <f t="shared" si="112"/>
        <v>0</v>
      </c>
      <c r="BO37" s="149">
        <f t="shared" si="112"/>
        <v>0</v>
      </c>
      <c r="BP37" s="149">
        <f t="shared" si="112"/>
        <v>0</v>
      </c>
      <c r="BQ37" s="149">
        <f t="shared" si="112"/>
        <v>0</v>
      </c>
      <c r="BR37" s="149">
        <f t="shared" si="112"/>
        <v>0</v>
      </c>
      <c r="BS37" s="149">
        <f t="shared" si="112"/>
        <v>0</v>
      </c>
      <c r="BT37" s="149">
        <f t="shared" si="112"/>
        <v>0</v>
      </c>
      <c r="BU37" s="149">
        <f t="shared" si="112"/>
        <v>0</v>
      </c>
      <c r="BV37" s="149">
        <f t="shared" si="112"/>
        <v>0</v>
      </c>
      <c r="BW37" s="149">
        <f t="shared" si="112"/>
        <v>0</v>
      </c>
      <c r="BX37" s="149">
        <f t="shared" si="112"/>
        <v>0</v>
      </c>
      <c r="BY37" s="149">
        <f t="shared" si="112"/>
        <v>0</v>
      </c>
      <c r="BZ37" s="149">
        <f t="shared" si="112"/>
        <v>0</v>
      </c>
      <c r="CA37" s="149">
        <f t="shared" si="112"/>
        <v>0</v>
      </c>
      <c r="CB37" s="149">
        <f t="shared" si="112"/>
        <v>0</v>
      </c>
      <c r="CC37" s="149">
        <f t="shared" si="112"/>
        <v>0</v>
      </c>
      <c r="CD37" s="149">
        <f t="shared" si="112"/>
        <v>0</v>
      </c>
      <c r="CE37" s="149">
        <f t="shared" si="112"/>
        <v>0</v>
      </c>
      <c r="CF37" s="149">
        <f t="shared" si="112"/>
        <v>0</v>
      </c>
      <c r="CG37" s="149">
        <f t="shared" si="112"/>
        <v>0</v>
      </c>
      <c r="CH37" s="149">
        <f t="shared" si="112"/>
        <v>0</v>
      </c>
      <c r="CI37" s="149">
        <f t="shared" si="112"/>
        <v>0</v>
      </c>
      <c r="CJ37" s="149">
        <f t="shared" si="112"/>
        <v>0</v>
      </c>
      <c r="CK37" s="149">
        <f t="shared" si="112"/>
        <v>0</v>
      </c>
      <c r="CL37" s="149">
        <f t="shared" si="112"/>
        <v>0</v>
      </c>
      <c r="CM37" s="149">
        <f t="shared" si="112"/>
        <v>0</v>
      </c>
      <c r="CN37" s="149">
        <f t="shared" si="112"/>
        <v>0</v>
      </c>
      <c r="CO37" s="149">
        <f t="shared" si="112"/>
        <v>0</v>
      </c>
      <c r="CP37" s="149">
        <f t="shared" si="112"/>
        <v>0</v>
      </c>
      <c r="CQ37" s="362" t="s">
        <v>77</v>
      </c>
      <c r="CR37" s="415" t="s">
        <v>417</v>
      </c>
      <c r="CS37" s="416"/>
      <c r="CT37" s="416"/>
      <c r="CU37"/>
      <c r="CV37"/>
      <c r="CW37"/>
      <c r="CX37"/>
      <c r="CY37"/>
      <c r="CZ37"/>
      <c r="DB37" s="103" t="s">
        <v>243</v>
      </c>
      <c r="DD37" s="57">
        <v>30.695</v>
      </c>
      <c r="DE37" s="118">
        <f>+R37-DD37</f>
        <v>0</v>
      </c>
      <c r="DF37" s="57">
        <v>0</v>
      </c>
      <c r="DG37" s="118">
        <f>+S37-DF37</f>
        <v>32.878</v>
      </c>
      <c r="DH37" s="57">
        <v>0</v>
      </c>
      <c r="DI37" s="119">
        <f>+T37-DH37</f>
        <v>0</v>
      </c>
      <c r="DJ37" s="143">
        <v>0.99199999999999999</v>
      </c>
      <c r="DK37" s="119">
        <f>+U37-DJ37</f>
        <v>-1.0000000000000009E-3</v>
      </c>
      <c r="DL37" s="189">
        <f>V37*DY37</f>
        <v>0</v>
      </c>
      <c r="DM37" s="98">
        <f>V37-DL37</f>
        <v>0</v>
      </c>
      <c r="DN37" s="189">
        <v>0</v>
      </c>
      <c r="DO37" s="98">
        <f>W37-DN37</f>
        <v>0</v>
      </c>
      <c r="DP37" s="189">
        <v>0</v>
      </c>
      <c r="DQ37" s="98">
        <f t="shared" si="72"/>
        <v>0</v>
      </c>
      <c r="DR37" s="188"/>
      <c r="DU37" s="417"/>
      <c r="DV37" s="417"/>
      <c r="DW37" s="417"/>
      <c r="DX37" s="417"/>
      <c r="DY37" s="417"/>
      <c r="DZ37" s="417"/>
      <c r="EH37" s="411" t="b">
        <f t="shared" si="88"/>
        <v>1</v>
      </c>
      <c r="EI37" s="411" t="b">
        <f t="shared" si="89"/>
        <v>1</v>
      </c>
      <c r="EJ37" s="411" t="b">
        <f t="shared" si="90"/>
        <v>1</v>
      </c>
    </row>
    <row r="38" spans="2:156" s="98" customFormat="1" ht="11.25" customHeight="1" outlineLevel="1" x14ac:dyDescent="0.2">
      <c r="B38" s="103" t="s">
        <v>280</v>
      </c>
      <c r="D38" s="57"/>
      <c r="E38" s="57"/>
      <c r="F38" s="57"/>
      <c r="G38" s="57"/>
      <c r="H38" s="57"/>
      <c r="I38" s="57"/>
      <c r="J38" s="57"/>
      <c r="K38" s="57" t="s">
        <v>78</v>
      </c>
      <c r="L38" s="57" t="s">
        <v>78</v>
      </c>
      <c r="M38" s="57">
        <v>0</v>
      </c>
      <c r="N38" s="57">
        <f>881.729-SUM(N23,N30,N35,N36,N37)</f>
        <v>-16.062999999999988</v>
      </c>
      <c r="O38" s="57">
        <v>0</v>
      </c>
      <c r="P38" s="57">
        <v>0</v>
      </c>
      <c r="Q38" s="57">
        <f>9.839+0.001</f>
        <v>9.84</v>
      </c>
      <c r="R38" s="57">
        <v>0</v>
      </c>
      <c r="S38" s="57">
        <v>0</v>
      </c>
      <c r="T38" s="406">
        <v>0</v>
      </c>
      <c r="U38" s="414">
        <f>T38</f>
        <v>0</v>
      </c>
      <c r="V38" s="414">
        <f t="shared" ref="V38:BD38" si="113">U38</f>
        <v>0</v>
      </c>
      <c r="W38" s="414">
        <f t="shared" si="113"/>
        <v>0</v>
      </c>
      <c r="X38" s="270">
        <f t="shared" si="113"/>
        <v>0</v>
      </c>
      <c r="Y38" s="270">
        <f t="shared" si="113"/>
        <v>0</v>
      </c>
      <c r="Z38" s="270">
        <f t="shared" si="113"/>
        <v>0</v>
      </c>
      <c r="AA38" s="270">
        <f t="shared" si="113"/>
        <v>0</v>
      </c>
      <c r="AB38" s="270">
        <f t="shared" si="113"/>
        <v>0</v>
      </c>
      <c r="AC38" s="270">
        <f t="shared" si="113"/>
        <v>0</v>
      </c>
      <c r="AD38" s="270">
        <f t="shared" si="113"/>
        <v>0</v>
      </c>
      <c r="AE38" s="270">
        <f t="shared" si="113"/>
        <v>0</v>
      </c>
      <c r="AF38" s="270">
        <f t="shared" si="113"/>
        <v>0</v>
      </c>
      <c r="AG38" s="270">
        <f t="shared" si="113"/>
        <v>0</v>
      </c>
      <c r="AH38" s="270">
        <f t="shared" si="113"/>
        <v>0</v>
      </c>
      <c r="AI38" s="270">
        <f t="shared" si="113"/>
        <v>0</v>
      </c>
      <c r="AJ38" s="270">
        <f t="shared" si="113"/>
        <v>0</v>
      </c>
      <c r="AK38" s="270">
        <f t="shared" si="113"/>
        <v>0</v>
      </c>
      <c r="AL38" s="270">
        <f t="shared" si="113"/>
        <v>0</v>
      </c>
      <c r="AM38" s="270">
        <f t="shared" si="113"/>
        <v>0</v>
      </c>
      <c r="AN38" s="270">
        <f t="shared" si="113"/>
        <v>0</v>
      </c>
      <c r="AO38" s="270">
        <f t="shared" si="113"/>
        <v>0</v>
      </c>
      <c r="AP38" s="270">
        <f t="shared" si="113"/>
        <v>0</v>
      </c>
      <c r="AQ38" s="270">
        <f t="shared" si="113"/>
        <v>0</v>
      </c>
      <c r="AR38" s="270">
        <f t="shared" si="113"/>
        <v>0</v>
      </c>
      <c r="AS38" s="270">
        <f t="shared" si="113"/>
        <v>0</v>
      </c>
      <c r="AT38" s="270">
        <f t="shared" si="113"/>
        <v>0</v>
      </c>
      <c r="AU38" s="270">
        <f t="shared" si="113"/>
        <v>0</v>
      </c>
      <c r="AV38" s="270">
        <f t="shared" si="113"/>
        <v>0</v>
      </c>
      <c r="AW38" s="270">
        <f t="shared" si="113"/>
        <v>0</v>
      </c>
      <c r="AX38" s="270">
        <f t="shared" si="113"/>
        <v>0</v>
      </c>
      <c r="AY38" s="270">
        <f t="shared" si="113"/>
        <v>0</v>
      </c>
      <c r="AZ38" s="270">
        <f t="shared" si="113"/>
        <v>0</v>
      </c>
      <c r="BA38" s="270">
        <f t="shared" si="113"/>
        <v>0</v>
      </c>
      <c r="BB38" s="270">
        <f t="shared" si="113"/>
        <v>0</v>
      </c>
      <c r="BC38" s="270">
        <f t="shared" si="113"/>
        <v>0</v>
      </c>
      <c r="BD38" s="270">
        <f t="shared" si="113"/>
        <v>0</v>
      </c>
      <c r="BE38" s="270">
        <f t="shared" ref="BE38:CP38" si="114">BD38</f>
        <v>0</v>
      </c>
      <c r="BF38" s="270">
        <f t="shared" si="114"/>
        <v>0</v>
      </c>
      <c r="BG38" s="270">
        <f t="shared" si="114"/>
        <v>0</v>
      </c>
      <c r="BH38" s="270">
        <f t="shared" si="114"/>
        <v>0</v>
      </c>
      <c r="BI38" s="270">
        <f t="shared" si="114"/>
        <v>0</v>
      </c>
      <c r="BJ38" s="270">
        <f t="shared" si="114"/>
        <v>0</v>
      </c>
      <c r="BK38" s="270">
        <f t="shared" si="114"/>
        <v>0</v>
      </c>
      <c r="BL38" s="270">
        <f t="shared" si="114"/>
        <v>0</v>
      </c>
      <c r="BM38" s="270">
        <f t="shared" si="114"/>
        <v>0</v>
      </c>
      <c r="BN38" s="270">
        <f t="shared" si="114"/>
        <v>0</v>
      </c>
      <c r="BO38" s="270">
        <f t="shared" si="114"/>
        <v>0</v>
      </c>
      <c r="BP38" s="270">
        <f t="shared" si="114"/>
        <v>0</v>
      </c>
      <c r="BQ38" s="270">
        <f t="shared" si="114"/>
        <v>0</v>
      </c>
      <c r="BR38" s="270">
        <f t="shared" si="114"/>
        <v>0</v>
      </c>
      <c r="BS38" s="270">
        <f t="shared" si="114"/>
        <v>0</v>
      </c>
      <c r="BT38" s="270">
        <f t="shared" si="114"/>
        <v>0</v>
      </c>
      <c r="BU38" s="270">
        <f t="shared" si="114"/>
        <v>0</v>
      </c>
      <c r="BV38" s="270">
        <f t="shared" si="114"/>
        <v>0</v>
      </c>
      <c r="BW38" s="270">
        <f t="shared" si="114"/>
        <v>0</v>
      </c>
      <c r="BX38" s="270">
        <f t="shared" si="114"/>
        <v>0</v>
      </c>
      <c r="BY38" s="270">
        <f t="shared" si="114"/>
        <v>0</v>
      </c>
      <c r="BZ38" s="270">
        <f t="shared" si="114"/>
        <v>0</v>
      </c>
      <c r="CA38" s="270">
        <f t="shared" si="114"/>
        <v>0</v>
      </c>
      <c r="CB38" s="270">
        <f t="shared" si="114"/>
        <v>0</v>
      </c>
      <c r="CC38" s="270">
        <f t="shared" si="114"/>
        <v>0</v>
      </c>
      <c r="CD38" s="270">
        <f t="shared" si="114"/>
        <v>0</v>
      </c>
      <c r="CE38" s="270">
        <f t="shared" si="114"/>
        <v>0</v>
      </c>
      <c r="CF38" s="270">
        <f t="shared" si="114"/>
        <v>0</v>
      </c>
      <c r="CG38" s="270">
        <f t="shared" si="114"/>
        <v>0</v>
      </c>
      <c r="CH38" s="270">
        <f t="shared" si="114"/>
        <v>0</v>
      </c>
      <c r="CI38" s="270">
        <f t="shared" si="114"/>
        <v>0</v>
      </c>
      <c r="CJ38" s="270">
        <f t="shared" si="114"/>
        <v>0</v>
      </c>
      <c r="CK38" s="270">
        <f t="shared" si="114"/>
        <v>0</v>
      </c>
      <c r="CL38" s="270">
        <f t="shared" si="114"/>
        <v>0</v>
      </c>
      <c r="CM38" s="270">
        <f t="shared" si="114"/>
        <v>0</v>
      </c>
      <c r="CN38" s="270">
        <f t="shared" si="114"/>
        <v>0</v>
      </c>
      <c r="CO38" s="270">
        <f t="shared" si="114"/>
        <v>0</v>
      </c>
      <c r="CP38" s="270">
        <f t="shared" si="114"/>
        <v>0</v>
      </c>
      <c r="CQ38" s="362" t="s">
        <v>77</v>
      </c>
      <c r="CR38" s="418">
        <v>2213</v>
      </c>
      <c r="CS38" s="418">
        <v>2245</v>
      </c>
      <c r="CT38" s="418">
        <v>2326</v>
      </c>
      <c r="CU38"/>
      <c r="CV38"/>
      <c r="CW38"/>
      <c r="CX38"/>
      <c r="CY38"/>
      <c r="CZ38"/>
      <c r="DB38" s="103" t="s">
        <v>280</v>
      </c>
      <c r="DD38" s="57">
        <v>0</v>
      </c>
      <c r="DE38" s="118">
        <f>+R38-DD38</f>
        <v>0</v>
      </c>
      <c r="DF38" s="57">
        <v>0</v>
      </c>
      <c r="DG38" s="118">
        <f>+S38-DF38</f>
        <v>0</v>
      </c>
      <c r="DH38" s="57">
        <v>0</v>
      </c>
      <c r="DI38" s="119">
        <f>+T38-DH38</f>
        <v>0</v>
      </c>
      <c r="DJ38" s="143">
        <v>0</v>
      </c>
      <c r="DK38" s="119">
        <f>+U38-DJ38</f>
        <v>0</v>
      </c>
      <c r="DL38" s="189">
        <f>V38*DY38</f>
        <v>0</v>
      </c>
      <c r="DM38" s="98">
        <f>V38-DL38</f>
        <v>0</v>
      </c>
      <c r="DN38" s="189">
        <v>0</v>
      </c>
      <c r="DO38" s="98">
        <f>W38-DN38</f>
        <v>0</v>
      </c>
      <c r="DP38" s="189">
        <v>0</v>
      </c>
      <c r="DQ38" s="98">
        <f t="shared" si="72"/>
        <v>0</v>
      </c>
      <c r="DR38" s="188"/>
      <c r="DU38" s="417"/>
      <c r="DV38" s="417"/>
      <c r="DW38" s="417"/>
      <c r="DX38" s="417"/>
      <c r="DY38" s="417"/>
      <c r="DZ38" s="417"/>
      <c r="EH38" s="411" t="b">
        <f t="shared" si="88"/>
        <v>1</v>
      </c>
      <c r="EI38" s="411" t="b">
        <f t="shared" si="89"/>
        <v>1</v>
      </c>
      <c r="EJ38" s="411" t="b">
        <f t="shared" si="90"/>
        <v>1</v>
      </c>
    </row>
    <row r="39" spans="2:156" outlineLevel="1" x14ac:dyDescent="0.2">
      <c r="B39" s="1" t="s">
        <v>12</v>
      </c>
      <c r="D39" s="3"/>
      <c r="E39" s="3"/>
      <c r="F39" s="3"/>
      <c r="G39" s="3"/>
      <c r="H39" s="3"/>
      <c r="I39" s="3"/>
      <c r="J39" s="3"/>
      <c r="K39" s="35">
        <f>SUM(K23,K30,K34)</f>
        <v>0</v>
      </c>
      <c r="L39" s="35">
        <f>SUM(L23,L30,L34)</f>
        <v>0</v>
      </c>
      <c r="M39" s="35">
        <f t="shared" ref="M39:BD39" si="115">SUM(M23,M30,M34)</f>
        <v>532.70000000000005</v>
      </c>
      <c r="N39" s="35">
        <f t="shared" si="115"/>
        <v>881.72900000000004</v>
      </c>
      <c r="O39" s="35">
        <f t="shared" si="115"/>
        <v>944.41599999999994</v>
      </c>
      <c r="P39" s="35">
        <f t="shared" si="115"/>
        <v>989.4899999999999</v>
      </c>
      <c r="Q39" s="35">
        <f t="shared" si="115"/>
        <v>1101.989</v>
      </c>
      <c r="R39" s="35">
        <f t="shared" si="115"/>
        <v>1060.662</v>
      </c>
      <c r="S39" s="35">
        <f t="shared" si="115"/>
        <v>1272.2669999999998</v>
      </c>
      <c r="T39" s="33">
        <f t="shared" si="115"/>
        <v>1395.9922999999999</v>
      </c>
      <c r="U39" s="33">
        <f t="shared" si="115"/>
        <v>1553.6149999999998</v>
      </c>
      <c r="V39" s="33">
        <f t="shared" si="115"/>
        <v>2094.3040000000001</v>
      </c>
      <c r="W39" s="33">
        <f>SUM(W23,W30,W34)</f>
        <v>2326.42</v>
      </c>
      <c r="X39" s="33">
        <f t="shared" si="115"/>
        <v>2368.1046537922302</v>
      </c>
      <c r="Y39" s="33">
        <f t="shared" si="115"/>
        <v>2474.8449834669136</v>
      </c>
      <c r="Z39" s="33">
        <f t="shared" si="115"/>
        <v>2576.0368533629089</v>
      </c>
      <c r="AA39" s="33">
        <f t="shared" si="115"/>
        <v>2552.6564954066789</v>
      </c>
      <c r="AB39" s="33">
        <f t="shared" si="115"/>
        <v>2604.8623104581584</v>
      </c>
      <c r="AC39" s="33">
        <f t="shared" si="115"/>
        <v>2659.4778056944092</v>
      </c>
      <c r="AD39" s="33">
        <f t="shared" si="115"/>
        <v>2715.465185682564</v>
      </c>
      <c r="AE39" s="33">
        <f t="shared" si="115"/>
        <v>2759.9560221394513</v>
      </c>
      <c r="AF39" s="33">
        <f t="shared" si="115"/>
        <v>2766.67765427206</v>
      </c>
      <c r="AG39" s="33">
        <f t="shared" si="115"/>
        <v>2806.4074297041516</v>
      </c>
      <c r="AH39" s="33">
        <f t="shared" si="115"/>
        <v>2865.7346797167957</v>
      </c>
      <c r="AI39" s="33">
        <f t="shared" si="115"/>
        <v>2765.989817862127</v>
      </c>
      <c r="AJ39" s="33">
        <f t="shared" si="115"/>
        <v>2664.4961604874334</v>
      </c>
      <c r="AK39" s="33">
        <f t="shared" si="115"/>
        <v>2677.7096931497113</v>
      </c>
      <c r="AL39" s="33">
        <f t="shared" si="115"/>
        <v>2733.7259327664196</v>
      </c>
      <c r="AM39" s="33">
        <f t="shared" si="115"/>
        <v>2791.0283179411676</v>
      </c>
      <c r="AN39" s="33">
        <f t="shared" si="115"/>
        <v>2836.7592560586263</v>
      </c>
      <c r="AO39" s="33">
        <f t="shared" si="115"/>
        <v>2836.0205107961151</v>
      </c>
      <c r="AP39" s="33">
        <f t="shared" si="115"/>
        <v>2315.0508470303434</v>
      </c>
      <c r="AQ39" s="33">
        <f t="shared" si="115"/>
        <v>2365.2783250101766</v>
      </c>
      <c r="AR39" s="33">
        <f t="shared" si="115"/>
        <v>2266.823523893011</v>
      </c>
      <c r="AS39" s="33">
        <f t="shared" si="115"/>
        <v>2126.6609995296194</v>
      </c>
      <c r="AT39" s="33">
        <f t="shared" si="115"/>
        <v>2130.775813308901</v>
      </c>
      <c r="AU39" s="33">
        <f t="shared" si="115"/>
        <v>2180.0307822447248</v>
      </c>
      <c r="AV39" s="33">
        <f t="shared" si="115"/>
        <v>2230.4717037253699</v>
      </c>
      <c r="AW39" s="33">
        <f t="shared" si="115"/>
        <v>2208.5143293161191</v>
      </c>
      <c r="AX39" s="33">
        <f t="shared" si="115"/>
        <v>2259.6581094442404</v>
      </c>
      <c r="AY39" s="33">
        <f t="shared" si="115"/>
        <v>2312.030864470923</v>
      </c>
      <c r="AZ39" s="33">
        <f t="shared" si="115"/>
        <v>2365.6608371108769</v>
      </c>
      <c r="BA39" s="33">
        <f t="shared" si="115"/>
        <v>2152.9104479678322</v>
      </c>
      <c r="BB39" s="33">
        <f t="shared" si="115"/>
        <v>2202.7899015496437</v>
      </c>
      <c r="BC39" s="33">
        <f t="shared" si="115"/>
        <v>2253.8671723369271</v>
      </c>
      <c r="BD39" s="33">
        <f t="shared" si="115"/>
        <v>2306.1718873079126</v>
      </c>
      <c r="BE39" s="33">
        <f t="shared" ref="BE39:CP39" si="116">SUM(BE23,BE30,BE34)</f>
        <v>2359.7343221812539</v>
      </c>
      <c r="BF39" s="33">
        <f t="shared" si="116"/>
        <v>2414.5814383240622</v>
      </c>
      <c r="BG39" s="33">
        <f t="shared" si="116"/>
        <v>2470.7480111818672</v>
      </c>
      <c r="BH39" s="33">
        <f t="shared" si="116"/>
        <v>2528.2604351485488</v>
      </c>
      <c r="BI39" s="33">
        <f t="shared" si="116"/>
        <v>2587.1559642005586</v>
      </c>
      <c r="BJ39" s="33">
        <f t="shared" si="116"/>
        <v>2647.4630581221681</v>
      </c>
      <c r="BK39" s="33">
        <f t="shared" si="116"/>
        <v>2709.2190329014197</v>
      </c>
      <c r="BL39" s="33">
        <f t="shared" si="116"/>
        <v>2772.4569686013419</v>
      </c>
      <c r="BM39" s="33">
        <f t="shared" si="116"/>
        <v>2837.2123201818854</v>
      </c>
      <c r="BN39" s="33">
        <f t="shared" si="116"/>
        <v>2903.5208465647056</v>
      </c>
      <c r="BO39" s="33">
        <f t="shared" si="116"/>
        <v>2971.4202325474712</v>
      </c>
      <c r="BP39" s="33">
        <f t="shared" si="116"/>
        <v>3040.948539108771</v>
      </c>
      <c r="BQ39" s="33">
        <f t="shared" si="116"/>
        <v>3112.1447453447677</v>
      </c>
      <c r="BR39" s="33">
        <f t="shared" si="116"/>
        <v>3185.0477605598312</v>
      </c>
      <c r="BS39" s="33">
        <f t="shared" si="116"/>
        <v>3197.7149151463909</v>
      </c>
      <c r="BT39" s="33">
        <f t="shared" si="116"/>
        <v>3219.3779001783728</v>
      </c>
      <c r="BU39" s="33">
        <f t="shared" si="116"/>
        <v>3294.8799494663399</v>
      </c>
      <c r="BV39" s="33">
        <f t="shared" si="116"/>
        <v>3372.193499378558</v>
      </c>
      <c r="BW39" s="33">
        <f t="shared" si="116"/>
        <v>3451.3614593261764</v>
      </c>
      <c r="BX39" s="33">
        <f t="shared" si="116"/>
        <v>3532.4292971123687</v>
      </c>
      <c r="BY39" s="33">
        <f t="shared" si="116"/>
        <v>3615.4395137065112</v>
      </c>
      <c r="BZ39" s="33">
        <f t="shared" si="116"/>
        <v>3700.4422704985009</v>
      </c>
      <c r="CA39" s="33">
        <f t="shared" si="116"/>
        <v>3787.4833045774112</v>
      </c>
      <c r="CB39" s="33">
        <f t="shared" si="116"/>
        <v>3876.6140471416784</v>
      </c>
      <c r="CC39" s="33">
        <f t="shared" si="116"/>
        <v>3960.2495541685544</v>
      </c>
      <c r="CD39" s="33">
        <f t="shared" si="116"/>
        <v>3969.4555447465282</v>
      </c>
      <c r="CE39" s="33">
        <f t="shared" si="116"/>
        <v>4062.9711663830699</v>
      </c>
      <c r="CF39" s="33">
        <f t="shared" si="116"/>
        <v>4158.7293896184174</v>
      </c>
      <c r="CG39" s="33">
        <f t="shared" si="116"/>
        <v>4256.7851261586911</v>
      </c>
      <c r="CH39" s="33">
        <f t="shared" si="116"/>
        <v>3533.8963275339238</v>
      </c>
      <c r="CI39" s="33">
        <f t="shared" si="116"/>
        <v>3617.1601255963433</v>
      </c>
      <c r="CJ39" s="33">
        <f t="shared" si="116"/>
        <v>3702.4276427614259</v>
      </c>
      <c r="CK39" s="33">
        <f t="shared" si="116"/>
        <v>3789.7456039613335</v>
      </c>
      <c r="CL39" s="33">
        <f t="shared" si="116"/>
        <v>3879.1624464021224</v>
      </c>
      <c r="CM39" s="33">
        <f t="shared" si="116"/>
        <v>3970.7297873836715</v>
      </c>
      <c r="CN39" s="33">
        <f t="shared" si="116"/>
        <v>4064.4999940604034</v>
      </c>
      <c r="CO39" s="33">
        <f t="shared" si="116"/>
        <v>4160.5272032971116</v>
      </c>
      <c r="CP39" s="33">
        <f t="shared" si="116"/>
        <v>4209.3032907006173</v>
      </c>
      <c r="CQ39" s="362" t="s">
        <v>77</v>
      </c>
      <c r="CR39" s="41">
        <v>2281</v>
      </c>
      <c r="CS39" s="41">
        <v>2312</v>
      </c>
      <c r="CT39" s="41">
        <v>2383</v>
      </c>
      <c r="DB39" s="1" t="s">
        <v>12</v>
      </c>
      <c r="DD39" s="3">
        <f t="shared" ref="DD39:DL39" si="117">SUM(DD23,DD30,DD34)</f>
        <v>530.452</v>
      </c>
      <c r="DE39" s="3">
        <f t="shared" si="117"/>
        <v>530.21</v>
      </c>
      <c r="DF39" s="3">
        <f t="shared" si="117"/>
        <v>624.68799999999999</v>
      </c>
      <c r="DG39" s="3">
        <f t="shared" si="117"/>
        <v>647.57899999999995</v>
      </c>
      <c r="DH39" s="3">
        <f t="shared" si="117"/>
        <v>711.40499999999997</v>
      </c>
      <c r="DI39" s="33">
        <f t="shared" si="117"/>
        <v>684.58730000000014</v>
      </c>
      <c r="DJ39" s="33">
        <f>SUM(DJ23,DJ30,DJ34)</f>
        <v>740.10099999999989</v>
      </c>
      <c r="DK39" s="33">
        <f t="shared" si="117"/>
        <v>813.51400000000012</v>
      </c>
      <c r="DL39" s="33">
        <f t="shared" si="117"/>
        <v>1049.0809999999999</v>
      </c>
      <c r="DM39" s="33">
        <f>SUM(DM23,DM30,DM34)</f>
        <v>1045.223</v>
      </c>
      <c r="DN39" s="33">
        <f>SUM(DN23,DN30,DN34)</f>
        <v>1179.085</v>
      </c>
      <c r="DO39" s="33">
        <f>SUM(DO23,DO30,DO34)</f>
        <v>1147.3350000000003</v>
      </c>
      <c r="DP39" s="48">
        <f>SUM(DP23,DP30,DP34)</f>
        <v>1188.6490000000001</v>
      </c>
      <c r="DQ39" s="33">
        <f t="shared" si="72"/>
        <v>1179.4556537922301</v>
      </c>
      <c r="DR39" s="33"/>
      <c r="DS39" s="33"/>
      <c r="DU39" s="419">
        <f t="shared" si="105"/>
        <v>0.50011407969739652</v>
      </c>
      <c r="DV39" s="419">
        <f t="shared" si="106"/>
        <v>0.49100385375082439</v>
      </c>
      <c r="DW39" s="419">
        <f t="shared" si="107"/>
        <v>0.50960524638996929</v>
      </c>
      <c r="DX39" s="419">
        <f>+(DJ39/(DJ39+DK39))</f>
        <v>0.47637349021475711</v>
      </c>
      <c r="DY39" s="419">
        <f>+(DL39/(DL39+DM39))</f>
        <v>0.50092106972053718</v>
      </c>
      <c r="DZ39" s="420">
        <f>+(DN39/(DN39+DO39))</f>
        <v>0.50682378934156347</v>
      </c>
      <c r="EH39" s="411" t="b">
        <f t="shared" si="88"/>
        <v>1</v>
      </c>
      <c r="EI39" s="411" t="b">
        <f t="shared" si="89"/>
        <v>1</v>
      </c>
      <c r="EJ39" s="411" t="b">
        <f t="shared" si="90"/>
        <v>1</v>
      </c>
    </row>
    <row r="40" spans="2:156" x14ac:dyDescent="0.2">
      <c r="B40" s="7"/>
      <c r="T40" s="40"/>
      <c r="U40" s="40"/>
      <c r="V40" s="40"/>
      <c r="W40" s="40"/>
      <c r="CQ40" s="362" t="s">
        <v>77</v>
      </c>
      <c r="CR40" s="421">
        <v>2425</v>
      </c>
      <c r="CS40" s="421">
        <v>2412</v>
      </c>
      <c r="CT40" s="421">
        <v>2483</v>
      </c>
      <c r="DB40" s="7"/>
      <c r="DI40" s="40"/>
      <c r="DJ40" s="40"/>
      <c r="DK40" s="40"/>
      <c r="DU40" s="413"/>
      <c r="DV40" s="413"/>
    </row>
    <row r="41" spans="2:156" s="233" customFormat="1" x14ac:dyDescent="0.2">
      <c r="B41" s="728" t="s">
        <v>223</v>
      </c>
      <c r="C41" s="312"/>
      <c r="D41" s="308"/>
      <c r="E41" s="308"/>
      <c r="F41" s="312">
        <f t="shared" ref="F41:BQ41" si="118">Fiscal_Year</f>
        <v>36707</v>
      </c>
      <c r="G41" s="312">
        <f t="shared" si="118"/>
        <v>37072</v>
      </c>
      <c r="H41" s="312">
        <f t="shared" si="118"/>
        <v>37437</v>
      </c>
      <c r="I41" s="312">
        <f t="shared" si="118"/>
        <v>37802</v>
      </c>
      <c r="J41" s="312">
        <f t="shared" si="118"/>
        <v>38168</v>
      </c>
      <c r="K41" s="312">
        <f t="shared" si="118"/>
        <v>38533</v>
      </c>
      <c r="L41" s="312">
        <f t="shared" si="118"/>
        <v>38898</v>
      </c>
      <c r="M41" s="312">
        <f t="shared" si="118"/>
        <v>39263</v>
      </c>
      <c r="N41" s="312">
        <f t="shared" si="118"/>
        <v>39629</v>
      </c>
      <c r="O41" s="312">
        <f t="shared" si="118"/>
        <v>39994</v>
      </c>
      <c r="P41" s="312">
        <f t="shared" si="118"/>
        <v>40359</v>
      </c>
      <c r="Q41" s="312">
        <f t="shared" si="118"/>
        <v>40724</v>
      </c>
      <c r="R41" s="312">
        <f t="shared" si="118"/>
        <v>41090</v>
      </c>
      <c r="S41" s="312">
        <f t="shared" si="118"/>
        <v>41455</v>
      </c>
      <c r="T41" s="312">
        <f t="shared" si="118"/>
        <v>41820</v>
      </c>
      <c r="U41" s="312">
        <f t="shared" si="118"/>
        <v>42185</v>
      </c>
      <c r="V41" s="312">
        <f t="shared" si="118"/>
        <v>42551</v>
      </c>
      <c r="W41" s="312">
        <f t="shared" si="118"/>
        <v>42916</v>
      </c>
      <c r="X41" s="312">
        <f t="shared" si="118"/>
        <v>43281</v>
      </c>
      <c r="Y41" s="312">
        <f t="shared" si="118"/>
        <v>43646</v>
      </c>
      <c r="Z41" s="312">
        <f t="shared" si="118"/>
        <v>44012</v>
      </c>
      <c r="AA41" s="312">
        <f t="shared" si="118"/>
        <v>44377</v>
      </c>
      <c r="AB41" s="312">
        <f t="shared" si="118"/>
        <v>44742</v>
      </c>
      <c r="AC41" s="312">
        <f t="shared" si="118"/>
        <v>45107</v>
      </c>
      <c r="AD41" s="312">
        <f t="shared" si="118"/>
        <v>45473</v>
      </c>
      <c r="AE41" s="312">
        <f t="shared" si="118"/>
        <v>45838</v>
      </c>
      <c r="AF41" s="312">
        <f t="shared" si="118"/>
        <v>46203</v>
      </c>
      <c r="AG41" s="312">
        <f t="shared" si="118"/>
        <v>46568</v>
      </c>
      <c r="AH41" s="312">
        <f t="shared" si="118"/>
        <v>46934</v>
      </c>
      <c r="AI41" s="312">
        <f t="shared" si="118"/>
        <v>47299</v>
      </c>
      <c r="AJ41" s="312">
        <f t="shared" si="118"/>
        <v>47664</v>
      </c>
      <c r="AK41" s="312">
        <f t="shared" si="118"/>
        <v>48029</v>
      </c>
      <c r="AL41" s="312">
        <f t="shared" si="118"/>
        <v>48395</v>
      </c>
      <c r="AM41" s="312">
        <f t="shared" si="118"/>
        <v>48760</v>
      </c>
      <c r="AN41" s="312">
        <f t="shared" si="118"/>
        <v>49125</v>
      </c>
      <c r="AO41" s="312">
        <f t="shared" si="118"/>
        <v>49490</v>
      </c>
      <c r="AP41" s="312">
        <f t="shared" si="118"/>
        <v>49856</v>
      </c>
      <c r="AQ41" s="312">
        <f t="shared" si="118"/>
        <v>50221</v>
      </c>
      <c r="AR41" s="312">
        <f t="shared" si="118"/>
        <v>50586</v>
      </c>
      <c r="AS41" s="312">
        <f t="shared" si="118"/>
        <v>50951</v>
      </c>
      <c r="AT41" s="312">
        <f t="shared" si="118"/>
        <v>51317</v>
      </c>
      <c r="AU41" s="312">
        <f t="shared" si="118"/>
        <v>51682</v>
      </c>
      <c r="AV41" s="312">
        <f t="shared" si="118"/>
        <v>52047</v>
      </c>
      <c r="AW41" s="312">
        <f t="shared" si="118"/>
        <v>52412</v>
      </c>
      <c r="AX41" s="312">
        <f t="shared" si="118"/>
        <v>52778</v>
      </c>
      <c r="AY41" s="312">
        <f t="shared" si="118"/>
        <v>53143</v>
      </c>
      <c r="AZ41" s="312">
        <f t="shared" si="118"/>
        <v>53508</v>
      </c>
      <c r="BA41" s="312">
        <f t="shared" si="118"/>
        <v>53873</v>
      </c>
      <c r="BB41" s="312">
        <f t="shared" si="118"/>
        <v>54239</v>
      </c>
      <c r="BC41" s="312">
        <f t="shared" si="118"/>
        <v>54604</v>
      </c>
      <c r="BD41" s="312">
        <f t="shared" si="118"/>
        <v>54969</v>
      </c>
      <c r="BE41" s="312">
        <f t="shared" si="118"/>
        <v>55334</v>
      </c>
      <c r="BF41" s="312">
        <f t="shared" si="118"/>
        <v>55700</v>
      </c>
      <c r="BG41" s="312">
        <f t="shared" si="118"/>
        <v>56065</v>
      </c>
      <c r="BH41" s="312">
        <f t="shared" si="118"/>
        <v>56430</v>
      </c>
      <c r="BI41" s="312">
        <f t="shared" si="118"/>
        <v>56795</v>
      </c>
      <c r="BJ41" s="312">
        <f t="shared" si="118"/>
        <v>57161</v>
      </c>
      <c r="BK41" s="312">
        <f t="shared" si="118"/>
        <v>57526</v>
      </c>
      <c r="BL41" s="312">
        <f t="shared" si="118"/>
        <v>57891</v>
      </c>
      <c r="BM41" s="312">
        <f t="shared" si="118"/>
        <v>58256</v>
      </c>
      <c r="BN41" s="312">
        <f t="shared" si="118"/>
        <v>58622</v>
      </c>
      <c r="BO41" s="312">
        <f t="shared" si="118"/>
        <v>58987</v>
      </c>
      <c r="BP41" s="312">
        <f t="shared" si="118"/>
        <v>59352</v>
      </c>
      <c r="BQ41" s="312">
        <f t="shared" si="118"/>
        <v>59717</v>
      </c>
      <c r="BR41" s="312">
        <f t="shared" ref="BR41:CP41" si="119">Fiscal_Year</f>
        <v>60083</v>
      </c>
      <c r="BS41" s="312">
        <f t="shared" si="119"/>
        <v>60448</v>
      </c>
      <c r="BT41" s="312">
        <f t="shared" si="119"/>
        <v>60813</v>
      </c>
      <c r="BU41" s="312">
        <f t="shared" si="119"/>
        <v>61178</v>
      </c>
      <c r="BV41" s="312">
        <f t="shared" si="119"/>
        <v>61544</v>
      </c>
      <c r="BW41" s="312">
        <f t="shared" si="119"/>
        <v>61909</v>
      </c>
      <c r="BX41" s="312">
        <f t="shared" si="119"/>
        <v>62274</v>
      </c>
      <c r="BY41" s="312">
        <f t="shared" si="119"/>
        <v>62639</v>
      </c>
      <c r="BZ41" s="312">
        <f t="shared" si="119"/>
        <v>63005</v>
      </c>
      <c r="CA41" s="312">
        <f t="shared" si="119"/>
        <v>63370</v>
      </c>
      <c r="CB41" s="312">
        <f t="shared" si="119"/>
        <v>63735</v>
      </c>
      <c r="CC41" s="312">
        <f t="shared" si="119"/>
        <v>64100</v>
      </c>
      <c r="CD41" s="312">
        <f t="shared" si="119"/>
        <v>64466</v>
      </c>
      <c r="CE41" s="312">
        <f t="shared" si="119"/>
        <v>64831</v>
      </c>
      <c r="CF41" s="312">
        <f t="shared" si="119"/>
        <v>65196</v>
      </c>
      <c r="CG41" s="312">
        <f t="shared" si="119"/>
        <v>65561</v>
      </c>
      <c r="CH41" s="312">
        <f t="shared" si="119"/>
        <v>65927</v>
      </c>
      <c r="CI41" s="312">
        <f t="shared" si="119"/>
        <v>66292</v>
      </c>
      <c r="CJ41" s="312">
        <f t="shared" si="119"/>
        <v>66657</v>
      </c>
      <c r="CK41" s="312">
        <f t="shared" si="119"/>
        <v>67022</v>
      </c>
      <c r="CL41" s="312">
        <f t="shared" si="119"/>
        <v>67388</v>
      </c>
      <c r="CM41" s="312">
        <f t="shared" si="119"/>
        <v>67753</v>
      </c>
      <c r="CN41" s="312">
        <f t="shared" si="119"/>
        <v>68118</v>
      </c>
      <c r="CO41" s="312">
        <f t="shared" si="119"/>
        <v>68483</v>
      </c>
      <c r="CP41" s="312">
        <f t="shared" si="119"/>
        <v>68849</v>
      </c>
      <c r="CQ41" s="362" t="s">
        <v>77</v>
      </c>
      <c r="CR41" s="422">
        <f>+W39/CR39-1</f>
        <v>1.9912319158263969E-2</v>
      </c>
      <c r="CS41" s="423">
        <f>+X39/CS39-1</f>
        <v>2.4266718768265694E-2</v>
      </c>
      <c r="CT41" s="424">
        <f>+Y39/CT39-1</f>
        <v>3.8541747153551631E-2</v>
      </c>
      <c r="CU41"/>
      <c r="CV41"/>
      <c r="CW41"/>
      <c r="CX41"/>
      <c r="CY41"/>
      <c r="CZ41"/>
      <c r="DB41" s="728" t="s">
        <v>223</v>
      </c>
      <c r="DC41" s="8"/>
      <c r="DD41" s="312">
        <f t="shared" ref="DD41:DQ41" si="120">+DD$3</f>
        <v>40908</v>
      </c>
      <c r="DE41" s="312">
        <f t="shared" si="120"/>
        <v>41090</v>
      </c>
      <c r="DF41" s="312">
        <f t="shared" si="120"/>
        <v>41274</v>
      </c>
      <c r="DG41" s="312">
        <f t="shared" si="120"/>
        <v>41455</v>
      </c>
      <c r="DH41" s="312">
        <f t="shared" si="120"/>
        <v>41639</v>
      </c>
      <c r="DI41" s="312">
        <f t="shared" si="120"/>
        <v>41820</v>
      </c>
      <c r="DJ41" s="312">
        <f t="shared" si="120"/>
        <v>42004</v>
      </c>
      <c r="DK41" s="312">
        <f t="shared" si="120"/>
        <v>42185</v>
      </c>
      <c r="DL41" s="312">
        <f t="shared" si="120"/>
        <v>42369</v>
      </c>
      <c r="DM41" s="312">
        <f t="shared" si="120"/>
        <v>42551</v>
      </c>
      <c r="DN41" s="312">
        <f t="shared" si="120"/>
        <v>42735</v>
      </c>
      <c r="DO41" s="312">
        <f t="shared" si="120"/>
        <v>42916</v>
      </c>
      <c r="DP41" s="312">
        <f t="shared" si="120"/>
        <v>43100</v>
      </c>
      <c r="DQ41" s="312">
        <f t="shared" si="120"/>
        <v>43281</v>
      </c>
      <c r="DR41" s="312"/>
      <c r="DS41" s="312"/>
      <c r="DT41" s="8"/>
      <c r="DU41" s="370" t="s">
        <v>427</v>
      </c>
      <c r="DV41" s="370" t="s">
        <v>428</v>
      </c>
      <c r="DW41" s="370" t="s">
        <v>429</v>
      </c>
      <c r="DX41" s="370" t="s">
        <v>430</v>
      </c>
      <c r="DY41" s="370" t="s">
        <v>528</v>
      </c>
      <c r="DZ41" s="370" t="s">
        <v>529</v>
      </c>
      <c r="EB41" s="370" t="s">
        <v>427</v>
      </c>
      <c r="EC41" s="370" t="s">
        <v>428</v>
      </c>
      <c r="ED41" s="370" t="s">
        <v>429</v>
      </c>
      <c r="EE41" s="370" t="s">
        <v>430</v>
      </c>
      <c r="EF41" s="370" t="s">
        <v>528</v>
      </c>
      <c r="EG41" s="386"/>
      <c r="EH41" s="409" t="s">
        <v>430</v>
      </c>
      <c r="EI41" s="409" t="s">
        <v>528</v>
      </c>
      <c r="EJ41" s="409" t="s">
        <v>529</v>
      </c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</row>
    <row r="42" spans="2:156" ht="5.0999999999999996" customHeight="1" x14ac:dyDescent="0.2">
      <c r="B42" s="107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08"/>
      <c r="AC42" s="108"/>
      <c r="AD42" s="108"/>
      <c r="AE42" s="108"/>
      <c r="AF42" s="108"/>
      <c r="AG42" s="108"/>
      <c r="AH42" s="108"/>
      <c r="AI42" s="108"/>
      <c r="AJ42" s="108"/>
      <c r="AK42" s="108"/>
      <c r="AL42" s="108"/>
      <c r="AM42" s="108"/>
      <c r="AN42" s="108"/>
      <c r="AO42" s="108"/>
      <c r="AP42" s="108"/>
      <c r="AQ42" s="108"/>
      <c r="AR42" s="108"/>
      <c r="AS42" s="108"/>
      <c r="AT42" s="108"/>
      <c r="AU42" s="108"/>
      <c r="AV42" s="108"/>
      <c r="AW42" s="108"/>
      <c r="AX42" s="108"/>
      <c r="AY42" s="108"/>
      <c r="AZ42" s="108"/>
      <c r="BA42" s="108"/>
      <c r="BB42" s="108"/>
      <c r="BC42" s="108"/>
      <c r="BD42" s="108"/>
      <c r="BE42" s="108"/>
      <c r="BF42" s="108"/>
      <c r="BG42" s="108"/>
      <c r="BH42" s="108"/>
      <c r="BI42" s="108"/>
      <c r="BJ42" s="108"/>
      <c r="BK42" s="108"/>
      <c r="BL42" s="108"/>
      <c r="BM42" s="108"/>
      <c r="BN42" s="108"/>
      <c r="BO42" s="108"/>
      <c r="BP42" s="108"/>
      <c r="BQ42" s="108"/>
      <c r="BR42" s="108"/>
      <c r="BS42" s="108"/>
      <c r="BT42" s="108"/>
      <c r="BU42" s="108"/>
      <c r="BV42" s="108"/>
      <c r="BW42" s="108"/>
      <c r="BX42" s="108"/>
      <c r="BY42" s="108"/>
      <c r="BZ42" s="108"/>
      <c r="CA42" s="108"/>
      <c r="CB42" s="108"/>
      <c r="CC42" s="108"/>
      <c r="CD42" s="108"/>
      <c r="CE42" s="108"/>
      <c r="CF42" s="108"/>
      <c r="CG42" s="108"/>
      <c r="CH42" s="108"/>
      <c r="CI42" s="108"/>
      <c r="CJ42" s="108"/>
      <c r="CK42" s="108"/>
      <c r="CL42" s="108"/>
      <c r="CM42" s="108"/>
      <c r="CN42" s="108"/>
      <c r="CO42" s="108"/>
      <c r="CP42" s="108"/>
      <c r="CQ42" s="362" t="s">
        <v>77</v>
      </c>
      <c r="DB42" s="107"/>
      <c r="DD42" s="108"/>
      <c r="DE42" s="108"/>
      <c r="DF42" s="108"/>
      <c r="DG42" s="108"/>
      <c r="DH42" s="108"/>
      <c r="DI42" s="108"/>
      <c r="DJ42" s="108"/>
      <c r="DK42" s="108"/>
      <c r="DU42" s="413"/>
      <c r="DV42" s="413"/>
    </row>
    <row r="43" spans="2:156" ht="11.25" customHeight="1" outlineLevel="1" x14ac:dyDescent="0.2">
      <c r="B43" s="410" t="s">
        <v>272</v>
      </c>
      <c r="D43" s="54"/>
      <c r="E43" s="54"/>
      <c r="F43" s="54"/>
      <c r="G43" s="54"/>
      <c r="H43" s="54"/>
      <c r="I43" s="54"/>
      <c r="J43" s="54"/>
      <c r="K43" s="54">
        <f t="shared" ref="K43:BD43" si="121">SUM(K44:K49)</f>
        <v>0</v>
      </c>
      <c r="L43" s="54">
        <f t="shared" si="121"/>
        <v>0</v>
      </c>
      <c r="M43" s="54">
        <f t="shared" si="121"/>
        <v>275.77499999999998</v>
      </c>
      <c r="N43" s="54">
        <f t="shared" si="121"/>
        <v>354.26499999999999</v>
      </c>
      <c r="O43" s="54">
        <f t="shared" si="121"/>
        <v>389.05000000000007</v>
      </c>
      <c r="P43" s="54">
        <f t="shared" si="121"/>
        <v>408.58800000000002</v>
      </c>
      <c r="Q43" s="54">
        <f t="shared" si="121"/>
        <v>388.63300000000004</v>
      </c>
      <c r="R43" s="54">
        <f t="shared" si="121"/>
        <v>441.67199999999997</v>
      </c>
      <c r="S43" s="54">
        <f t="shared" si="121"/>
        <v>549.88100000000009</v>
      </c>
      <c r="T43" s="54">
        <f t="shared" si="121"/>
        <v>684.18500000000006</v>
      </c>
      <c r="U43" s="54">
        <f t="shared" si="121"/>
        <v>823.60699999999997</v>
      </c>
      <c r="V43" s="54">
        <f t="shared" si="121"/>
        <v>1335.58</v>
      </c>
      <c r="W43" s="54">
        <f t="shared" si="121"/>
        <v>1453.6719999999998</v>
      </c>
      <c r="X43" s="54">
        <f t="shared" si="121"/>
        <v>1478.1780680640179</v>
      </c>
      <c r="Y43" s="54">
        <f t="shared" si="121"/>
        <v>1549.5656872683589</v>
      </c>
      <c r="Z43" s="54">
        <f t="shared" si="121"/>
        <v>1617.3291854285872</v>
      </c>
      <c r="AA43" s="54">
        <f t="shared" si="121"/>
        <v>1572.4079535236417</v>
      </c>
      <c r="AB43" s="54">
        <f t="shared" si="121"/>
        <v>1603.0089041125625</v>
      </c>
      <c r="AC43" s="54">
        <f t="shared" si="121"/>
        <v>1635.2497292112137</v>
      </c>
      <c r="AD43" s="54">
        <f t="shared" si="121"/>
        <v>1668.0759493440398</v>
      </c>
      <c r="AE43" s="54">
        <f t="shared" si="121"/>
        <v>1688.0295890527693</v>
      </c>
      <c r="AF43" s="54">
        <f t="shared" si="121"/>
        <v>1686.4356049698481</v>
      </c>
      <c r="AG43" s="54">
        <f t="shared" si="121"/>
        <v>1699.6712855132041</v>
      </c>
      <c r="AH43" s="54">
        <f t="shared" si="121"/>
        <v>1733.5832288077745</v>
      </c>
      <c r="AI43" s="54">
        <f t="shared" si="121"/>
        <v>1607.749947049474</v>
      </c>
      <c r="AJ43" s="54">
        <f t="shared" si="121"/>
        <v>1525.2915458526575</v>
      </c>
      <c r="AK43" s="54">
        <f t="shared" si="121"/>
        <v>1517.8508488304456</v>
      </c>
      <c r="AL43" s="54">
        <f t="shared" si="121"/>
        <v>1546.1304354542224</v>
      </c>
      <c r="AM43" s="54">
        <f t="shared" si="121"/>
        <v>1575.2165028186132</v>
      </c>
      <c r="AN43" s="54">
        <f t="shared" si="121"/>
        <v>1592.0393170115321</v>
      </c>
      <c r="AO43" s="54">
        <f t="shared" si="121"/>
        <v>1561.6830942854635</v>
      </c>
      <c r="AP43" s="54">
        <f t="shared" si="121"/>
        <v>1010.370272276549</v>
      </c>
      <c r="AQ43" s="54">
        <f t="shared" si="121"/>
        <v>1029.510272275641</v>
      </c>
      <c r="AR43" s="54">
        <f t="shared" si="121"/>
        <v>930.52925842292404</v>
      </c>
      <c r="AS43" s="54">
        <f t="shared" si="121"/>
        <v>805.96043658807275</v>
      </c>
      <c r="AT43" s="54">
        <f t="shared" si="121"/>
        <v>786.86388994743731</v>
      </c>
      <c r="AU43" s="54">
        <f t="shared" si="121"/>
        <v>803.32404006141064</v>
      </c>
      <c r="AV43" s="54">
        <f t="shared" si="121"/>
        <v>820.16371160887161</v>
      </c>
      <c r="AW43" s="54">
        <f t="shared" si="121"/>
        <v>790.06827639547589</v>
      </c>
      <c r="AX43" s="54">
        <f t="shared" si="121"/>
        <v>806.58595750801328</v>
      </c>
      <c r="AY43" s="54">
        <f t="shared" si="121"/>
        <v>823.48165072581082</v>
      </c>
      <c r="AZ43" s="54">
        <f t="shared" si="121"/>
        <v>840.7629024950262</v>
      </c>
      <c r="BA43" s="54">
        <f t="shared" si="121"/>
        <v>674.2099313963821</v>
      </c>
      <c r="BB43" s="54">
        <f t="shared" si="121"/>
        <v>688.01824432570891</v>
      </c>
      <c r="BC43" s="54">
        <f t="shared" si="121"/>
        <v>702.13911849229589</v>
      </c>
      <c r="BD43" s="54">
        <f t="shared" si="121"/>
        <v>716.58023764070663</v>
      </c>
      <c r="BE43" s="54">
        <f t="shared" ref="BE43:CP43" si="122">SUM(BE44:BE49)</f>
        <v>731.34940631772861</v>
      </c>
      <c r="BF43" s="54">
        <f t="shared" si="122"/>
        <v>746.45136948336835</v>
      </c>
      <c r="BG43" s="54">
        <f t="shared" si="122"/>
        <v>761.8967050921508</v>
      </c>
      <c r="BH43" s="54">
        <f t="shared" si="122"/>
        <v>777.68885757297983</v>
      </c>
      <c r="BI43" s="54">
        <f t="shared" si="122"/>
        <v>793.83951966069378</v>
      </c>
      <c r="BJ43" s="54">
        <f t="shared" si="122"/>
        <v>810.35289843421788</v>
      </c>
      <c r="BK43" s="54">
        <f t="shared" si="122"/>
        <v>827.2398244184111</v>
      </c>
      <c r="BL43" s="54">
        <f t="shared" si="122"/>
        <v>844.50726638644392</v>
      </c>
      <c r="BM43" s="54">
        <f t="shared" si="122"/>
        <v>862.16360823608943</v>
      </c>
      <c r="BN43" s="54">
        <f t="shared" si="122"/>
        <v>880.21698016647406</v>
      </c>
      <c r="BO43" s="54">
        <f t="shared" si="122"/>
        <v>898.67654383329534</v>
      </c>
      <c r="BP43" s="54">
        <f t="shared" si="122"/>
        <v>917.55123990784045</v>
      </c>
      <c r="BQ43" s="54">
        <f t="shared" si="122"/>
        <v>936.85020862502927</v>
      </c>
      <c r="BR43" s="54">
        <f t="shared" si="122"/>
        <v>956.58198613035893</v>
      </c>
      <c r="BS43" s="54">
        <f t="shared" si="122"/>
        <v>934.03058791565149</v>
      </c>
      <c r="BT43" s="54">
        <f t="shared" si="122"/>
        <v>915.80075181204916</v>
      </c>
      <c r="BU43" s="54">
        <f t="shared" si="122"/>
        <v>934.99747114622085</v>
      </c>
      <c r="BV43" s="54">
        <f t="shared" si="122"/>
        <v>954.62344148277145</v>
      </c>
      <c r="BW43" s="54">
        <f t="shared" si="122"/>
        <v>974.68768280128972</v>
      </c>
      <c r="BX43" s="54">
        <f t="shared" si="122"/>
        <v>995.20063261999303</v>
      </c>
      <c r="BY43" s="54">
        <f t="shared" si="122"/>
        <v>1016.1697101482617</v>
      </c>
      <c r="BZ43" s="54">
        <f t="shared" si="122"/>
        <v>1037.6078020326734</v>
      </c>
      <c r="CA43" s="54">
        <f t="shared" si="122"/>
        <v>1059.523578122149</v>
      </c>
      <c r="CB43" s="54">
        <f t="shared" si="122"/>
        <v>1081.9295693279789</v>
      </c>
      <c r="CC43" s="54">
        <f t="shared" si="122"/>
        <v>1099.8783850916504</v>
      </c>
      <c r="CD43" s="54">
        <f t="shared" si="122"/>
        <v>1063.7284647377471</v>
      </c>
      <c r="CE43" s="54">
        <f t="shared" si="122"/>
        <v>1086.1664253674853</v>
      </c>
      <c r="CF43" s="54">
        <f t="shared" si="122"/>
        <v>1109.1019006342287</v>
      </c>
      <c r="CG43" s="54">
        <f t="shared" si="122"/>
        <v>1132.5466479651232</v>
      </c>
      <c r="CH43" s="54">
        <f t="shared" si="122"/>
        <v>604.61502442603739</v>
      </c>
      <c r="CI43" s="54">
        <f t="shared" si="122"/>
        <v>616.34335750200023</v>
      </c>
      <c r="CJ43" s="54">
        <f t="shared" si="122"/>
        <v>628.32127955201406</v>
      </c>
      <c r="CK43" s="54">
        <f t="shared" si="122"/>
        <v>640.55271267110902</v>
      </c>
      <c r="CL43" s="54">
        <f t="shared" si="122"/>
        <v>653.04211991499699</v>
      </c>
      <c r="CM43" s="54">
        <f t="shared" si="122"/>
        <v>665.79565898708393</v>
      </c>
      <c r="CN43" s="54">
        <f t="shared" si="122"/>
        <v>678.81921696695667</v>
      </c>
      <c r="CO43" s="54">
        <f t="shared" si="122"/>
        <v>692.1192045910683</v>
      </c>
      <c r="CP43" s="54">
        <f t="shared" si="122"/>
        <v>673.04608451243189</v>
      </c>
      <c r="CQ43" s="362" t="s">
        <v>77</v>
      </c>
      <c r="DB43" s="410" t="s">
        <v>272</v>
      </c>
      <c r="DD43" s="54">
        <f t="shared" ref="DD43:DO43" si="123">SUM(DD44:DD49)</f>
        <v>233.136</v>
      </c>
      <c r="DE43" s="54">
        <f t="shared" si="123"/>
        <v>208.53600000000003</v>
      </c>
      <c r="DF43" s="54">
        <f t="shared" si="123"/>
        <v>276.56799999999998</v>
      </c>
      <c r="DG43" s="54">
        <f t="shared" si="123"/>
        <v>273.31299999999999</v>
      </c>
      <c r="DH43" s="54">
        <f t="shared" si="123"/>
        <v>326.02000000000004</v>
      </c>
      <c r="DI43" s="54">
        <f t="shared" si="123"/>
        <v>358.16500000000002</v>
      </c>
      <c r="DJ43" s="54">
        <f t="shared" si="123"/>
        <v>402.01599999999996</v>
      </c>
      <c r="DK43" s="54">
        <f>SUM(DK44:DK49)</f>
        <v>421.59099999999995</v>
      </c>
      <c r="DL43" s="54">
        <f t="shared" si="123"/>
        <v>671.125</v>
      </c>
      <c r="DM43" s="54">
        <f t="shared" si="123"/>
        <v>664.45499999999993</v>
      </c>
      <c r="DN43" s="54">
        <f t="shared" si="123"/>
        <v>751.68200000000013</v>
      </c>
      <c r="DO43" s="54">
        <f t="shared" si="123"/>
        <v>701.9899999999999</v>
      </c>
      <c r="DP43" s="54">
        <f t="shared" ref="DP43" si="124">SUM(DP44:DP49)</f>
        <v>745.76299999999992</v>
      </c>
      <c r="DQ43" s="54">
        <f>X43-DP43</f>
        <v>732.41506806401799</v>
      </c>
      <c r="DR43" s="54"/>
      <c r="DS43" s="54"/>
      <c r="DT43" s="374"/>
      <c r="DU43" s="420">
        <f t="shared" ref="DU43:DU52" si="125">+(DD43/(DD43+DE43))</f>
        <v>0.52784872031733954</v>
      </c>
      <c r="DV43" s="420">
        <f t="shared" ref="DV43:DV52" si="126">+(DF43/(DF43+DG43))</f>
        <v>0.50295973128731486</v>
      </c>
      <c r="DW43" s="420">
        <f t="shared" ref="DW43:DW48" si="127">+(DH43/(DH43+DI43))</f>
        <v>0.47650854666501019</v>
      </c>
      <c r="DX43" s="420">
        <f t="shared" ref="DX43:DX54" si="128">+(DJ43/(DJ43+DK43))</f>
        <v>0.48811629818590663</v>
      </c>
      <c r="DY43" s="420">
        <f>+(DL43/(DL43+DM43))</f>
        <v>0.50249704248341542</v>
      </c>
      <c r="DZ43" s="420">
        <f>+(DN43/(DN43+DO43))</f>
        <v>0.5170918886791519</v>
      </c>
    </row>
    <row r="44" spans="2:156" s="98" customFormat="1" ht="11.25" customHeight="1" outlineLevel="1" x14ac:dyDescent="0.2">
      <c r="B44" s="103" t="s">
        <v>235</v>
      </c>
      <c r="D44" s="57"/>
      <c r="E44" s="57"/>
      <c r="F44" s="57"/>
      <c r="G44" s="57"/>
      <c r="H44" s="57"/>
      <c r="I44" s="57"/>
      <c r="J44" s="57"/>
      <c r="K44" s="57" t="s">
        <v>78</v>
      </c>
      <c r="L44" s="57" t="s">
        <v>78</v>
      </c>
      <c r="M44" s="57">
        <v>73.831000000000003</v>
      </c>
      <c r="N44" s="57">
        <v>96.777000000000001</v>
      </c>
      <c r="O44" s="57">
        <v>97.271000000000001</v>
      </c>
      <c r="P44" s="57">
        <v>103.30200000000001</v>
      </c>
      <c r="Q44" s="57">
        <v>71.685000000000002</v>
      </c>
      <c r="R44" s="57">
        <v>79.566000000000003</v>
      </c>
      <c r="S44" s="57">
        <v>163.74799999999999</v>
      </c>
      <c r="T44" s="406">
        <v>234.459</v>
      </c>
      <c r="U44" s="406">
        <v>340.13099999999997</v>
      </c>
      <c r="V44" s="406">
        <v>855.75300000000004</v>
      </c>
      <c r="W44" s="406">
        <v>925.36599999999999</v>
      </c>
      <c r="X44" s="621">
        <f>+Qld!X22</f>
        <v>947.24074016647421</v>
      </c>
      <c r="Y44" s="621">
        <f>+Qld!Y22</f>
        <v>988.37103893092797</v>
      </c>
      <c r="Z44" s="621">
        <f>+Qld!Z22</f>
        <v>1007.250983787222</v>
      </c>
      <c r="AA44" s="621">
        <f>+Qld!AA22</f>
        <v>999.41976653501831</v>
      </c>
      <c r="AB44" s="621">
        <f>+Qld!AB22</f>
        <v>1017.8218101825956</v>
      </c>
      <c r="AC44" s="621">
        <f>+Qld!AC22</f>
        <v>1039.5287990784118</v>
      </c>
      <c r="AD44" s="621">
        <f>+Qld!AD22</f>
        <v>1062.1779006978691</v>
      </c>
      <c r="AE44" s="621">
        <f>+Qld!AE22</f>
        <v>1085.3134057341501</v>
      </c>
      <c r="AF44" s="621">
        <f>+Qld!AF22</f>
        <v>1108.9459515586257</v>
      </c>
      <c r="AG44" s="621">
        <f>+Qld!AG22</f>
        <v>1134.4347394633198</v>
      </c>
      <c r="AH44" s="621">
        <f>+Qld!AH22</f>
        <v>1158.7008455939858</v>
      </c>
      <c r="AI44" s="621">
        <f>+Qld!AI22</f>
        <v>1023.0982002860235</v>
      </c>
      <c r="AJ44" s="621">
        <f>+Qld!AJ22</f>
        <v>935.20782515608528</v>
      </c>
      <c r="AK44" s="621">
        <f>+Qld!AK22</f>
        <v>938.40527334166291</v>
      </c>
      <c r="AL44" s="621">
        <f>+Qld!AL22</f>
        <v>957.0123552643829</v>
      </c>
      <c r="AM44" s="621">
        <f>+Qld!AM22</f>
        <v>975.99274833462539</v>
      </c>
      <c r="AN44" s="621">
        <f>+Qld!AN22</f>
        <v>995.35290457026269</v>
      </c>
      <c r="AO44" s="621">
        <f>+Qld!AO22</f>
        <v>954.70207679547786</v>
      </c>
      <c r="AP44" s="621">
        <f>+Qld!AP22</f>
        <v>392.84746648749683</v>
      </c>
      <c r="AQ44" s="621">
        <f>+Qld!AQ22</f>
        <v>401.19124495423841</v>
      </c>
      <c r="AR44" s="621">
        <f>+Qld!AR22</f>
        <v>291.15497581076585</v>
      </c>
      <c r="AS44" s="621">
        <f>+Qld!AS22</f>
        <v>297.30547928759665</v>
      </c>
      <c r="AT44" s="621">
        <f>+Qld!AT22</f>
        <v>303.58579269385791</v>
      </c>
      <c r="AU44" s="621">
        <f>+Qld!AU22</f>
        <v>309.99864647905451</v>
      </c>
      <c r="AV44" s="621">
        <f>+Qld!AV22</f>
        <v>316.54682815491992</v>
      </c>
      <c r="AW44" s="621">
        <f>+Qld!AW22</f>
        <v>318.08505965029167</v>
      </c>
      <c r="AX44" s="621">
        <f>+Qld!AX22</f>
        <v>324.80423380276079</v>
      </c>
      <c r="AY44" s="621">
        <f>+Qld!AY22</f>
        <v>331.66523169892821</v>
      </c>
      <c r="AZ44" s="621">
        <f>+Qld!AZ22</f>
        <v>338.67103714979697</v>
      </c>
      <c r="BA44" s="621">
        <f>+Qld!BA22</f>
        <v>276.8187101654762</v>
      </c>
      <c r="BB44" s="621">
        <f>+Qld!BB22</f>
        <v>282.53140392516195</v>
      </c>
      <c r="BC44" s="621">
        <f>+Qld!BC22</f>
        <v>288.36160191630654</v>
      </c>
      <c r="BD44" s="621">
        <f>+Qld!BD22</f>
        <v>294.31170461715078</v>
      </c>
      <c r="BE44" s="621">
        <f>+Qld!BE22</f>
        <v>300.38416097823091</v>
      </c>
      <c r="BF44" s="621">
        <f>+Qld!BF22</f>
        <v>306.5814693832441</v>
      </c>
      <c r="BG44" s="621">
        <f>+Qld!BG22</f>
        <v>312.90617862841566</v>
      </c>
      <c r="BH44" s="621">
        <f>+Qld!BH22</f>
        <v>319.36088892070688</v>
      </c>
      <c r="BI44" s="621">
        <f>+Qld!BI22</f>
        <v>325.94825289520878</v>
      </c>
      <c r="BJ44" s="621">
        <f>+Qld!BJ22</f>
        <v>332.67097665207461</v>
      </c>
      <c r="BK44" s="621">
        <f>+Qld!BK22</f>
        <v>339.53182081334649</v>
      </c>
      <c r="BL44" s="621">
        <f>+Qld!BL22</f>
        <v>346.5336016000403</v>
      </c>
      <c r="BM44" s="621">
        <f>+Qld!BM22</f>
        <v>353.67919192985875</v>
      </c>
      <c r="BN44" s="621">
        <f>+Qld!BN22</f>
        <v>360.9715225359061</v>
      </c>
      <c r="BO44" s="621">
        <f>+Qld!BO22</f>
        <v>368.41358310678879</v>
      </c>
      <c r="BP44" s="621">
        <f>+Qld!BP22</f>
        <v>376.00842344848706</v>
      </c>
      <c r="BQ44" s="621">
        <f>+Qld!BQ22</f>
        <v>383.75915466839456</v>
      </c>
      <c r="BR44" s="621">
        <f>+Qld!BR22</f>
        <v>391.66895038192519</v>
      </c>
      <c r="BS44" s="621">
        <f>+Qld!BS22</f>
        <v>399.74104794209433</v>
      </c>
      <c r="BT44" s="621">
        <f>+Qld!BT22</f>
        <v>407.97874969249102</v>
      </c>
      <c r="BU44" s="621">
        <f>+Qld!BU22</f>
        <v>416.3854242440583</v>
      </c>
      <c r="BV44" s="621">
        <f>+Qld!BV22</f>
        <v>424.9645077761117</v>
      </c>
      <c r="BW44" s="621">
        <f>+Qld!BW22</f>
        <v>433.71950536203087</v>
      </c>
      <c r="BX44" s="621">
        <f>+Qld!BX22</f>
        <v>442.65399232006376</v>
      </c>
      <c r="BY44" s="621">
        <f>+Qld!BY22</f>
        <v>451.77161558969385</v>
      </c>
      <c r="BZ44" s="621">
        <f>+Qld!BZ22</f>
        <v>461.07609513402537</v>
      </c>
      <c r="CA44" s="621">
        <f>+Qld!CA22</f>
        <v>470.57122536865063</v>
      </c>
      <c r="CB44" s="621">
        <f>+Qld!CB22</f>
        <v>480.26087661746789</v>
      </c>
      <c r="CC44" s="621">
        <f>+Qld!CC22</f>
        <v>490.14899659593016</v>
      </c>
      <c r="CD44" s="621">
        <f>+Qld!CD22</f>
        <v>500.23961192220884</v>
      </c>
      <c r="CE44" s="621">
        <f>+Qld!CE22</f>
        <v>510.53682965676575</v>
      </c>
      <c r="CF44" s="621">
        <f>+Qld!CF22</f>
        <v>521.04483887083347</v>
      </c>
      <c r="CG44" s="621">
        <f>+Qld!CG22</f>
        <v>531.76791224431463</v>
      </c>
      <c r="CH44" s="621">
        <f>+Qld!CH22</f>
        <v>-9.1868025873116039</v>
      </c>
      <c r="CI44" s="621">
        <f>+Qld!CI22</f>
        <v>-10.788748355111387</v>
      </c>
      <c r="CJ44" s="621">
        <f>+Qld!CJ22</f>
        <v>-12.457059892094925</v>
      </c>
      <c r="CK44" s="621">
        <f>+Qld!CK22</f>
        <v>-14.193902160174041</v>
      </c>
      <c r="CL44" s="621">
        <f>+Qld!CL22</f>
        <v>-16.001503993411607</v>
      </c>
      <c r="CM44" s="621">
        <f>+Qld!CM22</f>
        <v>-17.88215988330662</v>
      </c>
      <c r="CN44" s="621">
        <f>+Qld!CN22</f>
        <v>-19.838231812369727</v>
      </c>
      <c r="CO44" s="621">
        <f>+Qld!CO22</f>
        <v>-21.872151137268983</v>
      </c>
      <c r="CP44" s="621">
        <f>+Qld!CP22</f>
        <v>-56.640046097062907</v>
      </c>
      <c r="CQ44" s="362" t="s">
        <v>77</v>
      </c>
      <c r="CR44" s="418"/>
      <c r="CS44" s="418"/>
      <c r="CT44" s="418"/>
      <c r="CU44"/>
      <c r="CV44"/>
      <c r="CW44"/>
      <c r="CX44"/>
      <c r="CY44"/>
      <c r="CZ44"/>
      <c r="DB44" s="103" t="s">
        <v>235</v>
      </c>
      <c r="DD44" s="57">
        <v>41.664000000000001</v>
      </c>
      <c r="DE44" s="118">
        <f t="shared" ref="DE44:DE49" si="129">+R44-DD44</f>
        <v>37.902000000000001</v>
      </c>
      <c r="DF44" s="57">
        <v>64.286000000000001</v>
      </c>
      <c r="DG44" s="118">
        <f t="shared" ref="DG44:DG49" si="130">+S44-DF44</f>
        <v>99.461999999999989</v>
      </c>
      <c r="DH44" s="57">
        <v>108.78700000000001</v>
      </c>
      <c r="DI44" s="119">
        <f t="shared" ref="DI44:DI49" si="131">+T44-DH44</f>
        <v>125.672</v>
      </c>
      <c r="DJ44" s="142">
        <v>146.548</v>
      </c>
      <c r="DK44" s="119">
        <f t="shared" ref="DK44:DK49" si="132">+U44-DJ44</f>
        <v>193.58299999999997</v>
      </c>
      <c r="DL44" s="189">
        <v>426.71800000000002</v>
      </c>
      <c r="DM44" s="98">
        <f t="shared" ref="DM44:DM49" si="133">V44-DL44</f>
        <v>429.03500000000003</v>
      </c>
      <c r="DN44" s="189">
        <v>460.89600000000002</v>
      </c>
      <c r="DO44" s="98">
        <f t="shared" ref="DO44:DO49" si="134">W44-DN44</f>
        <v>464.46999999999997</v>
      </c>
      <c r="DP44" s="189">
        <v>474.02300000000002</v>
      </c>
      <c r="DQ44" s="98">
        <f>X44-DP44</f>
        <v>473.21774016647419</v>
      </c>
      <c r="DR44" s="188"/>
      <c r="DT44" s="413"/>
      <c r="DU44" s="413">
        <f t="shared" si="125"/>
        <v>0.52364075107457964</v>
      </c>
      <c r="DV44" s="413">
        <f t="shared" si="126"/>
        <v>0.39259105454723114</v>
      </c>
      <c r="DW44" s="413">
        <f t="shared" si="127"/>
        <v>0.46399157208723063</v>
      </c>
      <c r="DX44" s="413">
        <f>+(DJ44/(DJ44+DK44))</f>
        <v>0.43085752254278503</v>
      </c>
      <c r="DY44" s="413">
        <f>+(DL44/(DL44+DM44))</f>
        <v>0.49864622151485299</v>
      </c>
      <c r="DZ44" s="413">
        <f t="shared" ref="DZ44:DZ52" si="135">+(DN44/(DN44+DO44))</f>
        <v>0.4980688722084019</v>
      </c>
      <c r="EB44" s="413">
        <f t="shared" ref="EB44:EF48" si="136">+DH44/DF44-1</f>
        <v>0.6922347011791059</v>
      </c>
      <c r="EC44" s="413">
        <f t="shared" si="136"/>
        <v>0.26351772536245011</v>
      </c>
      <c r="ED44" s="413">
        <f t="shared" si="136"/>
        <v>0.34710948918528861</v>
      </c>
      <c r="EE44" s="413">
        <f t="shared" si="136"/>
        <v>0.54038290152142054</v>
      </c>
      <c r="EF44" s="413">
        <f t="shared" si="136"/>
        <v>1.9117968174250075</v>
      </c>
      <c r="EG44" s="413"/>
    </row>
    <row r="45" spans="2:156" s="98" customFormat="1" ht="11.25" customHeight="1" outlineLevel="1" x14ac:dyDescent="0.2">
      <c r="B45" s="103" t="s">
        <v>236</v>
      </c>
      <c r="D45" s="57"/>
      <c r="E45" s="57"/>
      <c r="F45" s="57"/>
      <c r="G45" s="57"/>
      <c r="H45" s="57"/>
      <c r="I45" s="57"/>
      <c r="J45" s="57"/>
      <c r="K45" s="57" t="s">
        <v>78</v>
      </c>
      <c r="L45" s="57" t="s">
        <v>78</v>
      </c>
      <c r="M45" s="57">
        <v>46.53</v>
      </c>
      <c r="N45" s="57">
        <v>66.534000000000006</v>
      </c>
      <c r="O45" s="57">
        <v>83.43</v>
      </c>
      <c r="P45" s="57">
        <v>96.840999999999994</v>
      </c>
      <c r="Q45" s="57">
        <v>101.26600000000001</v>
      </c>
      <c r="R45" s="57">
        <v>113.098</v>
      </c>
      <c r="S45" s="57">
        <v>112.65900000000001</v>
      </c>
      <c r="T45" s="406">
        <v>115.569</v>
      </c>
      <c r="U45" s="406">
        <v>120.80800000000001</v>
      </c>
      <c r="V45" s="406">
        <v>121.709</v>
      </c>
      <c r="W45" s="406">
        <v>149.48400000000001</v>
      </c>
      <c r="X45" s="621">
        <f>+NSW!X20</f>
        <v>133.22110000000001</v>
      </c>
      <c r="Y45" s="621">
        <f>+NSW!Y20</f>
        <v>136.55162749999997</v>
      </c>
      <c r="Z45" s="621">
        <f>+NSW!Z20</f>
        <v>139.96541818749995</v>
      </c>
      <c r="AA45" s="621">
        <f>+NSW!AA20</f>
        <v>91.978484553421708</v>
      </c>
      <c r="AB45" s="621">
        <f>+NSW!AB20</f>
        <v>94.126448194617694</v>
      </c>
      <c r="AC45" s="621">
        <f>+NSW!AC20</f>
        <v>96.324512838118409</v>
      </c>
      <c r="AD45" s="621">
        <f>+NSW!AD20</f>
        <v>98.573845554374202</v>
      </c>
      <c r="AE45" s="621">
        <f>+NSW!AE20</f>
        <v>100.87564056104986</v>
      </c>
      <c r="AF45" s="621">
        <f>+NSW!AF20</f>
        <v>86.187668381402091</v>
      </c>
      <c r="AG45" s="621">
        <f>+NSW!AG20</f>
        <v>88.193300405316833</v>
      </c>
      <c r="AH45" s="621">
        <f>+NSW!AH20</f>
        <v>90.245533062295948</v>
      </c>
      <c r="AI45" s="621">
        <f>+NSW!AI20</f>
        <v>92.345447289187163</v>
      </c>
      <c r="AJ45" s="621">
        <f>+NSW!AJ20</f>
        <v>94.494149049383566</v>
      </c>
      <c r="AK45" s="621">
        <f>+NSW!AK20</f>
        <v>96.692769911061617</v>
      </c>
      <c r="AL45" s="621">
        <f>+NSW!AL20</f>
        <v>98.942467638748369</v>
      </c>
      <c r="AM45" s="621">
        <f>+NSW!AM20</f>
        <v>101.24442679852518</v>
      </c>
      <c r="AN45" s="621">
        <f>+NSW!AN20</f>
        <v>103.59985937718061</v>
      </c>
      <c r="AO45" s="621">
        <f>+NSW!AO20</f>
        <v>106.01000541563386</v>
      </c>
      <c r="AP45" s="621">
        <f>+NSW!AP20</f>
        <v>108.47613365695649</v>
      </c>
      <c r="AQ45" s="621">
        <f>+NSW!AQ20</f>
        <v>110.99954220932808</v>
      </c>
      <c r="AR45" s="621">
        <f>+NSW!AR20</f>
        <v>113.58155922426897</v>
      </c>
      <c r="AS45" s="621">
        <f>+NSW!AS20</f>
        <v>116.22354359050142</v>
      </c>
      <c r="AT45" s="621">
        <f>+NSW!AT20</f>
        <v>118.92688564379831</v>
      </c>
      <c r="AU45" s="621">
        <f>+NSW!AU20</f>
        <v>121.69300789318658</v>
      </c>
      <c r="AV45" s="621">
        <f>+NSW!AV20</f>
        <v>124.52336576388149</v>
      </c>
      <c r="AW45" s="621">
        <f>+NSW!AW20</f>
        <v>127.41944835733622</v>
      </c>
      <c r="AX45" s="621">
        <f>+NSW!AX20</f>
        <v>130.38277922879956</v>
      </c>
      <c r="AY45" s="621">
        <f>+NSW!AY20</f>
        <v>133.41491718278456</v>
      </c>
      <c r="AZ45" s="621">
        <f>+NSW!AZ20</f>
        <v>136.51745708685922</v>
      </c>
      <c r="BA45" s="621">
        <f>+NSW!BA20</f>
        <v>24.469268341881151</v>
      </c>
      <c r="BB45" s="621">
        <f>+NSW!BB20</f>
        <v>25.038340604186608</v>
      </c>
      <c r="BC45" s="621">
        <f>+NSW!BC20</f>
        <v>25.620626511201465</v>
      </c>
      <c r="BD45" s="621">
        <f>+NSW!BD20</f>
        <v>26.216432341449561</v>
      </c>
      <c r="BE45" s="621">
        <f>+NSW!BE20</f>
        <v>26.826071458931224</v>
      </c>
      <c r="BF45" s="621">
        <f>+NSW!BF20</f>
        <v>27.449864476687381</v>
      </c>
      <c r="BG45" s="621">
        <f>+NSW!BG20</f>
        <v>28.088139424130414</v>
      </c>
      <c r="BH45" s="621">
        <f>+NSW!BH20</f>
        <v>28.741231918228259</v>
      </c>
      <c r="BI45" s="621">
        <f>+NSW!BI20</f>
        <v>29.409485338630297</v>
      </c>
      <c r="BJ45" s="621">
        <f>+NSW!BJ20</f>
        <v>30.09325100682549</v>
      </c>
      <c r="BK45" s="621">
        <f>+NSW!BK20</f>
        <v>30.792888369425381</v>
      </c>
      <c r="BL45" s="621">
        <f>+NSW!BL20</f>
        <v>31.508765185666721</v>
      </c>
      <c r="BM45" s="621">
        <f>+NSW!BM20</f>
        <v>32.241257719230475</v>
      </c>
      <c r="BN45" s="621">
        <f>+NSW!BN20</f>
        <v>32.990750934476473</v>
      </c>
      <c r="BO45" s="621">
        <f>+NSW!BO20</f>
        <v>33.75763869719492</v>
      </c>
      <c r="BP45" s="621">
        <f>+NSW!BP20</f>
        <v>34.542323979978555</v>
      </c>
      <c r="BQ45" s="621">
        <f>+NSW!BQ20</f>
        <v>35.345219072321427</v>
      </c>
      <c r="BR45" s="621">
        <f>+NSW!BR20</f>
        <v>36.166745795552899</v>
      </c>
      <c r="BS45" s="621">
        <f>+NSW!BS20</f>
        <v>37.007335722717713</v>
      </c>
      <c r="BT45" s="621">
        <f>+NSW!BT20</f>
        <v>0</v>
      </c>
      <c r="BU45" s="621">
        <f>+NSW!BU20</f>
        <v>0</v>
      </c>
      <c r="BV45" s="621">
        <f>+NSW!BV20</f>
        <v>0</v>
      </c>
      <c r="BW45" s="621">
        <f>+NSW!BW20</f>
        <v>0</v>
      </c>
      <c r="BX45" s="621">
        <f>+NSW!BX20</f>
        <v>0</v>
      </c>
      <c r="BY45" s="621">
        <f>+NSW!BY20</f>
        <v>0</v>
      </c>
      <c r="BZ45" s="621">
        <f>+NSW!BZ20</f>
        <v>0</v>
      </c>
      <c r="CA45" s="621">
        <f>+NSW!CA20</f>
        <v>0</v>
      </c>
      <c r="CB45" s="621">
        <f>+NSW!CB20</f>
        <v>0</v>
      </c>
      <c r="CC45" s="621">
        <f>+NSW!CC20</f>
        <v>0</v>
      </c>
      <c r="CD45" s="621">
        <f>+NSW!CD20</f>
        <v>0</v>
      </c>
      <c r="CE45" s="621">
        <f>+NSW!CE20</f>
        <v>0</v>
      </c>
      <c r="CF45" s="621">
        <f>+NSW!CF20</f>
        <v>0</v>
      </c>
      <c r="CG45" s="621">
        <f>+NSW!CG20</f>
        <v>0</v>
      </c>
      <c r="CH45" s="621">
        <f>+NSW!CH20</f>
        <v>0</v>
      </c>
      <c r="CI45" s="621">
        <f>+NSW!CI20</f>
        <v>0</v>
      </c>
      <c r="CJ45" s="621">
        <f>+NSW!CJ20</f>
        <v>0</v>
      </c>
      <c r="CK45" s="621">
        <f>+NSW!CK20</f>
        <v>0</v>
      </c>
      <c r="CL45" s="621">
        <f>+NSW!CL20</f>
        <v>0</v>
      </c>
      <c r="CM45" s="621">
        <f>+NSW!CM20</f>
        <v>0</v>
      </c>
      <c r="CN45" s="621">
        <f>+NSW!CN20</f>
        <v>0</v>
      </c>
      <c r="CO45" s="621">
        <f>+NSW!CO20</f>
        <v>0</v>
      </c>
      <c r="CP45" s="621">
        <f>+NSW!CP20</f>
        <v>0</v>
      </c>
      <c r="CQ45" s="362" t="s">
        <v>77</v>
      </c>
      <c r="CR45" s="413"/>
      <c r="CS45" s="413"/>
      <c r="CT45" s="413"/>
      <c r="CU45"/>
      <c r="CV45"/>
      <c r="CW45"/>
      <c r="CX45"/>
      <c r="CY45"/>
      <c r="CZ45"/>
      <c r="DB45" s="103" t="s">
        <v>236</v>
      </c>
      <c r="DD45" s="57">
        <v>60.167999999999999</v>
      </c>
      <c r="DE45" s="118">
        <f t="shared" si="129"/>
        <v>52.93</v>
      </c>
      <c r="DF45" s="57">
        <v>58.756</v>
      </c>
      <c r="DG45" s="118">
        <f t="shared" si="130"/>
        <v>53.903000000000006</v>
      </c>
      <c r="DH45" s="57">
        <v>62.167000000000002</v>
      </c>
      <c r="DI45" s="119">
        <f t="shared" si="131"/>
        <v>53.402000000000001</v>
      </c>
      <c r="DJ45" s="142">
        <v>63.677</v>
      </c>
      <c r="DK45" s="119">
        <f t="shared" si="132"/>
        <v>57.131000000000007</v>
      </c>
      <c r="DL45" s="189">
        <v>63.314999999999998</v>
      </c>
      <c r="DM45" s="98">
        <f t="shared" si="133"/>
        <v>58.394000000000005</v>
      </c>
      <c r="DN45" s="189">
        <v>80.808999999999997</v>
      </c>
      <c r="DO45" s="98">
        <f t="shared" si="134"/>
        <v>68.675000000000011</v>
      </c>
      <c r="DP45" s="189">
        <v>71.820999999999998</v>
      </c>
      <c r="DQ45" s="98">
        <f t="shared" ref="DQ45:DQ59" si="137">X45-DP45</f>
        <v>61.400100000000009</v>
      </c>
      <c r="DR45" s="188"/>
      <c r="DT45" s="413"/>
      <c r="DU45" s="413">
        <f t="shared" si="125"/>
        <v>0.53199879750305046</v>
      </c>
      <c r="DV45" s="413">
        <f t="shared" si="126"/>
        <v>0.52153844788254822</v>
      </c>
      <c r="DW45" s="413">
        <f t="shared" si="127"/>
        <v>0.53792106879872625</v>
      </c>
      <c r="DX45" s="413">
        <f t="shared" si="128"/>
        <v>0.52709257665055287</v>
      </c>
      <c r="DY45" s="413">
        <f t="shared" ref="DY45:DY54" si="138">+(DL45/(DL45+DM45))</f>
        <v>0.52021625352274681</v>
      </c>
      <c r="DZ45" s="413">
        <f t="shared" si="135"/>
        <v>0.54058628348184412</v>
      </c>
      <c r="EB45" s="413">
        <f t="shared" si="136"/>
        <v>5.8053645585131708E-2</v>
      </c>
      <c r="EC45" s="413">
        <f t="shared" si="136"/>
        <v>-9.2944734059329237E-3</v>
      </c>
      <c r="ED45" s="413">
        <f t="shared" si="136"/>
        <v>2.4289413997780063E-2</v>
      </c>
      <c r="EE45" s="413">
        <f t="shared" si="136"/>
        <v>6.9828845361597169E-2</v>
      </c>
      <c r="EF45" s="413">
        <f t="shared" si="136"/>
        <v>-5.6849411875560252E-3</v>
      </c>
      <c r="EG45" s="413"/>
    </row>
    <row r="46" spans="2:156" s="98" customFormat="1" ht="11.25" customHeight="1" outlineLevel="1" x14ac:dyDescent="0.2">
      <c r="B46" s="103" t="s">
        <v>237</v>
      </c>
      <c r="D46" s="57"/>
      <c r="E46" s="57"/>
      <c r="F46" s="57"/>
      <c r="G46" s="57"/>
      <c r="H46" s="57"/>
      <c r="I46" s="57"/>
      <c r="J46" s="57"/>
      <c r="K46" s="57" t="s">
        <v>78</v>
      </c>
      <c r="L46" s="57" t="s">
        <v>78</v>
      </c>
      <c r="M46" s="57">
        <v>50.325000000000003</v>
      </c>
      <c r="N46" s="57">
        <v>75.186999999999998</v>
      </c>
      <c r="O46" s="57">
        <v>105.773</v>
      </c>
      <c r="P46" s="57">
        <v>103.98699999999999</v>
      </c>
      <c r="Q46" s="57">
        <v>114.26300000000001</v>
      </c>
      <c r="R46" s="57">
        <v>121.54900000000001</v>
      </c>
      <c r="S46" s="57">
        <v>124.014</v>
      </c>
      <c r="T46" s="406">
        <v>127.616</v>
      </c>
      <c r="U46" s="406">
        <v>130.16999999999999</v>
      </c>
      <c r="V46" s="406">
        <v>120.8</v>
      </c>
      <c r="W46" s="406">
        <v>123.008</v>
      </c>
      <c r="X46" s="621">
        <f>+'VIC&amp;SA'!X23</f>
        <v>124.07234414499096</v>
      </c>
      <c r="Y46" s="621">
        <f>+'VIC&amp;SA'!Y23</f>
        <v>124.67313123851154</v>
      </c>
      <c r="Z46" s="621">
        <f>+'VIC&amp;SA'!Z23</f>
        <v>148.71348005286251</v>
      </c>
      <c r="AA46" s="621">
        <f>+'VIC&amp;SA'!AA23</f>
        <v>151.24807173674168</v>
      </c>
      <c r="AB46" s="621">
        <f>+'VIC&amp;SA'!AB23</f>
        <v>153.85230325577714</v>
      </c>
      <c r="AC46" s="621">
        <f>+'VIC&amp;SA'!AC23</f>
        <v>154.9276349127517</v>
      </c>
      <c r="AD46" s="621">
        <f>+'VIC&amp;SA'!AD23</f>
        <v>155.79173053062047</v>
      </c>
      <c r="AE46" s="621">
        <f>+'VIC&amp;SA'!AE23</f>
        <v>159.90004675486281</v>
      </c>
      <c r="AF46" s="621">
        <f>+'VIC&amp;SA'!AF23</f>
        <v>163.57645214926421</v>
      </c>
      <c r="AG46" s="621">
        <f>+'VIC&amp;SA'!AG23</f>
        <v>164.95614789119648</v>
      </c>
      <c r="AH46" s="621">
        <f>+'VIC&amp;SA'!AH23</f>
        <v>166.36661926527441</v>
      </c>
      <c r="AI46" s="621">
        <f>+'VIC&amp;SA'!AI23</f>
        <v>167.75920761856239</v>
      </c>
      <c r="AJ46" s="621">
        <f>+'VIC&amp;SA'!AJ23</f>
        <v>169.18301509260371</v>
      </c>
      <c r="AK46" s="621">
        <f>+'VIC&amp;SA'!AK23</f>
        <v>170.63917026500104</v>
      </c>
      <c r="AL46" s="621">
        <f>+'VIC&amp;SA'!AL23</f>
        <v>172.12806904265454</v>
      </c>
      <c r="AM46" s="621">
        <f>+'VIC&amp;SA'!AM23</f>
        <v>173.65012426176384</v>
      </c>
      <c r="AN46" s="621">
        <f>+'VIC&amp;SA'!AN23</f>
        <v>175.20727200738384</v>
      </c>
      <c r="AO46" s="621">
        <f>+'VIC&amp;SA'!AO23</f>
        <v>176.79958952590414</v>
      </c>
      <c r="AP46" s="621">
        <f>+'VIC&amp;SA'!AP23</f>
        <v>178.42754821208212</v>
      </c>
      <c r="AQ46" s="621">
        <f>+'VIC&amp;SA'!AQ23</f>
        <v>180.09276828469427</v>
      </c>
      <c r="AR46" s="621">
        <f>+'VIC&amp;SA'!AR23</f>
        <v>181.79614008763846</v>
      </c>
      <c r="AS46" s="621">
        <f>+'VIC&amp;SA'!AS23</f>
        <v>41.497791235992231</v>
      </c>
      <c r="AT46" s="621">
        <f>+'VIC&amp;SA'!AT23</f>
        <v>6.3096076335769453</v>
      </c>
      <c r="AU46" s="621">
        <f>+'VIC&amp;SA'!AU23</f>
        <v>6.3096076335769453</v>
      </c>
      <c r="AV46" s="621">
        <f>+'VIC&amp;SA'!AV23</f>
        <v>6.3096076335769453</v>
      </c>
      <c r="AW46" s="621">
        <f>+'VIC&amp;SA'!AW23</f>
        <v>6.3096076335769453</v>
      </c>
      <c r="AX46" s="621">
        <f>+'VIC&amp;SA'!AX23</f>
        <v>6.3096076335769453</v>
      </c>
      <c r="AY46" s="621">
        <f>+'VIC&amp;SA'!AY23</f>
        <v>6.3096076335769453</v>
      </c>
      <c r="AZ46" s="621">
        <f>+'VIC&amp;SA'!AZ23</f>
        <v>6.3096076335769453</v>
      </c>
      <c r="BA46" s="621">
        <f>+'VIC&amp;SA'!BA23</f>
        <v>6.3096076335769453</v>
      </c>
      <c r="BB46" s="621">
        <f>+'VIC&amp;SA'!BB23</f>
        <v>6.3096076335769453</v>
      </c>
      <c r="BC46" s="621">
        <f>+'VIC&amp;SA'!BC23</f>
        <v>6.3096076335769453</v>
      </c>
      <c r="BD46" s="621">
        <f>+'VIC&amp;SA'!BD23</f>
        <v>6.3096076335769453</v>
      </c>
      <c r="BE46" s="621">
        <f>+'VIC&amp;SA'!BE23</f>
        <v>6.3096076335769453</v>
      </c>
      <c r="BF46" s="621">
        <f>+'VIC&amp;SA'!BF23</f>
        <v>6.3096076335769453</v>
      </c>
      <c r="BG46" s="621">
        <f>+'VIC&amp;SA'!BG23</f>
        <v>6.3096076335769453</v>
      </c>
      <c r="BH46" s="621">
        <f>+'VIC&amp;SA'!BH23</f>
        <v>6.3096076335769453</v>
      </c>
      <c r="BI46" s="621">
        <f>+'VIC&amp;SA'!BI23</f>
        <v>6.3096076335769453</v>
      </c>
      <c r="BJ46" s="621">
        <f>+'VIC&amp;SA'!BJ23</f>
        <v>6.3096076335769453</v>
      </c>
      <c r="BK46" s="621">
        <f>+'VIC&amp;SA'!BK23</f>
        <v>6.3096076335769453</v>
      </c>
      <c r="BL46" s="621">
        <f>+'VIC&amp;SA'!BL23</f>
        <v>6.3096076335769453</v>
      </c>
      <c r="BM46" s="621">
        <f>+'VIC&amp;SA'!BM23</f>
        <v>6.3096076335769453</v>
      </c>
      <c r="BN46" s="621">
        <f>+'VIC&amp;SA'!BN23</f>
        <v>6.3096076335769453</v>
      </c>
      <c r="BO46" s="621">
        <f>+'VIC&amp;SA'!BO23</f>
        <v>6.3096076335769453</v>
      </c>
      <c r="BP46" s="621">
        <f>+'VIC&amp;SA'!BP23</f>
        <v>6.3096076335769453</v>
      </c>
      <c r="BQ46" s="621">
        <f>+'VIC&amp;SA'!BQ23</f>
        <v>6.3096076335769453</v>
      </c>
      <c r="BR46" s="621">
        <f>+'VIC&amp;SA'!BR23</f>
        <v>6.3096076335769453</v>
      </c>
      <c r="BS46" s="621">
        <f>+'VIC&amp;SA'!BS23</f>
        <v>6.3096076335769453</v>
      </c>
      <c r="BT46" s="621">
        <f>+'VIC&amp;SA'!BT23</f>
        <v>6.3096076335769453</v>
      </c>
      <c r="BU46" s="621">
        <f>+'VIC&amp;SA'!BU23</f>
        <v>6.3096076335769453</v>
      </c>
      <c r="BV46" s="621">
        <f>+'VIC&amp;SA'!BV23</f>
        <v>6.3096076335769453</v>
      </c>
      <c r="BW46" s="621">
        <f>+'VIC&amp;SA'!BW23</f>
        <v>6.3096076335769453</v>
      </c>
      <c r="BX46" s="621">
        <f>+'VIC&amp;SA'!BX23</f>
        <v>6.3096076335769453</v>
      </c>
      <c r="BY46" s="621">
        <f>+'VIC&amp;SA'!BY23</f>
        <v>6.3096076335769453</v>
      </c>
      <c r="BZ46" s="621">
        <f>+'VIC&amp;SA'!BZ23</f>
        <v>6.3096076335769453</v>
      </c>
      <c r="CA46" s="621">
        <f>+'VIC&amp;SA'!CA23</f>
        <v>6.3096076335769453</v>
      </c>
      <c r="CB46" s="621">
        <f>+'VIC&amp;SA'!CB23</f>
        <v>6.3096076335769453</v>
      </c>
      <c r="CC46" s="621">
        <f>+'VIC&amp;SA'!CC23</f>
        <v>6.3096076335769453</v>
      </c>
      <c r="CD46" s="621">
        <f>+'VIC&amp;SA'!CD23</f>
        <v>6.3096076335769453</v>
      </c>
      <c r="CE46" s="621">
        <f>+'VIC&amp;SA'!CE23</f>
        <v>6.3096076335769453</v>
      </c>
      <c r="CF46" s="621">
        <f>+'VIC&amp;SA'!CF23</f>
        <v>6.3096076335769453</v>
      </c>
      <c r="CG46" s="621">
        <f>+'VIC&amp;SA'!CG23</f>
        <v>6.3096076335769453</v>
      </c>
      <c r="CH46" s="621">
        <f>+'VIC&amp;SA'!CH23</f>
        <v>6.3096076335769453</v>
      </c>
      <c r="CI46" s="621">
        <f>+'VIC&amp;SA'!CI23</f>
        <v>6.3096076335769453</v>
      </c>
      <c r="CJ46" s="621">
        <f>+'VIC&amp;SA'!CJ23</f>
        <v>6.3096076335769453</v>
      </c>
      <c r="CK46" s="621">
        <f>+'VIC&amp;SA'!CK23</f>
        <v>6.3096076335769453</v>
      </c>
      <c r="CL46" s="621">
        <f>+'VIC&amp;SA'!CL23</f>
        <v>6.3096076335769453</v>
      </c>
      <c r="CM46" s="621">
        <f>+'VIC&amp;SA'!CM23</f>
        <v>6.3096076335769453</v>
      </c>
      <c r="CN46" s="621">
        <f>+'VIC&amp;SA'!CN23</f>
        <v>6.3096076335769453</v>
      </c>
      <c r="CO46" s="621">
        <f>+'VIC&amp;SA'!CO23</f>
        <v>6.3096076335769453</v>
      </c>
      <c r="CP46" s="621">
        <f>+'VIC&amp;SA'!CP23</f>
        <v>6.3096076335769453</v>
      </c>
      <c r="CQ46" s="362" t="s">
        <v>77</v>
      </c>
      <c r="CR46" s="413"/>
      <c r="CU46"/>
      <c r="CV46"/>
      <c r="CW46"/>
      <c r="CX46"/>
      <c r="CY46"/>
      <c r="CZ46"/>
      <c r="DB46" s="103" t="s">
        <v>237</v>
      </c>
      <c r="DD46" s="57">
        <v>66.082999999999998</v>
      </c>
      <c r="DE46" s="118">
        <f t="shared" si="129"/>
        <v>55.466000000000008</v>
      </c>
      <c r="DF46" s="57">
        <v>74.677000000000007</v>
      </c>
      <c r="DG46" s="118">
        <f t="shared" si="130"/>
        <v>49.336999999999989</v>
      </c>
      <c r="DH46" s="57">
        <v>61.548999999999999</v>
      </c>
      <c r="DI46" s="119">
        <f t="shared" si="131"/>
        <v>66.067000000000007</v>
      </c>
      <c r="DJ46" s="142">
        <v>75.013999999999996</v>
      </c>
      <c r="DK46" s="119">
        <f t="shared" si="132"/>
        <v>55.155999999999992</v>
      </c>
      <c r="DL46" s="189">
        <v>68.542000000000002</v>
      </c>
      <c r="DM46" s="98">
        <f t="shared" si="133"/>
        <v>52.257999999999996</v>
      </c>
      <c r="DN46" s="189">
        <v>78.138000000000005</v>
      </c>
      <c r="DO46" s="98">
        <f t="shared" si="134"/>
        <v>44.86999999999999</v>
      </c>
      <c r="DP46" s="189">
        <v>70.227999999999994</v>
      </c>
      <c r="DQ46" s="98">
        <f t="shared" si="137"/>
        <v>53.84434414499097</v>
      </c>
      <c r="DR46" s="188"/>
      <c r="DT46" s="413"/>
      <c r="DU46" s="413">
        <f t="shared" si="125"/>
        <v>0.5436737447449177</v>
      </c>
      <c r="DV46" s="413">
        <f t="shared" si="126"/>
        <v>0.60216588449691166</v>
      </c>
      <c r="DW46" s="413">
        <f t="shared" si="127"/>
        <v>0.4822984578736208</v>
      </c>
      <c r="DX46" s="413">
        <f t="shared" si="128"/>
        <v>0.57627717600061457</v>
      </c>
      <c r="DY46" s="413">
        <f t="shared" si="138"/>
        <v>0.56740066225165564</v>
      </c>
      <c r="DZ46" s="413">
        <f t="shared" si="135"/>
        <v>0.63522697710718012</v>
      </c>
      <c r="EB46" s="413">
        <f t="shared" si="136"/>
        <v>-0.17579709950855027</v>
      </c>
      <c r="EC46" s="413">
        <f t="shared" si="136"/>
        <v>0.33909641850943562</v>
      </c>
      <c r="ED46" s="413">
        <f t="shared" si="136"/>
        <v>0.21876878584542392</v>
      </c>
      <c r="EE46" s="413">
        <f t="shared" si="136"/>
        <v>-0.16515052900843108</v>
      </c>
      <c r="EF46" s="413">
        <f t="shared" si="136"/>
        <v>-8.6277228250726479E-2</v>
      </c>
      <c r="EG46" s="413"/>
    </row>
    <row r="47" spans="2:156" s="98" customFormat="1" ht="11.25" customHeight="1" outlineLevel="1" x14ac:dyDescent="0.2">
      <c r="B47" s="103" t="s">
        <v>238</v>
      </c>
      <c r="D47" s="57"/>
      <c r="E47" s="57"/>
      <c r="F47" s="57"/>
      <c r="G47" s="57"/>
      <c r="H47" s="57"/>
      <c r="I47" s="57"/>
      <c r="J47" s="57"/>
      <c r="K47" s="57" t="s">
        <v>78</v>
      </c>
      <c r="L47" s="57" t="s">
        <v>78</v>
      </c>
      <c r="M47" s="57">
        <v>0</v>
      </c>
      <c r="N47" s="57">
        <v>1.7</v>
      </c>
      <c r="O47" s="57">
        <v>1.72</v>
      </c>
      <c r="P47" s="57">
        <v>1.72</v>
      </c>
      <c r="Q47" s="57">
        <v>1.6180000000000001</v>
      </c>
      <c r="R47" s="57">
        <v>1.5209999999999999</v>
      </c>
      <c r="S47" s="57">
        <v>1.732</v>
      </c>
      <c r="T47" s="406">
        <v>2.38</v>
      </c>
      <c r="U47" s="406">
        <v>1.94</v>
      </c>
      <c r="V47" s="406">
        <v>2.2999999999999998</v>
      </c>
      <c r="W47" s="406">
        <v>2.319</v>
      </c>
      <c r="X47" s="621">
        <f>+'VIC&amp;SA'!X24</f>
        <v>2.3769749999999998</v>
      </c>
      <c r="Y47" s="621">
        <f>+'VIC&amp;SA'!Y24</f>
        <v>2.4363993749999997</v>
      </c>
      <c r="Z47" s="621">
        <f>+'VIC&amp;SA'!Z24</f>
        <v>2.4973093593749995</v>
      </c>
      <c r="AA47" s="621">
        <f>+'VIC&amp;SA'!AA24</f>
        <v>2.559742093359374</v>
      </c>
      <c r="AB47" s="621">
        <f>+'VIC&amp;SA'!AB24</f>
        <v>2.6196542975302721</v>
      </c>
      <c r="AC47" s="621">
        <f>+'VIC&amp;SA'!AC24</f>
        <v>2.6809673747865697</v>
      </c>
      <c r="AD47" s="621">
        <f>+'VIC&amp;SA'!AD24</f>
        <v>2.7437140448199528</v>
      </c>
      <c r="AE47" s="621">
        <f>+'VIC&amp;SA'!AE24</f>
        <v>1.5811481175372948</v>
      </c>
      <c r="AF47" s="621">
        <f>+'VIC&amp;SA'!AF24</f>
        <v>1.6177271860144193</v>
      </c>
      <c r="AG47" s="621">
        <f>+'VIC&amp;SA'!AG24</f>
        <v>1.6551506773850162</v>
      </c>
      <c r="AH47" s="621">
        <f>+'VIC&amp;SA'!AH24</f>
        <v>1.6934380384432335</v>
      </c>
      <c r="AI47" s="621">
        <f>+'VIC&amp;SA'!AI24</f>
        <v>1.7326091626383415</v>
      </c>
      <c r="AJ47" s="621">
        <f>+'VIC&amp;SA'!AJ24</f>
        <v>1.7726844003026354</v>
      </c>
      <c r="AK47" s="621">
        <f>+'VIC&amp;SA'!AK24</f>
        <v>1.813684569112747</v>
      </c>
      <c r="AL47" s="621">
        <f>+'VIC&amp;SA'!AL24</f>
        <v>1.8556309647896718</v>
      </c>
      <c r="AM47" s="621">
        <f>+'VIC&amp;SA'!AM24</f>
        <v>1.8985453720429359</v>
      </c>
      <c r="AN47" s="621">
        <f>+'VIC&amp;SA'!AN24</f>
        <v>1.9424500757644529</v>
      </c>
      <c r="AO47" s="621">
        <f>+'VIC&amp;SA'!AO24</f>
        <v>1.9873678724777433</v>
      </c>
      <c r="AP47" s="621">
        <f>+'VIC&amp;SA'!AP24</f>
        <v>2.0333220820483215</v>
      </c>
      <c r="AQ47" s="621">
        <f>+'VIC&amp;SA'!AQ24</f>
        <v>2.0803365596611818</v>
      </c>
      <c r="AR47" s="621">
        <f>+'VIC&amp;SA'!AR24</f>
        <v>2.1284357080714527</v>
      </c>
      <c r="AS47" s="621">
        <f>+'VIC&amp;SA'!AS24</f>
        <v>2.1776444901344258</v>
      </c>
      <c r="AT47" s="621">
        <f>+'VIC&amp;SA'!AT24</f>
        <v>2.2279884416213012</v>
      </c>
      <c r="AU47" s="621">
        <f>+'VIC&amp;SA'!AU24</f>
        <v>2.2794936843271447</v>
      </c>
      <c r="AV47" s="621">
        <f>+'VIC&amp;SA'!AV24</f>
        <v>2.3321869394776851</v>
      </c>
      <c r="AW47" s="621">
        <f>+'VIC&amp;SA'!AW24</f>
        <v>2.3860955414417453</v>
      </c>
      <c r="AX47" s="621">
        <f>+'VIC&amp;SA'!AX24</f>
        <v>2.4412474517562384</v>
      </c>
      <c r="AY47" s="621">
        <f>+'VIC&amp;SA'!AY24</f>
        <v>2.4976712734708322</v>
      </c>
      <c r="AZ47" s="621">
        <f>+'VIC&amp;SA'!AZ24</f>
        <v>2.5553962658195322</v>
      </c>
      <c r="BA47" s="621">
        <f>+'VIC&amp;SA'!BA24</f>
        <v>2.6144523592266076</v>
      </c>
      <c r="BB47" s="621">
        <f>+'VIC&amp;SA'!BB24</f>
        <v>2.6748701706544473</v>
      </c>
      <c r="BC47" s="621">
        <f>+'VIC&amp;SA'!BC24</f>
        <v>2.7366810193011042</v>
      </c>
      <c r="BD47" s="621">
        <f>+'VIC&amp;SA'!BD24</f>
        <v>2.7999169426554591</v>
      </c>
      <c r="BE47" s="621">
        <f>+'VIC&amp;SA'!BE24</f>
        <v>2.8646107129181289</v>
      </c>
      <c r="BF47" s="621">
        <f>+'VIC&amp;SA'!BF24</f>
        <v>2.9307958537964023</v>
      </c>
      <c r="BG47" s="621">
        <f>+'VIC&amp;SA'!BG24</f>
        <v>2.9985066576816966</v>
      </c>
      <c r="BH47" s="621">
        <f>+'VIC&amp;SA'!BH24</f>
        <v>3.0677782032182064</v>
      </c>
      <c r="BI47" s="621">
        <f>+'VIC&amp;SA'!BI24</f>
        <v>3.1386463732716239</v>
      </c>
      <c r="BJ47" s="621">
        <f>+'VIC&amp;SA'!BJ24</f>
        <v>3.211147873306984</v>
      </c>
      <c r="BK47" s="621">
        <f>+'VIC&amp;SA'!BK24</f>
        <v>3.2853202501849381</v>
      </c>
      <c r="BL47" s="621">
        <f>+'VIC&amp;SA'!BL24</f>
        <v>3.3612019113859164</v>
      </c>
      <c r="BM47" s="621">
        <f>+'VIC&amp;SA'!BM24</f>
        <v>3.4388321446718946</v>
      </c>
      <c r="BN47" s="621">
        <f>+'VIC&amp;SA'!BN24</f>
        <v>3.5182511381956796</v>
      </c>
      <c r="BO47" s="621">
        <f>+'VIC&amp;SA'!BO24</f>
        <v>3.5995000010678493</v>
      </c>
      <c r="BP47" s="621">
        <f>+'VIC&amp;SA'!BP24</f>
        <v>3.6826207843917347</v>
      </c>
      <c r="BQ47" s="621">
        <f>+'VIC&amp;SA'!BQ24</f>
        <v>3.7676565027770246</v>
      </c>
      <c r="BR47" s="621">
        <f>+'VIC&amp;SA'!BR24</f>
        <v>3.8546511563428645</v>
      </c>
      <c r="BS47" s="621">
        <f>+'VIC&amp;SA'!BS24</f>
        <v>3.9436497532215156</v>
      </c>
      <c r="BT47" s="621">
        <f>+'VIC&amp;SA'!BT24</f>
        <v>4.0346983325739227</v>
      </c>
      <c r="BU47" s="621">
        <f>+'VIC&amp;SA'!BU24</f>
        <v>4.1278439881287836</v>
      </c>
      <c r="BV47" s="621">
        <f>+'VIC&amp;SA'!BV24</f>
        <v>4.2231348922569794</v>
      </c>
      <c r="BW47" s="621">
        <f>+'VIC&amp;SA'!BW24</f>
        <v>4.3206203205934717</v>
      </c>
      <c r="BX47" s="621">
        <f>+'VIC&amp;SA'!BX24</f>
        <v>4.4203506772190906</v>
      </c>
      <c r="BY47" s="621">
        <f>+'VIC&amp;SA'!BY24</f>
        <v>4.5223775204148566</v>
      </c>
      <c r="BZ47" s="621">
        <f>+'VIC&amp;SA'!BZ24</f>
        <v>4.6267535890018179</v>
      </c>
      <c r="CA47" s="621">
        <f>+'VIC&amp;SA'!CA24</f>
        <v>4.7335328292796461</v>
      </c>
      <c r="CB47" s="621">
        <f>+'VIC&amp;SA'!CB24</f>
        <v>4.8427704225775496</v>
      </c>
      <c r="CC47" s="621">
        <f>+'VIC&amp;SA'!CC24</f>
        <v>0</v>
      </c>
      <c r="CD47" s="621">
        <f>+'VIC&amp;SA'!CD24</f>
        <v>0</v>
      </c>
      <c r="CE47" s="621">
        <f>+'VIC&amp;SA'!CE24</f>
        <v>0</v>
      </c>
      <c r="CF47" s="621">
        <f>+'VIC&amp;SA'!CF24</f>
        <v>0</v>
      </c>
      <c r="CG47" s="621">
        <f>+'VIC&amp;SA'!CG24</f>
        <v>0</v>
      </c>
      <c r="CH47" s="621">
        <f>+'VIC&amp;SA'!CH24</f>
        <v>0</v>
      </c>
      <c r="CI47" s="621">
        <f>+'VIC&amp;SA'!CI24</f>
        <v>0</v>
      </c>
      <c r="CJ47" s="621">
        <f>+'VIC&amp;SA'!CJ24</f>
        <v>0</v>
      </c>
      <c r="CK47" s="621">
        <f>+'VIC&amp;SA'!CK24</f>
        <v>0</v>
      </c>
      <c r="CL47" s="621">
        <f>+'VIC&amp;SA'!CL24</f>
        <v>0</v>
      </c>
      <c r="CM47" s="621">
        <f>+'VIC&amp;SA'!CM24</f>
        <v>0</v>
      </c>
      <c r="CN47" s="621">
        <f>+'VIC&amp;SA'!CN24</f>
        <v>0</v>
      </c>
      <c r="CO47" s="621">
        <f>+'VIC&amp;SA'!CO24</f>
        <v>0</v>
      </c>
      <c r="CP47" s="621">
        <f>+'VIC&amp;SA'!CP24</f>
        <v>0</v>
      </c>
      <c r="CQ47" s="362" t="s">
        <v>77</v>
      </c>
      <c r="CR47" s="413"/>
      <c r="CU47"/>
      <c r="CV47"/>
      <c r="CW47"/>
      <c r="CX47"/>
      <c r="CY47"/>
      <c r="CZ47"/>
      <c r="DB47" s="103" t="s">
        <v>238</v>
      </c>
      <c r="DD47" s="57">
        <v>0.69099999999999995</v>
      </c>
      <c r="DE47" s="118">
        <f t="shared" si="129"/>
        <v>0.83</v>
      </c>
      <c r="DF47" s="57">
        <v>7.5750000000000002</v>
      </c>
      <c r="DG47" s="118">
        <f t="shared" si="130"/>
        <v>-5.843</v>
      </c>
      <c r="DH47" s="57">
        <v>0.93899999999999995</v>
      </c>
      <c r="DI47" s="119">
        <f t="shared" si="131"/>
        <v>1.4409999999999998</v>
      </c>
      <c r="DJ47" s="142">
        <v>1.143</v>
      </c>
      <c r="DK47" s="119">
        <f t="shared" si="132"/>
        <v>0.79699999999999993</v>
      </c>
      <c r="DL47" s="189">
        <v>1.212</v>
      </c>
      <c r="DM47" s="98">
        <f>V47-DL47</f>
        <v>1.0879999999999999</v>
      </c>
      <c r="DN47" s="189">
        <v>1.264</v>
      </c>
      <c r="DO47" s="98">
        <f t="shared" si="134"/>
        <v>1.0549999999999999</v>
      </c>
      <c r="DP47" s="189">
        <v>1.28</v>
      </c>
      <c r="DQ47" s="98">
        <f t="shared" si="137"/>
        <v>1.0969749999999998</v>
      </c>
      <c r="DR47" s="188"/>
      <c r="DT47" s="413"/>
      <c r="DU47" s="413">
        <f t="shared" si="125"/>
        <v>0.45430637738330043</v>
      </c>
      <c r="DV47" s="413">
        <f t="shared" si="126"/>
        <v>4.3735565819861426</v>
      </c>
      <c r="DW47" s="413">
        <f t="shared" si="127"/>
        <v>0.39453781512605041</v>
      </c>
      <c r="DX47" s="413">
        <f t="shared" si="128"/>
        <v>0.58917525773195878</v>
      </c>
      <c r="DY47" s="413">
        <f t="shared" si="138"/>
        <v>0.52695652173913043</v>
      </c>
      <c r="DZ47" s="413">
        <f t="shared" si="135"/>
        <v>0.54506252695127211</v>
      </c>
      <c r="EB47" s="413">
        <f t="shared" si="136"/>
        <v>-0.87603960396039604</v>
      </c>
      <c r="EC47" s="413">
        <f t="shared" si="136"/>
        <v>-1.2466198870443266</v>
      </c>
      <c r="ED47" s="413">
        <f t="shared" si="136"/>
        <v>0.21725239616613434</v>
      </c>
      <c r="EE47" s="413">
        <f t="shared" si="136"/>
        <v>-0.44691186675919503</v>
      </c>
      <c r="EF47" s="413">
        <f t="shared" si="136"/>
        <v>6.0367454068241511E-2</v>
      </c>
      <c r="EG47" s="413"/>
    </row>
    <row r="48" spans="2:156" s="98" customFormat="1" ht="11.25" customHeight="1" outlineLevel="1" x14ac:dyDescent="0.2">
      <c r="B48" s="103" t="s">
        <v>239</v>
      </c>
      <c r="D48" s="57"/>
      <c r="E48" s="57"/>
      <c r="F48" s="57"/>
      <c r="G48" s="57"/>
      <c r="H48" s="57"/>
      <c r="I48" s="57"/>
      <c r="J48" s="57"/>
      <c r="K48" s="57" t="s">
        <v>78</v>
      </c>
      <c r="L48" s="57" t="s">
        <v>78</v>
      </c>
      <c r="M48" s="57">
        <v>100.68899999999999</v>
      </c>
      <c r="N48" s="57">
        <v>111.05200000000001</v>
      </c>
      <c r="O48" s="57">
        <v>97.885999999999996</v>
      </c>
      <c r="P48" s="57">
        <v>100.8</v>
      </c>
      <c r="Q48" s="57">
        <v>94.222999999999999</v>
      </c>
      <c r="R48" s="57">
        <v>117.39700000000001</v>
      </c>
      <c r="S48" s="57">
        <v>135.97999999999999</v>
      </c>
      <c r="T48" s="406">
        <v>188.947</v>
      </c>
      <c r="U48" s="406">
        <v>212.60400000000001</v>
      </c>
      <c r="V48" s="406">
        <v>217.55799999999999</v>
      </c>
      <c r="W48" s="406">
        <v>234.72399999999999</v>
      </c>
      <c r="X48" s="621">
        <f>+'WA&amp;NT'!X23</f>
        <v>252.30690875255277</v>
      </c>
      <c r="Y48" s="621">
        <f>+'WA&amp;NT'!Y23</f>
        <v>278.49349022391937</v>
      </c>
      <c r="Z48" s="621">
        <f>+'WA&amp;NT'!Z23</f>
        <v>299.62199404162772</v>
      </c>
      <c r="AA48" s="621">
        <f>+'WA&amp;NT'!AA23</f>
        <v>307.84188860510091</v>
      </c>
      <c r="AB48" s="621">
        <f>+'WA&amp;NT'!AB23</f>
        <v>314.54629349465284</v>
      </c>
      <c r="AC48" s="621">
        <f>+'WA&amp;NT'!AC23</f>
        <v>321.42976626488138</v>
      </c>
      <c r="AD48" s="621">
        <f>+'WA&amp;NT'!AD23</f>
        <v>328.10915746986717</v>
      </c>
      <c r="AE48" s="621">
        <f>+'WA&amp;NT'!AE23</f>
        <v>319.35134045382131</v>
      </c>
      <c r="AF48" s="621">
        <f>+'WA&amp;NT'!AF23</f>
        <v>304.76520293817737</v>
      </c>
      <c r="AG48" s="621">
        <f>+'WA&amp;NT'!AG23</f>
        <v>288.74680559051114</v>
      </c>
      <c r="AH48" s="621">
        <f>+'WA&amp;NT'!AH23</f>
        <v>294.54343557620314</v>
      </c>
      <c r="AI48" s="621">
        <f>+'WA&amp;NT'!AI23</f>
        <v>300.42466295784232</v>
      </c>
      <c r="AJ48" s="621">
        <f>+'WA&amp;NT'!AJ23</f>
        <v>301.88079429985436</v>
      </c>
      <c r="AK48" s="621">
        <f>+'WA&amp;NT'!AK23</f>
        <v>287.1990391133175</v>
      </c>
      <c r="AL48" s="621">
        <f>+'WA&amp;NT'!AL23</f>
        <v>292.71205709114241</v>
      </c>
      <c r="AM48" s="621">
        <f>+'WA&amp;NT'!AM23</f>
        <v>298.56456907308007</v>
      </c>
      <c r="AN48" s="621">
        <f>+'WA&amp;NT'!AN23</f>
        <v>291.67704617923141</v>
      </c>
      <c r="AO48" s="621">
        <f>+'WA&amp;NT'!AO23</f>
        <v>297.52131884893191</v>
      </c>
      <c r="AP48" s="621">
        <f>+'WA&amp;NT'!AP23</f>
        <v>303.51230316359135</v>
      </c>
      <c r="AQ48" s="621">
        <f>+'WA&amp;NT'!AQ23</f>
        <v>309.65330549543825</v>
      </c>
      <c r="AR48" s="621">
        <f>+'WA&amp;NT'!AR23</f>
        <v>315.9473100253133</v>
      </c>
      <c r="AS48" s="621">
        <f>+'WA&amp;NT'!AS23</f>
        <v>322.39818056183151</v>
      </c>
      <c r="AT48" s="621">
        <f>+'WA&amp;NT'!AT23</f>
        <v>329.00946240335963</v>
      </c>
      <c r="AU48" s="621">
        <f>+'WA&amp;NT'!AU23</f>
        <v>335.78398424381584</v>
      </c>
      <c r="AV48" s="621">
        <f>+'WA&amp;NT'!AV23</f>
        <v>342.72586012331743</v>
      </c>
      <c r="AW48" s="621">
        <f>+'WA&amp;NT'!AW23</f>
        <v>307.66804252812915</v>
      </c>
      <c r="AX48" s="621">
        <f>+'WA&amp;NT'!AX23</f>
        <v>313.96285935464385</v>
      </c>
      <c r="AY48" s="621">
        <f>+'WA&amp;NT'!AY23</f>
        <v>320.41332234083075</v>
      </c>
      <c r="AZ48" s="621">
        <f>+'WA&amp;NT'!AZ23</f>
        <v>327.02295721490009</v>
      </c>
      <c r="BA48" s="621">
        <f>+'WA&amp;NT'!BA23</f>
        <v>333.79497257899607</v>
      </c>
      <c r="BB48" s="621">
        <f>+'WA&amp;NT'!BB23</f>
        <v>340.73346184795469</v>
      </c>
      <c r="BC48" s="621">
        <f>+'WA&amp;NT'!BC23</f>
        <v>347.84180523368229</v>
      </c>
      <c r="BD48" s="621">
        <f>+'WA&amp;NT'!BD23</f>
        <v>355.12387177622708</v>
      </c>
      <c r="BE48" s="621">
        <f>+'WA&amp;NT'!BE23</f>
        <v>362.58362142264025</v>
      </c>
      <c r="BF48" s="621">
        <f>+'WA&amp;NT'!BF23</f>
        <v>370.22510715474891</v>
      </c>
      <c r="BG48" s="621">
        <f>+'WA&amp;NT'!BG23</f>
        <v>378.05247716698909</v>
      </c>
      <c r="BH48" s="621">
        <f>+'WA&amp;NT'!BH23</f>
        <v>386.06997709547562</v>
      </c>
      <c r="BI48" s="621">
        <f>+'WA&amp;NT'!BI23</f>
        <v>394.28195229951103</v>
      </c>
      <c r="BJ48" s="621">
        <f>+'WA&amp;NT'!BJ23</f>
        <v>402.69245019676634</v>
      </c>
      <c r="BK48" s="621">
        <f>+'WA&amp;NT'!BK23</f>
        <v>411.30642265339395</v>
      </c>
      <c r="BL48" s="621">
        <f>+'WA&amp;NT'!BL23</f>
        <v>420.12812843036238</v>
      </c>
      <c r="BM48" s="621">
        <f>+'WA&amp;NT'!BM23</f>
        <v>429.1623356873356</v>
      </c>
      <c r="BN48" s="621">
        <f>+'WA&amp;NT'!BN23</f>
        <v>438.4143245454456</v>
      </c>
      <c r="BO48" s="621">
        <f>+'WA&amp;NT'!BO23</f>
        <v>447.88868971034503</v>
      </c>
      <c r="BP48" s="621">
        <f>+'WA&amp;NT'!BP23</f>
        <v>457.59054315695352</v>
      </c>
      <c r="BQ48" s="621">
        <f>+'WA&amp;NT'!BQ23</f>
        <v>467.52511687734903</v>
      </c>
      <c r="BR48" s="621">
        <f>+'WA&amp;NT'!BR23</f>
        <v>477.69776569328587</v>
      </c>
      <c r="BS48" s="621">
        <f>+'WA&amp;NT'!BS23</f>
        <v>445.38682472714135</v>
      </c>
      <c r="BT48" s="621">
        <f>+'WA&amp;NT'!BT23</f>
        <v>455.06109729676893</v>
      </c>
      <c r="BU48" s="621">
        <f>+'WA&amp;NT'!BU23</f>
        <v>464.9673483113171</v>
      </c>
      <c r="BV48" s="621">
        <f>+'WA&amp;NT'!BV23</f>
        <v>475.11092390703192</v>
      </c>
      <c r="BW48" s="621">
        <f>+'WA&amp;NT'!BW23</f>
        <v>485.49689593734456</v>
      </c>
      <c r="BX48" s="621">
        <f>+'WA&amp;NT'!BX23</f>
        <v>496.13086492600206</v>
      </c>
      <c r="BY48" s="621">
        <f>+'WA&amp;NT'!BY23</f>
        <v>507.01856308981098</v>
      </c>
      <c r="BZ48" s="621">
        <f>+'WA&amp;NT'!BZ23</f>
        <v>518.16625743263603</v>
      </c>
      <c r="CA48" s="621">
        <f>+'WA&amp;NT'!CA23</f>
        <v>529.57995291233101</v>
      </c>
      <c r="CB48" s="621">
        <f>+'WA&amp;NT'!CB23</f>
        <v>541.26539568232181</v>
      </c>
      <c r="CC48" s="621">
        <f>+'WA&amp;NT'!CC23</f>
        <v>553.22847640959765</v>
      </c>
      <c r="CD48" s="621">
        <f>+'WA&amp;NT'!CD23</f>
        <v>506.02676491020463</v>
      </c>
      <c r="CE48" s="621">
        <f>+'WA&amp;NT'!CE23</f>
        <v>517.18424181364833</v>
      </c>
      <c r="CF48" s="621">
        <f>+'WA&amp;NT'!CF23</f>
        <v>528.60749721507125</v>
      </c>
      <c r="CG48" s="621">
        <f>+'WA&amp;NT'!CG23</f>
        <v>540.30269305954096</v>
      </c>
      <c r="CH48" s="621">
        <f>+'WA&amp;NT'!CH23</f>
        <v>552.27573647538429</v>
      </c>
      <c r="CI48" s="621">
        <f>+'WA&amp;NT'!CI23</f>
        <v>564.53348319513009</v>
      </c>
      <c r="CJ48" s="621">
        <f>+'WA&amp;NT'!CJ23</f>
        <v>577.08254105731567</v>
      </c>
      <c r="CK48" s="621">
        <f>+'WA&amp;NT'!CK23</f>
        <v>589.92927359106716</v>
      </c>
      <c r="CL48" s="621">
        <f>+'WA&amp;NT'!CL23</f>
        <v>603.08060368541078</v>
      </c>
      <c r="CM48" s="621">
        <f>+'WA&amp;NT'!CM23</f>
        <v>616.54361734532017</v>
      </c>
      <c r="CN48" s="621">
        <f>+'WA&amp;NT'!CN23</f>
        <v>630.32596753654479</v>
      </c>
      <c r="CO48" s="621">
        <f>+'WA&amp;NT'!CO23</f>
        <v>644.43507812132452</v>
      </c>
      <c r="CP48" s="621">
        <f>+'WA&amp;NT'!CP23</f>
        <v>658.87774788713432</v>
      </c>
      <c r="CQ48" s="362" t="s">
        <v>77</v>
      </c>
      <c r="CR48" s="413"/>
      <c r="CU48"/>
      <c r="CV48"/>
      <c r="CW48"/>
      <c r="CX48"/>
      <c r="CY48"/>
      <c r="CZ48"/>
      <c r="DB48" s="103" t="s">
        <v>239</v>
      </c>
      <c r="DD48" s="57">
        <v>60.341000000000001</v>
      </c>
      <c r="DE48" s="118">
        <f t="shared" si="129"/>
        <v>57.056000000000004</v>
      </c>
      <c r="DF48" s="57">
        <v>66.009</v>
      </c>
      <c r="DG48" s="118">
        <f t="shared" si="130"/>
        <v>69.970999999999989</v>
      </c>
      <c r="DH48" s="57">
        <v>85.802000000000007</v>
      </c>
      <c r="DI48" s="119">
        <f t="shared" si="131"/>
        <v>103.145</v>
      </c>
      <c r="DJ48" s="142">
        <v>106.241</v>
      </c>
      <c r="DK48" s="119">
        <f t="shared" si="132"/>
        <v>106.36300000000001</v>
      </c>
      <c r="DL48" s="189">
        <v>101.456</v>
      </c>
      <c r="DM48" s="98">
        <f t="shared" si="133"/>
        <v>116.10199999999999</v>
      </c>
      <c r="DN48" s="189">
        <v>120.532</v>
      </c>
      <c r="DO48" s="98">
        <f t="shared" si="134"/>
        <v>114.19199999999999</v>
      </c>
      <c r="DP48" s="189">
        <v>116.98699999999999</v>
      </c>
      <c r="DQ48" s="98">
        <f t="shared" si="137"/>
        <v>135.31990875255278</v>
      </c>
      <c r="DR48" s="188"/>
      <c r="DT48" s="413"/>
      <c r="DU48" s="413">
        <f t="shared" si="125"/>
        <v>0.51399098784466379</v>
      </c>
      <c r="DV48" s="413">
        <f t="shared" si="126"/>
        <v>0.48543168112957791</v>
      </c>
      <c r="DW48" s="413">
        <f t="shared" si="127"/>
        <v>0.45410617792290964</v>
      </c>
      <c r="DX48" s="413">
        <f t="shared" si="128"/>
        <v>0.49971308159771216</v>
      </c>
      <c r="DY48" s="413">
        <f t="shared" si="138"/>
        <v>0.46634001047996398</v>
      </c>
      <c r="DZ48" s="413">
        <f t="shared" si="135"/>
        <v>0.51350522315570624</v>
      </c>
      <c r="EB48" s="413">
        <f t="shared" si="136"/>
        <v>0.29985305034162013</v>
      </c>
      <c r="EC48" s="413">
        <f t="shared" si="136"/>
        <v>0.47411070300553093</v>
      </c>
      <c r="ED48" s="413">
        <f t="shared" si="136"/>
        <v>0.2382112305074473</v>
      </c>
      <c r="EE48" s="413">
        <f t="shared" si="136"/>
        <v>3.1198797808909884E-2</v>
      </c>
      <c r="EF48" s="413">
        <f t="shared" si="136"/>
        <v>-4.5039109195131766E-2</v>
      </c>
      <c r="EG48" s="413"/>
    </row>
    <row r="49" spans="2:156" s="98" customFormat="1" ht="11.25" customHeight="1" outlineLevel="1" x14ac:dyDescent="0.2">
      <c r="B49" s="103" t="s">
        <v>240</v>
      </c>
      <c r="D49" s="57"/>
      <c r="E49" s="57"/>
      <c r="F49" s="57"/>
      <c r="G49" s="57"/>
      <c r="H49" s="57"/>
      <c r="I49" s="57"/>
      <c r="J49" s="57"/>
      <c r="K49" s="57" t="s">
        <v>78</v>
      </c>
      <c r="L49" s="57" t="s">
        <v>78</v>
      </c>
      <c r="M49" s="57">
        <v>4.4000000000000004</v>
      </c>
      <c r="N49" s="57">
        <v>3.0150000000000001</v>
      </c>
      <c r="O49" s="57">
        <v>2.97</v>
      </c>
      <c r="P49" s="57">
        <v>1.9379999999999999</v>
      </c>
      <c r="Q49" s="57">
        <v>5.5780000000000003</v>
      </c>
      <c r="R49" s="57">
        <v>8.5410000000000004</v>
      </c>
      <c r="S49" s="57">
        <v>11.747999999999999</v>
      </c>
      <c r="T49" s="406">
        <v>15.214</v>
      </c>
      <c r="U49" s="406">
        <v>17.954000000000001</v>
      </c>
      <c r="V49" s="406">
        <v>17.46</v>
      </c>
      <c r="W49" s="406">
        <v>18.771000000000001</v>
      </c>
      <c r="X49" s="621">
        <f>+'WA&amp;NT'!X24</f>
        <v>18.96</v>
      </c>
      <c r="Y49" s="621">
        <f>+'WA&amp;NT'!Y24</f>
        <v>19.040000000000003</v>
      </c>
      <c r="Z49" s="621">
        <f>+'WA&amp;NT'!Z24</f>
        <v>19.280000000000005</v>
      </c>
      <c r="AA49" s="621">
        <f>+'WA&amp;NT'!AA24</f>
        <v>19.360000000000003</v>
      </c>
      <c r="AB49" s="621">
        <f>+'WA&amp;NT'!AB24</f>
        <v>20.042394687388789</v>
      </c>
      <c r="AC49" s="621">
        <f>+'WA&amp;NT'!AC24</f>
        <v>20.358048742263662</v>
      </c>
      <c r="AD49" s="621">
        <f>+'WA&amp;NT'!AD24</f>
        <v>20.679601046488994</v>
      </c>
      <c r="AE49" s="621">
        <f>+'WA&amp;NT'!AE24</f>
        <v>21.008007431347622</v>
      </c>
      <c r="AF49" s="621">
        <f>+'WA&amp;NT'!AF24</f>
        <v>21.342602756364162</v>
      </c>
      <c r="AG49" s="621">
        <f>+'WA&amp;NT'!AG24</f>
        <v>21.685141485474521</v>
      </c>
      <c r="AH49" s="621">
        <f>+'WA&amp;NT'!AH24</f>
        <v>22.033357271571994</v>
      </c>
      <c r="AI49" s="621">
        <f>+'WA&amp;NT'!AI24</f>
        <v>22.389819735220492</v>
      </c>
      <c r="AJ49" s="621">
        <f>+'WA&amp;NT'!AJ24</f>
        <v>22.753077854427957</v>
      </c>
      <c r="AK49" s="621">
        <f>+'WA&amp;NT'!AK24</f>
        <v>23.10091163029001</v>
      </c>
      <c r="AL49" s="621">
        <f>+'WA&amp;NT'!AL24</f>
        <v>23.479855452504271</v>
      </c>
      <c r="AM49" s="621">
        <f>+'WA&amp;NT'!AM24</f>
        <v>23.866088978575903</v>
      </c>
      <c r="AN49" s="621">
        <f>+'WA&amp;NT'!AN24</f>
        <v>24.259784801708964</v>
      </c>
      <c r="AO49" s="621">
        <f>+'WA&amp;NT'!AO24</f>
        <v>24.662735827038048</v>
      </c>
      <c r="AP49" s="621">
        <f>+'WA&amp;NT'!AP24</f>
        <v>25.073498674373973</v>
      </c>
      <c r="AQ49" s="621">
        <f>+'WA&amp;NT'!AQ24</f>
        <v>25.493074772280742</v>
      </c>
      <c r="AR49" s="621">
        <f>+'WA&amp;NT'!AR24</f>
        <v>25.92083756686603</v>
      </c>
      <c r="AS49" s="621">
        <f>+'WA&amp;NT'!AS24</f>
        <v>26.357797422016525</v>
      </c>
      <c r="AT49" s="621">
        <f>+'WA&amp;NT'!AT24</f>
        <v>26.804153131223178</v>
      </c>
      <c r="AU49" s="621">
        <f>+'WA&amp;NT'!AU24</f>
        <v>27.259300127449752</v>
      </c>
      <c r="AV49" s="621">
        <f>+'WA&amp;NT'!AV24</f>
        <v>27.725862993698069</v>
      </c>
      <c r="AW49" s="621">
        <f>+'WA&amp;NT'!AW24</f>
        <v>28.200022684700155</v>
      </c>
      <c r="AX49" s="621">
        <f>+'WA&amp;NT'!AX24</f>
        <v>28.685230036475883</v>
      </c>
      <c r="AY49" s="621">
        <f>+'WA&amp;NT'!AY24</f>
        <v>29.180900596219537</v>
      </c>
      <c r="AZ49" s="621">
        <f>+'WA&amp;NT'!AZ24</f>
        <v>29.686447144073444</v>
      </c>
      <c r="BA49" s="621">
        <f>+'WA&amp;NT'!BA24</f>
        <v>30.202920317225118</v>
      </c>
      <c r="BB49" s="621">
        <f>+'WA&amp;NT'!BB24</f>
        <v>30.730560144174294</v>
      </c>
      <c r="BC49" s="621">
        <f>+'WA&amp;NT'!BC24</f>
        <v>31.26879617822755</v>
      </c>
      <c r="BD49" s="621">
        <f>+'WA&amp;NT'!BD24</f>
        <v>31.818704329646845</v>
      </c>
      <c r="BE49" s="621">
        <f>+'WA&amp;NT'!BE24</f>
        <v>32.381334111431173</v>
      </c>
      <c r="BF49" s="621">
        <f>+'WA&amp;NT'!BF24</f>
        <v>32.95452498131467</v>
      </c>
      <c r="BG49" s="621">
        <f>+'WA&amp;NT'!BG24</f>
        <v>33.541795581357029</v>
      </c>
      <c r="BH49" s="621">
        <f>+'WA&amp;NT'!BH24</f>
        <v>34.139373801773935</v>
      </c>
      <c r="BI49" s="621">
        <f>+'WA&amp;NT'!BI24</f>
        <v>34.75157512049509</v>
      </c>
      <c r="BJ49" s="621">
        <f>+'WA&amp;NT'!BJ24</f>
        <v>35.37546507166752</v>
      </c>
      <c r="BK49" s="621">
        <f>+'WA&amp;NT'!BK24</f>
        <v>36.013764698483406</v>
      </c>
      <c r="BL49" s="621">
        <f>+'WA&amp;NT'!BL24</f>
        <v>36.66596162541169</v>
      </c>
      <c r="BM49" s="621">
        <f>+'WA&amp;NT'!BM24</f>
        <v>37.332383121415717</v>
      </c>
      <c r="BN49" s="621">
        <f>+'WA&amp;NT'!BN24</f>
        <v>38.012523378873354</v>
      </c>
      <c r="BO49" s="621">
        <f>+'WA&amp;NT'!BO24</f>
        <v>38.707524684321854</v>
      </c>
      <c r="BP49" s="621">
        <f>+'WA&amp;NT'!BP24</f>
        <v>39.417720904452615</v>
      </c>
      <c r="BQ49" s="621">
        <f>+'WA&amp;NT'!BQ24</f>
        <v>40.143453870610266</v>
      </c>
      <c r="BR49" s="621">
        <f>+'WA&amp;NT'!BR24</f>
        <v>40.88426546967515</v>
      </c>
      <c r="BS49" s="621">
        <f>+'WA&amp;NT'!BS24</f>
        <v>41.642122136899609</v>
      </c>
      <c r="BT49" s="621">
        <f>+'WA&amp;NT'!BT24</f>
        <v>42.416598856638252</v>
      </c>
      <c r="BU49" s="621">
        <f>+'WA&amp;NT'!BU24</f>
        <v>43.207246969139632</v>
      </c>
      <c r="BV49" s="621">
        <f>+'WA&amp;NT'!BV24</f>
        <v>44.015267273793938</v>
      </c>
      <c r="BW49" s="621">
        <f>+'WA&amp;NT'!BW24</f>
        <v>44.84105354774384</v>
      </c>
      <c r="BX49" s="621">
        <f>+'WA&amp;NT'!BX24</f>
        <v>45.685817063131218</v>
      </c>
      <c r="BY49" s="621">
        <f>+'WA&amp;NT'!BY24</f>
        <v>46.547546314765071</v>
      </c>
      <c r="BZ49" s="621">
        <f>+'WA&amp;NT'!BZ24</f>
        <v>47.429088243433071</v>
      </c>
      <c r="CA49" s="621">
        <f>+'WA&amp;NT'!CA24</f>
        <v>48.32925937831088</v>
      </c>
      <c r="CB49" s="621">
        <f>+'WA&amp;NT'!CB24</f>
        <v>49.250918972034725</v>
      </c>
      <c r="CC49" s="621">
        <f>+'WA&amp;NT'!CC24</f>
        <v>50.19130445254568</v>
      </c>
      <c r="CD49" s="621">
        <f>+'WA&amp;NT'!CD24</f>
        <v>51.152480271756673</v>
      </c>
      <c r="CE49" s="621">
        <f>+'WA&amp;NT'!CE24</f>
        <v>52.135746263494291</v>
      </c>
      <c r="CF49" s="621">
        <f>+'WA&amp;NT'!CF24</f>
        <v>53.139956914747216</v>
      </c>
      <c r="CG49" s="621">
        <f>+'WA&amp;NT'!CG24</f>
        <v>54.166435027690667</v>
      </c>
      <c r="CH49" s="621">
        <f>+'WA&amp;NT'!CH24</f>
        <v>55.216482904387817</v>
      </c>
      <c r="CI49" s="621">
        <f>+'WA&amp;NT'!CI24</f>
        <v>56.289015028404648</v>
      </c>
      <c r="CJ49" s="621">
        <f>+'WA&amp;NT'!CJ24</f>
        <v>57.386190753216397</v>
      </c>
      <c r="CK49" s="621">
        <f>+'WA&amp;NT'!CK24</f>
        <v>58.507733606638887</v>
      </c>
      <c r="CL49" s="621">
        <f>+'WA&amp;NT'!CL24</f>
        <v>59.653412589420874</v>
      </c>
      <c r="CM49" s="621">
        <f>+'WA&amp;NT'!CM24</f>
        <v>60.824593891493514</v>
      </c>
      <c r="CN49" s="621">
        <f>+'WA&amp;NT'!CN24</f>
        <v>62.021873609204711</v>
      </c>
      <c r="CO49" s="621">
        <f>+'WA&amp;NT'!CO24</f>
        <v>63.246669973435843</v>
      </c>
      <c r="CP49" s="621">
        <f>+'WA&amp;NT'!CP24</f>
        <v>64.49877508878356</v>
      </c>
      <c r="CQ49" s="362" t="s">
        <v>77</v>
      </c>
      <c r="CR49" s="413"/>
      <c r="CU49"/>
      <c r="CV49"/>
      <c r="CW49"/>
      <c r="CX49"/>
      <c r="CY49"/>
      <c r="CZ49"/>
      <c r="DB49" s="103" t="s">
        <v>240</v>
      </c>
      <c r="DD49" s="57">
        <v>4.1890000000000001</v>
      </c>
      <c r="DE49" s="118">
        <f t="shared" si="129"/>
        <v>4.3520000000000003</v>
      </c>
      <c r="DF49" s="57">
        <v>5.2649999999999997</v>
      </c>
      <c r="DG49" s="118">
        <f t="shared" si="130"/>
        <v>6.4829999999999997</v>
      </c>
      <c r="DH49" s="57">
        <v>6.7759999999999998</v>
      </c>
      <c r="DI49" s="119">
        <f t="shared" si="131"/>
        <v>8.4380000000000006</v>
      </c>
      <c r="DJ49" s="142">
        <v>9.3930000000000007</v>
      </c>
      <c r="DK49" s="119">
        <f t="shared" si="132"/>
        <v>8.5609999999999999</v>
      </c>
      <c r="DL49" s="189">
        <v>9.8819999999999997</v>
      </c>
      <c r="DM49" s="98">
        <f t="shared" si="133"/>
        <v>7.5780000000000012</v>
      </c>
      <c r="DN49" s="189">
        <v>10.042999999999999</v>
      </c>
      <c r="DO49" s="98">
        <f t="shared" si="134"/>
        <v>8.7280000000000015</v>
      </c>
      <c r="DP49" s="189">
        <v>11.423999999999999</v>
      </c>
      <c r="DQ49" s="98">
        <f t="shared" si="137"/>
        <v>7.5360000000000014</v>
      </c>
      <c r="DR49" s="188"/>
      <c r="DT49" s="413"/>
      <c r="DU49" s="413">
        <f t="shared" si="125"/>
        <v>0.49045779182765481</v>
      </c>
      <c r="DV49" s="413">
        <f t="shared" si="126"/>
        <v>0.4481613891726251</v>
      </c>
      <c r="DW49" s="413">
        <f>+(DH49/(DH49+DI49))</f>
        <v>0.4453792559484685</v>
      </c>
      <c r="DX49" s="413">
        <f>+(DJ49/(DJ49+DK49))</f>
        <v>0.52317032416174669</v>
      </c>
      <c r="DY49" s="413">
        <f t="shared" si="138"/>
        <v>0.56597938144329896</v>
      </c>
      <c r="DZ49" s="413">
        <f t="shared" si="135"/>
        <v>0.53502743593841562</v>
      </c>
      <c r="EB49" s="413"/>
    </row>
    <row r="50" spans="2:156" s="98" customFormat="1" ht="11.25" customHeight="1" outlineLevel="1" x14ac:dyDescent="0.2">
      <c r="B50" s="410" t="s">
        <v>274</v>
      </c>
      <c r="C50" s="8"/>
      <c r="D50" s="54"/>
      <c r="E50" s="54"/>
      <c r="F50" s="54"/>
      <c r="G50" s="54"/>
      <c r="H50" s="54"/>
      <c r="I50" s="54"/>
      <c r="J50" s="54"/>
      <c r="K50" s="54">
        <f t="shared" ref="K50:BD50" si="139">SUM(K51:K53)</f>
        <v>0</v>
      </c>
      <c r="L50" s="54">
        <f t="shared" si="139"/>
        <v>0</v>
      </c>
      <c r="M50" s="54">
        <f t="shared" si="139"/>
        <v>21.067</v>
      </c>
      <c r="N50" s="54">
        <f t="shared" si="139"/>
        <v>76.27000000000001</v>
      </c>
      <c r="O50" s="54">
        <f t="shared" si="139"/>
        <v>34.192</v>
      </c>
      <c r="P50" s="54">
        <f t="shared" si="139"/>
        <v>51.387</v>
      </c>
      <c r="Q50" s="54">
        <f t="shared" si="139"/>
        <v>65.841999999999999</v>
      </c>
      <c r="R50" s="54">
        <f t="shared" si="139"/>
        <v>73.661000000000001</v>
      </c>
      <c r="S50" s="54">
        <f t="shared" si="139"/>
        <v>96.623999999999995</v>
      </c>
      <c r="T50" s="54">
        <f t="shared" si="139"/>
        <v>85.572000000000003</v>
      </c>
      <c r="U50" s="54">
        <f>SUM(U51:U53)</f>
        <v>71.230999999999995</v>
      </c>
      <c r="V50" s="54">
        <f t="shared" si="139"/>
        <v>81.653999999999996</v>
      </c>
      <c r="W50" s="54">
        <f t="shared" si="139"/>
        <v>83.100999999999999</v>
      </c>
      <c r="X50" s="54">
        <f t="shared" si="139"/>
        <v>74.235194499999992</v>
      </c>
      <c r="Y50" s="54">
        <f t="shared" si="139"/>
        <v>74.557791314999989</v>
      </c>
      <c r="Z50" s="54">
        <f t="shared" si="139"/>
        <v>76.164220665674989</v>
      </c>
      <c r="AA50" s="54">
        <f t="shared" si="139"/>
        <v>77.805660441472853</v>
      </c>
      <c r="AB50" s="54">
        <f t="shared" si="139"/>
        <v>79.482882896848793</v>
      </c>
      <c r="AC50" s="54">
        <f t="shared" si="139"/>
        <v>81.196677532495912</v>
      </c>
      <c r="AD50" s="54">
        <f t="shared" si="139"/>
        <v>82.947851485298727</v>
      </c>
      <c r="AE50" s="54">
        <f t="shared" si="139"/>
        <v>84.737229927211416</v>
      </c>
      <c r="AF50" s="54">
        <f t="shared" si="139"/>
        <v>86.565656473267552</v>
      </c>
      <c r="AG50" s="54">
        <f t="shared" si="139"/>
        <v>88.433993598932588</v>
      </c>
      <c r="AH50" s="54">
        <f t="shared" si="139"/>
        <v>90.34312306701591</v>
      </c>
      <c r="AI50" s="54">
        <f t="shared" si="139"/>
        <v>92.293946364363521</v>
      </c>
      <c r="AJ50" s="54">
        <f t="shared" si="139"/>
        <v>94.287385148558258</v>
      </c>
      <c r="AK50" s="54">
        <f t="shared" si="139"/>
        <v>96.324381704859604</v>
      </c>
      <c r="AL50" s="54">
        <f t="shared" si="139"/>
        <v>98.405899413620205</v>
      </c>
      <c r="AM50" s="54">
        <f t="shared" si="139"/>
        <v>100.5329232284226</v>
      </c>
      <c r="AN50" s="54">
        <f t="shared" si="139"/>
        <v>102.70646016518431</v>
      </c>
      <c r="AO50" s="54">
        <f t="shared" si="139"/>
        <v>104.92753980248608</v>
      </c>
      <c r="AP50" s="54">
        <f t="shared" si="139"/>
        <v>107.19721479338385</v>
      </c>
      <c r="AQ50" s="54">
        <f t="shared" si="139"/>
        <v>109.51656138897076</v>
      </c>
      <c r="AR50" s="54">
        <f t="shared" si="139"/>
        <v>111.8866799739624</v>
      </c>
      <c r="AS50" s="54">
        <f t="shared" si="139"/>
        <v>114.30869561458417</v>
      </c>
      <c r="AT50" s="54">
        <f t="shared" si="139"/>
        <v>116.78375861904692</v>
      </c>
      <c r="AU50" s="54">
        <f t="shared" si="139"/>
        <v>119.31304511090323</v>
      </c>
      <c r="AV50" s="54">
        <f t="shared" si="139"/>
        <v>121.89775761558354</v>
      </c>
      <c r="AW50" s="54">
        <f t="shared" si="139"/>
        <v>124.53912566041902</v>
      </c>
      <c r="AX50" s="54">
        <f t="shared" si="139"/>
        <v>127.23840638846428</v>
      </c>
      <c r="AY50" s="54">
        <f t="shared" si="139"/>
        <v>129.9968851864414</v>
      </c>
      <c r="AZ50" s="54">
        <f t="shared" si="139"/>
        <v>132.81587632713325</v>
      </c>
      <c r="BA50" s="54">
        <f t="shared" si="139"/>
        <v>135.696723626563</v>
      </c>
      <c r="BB50" s="54">
        <f t="shared" si="139"/>
        <v>138.64080111630355</v>
      </c>
      <c r="BC50" s="54">
        <f t="shared" si="139"/>
        <v>141.64951373126911</v>
      </c>
      <c r="BD50" s="54">
        <f t="shared" si="139"/>
        <v>144.72429801334999</v>
      </c>
      <c r="BE50" s="54">
        <f t="shared" ref="BE50:CP50" si="140">SUM(BE51:BE53)</f>
        <v>147.86662283125887</v>
      </c>
      <c r="BF50" s="54">
        <f t="shared" si="140"/>
        <v>151.07799011696696</v>
      </c>
      <c r="BG50" s="54">
        <f t="shared" si="140"/>
        <v>154.3599356191163</v>
      </c>
      <c r="BH50" s="54">
        <f t="shared" si="140"/>
        <v>157.71402967380388</v>
      </c>
      <c r="BI50" s="54">
        <f t="shared" si="140"/>
        <v>161.14187799314283</v>
      </c>
      <c r="BJ50" s="54">
        <f t="shared" si="140"/>
        <v>164.64512247201515</v>
      </c>
      <c r="BK50" s="54">
        <f t="shared" si="140"/>
        <v>168.22544201344013</v>
      </c>
      <c r="BL50" s="54">
        <f t="shared" si="140"/>
        <v>171.88455337299325</v>
      </c>
      <c r="BM50" s="54">
        <f t="shared" si="140"/>
        <v>175.62421202271952</v>
      </c>
      <c r="BN50" s="54">
        <f t="shared" si="140"/>
        <v>179.44621303499699</v>
      </c>
      <c r="BO50" s="54">
        <f t="shared" si="140"/>
        <v>183.35239198681558</v>
      </c>
      <c r="BP50" s="54">
        <f t="shared" si="140"/>
        <v>187.3446258849485</v>
      </c>
      <c r="BQ50" s="54">
        <f t="shared" si="140"/>
        <v>191.42483411250399</v>
      </c>
      <c r="BR50" s="54">
        <f t="shared" si="140"/>
        <v>195.59497939735701</v>
      </c>
      <c r="BS50" s="54">
        <f t="shared" si="140"/>
        <v>199.85706880297218</v>
      </c>
      <c r="BT50" s="54">
        <f t="shared" si="140"/>
        <v>204.21315474214134</v>
      </c>
      <c r="BU50" s="54">
        <f t="shared" si="140"/>
        <v>208.66533601417166</v>
      </c>
      <c r="BV50" s="54">
        <f t="shared" si="140"/>
        <v>213.21575886607224</v>
      </c>
      <c r="BW50" s="54">
        <f t="shared" si="140"/>
        <v>217.86661807830123</v>
      </c>
      <c r="BX50" s="54">
        <f t="shared" si="140"/>
        <v>222.62015807564751</v>
      </c>
      <c r="BY50" s="54">
        <f t="shared" si="140"/>
        <v>227.47867406383523</v>
      </c>
      <c r="BZ50" s="54">
        <f t="shared" si="140"/>
        <v>232.44451319245354</v>
      </c>
      <c r="CA50" s="54">
        <f t="shared" si="140"/>
        <v>237.52007574482781</v>
      </c>
      <c r="CB50" s="54">
        <f t="shared" si="140"/>
        <v>242.70781635546265</v>
      </c>
      <c r="CC50" s="54">
        <f t="shared" si="140"/>
        <v>248.01024525570369</v>
      </c>
      <c r="CD50" s="54">
        <f t="shared" si="140"/>
        <v>253.42992954827781</v>
      </c>
      <c r="CE50" s="54">
        <f t="shared" si="140"/>
        <v>258.96949451138994</v>
      </c>
      <c r="CF50" s="54">
        <f t="shared" si="140"/>
        <v>264.631624933068</v>
      </c>
      <c r="CG50" s="54">
        <f t="shared" si="140"/>
        <v>270.41906647646579</v>
      </c>
      <c r="CH50" s="54">
        <f t="shared" si="140"/>
        <v>276.33462707684998</v>
      </c>
      <c r="CI50" s="54">
        <f t="shared" si="140"/>
        <v>282.38117837101328</v>
      </c>
      <c r="CJ50" s="54">
        <f t="shared" si="140"/>
        <v>288.56165715987549</v>
      </c>
      <c r="CK50" s="54">
        <f t="shared" si="140"/>
        <v>294.87906690505093</v>
      </c>
      <c r="CL50" s="54">
        <f t="shared" si="140"/>
        <v>301.33647926017943</v>
      </c>
      <c r="CM50" s="54">
        <f t="shared" si="140"/>
        <v>307.93703563783606</v>
      </c>
      <c r="CN50" s="54">
        <f t="shared" si="140"/>
        <v>314.68394881285724</v>
      </c>
      <c r="CO50" s="54">
        <f t="shared" si="140"/>
        <v>321.58050456293546</v>
      </c>
      <c r="CP50" s="54">
        <f t="shared" si="140"/>
        <v>328.63006334736076</v>
      </c>
      <c r="CQ50" s="362" t="s">
        <v>77</v>
      </c>
      <c r="CR50" s="417"/>
      <c r="CS50" s="425"/>
      <c r="CT50" s="425"/>
      <c r="CU50"/>
      <c r="CV50"/>
      <c r="CW50"/>
      <c r="CX50"/>
      <c r="CY50"/>
      <c r="CZ50"/>
      <c r="DB50" s="410" t="s">
        <v>274</v>
      </c>
      <c r="DC50" s="8"/>
      <c r="DD50" s="54">
        <f t="shared" ref="DD50:DI50" si="141">SUM(DD51:DD53)</f>
        <v>36.848999999999997</v>
      </c>
      <c r="DE50" s="54">
        <f t="shared" si="141"/>
        <v>36.811999999999998</v>
      </c>
      <c r="DF50" s="54">
        <f t="shared" si="141"/>
        <v>47.915999999999997</v>
      </c>
      <c r="DG50" s="54">
        <f t="shared" si="141"/>
        <v>48.707999999999998</v>
      </c>
      <c r="DH50" s="54">
        <f t="shared" si="141"/>
        <v>72.876000000000005</v>
      </c>
      <c r="DI50" s="54">
        <f t="shared" si="141"/>
        <v>12.696000000000009</v>
      </c>
      <c r="DJ50" s="54">
        <f t="shared" ref="DJ50:DO50" si="142">SUM(DJ51:DJ53)</f>
        <v>32.508000000000003</v>
      </c>
      <c r="DK50" s="54">
        <f t="shared" si="142"/>
        <v>38.722999999999999</v>
      </c>
      <c r="DL50" s="54">
        <f t="shared" si="142"/>
        <v>41.823</v>
      </c>
      <c r="DM50" s="54">
        <f t="shared" si="142"/>
        <v>39.830999999999996</v>
      </c>
      <c r="DN50" s="54">
        <f t="shared" si="142"/>
        <v>37.743000000000002</v>
      </c>
      <c r="DO50" s="54">
        <f t="shared" si="142"/>
        <v>45.357999999999997</v>
      </c>
      <c r="DP50" s="54">
        <f t="shared" ref="DP50" si="143">SUM(DP51:DP53)</f>
        <v>37.832000000000001</v>
      </c>
      <c r="DQ50" s="54">
        <f t="shared" si="137"/>
        <v>36.403194499999991</v>
      </c>
      <c r="DR50" s="54"/>
      <c r="DS50" s="54"/>
      <c r="DT50" s="374"/>
      <c r="DU50" s="420">
        <f t="shared" si="125"/>
        <v>0.50025115054099178</v>
      </c>
      <c r="DV50" s="420">
        <f t="shared" si="126"/>
        <v>0.49590163934426229</v>
      </c>
      <c r="DW50" s="420">
        <f>+(DH50/(DH50+DI50))</f>
        <v>0.85163371196185655</v>
      </c>
      <c r="DX50" s="420">
        <f t="shared" si="128"/>
        <v>0.45637433140065431</v>
      </c>
      <c r="DY50" s="420">
        <f>+(DL50/(DL50+DM50))</f>
        <v>0.51219781027261369</v>
      </c>
      <c r="DZ50" s="420">
        <f t="shared" si="135"/>
        <v>0.45418226014127389</v>
      </c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</row>
    <row r="51" spans="2:156" s="98" customFormat="1" ht="11.25" customHeight="1" outlineLevel="1" x14ac:dyDescent="0.2">
      <c r="B51" s="103" t="s">
        <v>273</v>
      </c>
      <c r="D51" s="57"/>
      <c r="E51" s="57"/>
      <c r="F51" s="57"/>
      <c r="G51" s="57"/>
      <c r="H51" s="57"/>
      <c r="I51" s="57"/>
      <c r="J51" s="57"/>
      <c r="K51" s="57" t="s">
        <v>78</v>
      </c>
      <c r="L51" s="57" t="s">
        <v>78</v>
      </c>
      <c r="M51" s="57">
        <v>5.7149999999999999</v>
      </c>
      <c r="N51" s="57">
        <v>27.913</v>
      </c>
      <c r="O51" s="57">
        <v>22.625</v>
      </c>
      <c r="P51" s="57">
        <v>32.317</v>
      </c>
      <c r="Q51" s="57">
        <v>38.74</v>
      </c>
      <c r="R51" s="57">
        <v>31.91</v>
      </c>
      <c r="S51" s="57">
        <v>45.447000000000003</v>
      </c>
      <c r="T51" s="406">
        <v>67.552000000000007</v>
      </c>
      <c r="U51" s="406">
        <v>49.448</v>
      </c>
      <c r="V51" s="406">
        <v>53.857999999999997</v>
      </c>
      <c r="W51" s="406">
        <v>58.719000000000001</v>
      </c>
      <c r="X51" s="149">
        <f>+X31*57%</f>
        <v>50.493221999999996</v>
      </c>
      <c r="Y51" s="149">
        <f t="shared" ref="Y51:CJ51" si="144">+Y31*57%</f>
        <v>51.50308643999999</v>
      </c>
      <c r="Z51" s="149">
        <f t="shared" si="144"/>
        <v>52.53314816879999</v>
      </c>
      <c r="AA51" s="149">
        <f t="shared" si="144"/>
        <v>53.583811132175988</v>
      </c>
      <c r="AB51" s="149">
        <f t="shared" si="144"/>
        <v>54.655487354819506</v>
      </c>
      <c r="AC51" s="149">
        <f t="shared" si="144"/>
        <v>55.748597101915898</v>
      </c>
      <c r="AD51" s="149">
        <f t="shared" si="144"/>
        <v>56.863569043954215</v>
      </c>
      <c r="AE51" s="149">
        <f t="shared" si="144"/>
        <v>58.000840424833299</v>
      </c>
      <c r="AF51" s="149">
        <f t="shared" si="144"/>
        <v>59.16085723332997</v>
      </c>
      <c r="AG51" s="149">
        <f t="shared" si="144"/>
        <v>60.34407437799657</v>
      </c>
      <c r="AH51" s="149">
        <f t="shared" si="144"/>
        <v>61.550955865556496</v>
      </c>
      <c r="AI51" s="149">
        <f t="shared" si="144"/>
        <v>62.781974982867624</v>
      </c>
      <c r="AJ51" s="149">
        <f t="shared" si="144"/>
        <v>64.037614482524972</v>
      </c>
      <c r="AK51" s="149">
        <f t="shared" si="144"/>
        <v>65.31836677217548</v>
      </c>
      <c r="AL51" s="149">
        <f t="shared" si="144"/>
        <v>66.624734107618991</v>
      </c>
      <c r="AM51" s="149">
        <f t="shared" si="144"/>
        <v>67.957228789771364</v>
      </c>
      <c r="AN51" s="149">
        <f t="shared" si="144"/>
        <v>69.31637336556679</v>
      </c>
      <c r="AO51" s="149">
        <f t="shared" si="144"/>
        <v>70.702700832878136</v>
      </c>
      <c r="AP51" s="149">
        <f t="shared" si="144"/>
        <v>72.116754849535695</v>
      </c>
      <c r="AQ51" s="149">
        <f t="shared" si="144"/>
        <v>73.559089946526413</v>
      </c>
      <c r="AR51" s="149">
        <f t="shared" si="144"/>
        <v>75.030271745456943</v>
      </c>
      <c r="AS51" s="149">
        <f t="shared" si="144"/>
        <v>76.530877180366076</v>
      </c>
      <c r="AT51" s="149">
        <f t="shared" si="144"/>
        <v>78.061494723973382</v>
      </c>
      <c r="AU51" s="149">
        <f t="shared" si="144"/>
        <v>79.62272461845285</v>
      </c>
      <c r="AV51" s="149">
        <f t="shared" si="144"/>
        <v>81.215179110821907</v>
      </c>
      <c r="AW51" s="149">
        <f t="shared" si="144"/>
        <v>82.839482693038335</v>
      </c>
      <c r="AX51" s="149">
        <f t="shared" si="144"/>
        <v>84.496272346899104</v>
      </c>
      <c r="AY51" s="149">
        <f t="shared" si="144"/>
        <v>86.186197793837096</v>
      </c>
      <c r="AZ51" s="149">
        <f t="shared" si="144"/>
        <v>87.909921749713831</v>
      </c>
      <c r="BA51" s="149">
        <f t="shared" si="144"/>
        <v>89.668120184708101</v>
      </c>
      <c r="BB51" s="149">
        <f t="shared" si="144"/>
        <v>91.461482588402262</v>
      </c>
      <c r="BC51" s="149">
        <f t="shared" si="144"/>
        <v>93.290712240170308</v>
      </c>
      <c r="BD51" s="149">
        <f t="shared" si="144"/>
        <v>95.156526484973725</v>
      </c>
      <c r="BE51" s="149">
        <f t="shared" si="144"/>
        <v>97.059657014673192</v>
      </c>
      <c r="BF51" s="149">
        <f t="shared" si="144"/>
        <v>99.000850154966656</v>
      </c>
      <c r="BG51" s="149">
        <f t="shared" si="144"/>
        <v>100.98086715806599</v>
      </c>
      <c r="BH51" s="149">
        <f t="shared" si="144"/>
        <v>103.00048450122732</v>
      </c>
      <c r="BI51" s="149">
        <f t="shared" si="144"/>
        <v>105.06049419125186</v>
      </c>
      <c r="BJ51" s="149">
        <f t="shared" si="144"/>
        <v>107.1617040750769</v>
      </c>
      <c r="BK51" s="149">
        <f t="shared" si="144"/>
        <v>109.30493815657844</v>
      </c>
      <c r="BL51" s="149">
        <f t="shared" si="144"/>
        <v>111.49103691971001</v>
      </c>
      <c r="BM51" s="149">
        <f t="shared" si="144"/>
        <v>113.72085765810422</v>
      </c>
      <c r="BN51" s="149">
        <f t="shared" si="144"/>
        <v>115.9952748112663</v>
      </c>
      <c r="BO51" s="149">
        <f t="shared" si="144"/>
        <v>118.31518030749162</v>
      </c>
      <c r="BP51" s="149">
        <f t="shared" si="144"/>
        <v>120.68148391364146</v>
      </c>
      <c r="BQ51" s="149">
        <f t="shared" si="144"/>
        <v>123.09511359191428</v>
      </c>
      <c r="BR51" s="149">
        <f t="shared" si="144"/>
        <v>125.55701586375257</v>
      </c>
      <c r="BS51" s="149">
        <f t="shared" si="144"/>
        <v>128.06815618102763</v>
      </c>
      <c r="BT51" s="149">
        <f t="shared" si="144"/>
        <v>130.6295193046482</v>
      </c>
      <c r="BU51" s="149">
        <f t="shared" si="144"/>
        <v>133.24210969074116</v>
      </c>
      <c r="BV51" s="149">
        <f t="shared" si="144"/>
        <v>135.90695188455598</v>
      </c>
      <c r="BW51" s="149">
        <f t="shared" si="144"/>
        <v>138.6250909222471</v>
      </c>
      <c r="BX51" s="149">
        <f t="shared" si="144"/>
        <v>141.39759274069203</v>
      </c>
      <c r="BY51" s="149">
        <f t="shared" si="144"/>
        <v>144.22554459550588</v>
      </c>
      <c r="BZ51" s="149">
        <f t="shared" si="144"/>
        <v>147.11005548741596</v>
      </c>
      <c r="CA51" s="149">
        <f t="shared" si="144"/>
        <v>150.0522565971643</v>
      </c>
      <c r="CB51" s="149">
        <f t="shared" si="144"/>
        <v>153.05330172910757</v>
      </c>
      <c r="CC51" s="149">
        <f t="shared" si="144"/>
        <v>156.11436776368976</v>
      </c>
      <c r="CD51" s="149">
        <f t="shared" si="144"/>
        <v>159.23665511896354</v>
      </c>
      <c r="CE51" s="149">
        <f t="shared" si="144"/>
        <v>162.42138822134282</v>
      </c>
      <c r="CF51" s="149">
        <f t="shared" si="144"/>
        <v>165.66981598576967</v>
      </c>
      <c r="CG51" s="149">
        <f t="shared" si="144"/>
        <v>168.98321230548507</v>
      </c>
      <c r="CH51" s="149">
        <f t="shared" si="144"/>
        <v>172.36287655159475</v>
      </c>
      <c r="CI51" s="149">
        <f t="shared" si="144"/>
        <v>175.81013408262666</v>
      </c>
      <c r="CJ51" s="149">
        <f t="shared" si="144"/>
        <v>179.3263367642792</v>
      </c>
      <c r="CK51" s="149">
        <f t="shared" ref="CK51:CP51" si="145">+CK31*57%</f>
        <v>182.91286349956476</v>
      </c>
      <c r="CL51" s="149">
        <f t="shared" si="145"/>
        <v>186.57112076955607</v>
      </c>
      <c r="CM51" s="149">
        <f t="shared" si="145"/>
        <v>190.30254318494718</v>
      </c>
      <c r="CN51" s="149">
        <f t="shared" si="145"/>
        <v>194.10859404864615</v>
      </c>
      <c r="CO51" s="149">
        <f t="shared" si="145"/>
        <v>197.99076592961907</v>
      </c>
      <c r="CP51" s="149">
        <f t="shared" si="145"/>
        <v>201.95058124821145</v>
      </c>
      <c r="CQ51" s="362" t="s">
        <v>77</v>
      </c>
      <c r="CU51"/>
      <c r="CV51"/>
      <c r="CW51"/>
      <c r="CX51"/>
      <c r="CY51"/>
      <c r="CZ51"/>
      <c r="DB51" s="103" t="s">
        <v>273</v>
      </c>
      <c r="DD51" s="57">
        <v>14.051</v>
      </c>
      <c r="DE51" s="118">
        <f>+R51-DD51</f>
        <v>17.859000000000002</v>
      </c>
      <c r="DF51" s="57">
        <v>17.195</v>
      </c>
      <c r="DG51" s="118">
        <f>+S51-DF51</f>
        <v>28.252000000000002</v>
      </c>
      <c r="DH51" s="57">
        <v>34.506999999999998</v>
      </c>
      <c r="DI51" s="119">
        <f>+T51-DH51</f>
        <v>33.045000000000009</v>
      </c>
      <c r="DJ51" s="142">
        <v>24.861000000000001</v>
      </c>
      <c r="DK51" s="119">
        <f>+U51-DJ51</f>
        <v>24.587</v>
      </c>
      <c r="DL51" s="189">
        <v>27.85</v>
      </c>
      <c r="DM51" s="98">
        <f>V51-DL51</f>
        <v>26.007999999999996</v>
      </c>
      <c r="DN51" s="189">
        <v>25.193000000000001</v>
      </c>
      <c r="DO51" s="98">
        <f>W51-DN51</f>
        <v>33.525999999999996</v>
      </c>
      <c r="DP51" s="189">
        <v>25.92</v>
      </c>
      <c r="DQ51" s="98">
        <f t="shared" si="137"/>
        <v>24.573221999999994</v>
      </c>
      <c r="DR51" s="188"/>
      <c r="DT51" s="413"/>
      <c r="DU51" s="413">
        <f t="shared" si="125"/>
        <v>0.44033218426825443</v>
      </c>
      <c r="DV51" s="413">
        <f t="shared" si="126"/>
        <v>0.37835280656588993</v>
      </c>
      <c r="DW51" s="413">
        <f>+(DH51/(DH51+DI51))</f>
        <v>0.51082129322595915</v>
      </c>
      <c r="DX51" s="413">
        <f t="shared" si="128"/>
        <v>0.50277058728361113</v>
      </c>
      <c r="DY51" s="413">
        <f t="shared" si="138"/>
        <v>0.51710052359909398</v>
      </c>
      <c r="DZ51" s="413">
        <f t="shared" si="135"/>
        <v>0.4290434101398185</v>
      </c>
    </row>
    <row r="52" spans="2:156" s="98" customFormat="1" ht="11.25" customHeight="1" outlineLevel="1" x14ac:dyDescent="0.2">
      <c r="B52" s="103" t="s">
        <v>241</v>
      </c>
      <c r="D52" s="57"/>
      <c r="E52" s="57"/>
      <c r="F52" s="57"/>
      <c r="G52" s="57"/>
      <c r="H52" s="57"/>
      <c r="I52" s="57"/>
      <c r="J52" s="57"/>
      <c r="K52" s="57" t="s">
        <v>78</v>
      </c>
      <c r="L52" s="57" t="s">
        <v>78</v>
      </c>
      <c r="M52" s="57">
        <v>0</v>
      </c>
      <c r="N52" s="57">
        <v>18.126000000000001</v>
      </c>
      <c r="O52" s="57">
        <v>11.567</v>
      </c>
      <c r="P52" s="57">
        <v>19.07</v>
      </c>
      <c r="Q52" s="57">
        <v>27.102</v>
      </c>
      <c r="R52" s="57">
        <v>41.750999999999998</v>
      </c>
      <c r="S52" s="57">
        <v>51.177</v>
      </c>
      <c r="T52" s="406">
        <v>18.02</v>
      </c>
      <c r="U52" s="406">
        <v>21.783000000000001</v>
      </c>
      <c r="V52" s="406">
        <v>27.795999999999999</v>
      </c>
      <c r="W52" s="406">
        <v>24.382000000000001</v>
      </c>
      <c r="X52" s="149">
        <f>+X32*95%</f>
        <v>23.741972499999999</v>
      </c>
      <c r="Y52" s="149">
        <f t="shared" ref="Y52:BD52" si="146">+Y32*90%</f>
        <v>23.054704874999999</v>
      </c>
      <c r="Z52" s="149">
        <f t="shared" si="146"/>
        <v>23.631072496874996</v>
      </c>
      <c r="AA52" s="149">
        <f t="shared" si="146"/>
        <v>24.221849309296868</v>
      </c>
      <c r="AB52" s="149">
        <f t="shared" si="146"/>
        <v>24.827395542029286</v>
      </c>
      <c r="AC52" s="149">
        <f t="shared" si="146"/>
        <v>25.448080430580017</v>
      </c>
      <c r="AD52" s="149">
        <f t="shared" si="146"/>
        <v>26.084282441344516</v>
      </c>
      <c r="AE52" s="149">
        <f t="shared" si="146"/>
        <v>26.736389502378124</v>
      </c>
      <c r="AF52" s="149">
        <f t="shared" si="146"/>
        <v>27.404799239937574</v>
      </c>
      <c r="AG52" s="149">
        <f t="shared" si="146"/>
        <v>28.089919220936014</v>
      </c>
      <c r="AH52" s="149">
        <f t="shared" si="146"/>
        <v>28.79216720145941</v>
      </c>
      <c r="AI52" s="149">
        <f t="shared" si="146"/>
        <v>29.511971381495893</v>
      </c>
      <c r="AJ52" s="149">
        <f t="shared" si="146"/>
        <v>30.249770666033289</v>
      </c>
      <c r="AK52" s="149">
        <f t="shared" si="146"/>
        <v>31.006014932684121</v>
      </c>
      <c r="AL52" s="149">
        <f t="shared" si="146"/>
        <v>31.781165306001217</v>
      </c>
      <c r="AM52" s="149">
        <f t="shared" si="146"/>
        <v>32.57569443865124</v>
      </c>
      <c r="AN52" s="149">
        <f t="shared" si="146"/>
        <v>33.390086799617521</v>
      </c>
      <c r="AO52" s="149">
        <f t="shared" si="146"/>
        <v>34.224838969607951</v>
      </c>
      <c r="AP52" s="149">
        <f t="shared" si="146"/>
        <v>35.080459943848155</v>
      </c>
      <c r="AQ52" s="149">
        <f t="shared" si="146"/>
        <v>35.957471442444351</v>
      </c>
      <c r="AR52" s="149">
        <f t="shared" si="146"/>
        <v>36.856408228505458</v>
      </c>
      <c r="AS52" s="149">
        <f t="shared" si="146"/>
        <v>37.777818434218091</v>
      </c>
      <c r="AT52" s="149">
        <f t="shared" si="146"/>
        <v>38.722263895073539</v>
      </c>
      <c r="AU52" s="149">
        <f t="shared" si="146"/>
        <v>39.690320492450383</v>
      </c>
      <c r="AV52" s="149">
        <f t="shared" si="146"/>
        <v>40.682578504761636</v>
      </c>
      <c r="AW52" s="149">
        <f t="shared" si="146"/>
        <v>41.699642967380676</v>
      </c>
      <c r="AX52" s="149">
        <f t="shared" si="146"/>
        <v>42.742134041565187</v>
      </c>
      <c r="AY52" s="149">
        <f t="shared" si="146"/>
        <v>43.810687392604315</v>
      </c>
      <c r="AZ52" s="149">
        <f t="shared" si="146"/>
        <v>44.905954577419422</v>
      </c>
      <c r="BA52" s="149">
        <f t="shared" si="146"/>
        <v>46.028603441854905</v>
      </c>
      <c r="BB52" s="149">
        <f t="shared" si="146"/>
        <v>47.17931852790128</v>
      </c>
      <c r="BC52" s="149">
        <f t="shared" si="146"/>
        <v>48.358801491098802</v>
      </c>
      <c r="BD52" s="149">
        <f t="shared" si="146"/>
        <v>49.567771528376269</v>
      </c>
      <c r="BE52" s="149">
        <f t="shared" ref="BE52:CP52" si="147">+BE32*90%</f>
        <v>50.806965816585674</v>
      </c>
      <c r="BF52" s="149">
        <f t="shared" si="147"/>
        <v>52.077139962000309</v>
      </c>
      <c r="BG52" s="149">
        <f t="shared" si="147"/>
        <v>53.379068461050316</v>
      </c>
      <c r="BH52" s="149">
        <f t="shared" si="147"/>
        <v>54.713545172576566</v>
      </c>
      <c r="BI52" s="149">
        <f t="shared" si="147"/>
        <v>56.081383801890979</v>
      </c>
      <c r="BJ52" s="149">
        <f t="shared" si="147"/>
        <v>57.483418396938248</v>
      </c>
      <c r="BK52" s="149">
        <f t="shared" si="147"/>
        <v>58.920503856861693</v>
      </c>
      <c r="BL52" s="149">
        <f t="shared" si="147"/>
        <v>60.393516453283233</v>
      </c>
      <c r="BM52" s="149">
        <f t="shared" si="147"/>
        <v>61.903354364615303</v>
      </c>
      <c r="BN52" s="149">
        <f t="shared" si="147"/>
        <v>63.450938223730681</v>
      </c>
      <c r="BO52" s="149">
        <f t="shared" si="147"/>
        <v>65.037211679323946</v>
      </c>
      <c r="BP52" s="149">
        <f t="shared" si="147"/>
        <v>66.663141971307041</v>
      </c>
      <c r="BQ52" s="149">
        <f t="shared" si="147"/>
        <v>68.329720520589703</v>
      </c>
      <c r="BR52" s="149">
        <f t="shared" si="147"/>
        <v>70.037963533604454</v>
      </c>
      <c r="BS52" s="149">
        <f t="shared" si="147"/>
        <v>71.788912621944547</v>
      </c>
      <c r="BT52" s="149">
        <f t="shared" si="147"/>
        <v>73.583635437493157</v>
      </c>
      <c r="BU52" s="149">
        <f t="shared" si="147"/>
        <v>75.423226323430484</v>
      </c>
      <c r="BV52" s="149">
        <f t="shared" si="147"/>
        <v>77.308806981516241</v>
      </c>
      <c r="BW52" s="149">
        <f t="shared" si="147"/>
        <v>79.241527156054133</v>
      </c>
      <c r="BX52" s="149">
        <f t="shared" si="147"/>
        <v>81.222565334955476</v>
      </c>
      <c r="BY52" s="149">
        <f t="shared" si="147"/>
        <v>83.253129468329362</v>
      </c>
      <c r="BZ52" s="149">
        <f t="shared" si="147"/>
        <v>85.334457705037579</v>
      </c>
      <c r="CA52" s="149">
        <f t="shared" si="147"/>
        <v>87.467819147663505</v>
      </c>
      <c r="CB52" s="149">
        <f t="shared" si="147"/>
        <v>89.654514626355081</v>
      </c>
      <c r="CC52" s="149">
        <f t="shared" si="147"/>
        <v>91.895877492013952</v>
      </c>
      <c r="CD52" s="149">
        <f t="shared" si="147"/>
        <v>94.193274429314286</v>
      </c>
      <c r="CE52" s="149">
        <f t="shared" si="147"/>
        <v>96.548106290047144</v>
      </c>
      <c r="CF52" s="149">
        <f t="shared" si="147"/>
        <v>98.961808947298309</v>
      </c>
      <c r="CG52" s="149">
        <f t="shared" si="147"/>
        <v>101.43585417098075</v>
      </c>
      <c r="CH52" s="149">
        <f t="shared" si="147"/>
        <v>103.97175052525526</v>
      </c>
      <c r="CI52" s="149">
        <f t="shared" si="147"/>
        <v>106.57104428838663</v>
      </c>
      <c r="CJ52" s="149">
        <f t="shared" si="147"/>
        <v>109.23532039559629</v>
      </c>
      <c r="CK52" s="149">
        <f t="shared" si="147"/>
        <v>111.96620340548618</v>
      </c>
      <c r="CL52" s="149">
        <f t="shared" si="147"/>
        <v>114.76535849062333</v>
      </c>
      <c r="CM52" s="149">
        <f t="shared" si="147"/>
        <v>117.63449245288889</v>
      </c>
      <c r="CN52" s="149">
        <f t="shared" si="147"/>
        <v>120.5753547642111</v>
      </c>
      <c r="CO52" s="149">
        <f t="shared" si="147"/>
        <v>123.58973863331637</v>
      </c>
      <c r="CP52" s="149">
        <f t="shared" si="147"/>
        <v>126.67948209914928</v>
      </c>
      <c r="CQ52" s="362" t="s">
        <v>77</v>
      </c>
      <c r="CU52"/>
      <c r="CV52"/>
      <c r="CW52"/>
      <c r="CX52"/>
      <c r="CY52"/>
      <c r="CZ52"/>
      <c r="DB52" s="103" t="s">
        <v>241</v>
      </c>
      <c r="DD52" s="57">
        <v>22.797999999999998</v>
      </c>
      <c r="DE52" s="118">
        <f>+R52-DD52</f>
        <v>18.952999999999999</v>
      </c>
      <c r="DF52" s="57">
        <v>30.721</v>
      </c>
      <c r="DG52" s="118">
        <f>+S52-DF52</f>
        <v>20.456</v>
      </c>
      <c r="DH52" s="57">
        <v>38.369</v>
      </c>
      <c r="DI52" s="119">
        <f>+T52-DH52</f>
        <v>-20.349</v>
      </c>
      <c r="DJ52" s="142">
        <v>7.6470000000000002</v>
      </c>
      <c r="DK52" s="119">
        <f>+U52-DJ52</f>
        <v>14.136000000000001</v>
      </c>
      <c r="DL52" s="189">
        <v>13.973000000000001</v>
      </c>
      <c r="DM52" s="98">
        <f>V52-DL52</f>
        <v>13.822999999999999</v>
      </c>
      <c r="DN52" s="189">
        <v>12.55</v>
      </c>
      <c r="DO52" s="98">
        <f>W52-DN52</f>
        <v>11.832000000000001</v>
      </c>
      <c r="DP52" s="189">
        <v>11.912000000000001</v>
      </c>
      <c r="DQ52" s="98">
        <f t="shared" si="137"/>
        <v>11.829972499999998</v>
      </c>
      <c r="DR52" s="188"/>
      <c r="DT52" s="413"/>
      <c r="DU52" s="413">
        <f t="shared" si="125"/>
        <v>0.54604680127422101</v>
      </c>
      <c r="DV52" s="413">
        <f t="shared" si="126"/>
        <v>0.60028919241065326</v>
      </c>
      <c r="DW52" s="413">
        <f>+(DH52/(DH52+DI52))</f>
        <v>2.129245283018868</v>
      </c>
      <c r="DX52" s="413">
        <f t="shared" si="128"/>
        <v>0.35105357388789421</v>
      </c>
      <c r="DY52" s="413">
        <f t="shared" si="138"/>
        <v>0.50269822996114555</v>
      </c>
      <c r="DZ52" s="413">
        <f t="shared" si="135"/>
        <v>0.51472397670412595</v>
      </c>
    </row>
    <row r="53" spans="2:156" s="98" customFormat="1" ht="11.25" customHeight="1" outlineLevel="1" x14ac:dyDescent="0.2">
      <c r="B53" s="103" t="s">
        <v>205</v>
      </c>
      <c r="D53" s="57"/>
      <c r="E53" s="57"/>
      <c r="F53" s="57"/>
      <c r="G53" s="57"/>
      <c r="H53" s="57"/>
      <c r="I53" s="57"/>
      <c r="J53" s="57"/>
      <c r="K53" s="57" t="s">
        <v>78</v>
      </c>
      <c r="L53" s="57" t="s">
        <v>78</v>
      </c>
      <c r="M53" s="57">
        <f>12.842+2.51</f>
        <v>15.352</v>
      </c>
      <c r="N53" s="57">
        <f>18.939+11.292</f>
        <v>30.231000000000002</v>
      </c>
      <c r="O53" s="57">
        <v>0</v>
      </c>
      <c r="P53" s="57">
        <v>0</v>
      </c>
      <c r="Q53" s="57">
        <v>0</v>
      </c>
      <c r="R53" s="57">
        <v>0</v>
      </c>
      <c r="S53" s="57">
        <v>0</v>
      </c>
      <c r="T53" s="406">
        <v>0</v>
      </c>
      <c r="U53" s="406">
        <v>0</v>
      </c>
      <c r="V53" s="414">
        <f>U53</f>
        <v>0</v>
      </c>
      <c r="W53" s="406">
        <v>0</v>
      </c>
      <c r="X53" s="270">
        <f t="shared" ref="X53:BD53" si="148">W53</f>
        <v>0</v>
      </c>
      <c r="Y53" s="270">
        <f t="shared" si="148"/>
        <v>0</v>
      </c>
      <c r="Z53" s="270">
        <f t="shared" si="148"/>
        <v>0</v>
      </c>
      <c r="AA53" s="270">
        <f t="shared" si="148"/>
        <v>0</v>
      </c>
      <c r="AB53" s="270">
        <f t="shared" si="148"/>
        <v>0</v>
      </c>
      <c r="AC53" s="270">
        <f t="shared" si="148"/>
        <v>0</v>
      </c>
      <c r="AD53" s="270">
        <f t="shared" si="148"/>
        <v>0</v>
      </c>
      <c r="AE53" s="270">
        <f t="shared" si="148"/>
        <v>0</v>
      </c>
      <c r="AF53" s="270">
        <f t="shared" si="148"/>
        <v>0</v>
      </c>
      <c r="AG53" s="270">
        <f t="shared" si="148"/>
        <v>0</v>
      </c>
      <c r="AH53" s="270">
        <f t="shared" si="148"/>
        <v>0</v>
      </c>
      <c r="AI53" s="270">
        <f t="shared" si="148"/>
        <v>0</v>
      </c>
      <c r="AJ53" s="270">
        <f t="shared" si="148"/>
        <v>0</v>
      </c>
      <c r="AK53" s="270">
        <f t="shared" si="148"/>
        <v>0</v>
      </c>
      <c r="AL53" s="270">
        <f t="shared" si="148"/>
        <v>0</v>
      </c>
      <c r="AM53" s="270">
        <f t="shared" si="148"/>
        <v>0</v>
      </c>
      <c r="AN53" s="270">
        <f t="shared" si="148"/>
        <v>0</v>
      </c>
      <c r="AO53" s="270">
        <f t="shared" si="148"/>
        <v>0</v>
      </c>
      <c r="AP53" s="270">
        <f t="shared" si="148"/>
        <v>0</v>
      </c>
      <c r="AQ53" s="270">
        <f t="shared" si="148"/>
        <v>0</v>
      </c>
      <c r="AR53" s="270">
        <f t="shared" si="148"/>
        <v>0</v>
      </c>
      <c r="AS53" s="270">
        <f t="shared" si="148"/>
        <v>0</v>
      </c>
      <c r="AT53" s="270">
        <f t="shared" si="148"/>
        <v>0</v>
      </c>
      <c r="AU53" s="270">
        <f t="shared" si="148"/>
        <v>0</v>
      </c>
      <c r="AV53" s="270">
        <f t="shared" si="148"/>
        <v>0</v>
      </c>
      <c r="AW53" s="270">
        <f t="shared" si="148"/>
        <v>0</v>
      </c>
      <c r="AX53" s="270">
        <f t="shared" si="148"/>
        <v>0</v>
      </c>
      <c r="AY53" s="270">
        <f t="shared" si="148"/>
        <v>0</v>
      </c>
      <c r="AZ53" s="270">
        <f t="shared" si="148"/>
        <v>0</v>
      </c>
      <c r="BA53" s="270">
        <f t="shared" si="148"/>
        <v>0</v>
      </c>
      <c r="BB53" s="270">
        <f t="shared" si="148"/>
        <v>0</v>
      </c>
      <c r="BC53" s="270">
        <f t="shared" si="148"/>
        <v>0</v>
      </c>
      <c r="BD53" s="270">
        <f t="shared" si="148"/>
        <v>0</v>
      </c>
      <c r="BE53" s="270">
        <f t="shared" ref="BE53:CP53" si="149">BD53</f>
        <v>0</v>
      </c>
      <c r="BF53" s="270">
        <f t="shared" si="149"/>
        <v>0</v>
      </c>
      <c r="BG53" s="270">
        <f t="shared" si="149"/>
        <v>0</v>
      </c>
      <c r="BH53" s="270">
        <f t="shared" si="149"/>
        <v>0</v>
      </c>
      <c r="BI53" s="270">
        <f t="shared" si="149"/>
        <v>0</v>
      </c>
      <c r="BJ53" s="270">
        <f t="shared" si="149"/>
        <v>0</v>
      </c>
      <c r="BK53" s="270">
        <f t="shared" si="149"/>
        <v>0</v>
      </c>
      <c r="BL53" s="270">
        <f t="shared" si="149"/>
        <v>0</v>
      </c>
      <c r="BM53" s="270">
        <f t="shared" si="149"/>
        <v>0</v>
      </c>
      <c r="BN53" s="270">
        <f t="shared" si="149"/>
        <v>0</v>
      </c>
      <c r="BO53" s="270">
        <f t="shared" si="149"/>
        <v>0</v>
      </c>
      <c r="BP53" s="270">
        <f t="shared" si="149"/>
        <v>0</v>
      </c>
      <c r="BQ53" s="270">
        <f t="shared" si="149"/>
        <v>0</v>
      </c>
      <c r="BR53" s="270">
        <f t="shared" si="149"/>
        <v>0</v>
      </c>
      <c r="BS53" s="270">
        <f t="shared" si="149"/>
        <v>0</v>
      </c>
      <c r="BT53" s="270">
        <f t="shared" si="149"/>
        <v>0</v>
      </c>
      <c r="BU53" s="270">
        <f t="shared" si="149"/>
        <v>0</v>
      </c>
      <c r="BV53" s="270">
        <f t="shared" si="149"/>
        <v>0</v>
      </c>
      <c r="BW53" s="270">
        <f t="shared" si="149"/>
        <v>0</v>
      </c>
      <c r="BX53" s="270">
        <f t="shared" si="149"/>
        <v>0</v>
      </c>
      <c r="BY53" s="270">
        <f t="shared" si="149"/>
        <v>0</v>
      </c>
      <c r="BZ53" s="270">
        <f t="shared" si="149"/>
        <v>0</v>
      </c>
      <c r="CA53" s="270">
        <f t="shared" si="149"/>
        <v>0</v>
      </c>
      <c r="CB53" s="270">
        <f t="shared" si="149"/>
        <v>0</v>
      </c>
      <c r="CC53" s="270">
        <f t="shared" si="149"/>
        <v>0</v>
      </c>
      <c r="CD53" s="270">
        <f t="shared" si="149"/>
        <v>0</v>
      </c>
      <c r="CE53" s="270">
        <f t="shared" si="149"/>
        <v>0</v>
      </c>
      <c r="CF53" s="270">
        <f t="shared" si="149"/>
        <v>0</v>
      </c>
      <c r="CG53" s="270">
        <f t="shared" si="149"/>
        <v>0</v>
      </c>
      <c r="CH53" s="270">
        <f t="shared" si="149"/>
        <v>0</v>
      </c>
      <c r="CI53" s="270">
        <f t="shared" si="149"/>
        <v>0</v>
      </c>
      <c r="CJ53" s="270">
        <f t="shared" si="149"/>
        <v>0</v>
      </c>
      <c r="CK53" s="270">
        <f t="shared" si="149"/>
        <v>0</v>
      </c>
      <c r="CL53" s="270">
        <f t="shared" si="149"/>
        <v>0</v>
      </c>
      <c r="CM53" s="270">
        <f t="shared" si="149"/>
        <v>0</v>
      </c>
      <c r="CN53" s="270">
        <f t="shared" si="149"/>
        <v>0</v>
      </c>
      <c r="CO53" s="270">
        <f t="shared" si="149"/>
        <v>0</v>
      </c>
      <c r="CP53" s="270">
        <f t="shared" si="149"/>
        <v>0</v>
      </c>
      <c r="CQ53" s="362" t="s">
        <v>77</v>
      </c>
      <c r="CU53"/>
      <c r="CV53"/>
      <c r="CW53"/>
      <c r="CX53"/>
      <c r="CY53"/>
      <c r="CZ53"/>
      <c r="DB53" s="103" t="s">
        <v>205</v>
      </c>
      <c r="DD53" s="57">
        <v>0</v>
      </c>
      <c r="DE53" s="118">
        <f>+R53-DD53</f>
        <v>0</v>
      </c>
      <c r="DF53" s="57">
        <v>0</v>
      </c>
      <c r="DG53" s="118">
        <f>+S53-DF53</f>
        <v>0</v>
      </c>
      <c r="DH53" s="57">
        <v>0</v>
      </c>
      <c r="DI53" s="119">
        <f>+T53-DH53</f>
        <v>0</v>
      </c>
      <c r="DJ53" s="142">
        <v>0</v>
      </c>
      <c r="DK53" s="119">
        <f>+U53-DJ53</f>
        <v>0</v>
      </c>
      <c r="DL53" s="189">
        <v>0</v>
      </c>
      <c r="DM53" s="98">
        <f>V53-DL53</f>
        <v>0</v>
      </c>
      <c r="DN53" s="189">
        <v>0</v>
      </c>
      <c r="DO53" s="98">
        <f>W53-DN53</f>
        <v>0</v>
      </c>
      <c r="DP53" s="189">
        <v>0</v>
      </c>
      <c r="DQ53" s="98">
        <f t="shared" si="137"/>
        <v>0</v>
      </c>
      <c r="DR53" s="188"/>
      <c r="DT53" s="413"/>
      <c r="DU53" s="413"/>
      <c r="DV53" s="413"/>
      <c r="DW53" s="413"/>
      <c r="DX53" s="413"/>
      <c r="DY53" s="413"/>
      <c r="DZ53" s="413"/>
    </row>
    <row r="54" spans="2:156" s="98" customFormat="1" ht="11.25" customHeight="1" outlineLevel="1" x14ac:dyDescent="0.2">
      <c r="B54" s="410" t="s">
        <v>505</v>
      </c>
      <c r="C54" s="8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146"/>
      <c r="P54" s="146"/>
      <c r="Q54" s="146"/>
      <c r="R54" s="146"/>
      <c r="S54" s="146"/>
      <c r="T54" s="426">
        <v>-72.536000000000001</v>
      </c>
      <c r="U54" s="426">
        <v>-73.578999999999994</v>
      </c>
      <c r="V54" s="426">
        <f>-86.71</f>
        <v>-86.71</v>
      </c>
      <c r="W54" s="426">
        <v>-66.650999999999996</v>
      </c>
      <c r="X54" s="271">
        <f t="shared" ref="X54:BD54" si="150">-X55*SUM(X43,X50)</f>
        <v>-67.329329942128325</v>
      </c>
      <c r="Y54" s="271">
        <f t="shared" si="150"/>
        <v>-70.43945590601831</v>
      </c>
      <c r="Z54" s="271">
        <f t="shared" si="150"/>
        <v>-73.448081798410485</v>
      </c>
      <c r="AA54" s="271">
        <f t="shared" si="150"/>
        <v>-71.571004686045939</v>
      </c>
      <c r="AB54" s="271">
        <f t="shared" si="150"/>
        <v>-72.970933310231445</v>
      </c>
      <c r="AC54" s="271">
        <f t="shared" si="150"/>
        <v>-74.443570687326627</v>
      </c>
      <c r="AD54" s="271">
        <f t="shared" si="150"/>
        <v>-75.943218256096557</v>
      </c>
      <c r="AE54" s="271">
        <f t="shared" si="150"/>
        <v>-76.886229294654925</v>
      </c>
      <c r="AF54" s="271">
        <f t="shared" si="150"/>
        <v>-76.896397240480624</v>
      </c>
      <c r="AG54" s="271">
        <f t="shared" si="150"/>
        <v>-102.81605354894786</v>
      </c>
      <c r="AH54" s="271">
        <f t="shared" si="150"/>
        <v>-104.87576523280046</v>
      </c>
      <c r="AI54" s="271">
        <f t="shared" si="150"/>
        <v>-97.752523871295665</v>
      </c>
      <c r="AJ54" s="271">
        <f t="shared" si="150"/>
        <v>-93.125788532569914</v>
      </c>
      <c r="AK54" s="271">
        <f t="shared" si="150"/>
        <v>-92.815075755780057</v>
      </c>
      <c r="AL54" s="271">
        <f t="shared" si="150"/>
        <v>-94.560839254900941</v>
      </c>
      <c r="AM54" s="271">
        <f t="shared" si="150"/>
        <v>-96.355591997704565</v>
      </c>
      <c r="AN54" s="271">
        <f t="shared" si="150"/>
        <v>-97.447882187661207</v>
      </c>
      <c r="AO54" s="271">
        <f t="shared" si="150"/>
        <v>-95.830111460057111</v>
      </c>
      <c r="AP54" s="271">
        <f t="shared" si="150"/>
        <v>-64.260130506521151</v>
      </c>
      <c r="AQ54" s="271">
        <f t="shared" si="150"/>
        <v>-65.494042935715186</v>
      </c>
      <c r="AR54" s="271">
        <f t="shared" si="150"/>
        <v>-59.93891645782098</v>
      </c>
      <c r="AS54" s="271">
        <f t="shared" si="150"/>
        <v>-52.915475101652774</v>
      </c>
      <c r="AT54" s="271">
        <f t="shared" si="150"/>
        <v>-51.959739792572847</v>
      </c>
      <c r="AU54" s="271">
        <f t="shared" si="150"/>
        <v>-53.051632397408049</v>
      </c>
      <c r="AV54" s="271">
        <f t="shared" si="150"/>
        <v>-54.168534480406173</v>
      </c>
      <c r="AW54" s="271">
        <f t="shared" si="150"/>
        <v>-52.589925618213961</v>
      </c>
      <c r="AX54" s="271">
        <f t="shared" si="150"/>
        <v>-53.69490092404746</v>
      </c>
      <c r="AY54" s="271">
        <f t="shared" si="150"/>
        <v>-54.825015814954504</v>
      </c>
      <c r="AZ54" s="271">
        <f t="shared" si="150"/>
        <v>-55.980779782274169</v>
      </c>
      <c r="BA54" s="271">
        <f t="shared" si="150"/>
        <v>-46.569632663819341</v>
      </c>
      <c r="BB54" s="271">
        <f t="shared" si="150"/>
        <v>-47.532895112915718</v>
      </c>
      <c r="BC54" s="271">
        <f t="shared" si="150"/>
        <v>-48.517846352854988</v>
      </c>
      <c r="BD54" s="271">
        <f t="shared" si="150"/>
        <v>-49.525010800108255</v>
      </c>
      <c r="BE54" s="271">
        <f t="shared" ref="BE54:CP54" si="151">-BE55*SUM(BE43,BE50)</f>
        <v>-50.554921676066783</v>
      </c>
      <c r="BF54" s="271">
        <f t="shared" si="151"/>
        <v>-51.607938177019278</v>
      </c>
      <c r="BG54" s="271">
        <f t="shared" si="151"/>
        <v>-52.684756840897862</v>
      </c>
      <c r="BH54" s="271">
        <f t="shared" si="151"/>
        <v>-53.785666016690065</v>
      </c>
      <c r="BI54" s="271">
        <f t="shared" si="151"/>
        <v>-54.911430365095612</v>
      </c>
      <c r="BJ54" s="271">
        <f t="shared" si="151"/>
        <v>-56.062386202108399</v>
      </c>
      <c r="BK54" s="271">
        <f t="shared" si="151"/>
        <v>-57.239252819831449</v>
      </c>
      <c r="BL54" s="271">
        <f t="shared" si="151"/>
        <v>-58.442529636167635</v>
      </c>
      <c r="BM54" s="271">
        <f t="shared" si="151"/>
        <v>-59.672799664881524</v>
      </c>
      <c r="BN54" s="271">
        <f t="shared" si="151"/>
        <v>-60.930633609084595</v>
      </c>
      <c r="BO54" s="271">
        <f t="shared" si="151"/>
        <v>-62.216663809656382</v>
      </c>
      <c r="BP54" s="271">
        <f t="shared" si="151"/>
        <v>-63.53151228308537</v>
      </c>
      <c r="BQ54" s="271">
        <f t="shared" si="151"/>
        <v>-64.875814957408167</v>
      </c>
      <c r="BR54" s="271">
        <f t="shared" si="151"/>
        <v>-66.250175517843672</v>
      </c>
      <c r="BS54" s="271">
        <f t="shared" si="151"/>
        <v>-65.198540261320872</v>
      </c>
      <c r="BT54" s="271">
        <f t="shared" si="151"/>
        <v>-64.400799626865961</v>
      </c>
      <c r="BU54" s="271">
        <f t="shared" si="151"/>
        <v>-65.760611411722579</v>
      </c>
      <c r="BV54" s="271">
        <f t="shared" si="151"/>
        <v>-67.150754020058514</v>
      </c>
      <c r="BW54" s="271">
        <f t="shared" si="151"/>
        <v>-68.571872300576487</v>
      </c>
      <c r="BX54" s="271">
        <f t="shared" si="151"/>
        <v>-70.024695464999326</v>
      </c>
      <c r="BY54" s="271">
        <f t="shared" si="151"/>
        <v>-71.509782092195579</v>
      </c>
      <c r="BZ54" s="271">
        <f t="shared" si="151"/>
        <v>-73.028008125444799</v>
      </c>
      <c r="CA54" s="271">
        <f t="shared" si="151"/>
        <v>-74.580010097351177</v>
      </c>
      <c r="CB54" s="271">
        <f t="shared" si="151"/>
        <v>-76.166649676797903</v>
      </c>
      <c r="CC54" s="271">
        <f t="shared" si="151"/>
        <v>-77.503596244972869</v>
      </c>
      <c r="CD54" s="271">
        <f t="shared" si="151"/>
        <v>-75.736607671446436</v>
      </c>
      <c r="CE54" s="271">
        <f t="shared" si="151"/>
        <v>-77.345315393035335</v>
      </c>
      <c r="CF54" s="271">
        <f t="shared" si="151"/>
        <v>-78.989677720119559</v>
      </c>
      <c r="CG54" s="271">
        <f t="shared" si="151"/>
        <v>-80.670528580391363</v>
      </c>
      <c r="CH54" s="271">
        <f t="shared" si="151"/>
        <v>-50.654604961416027</v>
      </c>
      <c r="CI54" s="271">
        <f t="shared" si="151"/>
        <v>-51.67666081269828</v>
      </c>
      <c r="CJ54" s="271">
        <f t="shared" si="151"/>
        <v>-52.720768860933653</v>
      </c>
      <c r="CK54" s="271">
        <f t="shared" si="151"/>
        <v>-53.787327325629199</v>
      </c>
      <c r="CL54" s="271">
        <f t="shared" si="151"/>
        <v>-54.876769452572645</v>
      </c>
      <c r="CM54" s="271">
        <f t="shared" si="151"/>
        <v>-55.9896299409329</v>
      </c>
      <c r="CN54" s="271">
        <f t="shared" si="151"/>
        <v>-57.126432032339302</v>
      </c>
      <c r="CO54" s="271">
        <f t="shared" si="151"/>
        <v>-58.287733276355219</v>
      </c>
      <c r="CP54" s="271">
        <f t="shared" si="151"/>
        <v>-57.596378501938077</v>
      </c>
      <c r="CQ54" s="362" t="s">
        <v>77</v>
      </c>
      <c r="CR54" s="415" t="s">
        <v>417</v>
      </c>
      <c r="CS54" s="416"/>
      <c r="CT54" s="416"/>
      <c r="CU54"/>
      <c r="CV54"/>
      <c r="CW54"/>
      <c r="CX54"/>
      <c r="CY54"/>
      <c r="CZ54"/>
      <c r="DB54" s="410" t="s">
        <v>505</v>
      </c>
      <c r="DC54" s="8"/>
      <c r="DD54" s="54"/>
      <c r="DE54" s="54"/>
      <c r="DF54" s="54"/>
      <c r="DG54" s="54"/>
      <c r="DH54" s="54"/>
      <c r="DI54" s="54"/>
      <c r="DJ54" s="190">
        <v>-33.192999999999998</v>
      </c>
      <c r="DK54" s="54">
        <f>U54-DJ54</f>
        <v>-40.385999999999996</v>
      </c>
      <c r="DL54" s="190">
        <v>-45.381</v>
      </c>
      <c r="DM54" s="54">
        <f>V54-DL54</f>
        <v>-41.328999999999994</v>
      </c>
      <c r="DN54" s="190">
        <v>-29.742999999999999</v>
      </c>
      <c r="DO54" s="54">
        <f>W54-DN54</f>
        <v>-36.908000000000001</v>
      </c>
      <c r="DP54" s="190">
        <v>-28.338999999999999</v>
      </c>
      <c r="DQ54" s="54">
        <f t="shared" si="137"/>
        <v>-38.990329942128326</v>
      </c>
      <c r="DR54" s="54"/>
      <c r="DS54" s="54"/>
      <c r="DT54" s="374"/>
      <c r="DU54" s="420"/>
      <c r="DV54" s="420"/>
      <c r="DW54" s="420"/>
      <c r="DX54" s="413">
        <f t="shared" si="128"/>
        <v>0.45112056429144187</v>
      </c>
      <c r="DY54" s="413">
        <f t="shared" si="138"/>
        <v>0.52336524045669475</v>
      </c>
      <c r="DZ54" s="413">
        <f>+(DN54/(DN54+DO54))</f>
        <v>0.44624986871914901</v>
      </c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</row>
    <row r="55" spans="2:156" s="428" customFormat="1" ht="11.25" customHeight="1" outlineLevel="1" x14ac:dyDescent="0.2">
      <c r="B55" s="427" t="s">
        <v>508</v>
      </c>
      <c r="D55" s="429"/>
      <c r="E55" s="429"/>
      <c r="F55" s="217"/>
      <c r="G55" s="217"/>
      <c r="H55" s="217"/>
      <c r="I55" s="217"/>
      <c r="J55" s="217"/>
      <c r="K55" s="217"/>
      <c r="L55" s="217"/>
      <c r="M55" s="217"/>
      <c r="N55" s="217"/>
      <c r="O55" s="216"/>
      <c r="P55" s="216"/>
      <c r="Q55" s="216"/>
      <c r="R55" s="216"/>
      <c r="S55" s="216"/>
      <c r="T55" s="217">
        <f>-T54/(T56-T54)</f>
        <v>9.4232335659175548E-2</v>
      </c>
      <c r="U55" s="217">
        <f>-U54/(U56-U54)</f>
        <v>8.2226056559958335E-2</v>
      </c>
      <c r="V55" s="217">
        <f>-V54/(V56-V54)</f>
        <v>6.1182557008934303E-2</v>
      </c>
      <c r="W55" s="217">
        <f>-W54/(W56-W54)</f>
        <v>4.3370751568383888E-2</v>
      </c>
      <c r="X55" s="267">
        <f>W55</f>
        <v>4.3370751568383888E-2</v>
      </c>
      <c r="Y55" s="267">
        <f t="shared" ref="Y55:BD55" si="152">X55</f>
        <v>4.3370751568383888E-2</v>
      </c>
      <c r="Z55" s="267">
        <f t="shared" si="152"/>
        <v>4.3370751568383888E-2</v>
      </c>
      <c r="AA55" s="267">
        <f t="shared" si="152"/>
        <v>4.3370751568383888E-2</v>
      </c>
      <c r="AB55" s="267">
        <f t="shared" si="152"/>
        <v>4.3370751568383888E-2</v>
      </c>
      <c r="AC55" s="267">
        <f t="shared" si="152"/>
        <v>4.3370751568383888E-2</v>
      </c>
      <c r="AD55" s="267">
        <f t="shared" si="152"/>
        <v>4.3370751568383888E-2</v>
      </c>
      <c r="AE55" s="267">
        <f t="shared" si="152"/>
        <v>4.3370751568383888E-2</v>
      </c>
      <c r="AF55" s="267">
        <f t="shared" si="152"/>
        <v>4.3370751568383888E-2</v>
      </c>
      <c r="AG55" s="267">
        <v>5.7500000000000002E-2</v>
      </c>
      <c r="AH55" s="267">
        <f t="shared" si="152"/>
        <v>5.7500000000000002E-2</v>
      </c>
      <c r="AI55" s="267">
        <f t="shared" si="152"/>
        <v>5.7500000000000002E-2</v>
      </c>
      <c r="AJ55" s="267">
        <f t="shared" si="152"/>
        <v>5.7500000000000002E-2</v>
      </c>
      <c r="AK55" s="267">
        <f t="shared" si="152"/>
        <v>5.7500000000000002E-2</v>
      </c>
      <c r="AL55" s="267">
        <f t="shared" si="152"/>
        <v>5.7500000000000002E-2</v>
      </c>
      <c r="AM55" s="267">
        <f t="shared" si="152"/>
        <v>5.7500000000000002E-2</v>
      </c>
      <c r="AN55" s="267">
        <f t="shared" si="152"/>
        <v>5.7500000000000002E-2</v>
      </c>
      <c r="AO55" s="267">
        <f t="shared" si="152"/>
        <v>5.7500000000000002E-2</v>
      </c>
      <c r="AP55" s="267">
        <f t="shared" si="152"/>
        <v>5.7500000000000002E-2</v>
      </c>
      <c r="AQ55" s="267">
        <f t="shared" si="152"/>
        <v>5.7500000000000002E-2</v>
      </c>
      <c r="AR55" s="267">
        <f t="shared" si="152"/>
        <v>5.7500000000000002E-2</v>
      </c>
      <c r="AS55" s="267">
        <f t="shared" si="152"/>
        <v>5.7500000000000002E-2</v>
      </c>
      <c r="AT55" s="267">
        <f t="shared" si="152"/>
        <v>5.7500000000000002E-2</v>
      </c>
      <c r="AU55" s="267">
        <f t="shared" si="152"/>
        <v>5.7500000000000002E-2</v>
      </c>
      <c r="AV55" s="267">
        <f t="shared" si="152"/>
        <v>5.7500000000000002E-2</v>
      </c>
      <c r="AW55" s="267">
        <f t="shared" si="152"/>
        <v>5.7500000000000002E-2</v>
      </c>
      <c r="AX55" s="267">
        <f t="shared" si="152"/>
        <v>5.7500000000000002E-2</v>
      </c>
      <c r="AY55" s="267">
        <f t="shared" si="152"/>
        <v>5.7500000000000002E-2</v>
      </c>
      <c r="AZ55" s="267">
        <f t="shared" si="152"/>
        <v>5.7500000000000002E-2</v>
      </c>
      <c r="BA55" s="267">
        <f t="shared" si="152"/>
        <v>5.7500000000000002E-2</v>
      </c>
      <c r="BB55" s="267">
        <f t="shared" si="152"/>
        <v>5.7500000000000002E-2</v>
      </c>
      <c r="BC55" s="267">
        <f t="shared" si="152"/>
        <v>5.7500000000000002E-2</v>
      </c>
      <c r="BD55" s="267">
        <f t="shared" si="152"/>
        <v>5.7500000000000002E-2</v>
      </c>
      <c r="BE55" s="267">
        <f t="shared" ref="BE55:CP55" si="153">BD55</f>
        <v>5.7500000000000002E-2</v>
      </c>
      <c r="BF55" s="267">
        <f t="shared" si="153"/>
        <v>5.7500000000000002E-2</v>
      </c>
      <c r="BG55" s="267">
        <f t="shared" si="153"/>
        <v>5.7500000000000002E-2</v>
      </c>
      <c r="BH55" s="267">
        <f t="shared" si="153"/>
        <v>5.7500000000000002E-2</v>
      </c>
      <c r="BI55" s="267">
        <f t="shared" si="153"/>
        <v>5.7500000000000002E-2</v>
      </c>
      <c r="BJ55" s="267">
        <f t="shared" si="153"/>
        <v>5.7500000000000002E-2</v>
      </c>
      <c r="BK55" s="267">
        <f t="shared" si="153"/>
        <v>5.7500000000000002E-2</v>
      </c>
      <c r="BL55" s="267">
        <f t="shared" si="153"/>
        <v>5.7500000000000002E-2</v>
      </c>
      <c r="BM55" s="267">
        <f t="shared" si="153"/>
        <v>5.7500000000000002E-2</v>
      </c>
      <c r="BN55" s="267">
        <f t="shared" si="153"/>
        <v>5.7500000000000002E-2</v>
      </c>
      <c r="BO55" s="267">
        <f t="shared" si="153"/>
        <v>5.7500000000000002E-2</v>
      </c>
      <c r="BP55" s="267">
        <f t="shared" si="153"/>
        <v>5.7500000000000002E-2</v>
      </c>
      <c r="BQ55" s="267">
        <f t="shared" si="153"/>
        <v>5.7500000000000002E-2</v>
      </c>
      <c r="BR55" s="267">
        <f t="shared" si="153"/>
        <v>5.7500000000000002E-2</v>
      </c>
      <c r="BS55" s="267">
        <f t="shared" si="153"/>
        <v>5.7500000000000002E-2</v>
      </c>
      <c r="BT55" s="267">
        <f t="shared" si="153"/>
        <v>5.7500000000000002E-2</v>
      </c>
      <c r="BU55" s="267">
        <f t="shared" si="153"/>
        <v>5.7500000000000002E-2</v>
      </c>
      <c r="BV55" s="267">
        <f t="shared" si="153"/>
        <v>5.7500000000000002E-2</v>
      </c>
      <c r="BW55" s="267">
        <f t="shared" si="153"/>
        <v>5.7500000000000002E-2</v>
      </c>
      <c r="BX55" s="267">
        <f t="shared" si="153"/>
        <v>5.7500000000000002E-2</v>
      </c>
      <c r="BY55" s="267">
        <f t="shared" si="153"/>
        <v>5.7500000000000002E-2</v>
      </c>
      <c r="BZ55" s="267">
        <f t="shared" si="153"/>
        <v>5.7500000000000002E-2</v>
      </c>
      <c r="CA55" s="267">
        <f t="shared" si="153"/>
        <v>5.7500000000000002E-2</v>
      </c>
      <c r="CB55" s="267">
        <f t="shared" si="153"/>
        <v>5.7500000000000002E-2</v>
      </c>
      <c r="CC55" s="267">
        <f t="shared" si="153"/>
        <v>5.7500000000000002E-2</v>
      </c>
      <c r="CD55" s="267">
        <f t="shared" si="153"/>
        <v>5.7500000000000002E-2</v>
      </c>
      <c r="CE55" s="267">
        <f t="shared" si="153"/>
        <v>5.7500000000000002E-2</v>
      </c>
      <c r="CF55" s="267">
        <f t="shared" si="153"/>
        <v>5.7500000000000002E-2</v>
      </c>
      <c r="CG55" s="267">
        <f t="shared" si="153"/>
        <v>5.7500000000000002E-2</v>
      </c>
      <c r="CH55" s="267">
        <f t="shared" si="153"/>
        <v>5.7500000000000002E-2</v>
      </c>
      <c r="CI55" s="267">
        <f t="shared" si="153"/>
        <v>5.7500000000000002E-2</v>
      </c>
      <c r="CJ55" s="267">
        <f t="shared" si="153"/>
        <v>5.7500000000000002E-2</v>
      </c>
      <c r="CK55" s="267">
        <f t="shared" si="153"/>
        <v>5.7500000000000002E-2</v>
      </c>
      <c r="CL55" s="267">
        <f t="shared" si="153"/>
        <v>5.7500000000000002E-2</v>
      </c>
      <c r="CM55" s="267">
        <f t="shared" si="153"/>
        <v>5.7500000000000002E-2</v>
      </c>
      <c r="CN55" s="267">
        <f t="shared" si="153"/>
        <v>5.7500000000000002E-2</v>
      </c>
      <c r="CO55" s="267">
        <f t="shared" si="153"/>
        <v>5.7500000000000002E-2</v>
      </c>
      <c r="CP55" s="267">
        <f t="shared" si="153"/>
        <v>5.7500000000000002E-2</v>
      </c>
      <c r="CQ55" s="362" t="s">
        <v>77</v>
      </c>
      <c r="CR55" s="421">
        <v>1438</v>
      </c>
      <c r="CS55" s="421">
        <v>1442</v>
      </c>
      <c r="CT55" s="421">
        <v>1495</v>
      </c>
      <c r="CU55"/>
      <c r="CV55"/>
      <c r="CW55"/>
      <c r="CX55"/>
      <c r="CY55"/>
      <c r="CZ55"/>
      <c r="DB55" s="427" t="s">
        <v>508</v>
      </c>
      <c r="DD55" s="217"/>
      <c r="DE55" s="217"/>
      <c r="DF55" s="217"/>
      <c r="DG55" s="217"/>
      <c r="DH55" s="217"/>
      <c r="DI55" s="217"/>
      <c r="DJ55" s="217">
        <f t="shared" ref="DJ55:DO55" si="154">-DJ54/(DJ56-DJ54)</f>
        <v>7.6389336377277212E-2</v>
      </c>
      <c r="DK55" s="217">
        <f t="shared" si="154"/>
        <v>8.7735762979183771E-2</v>
      </c>
      <c r="DL55" s="217">
        <f t="shared" si="154"/>
        <v>6.3652608605396191E-2</v>
      </c>
      <c r="DM55" s="217">
        <f t="shared" si="154"/>
        <v>5.8682126295283445E-2</v>
      </c>
      <c r="DN55" s="217">
        <f t="shared" si="154"/>
        <v>3.7676790068720892E-2</v>
      </c>
      <c r="DO55" s="217">
        <f t="shared" si="154"/>
        <v>4.9385293062937222E-2</v>
      </c>
      <c r="DP55" s="217">
        <f t="shared" ref="DP55" si="155">-DP54/(DP56-DP54)</f>
        <v>3.6165366037302443E-2</v>
      </c>
      <c r="DQ55" s="217">
        <f t="shared" si="137"/>
        <v>7.2053855310814444E-3</v>
      </c>
      <c r="DR55" s="217"/>
      <c r="DS55" s="217"/>
      <c r="DU55" s="430"/>
      <c r="DV55" s="430"/>
      <c r="DW55" s="430"/>
      <c r="DX55" s="430"/>
      <c r="DY55" s="430"/>
      <c r="DZ55" s="430"/>
    </row>
    <row r="56" spans="2:156" outlineLevel="1" x14ac:dyDescent="0.2">
      <c r="B56" s="1" t="s">
        <v>246</v>
      </c>
      <c r="D56" s="3"/>
      <c r="E56" s="3"/>
      <c r="F56" s="3"/>
      <c r="G56" s="3"/>
      <c r="H56" s="3"/>
      <c r="I56" s="3"/>
      <c r="J56" s="3"/>
      <c r="K56" s="34">
        <v>178.876</v>
      </c>
      <c r="L56" s="34">
        <v>200.40199999999999</v>
      </c>
      <c r="M56" s="3">
        <f t="shared" ref="M56:S56" si="156">SUM(M43,M50,)</f>
        <v>296.84199999999998</v>
      </c>
      <c r="N56" s="3">
        <f t="shared" si="156"/>
        <v>430.53499999999997</v>
      </c>
      <c r="O56" s="3">
        <f t="shared" si="156"/>
        <v>423.24200000000008</v>
      </c>
      <c r="P56" s="3">
        <f t="shared" si="156"/>
        <v>459.97500000000002</v>
      </c>
      <c r="Q56" s="3">
        <f t="shared" si="156"/>
        <v>454.47500000000002</v>
      </c>
      <c r="R56" s="3">
        <f t="shared" si="156"/>
        <v>515.33299999999997</v>
      </c>
      <c r="S56" s="3">
        <f t="shared" si="156"/>
        <v>646.50500000000011</v>
      </c>
      <c r="T56" s="33">
        <f t="shared" ref="T56:BD56" si="157">SUM(T43,T50,T54)</f>
        <v>697.221</v>
      </c>
      <c r="U56" s="33">
        <f t="shared" si="157"/>
        <v>821.25900000000001</v>
      </c>
      <c r="V56" s="33">
        <f>SUM(V43,V50,V54)</f>
        <v>1330.5239999999999</v>
      </c>
      <c r="W56" s="33">
        <f>SUM(W43,W50,W54)</f>
        <v>1470.1219999999996</v>
      </c>
      <c r="X56" s="33">
        <f t="shared" si="157"/>
        <v>1485.0839326218895</v>
      </c>
      <c r="Y56" s="33">
        <f t="shared" si="157"/>
        <v>1553.6840226773406</v>
      </c>
      <c r="Z56" s="33">
        <f t="shared" si="157"/>
        <v>1620.0453242958517</v>
      </c>
      <c r="AA56" s="33">
        <f t="shared" si="157"/>
        <v>1578.6426092790687</v>
      </c>
      <c r="AB56" s="33">
        <f t="shared" si="157"/>
        <v>1609.52085369918</v>
      </c>
      <c r="AC56" s="33">
        <f t="shared" si="157"/>
        <v>1642.0028360563829</v>
      </c>
      <c r="AD56" s="33">
        <f t="shared" si="157"/>
        <v>1675.0805825732421</v>
      </c>
      <c r="AE56" s="33">
        <f t="shared" si="157"/>
        <v>1695.880589685326</v>
      </c>
      <c r="AF56" s="33">
        <f t="shared" si="157"/>
        <v>1696.1048642026351</v>
      </c>
      <c r="AG56" s="33">
        <f t="shared" si="157"/>
        <v>1685.2892255631889</v>
      </c>
      <c r="AH56" s="33">
        <f t="shared" si="157"/>
        <v>1719.0505866419901</v>
      </c>
      <c r="AI56" s="33">
        <f t="shared" si="157"/>
        <v>1602.291369542542</v>
      </c>
      <c r="AJ56" s="33">
        <f t="shared" si="157"/>
        <v>1526.4531424686459</v>
      </c>
      <c r="AK56" s="33">
        <f t="shared" si="157"/>
        <v>1521.3601547795251</v>
      </c>
      <c r="AL56" s="33">
        <f t="shared" si="157"/>
        <v>1549.9754956129416</v>
      </c>
      <c r="AM56" s="33">
        <f t="shared" si="157"/>
        <v>1579.3938340493312</v>
      </c>
      <c r="AN56" s="33">
        <f t="shared" si="157"/>
        <v>1597.2978949890553</v>
      </c>
      <c r="AO56" s="33">
        <f t="shared" si="157"/>
        <v>1570.7805226278924</v>
      </c>
      <c r="AP56" s="33">
        <f t="shared" si="157"/>
        <v>1053.3073565634118</v>
      </c>
      <c r="AQ56" s="33">
        <f t="shared" si="157"/>
        <v>1073.5327907288965</v>
      </c>
      <c r="AR56" s="33">
        <f t="shared" si="157"/>
        <v>982.47702193906559</v>
      </c>
      <c r="AS56" s="33">
        <f t="shared" si="157"/>
        <v>867.35365710100416</v>
      </c>
      <c r="AT56" s="33">
        <f t="shared" si="157"/>
        <v>851.68790877391143</v>
      </c>
      <c r="AU56" s="33">
        <f t="shared" si="157"/>
        <v>869.58545277490578</v>
      </c>
      <c r="AV56" s="33">
        <f t="shared" si="157"/>
        <v>887.89293474404894</v>
      </c>
      <c r="AW56" s="33">
        <f t="shared" si="157"/>
        <v>862.0174764376809</v>
      </c>
      <c r="AX56" s="33">
        <f t="shared" si="157"/>
        <v>880.12946297243002</v>
      </c>
      <c r="AY56" s="33">
        <f t="shared" si="157"/>
        <v>898.6535200972977</v>
      </c>
      <c r="AZ56" s="33">
        <f t="shared" si="157"/>
        <v>917.59799903988528</v>
      </c>
      <c r="BA56" s="33">
        <f t="shared" si="157"/>
        <v>763.33702235912574</v>
      </c>
      <c r="BB56" s="33">
        <f t="shared" si="157"/>
        <v>779.12615032909673</v>
      </c>
      <c r="BC56" s="33">
        <f t="shared" si="157"/>
        <v>795.27078587070991</v>
      </c>
      <c r="BD56" s="33">
        <f t="shared" si="157"/>
        <v>811.77952485394837</v>
      </c>
      <c r="BE56" s="33">
        <f t="shared" ref="BE56:CP56" si="158">SUM(BE43,BE50,BE54)</f>
        <v>828.66110747292066</v>
      </c>
      <c r="BF56" s="33">
        <f t="shared" si="158"/>
        <v>845.92142142331602</v>
      </c>
      <c r="BG56" s="33">
        <f t="shared" si="158"/>
        <v>863.57188387036922</v>
      </c>
      <c r="BH56" s="33">
        <f t="shared" si="158"/>
        <v>881.61722123009372</v>
      </c>
      <c r="BI56" s="33">
        <f t="shared" si="158"/>
        <v>900.06996728874105</v>
      </c>
      <c r="BJ56" s="33">
        <f t="shared" si="158"/>
        <v>918.9356347041246</v>
      </c>
      <c r="BK56" s="33">
        <f t="shared" si="158"/>
        <v>938.22601361201976</v>
      </c>
      <c r="BL56" s="33">
        <f t="shared" si="158"/>
        <v>957.94929012326952</v>
      </c>
      <c r="BM56" s="33">
        <f t="shared" si="158"/>
        <v>978.11502059392751</v>
      </c>
      <c r="BN56" s="33">
        <f t="shared" si="158"/>
        <v>998.73255959238656</v>
      </c>
      <c r="BO56" s="33">
        <f t="shared" si="158"/>
        <v>1019.8122720104545</v>
      </c>
      <c r="BP56" s="33">
        <f t="shared" si="158"/>
        <v>1041.3643535097035</v>
      </c>
      <c r="BQ56" s="33">
        <f t="shared" si="158"/>
        <v>1063.3992277801251</v>
      </c>
      <c r="BR56" s="33">
        <f t="shared" si="158"/>
        <v>1085.9267900098723</v>
      </c>
      <c r="BS56" s="33">
        <f t="shared" si="158"/>
        <v>1068.6891164573028</v>
      </c>
      <c r="BT56" s="33">
        <f t="shared" si="158"/>
        <v>1055.6131069273245</v>
      </c>
      <c r="BU56" s="33">
        <f t="shared" si="158"/>
        <v>1077.90219574867</v>
      </c>
      <c r="BV56" s="33">
        <f t="shared" si="158"/>
        <v>1100.6884463287852</v>
      </c>
      <c r="BW56" s="33">
        <f t="shared" si="158"/>
        <v>1123.9824285790146</v>
      </c>
      <c r="BX56" s="33">
        <f t="shared" si="158"/>
        <v>1147.7960952306412</v>
      </c>
      <c r="BY56" s="33">
        <f t="shared" si="158"/>
        <v>1172.1386021199014</v>
      </c>
      <c r="BZ56" s="33">
        <f t="shared" si="158"/>
        <v>1197.0243070996821</v>
      </c>
      <c r="CA56" s="33">
        <f t="shared" si="158"/>
        <v>1222.4636437696258</v>
      </c>
      <c r="CB56" s="33">
        <f t="shared" si="158"/>
        <v>1248.4707360066436</v>
      </c>
      <c r="CC56" s="33">
        <f t="shared" si="158"/>
        <v>1270.3850341023813</v>
      </c>
      <c r="CD56" s="33">
        <f t="shared" si="158"/>
        <v>1241.4217866145787</v>
      </c>
      <c r="CE56" s="33">
        <f t="shared" si="158"/>
        <v>1267.7906044858398</v>
      </c>
      <c r="CF56" s="33">
        <f t="shared" si="158"/>
        <v>1294.7438478471772</v>
      </c>
      <c r="CG56" s="33">
        <f t="shared" si="158"/>
        <v>1322.2951858611975</v>
      </c>
      <c r="CH56" s="33">
        <f t="shared" si="158"/>
        <v>830.29504654147138</v>
      </c>
      <c r="CI56" s="33">
        <f t="shared" si="158"/>
        <v>847.04787506031528</v>
      </c>
      <c r="CJ56" s="33">
        <f t="shared" si="158"/>
        <v>864.16216785095594</v>
      </c>
      <c r="CK56" s="33">
        <f t="shared" si="158"/>
        <v>881.64445225053066</v>
      </c>
      <c r="CL56" s="33">
        <f t="shared" si="158"/>
        <v>899.50182972260382</v>
      </c>
      <c r="CM56" s="33">
        <f t="shared" si="158"/>
        <v>917.74306468398709</v>
      </c>
      <c r="CN56" s="33">
        <f t="shared" si="158"/>
        <v>936.37673374747465</v>
      </c>
      <c r="CO56" s="33">
        <f t="shared" si="158"/>
        <v>955.41197587764862</v>
      </c>
      <c r="CP56" s="33">
        <f t="shared" si="158"/>
        <v>944.07976935785462</v>
      </c>
      <c r="CQ56" s="362" t="s">
        <v>77</v>
      </c>
      <c r="CR56" s="41">
        <v>1453</v>
      </c>
      <c r="CS56" s="41">
        <v>1488</v>
      </c>
      <c r="CT56" s="41">
        <v>1551</v>
      </c>
      <c r="DB56" s="1" t="s">
        <v>246</v>
      </c>
      <c r="DD56" s="33">
        <f t="shared" ref="DD56:DI56" si="159">SUM(DD43,DD50,)</f>
        <v>269.98500000000001</v>
      </c>
      <c r="DE56" s="33">
        <f t="shared" si="159"/>
        <v>245.34800000000001</v>
      </c>
      <c r="DF56" s="33">
        <f t="shared" si="159"/>
        <v>324.48399999999998</v>
      </c>
      <c r="DG56" s="33">
        <f t="shared" si="159"/>
        <v>322.02099999999996</v>
      </c>
      <c r="DH56" s="33">
        <f t="shared" si="159"/>
        <v>398.89600000000007</v>
      </c>
      <c r="DI56" s="33">
        <f t="shared" si="159"/>
        <v>370.86100000000005</v>
      </c>
      <c r="DJ56" s="33">
        <f t="shared" ref="DJ56:DO56" si="160">SUM(DJ43,DJ50,DJ54)</f>
        <v>401.33099999999996</v>
      </c>
      <c r="DK56" s="33">
        <f t="shared" si="160"/>
        <v>419.928</v>
      </c>
      <c r="DL56" s="33">
        <f t="shared" si="160"/>
        <v>667.56700000000001</v>
      </c>
      <c r="DM56" s="33">
        <f t="shared" si="160"/>
        <v>662.95699999999999</v>
      </c>
      <c r="DN56" s="33">
        <f>SUM(DN43,DN50,DN54)</f>
        <v>759.68200000000013</v>
      </c>
      <c r="DO56" s="33">
        <f t="shared" si="160"/>
        <v>710.43999999999983</v>
      </c>
      <c r="DP56" s="33">
        <f>SUM(DP43,DP50,DP54)</f>
        <v>755.25599999999986</v>
      </c>
      <c r="DQ56" s="33">
        <f t="shared" si="137"/>
        <v>729.82793262188966</v>
      </c>
      <c r="DR56" s="33"/>
      <c r="DS56" s="33"/>
      <c r="DT56" s="374"/>
      <c r="DU56" s="420">
        <f>+(DD56/(DD56+DE56))</f>
        <v>0.52390396112804727</v>
      </c>
      <c r="DV56" s="420">
        <f>+(DF56/(DF56+DG56))</f>
        <v>0.50190485765771342</v>
      </c>
      <c r="DW56" s="420">
        <f>+(DH56/(DH56+DI56))</f>
        <v>0.51821029233901095</v>
      </c>
      <c r="DX56" s="420">
        <f>+(DJ56/(DJ56+DK56))</f>
        <v>0.48867774965023208</v>
      </c>
      <c r="DY56" s="420">
        <f>+(DL56/(DL56+DM56))</f>
        <v>0.50173240016715226</v>
      </c>
      <c r="DZ56" s="420">
        <f>+(DN56/(DN56+DO56))</f>
        <v>0.51674758965582468</v>
      </c>
    </row>
    <row r="57" spans="2:156" s="98" customFormat="1" ht="11.25" customHeight="1" outlineLevel="1" x14ac:dyDescent="0.2">
      <c r="B57" s="103" t="s">
        <v>243</v>
      </c>
      <c r="D57" s="57"/>
      <c r="E57" s="57"/>
      <c r="F57" s="57"/>
      <c r="G57" s="57"/>
      <c r="H57" s="57"/>
      <c r="I57" s="57"/>
      <c r="J57" s="57"/>
      <c r="K57" s="57">
        <v>0</v>
      </c>
      <c r="L57" s="57">
        <v>0</v>
      </c>
      <c r="M57" s="57">
        <v>0</v>
      </c>
      <c r="N57" s="57">
        <v>0</v>
      </c>
      <c r="O57" s="57">
        <v>21.132999999999999</v>
      </c>
      <c r="P57" s="57">
        <v>0</v>
      </c>
      <c r="Q57" s="57">
        <v>35.113999999999997</v>
      </c>
      <c r="R57" s="57">
        <v>20.155000000000001</v>
      </c>
      <c r="S57" s="57">
        <v>20.611000000000001</v>
      </c>
      <c r="T57" s="406">
        <v>50.113</v>
      </c>
      <c r="U57" s="406">
        <v>0.99099999999999999</v>
      </c>
      <c r="V57" s="406">
        <v>0</v>
      </c>
      <c r="W57" s="406">
        <v>0</v>
      </c>
      <c r="X57" s="149">
        <v>0</v>
      </c>
      <c r="Y57" s="149">
        <v>0</v>
      </c>
      <c r="Z57" s="149">
        <v>0</v>
      </c>
      <c r="AA57" s="149">
        <v>0</v>
      </c>
      <c r="AB57" s="149">
        <v>0</v>
      </c>
      <c r="AC57" s="149">
        <v>0</v>
      </c>
      <c r="AD57" s="149">
        <v>0</v>
      </c>
      <c r="AE57" s="149">
        <v>0</v>
      </c>
      <c r="AF57" s="149">
        <v>0</v>
      </c>
      <c r="AG57" s="149">
        <v>0</v>
      </c>
      <c r="AH57" s="149">
        <v>0</v>
      </c>
      <c r="AI57" s="149">
        <v>0</v>
      </c>
      <c r="AJ57" s="149">
        <v>0</v>
      </c>
      <c r="AK57" s="149">
        <v>0</v>
      </c>
      <c r="AL57" s="149">
        <v>0</v>
      </c>
      <c r="AM57" s="149">
        <v>0</v>
      </c>
      <c r="AN57" s="149">
        <v>0</v>
      </c>
      <c r="AO57" s="149">
        <v>0</v>
      </c>
      <c r="AP57" s="149">
        <v>0</v>
      </c>
      <c r="AQ57" s="149">
        <v>0</v>
      </c>
      <c r="AR57" s="149">
        <v>0</v>
      </c>
      <c r="AS57" s="149">
        <v>0</v>
      </c>
      <c r="AT57" s="149">
        <v>0</v>
      </c>
      <c r="AU57" s="149">
        <v>0</v>
      </c>
      <c r="AV57" s="149">
        <v>0</v>
      </c>
      <c r="AW57" s="149">
        <v>0</v>
      </c>
      <c r="AX57" s="149">
        <v>0</v>
      </c>
      <c r="AY57" s="149">
        <v>0</v>
      </c>
      <c r="AZ57" s="149">
        <v>0</v>
      </c>
      <c r="BA57" s="149">
        <v>0</v>
      </c>
      <c r="BB57" s="149">
        <v>0</v>
      </c>
      <c r="BC57" s="149">
        <v>0</v>
      </c>
      <c r="BD57" s="149">
        <v>0</v>
      </c>
      <c r="BE57" s="149">
        <v>0</v>
      </c>
      <c r="BF57" s="149">
        <v>0</v>
      </c>
      <c r="BG57" s="149">
        <v>0</v>
      </c>
      <c r="BH57" s="149">
        <v>0</v>
      </c>
      <c r="BI57" s="149">
        <v>0</v>
      </c>
      <c r="BJ57" s="149">
        <v>0</v>
      </c>
      <c r="BK57" s="149">
        <v>0</v>
      </c>
      <c r="BL57" s="149">
        <v>0</v>
      </c>
      <c r="BM57" s="149">
        <v>0</v>
      </c>
      <c r="BN57" s="149">
        <v>0</v>
      </c>
      <c r="BO57" s="149">
        <v>0</v>
      </c>
      <c r="BP57" s="149">
        <v>0</v>
      </c>
      <c r="BQ57" s="149">
        <v>0</v>
      </c>
      <c r="BR57" s="149">
        <v>0</v>
      </c>
      <c r="BS57" s="149">
        <v>0</v>
      </c>
      <c r="BT57" s="149">
        <v>0</v>
      </c>
      <c r="BU57" s="149">
        <v>0</v>
      </c>
      <c r="BV57" s="149">
        <v>0</v>
      </c>
      <c r="BW57" s="149">
        <v>0</v>
      </c>
      <c r="BX57" s="149">
        <v>0</v>
      </c>
      <c r="BY57" s="149">
        <v>0</v>
      </c>
      <c r="BZ57" s="149">
        <v>0</v>
      </c>
      <c r="CA57" s="149">
        <v>0</v>
      </c>
      <c r="CB57" s="149">
        <v>0</v>
      </c>
      <c r="CC57" s="149">
        <v>0</v>
      </c>
      <c r="CD57" s="149">
        <v>0</v>
      </c>
      <c r="CE57" s="149">
        <v>0</v>
      </c>
      <c r="CF57" s="149">
        <v>0</v>
      </c>
      <c r="CG57" s="149">
        <v>0</v>
      </c>
      <c r="CH57" s="149">
        <v>0</v>
      </c>
      <c r="CI57" s="149">
        <v>0</v>
      </c>
      <c r="CJ57" s="149">
        <v>0</v>
      </c>
      <c r="CK57" s="149">
        <v>0</v>
      </c>
      <c r="CL57" s="149">
        <v>0</v>
      </c>
      <c r="CM57" s="149">
        <v>0</v>
      </c>
      <c r="CN57" s="149">
        <v>0</v>
      </c>
      <c r="CO57" s="149">
        <v>0</v>
      </c>
      <c r="CP57" s="149">
        <v>0</v>
      </c>
      <c r="CQ57" s="362" t="s">
        <v>77</v>
      </c>
      <c r="CR57" s="421">
        <v>1483</v>
      </c>
      <c r="CS57" s="421">
        <v>1559</v>
      </c>
      <c r="CT57" s="421">
        <v>1661</v>
      </c>
      <c r="CU57"/>
      <c r="CV57"/>
      <c r="CW57"/>
      <c r="CX57"/>
      <c r="CY57"/>
      <c r="CZ57"/>
      <c r="DB57" s="103" t="s">
        <v>276</v>
      </c>
      <c r="DD57" s="57">
        <v>-10.435</v>
      </c>
      <c r="DE57" s="118">
        <f>+R57-DD57</f>
        <v>30.590000000000003</v>
      </c>
      <c r="DF57" s="57">
        <v>18.588000000000001</v>
      </c>
      <c r="DG57" s="118">
        <f>+S57-DF57</f>
        <v>2.0229999999999997</v>
      </c>
      <c r="DH57" s="57">
        <v>0</v>
      </c>
      <c r="DI57" s="119">
        <f>+T57-DH57</f>
        <v>50.113</v>
      </c>
      <c r="DJ57" s="142">
        <v>0.99199999999999999</v>
      </c>
      <c r="DK57" s="119">
        <f>+U57-DJ57</f>
        <v>-1.0000000000000009E-3</v>
      </c>
      <c r="DL57" s="189">
        <v>0</v>
      </c>
      <c r="DM57" s="98">
        <f>V57-DL57</f>
        <v>0</v>
      </c>
      <c r="DN57" s="189">
        <v>0</v>
      </c>
      <c r="DO57" s="98">
        <f>W57-DN57</f>
        <v>0</v>
      </c>
      <c r="DP57" s="189">
        <v>0</v>
      </c>
      <c r="DQ57" s="98">
        <f t="shared" si="137"/>
        <v>0</v>
      </c>
      <c r="DR57" s="188"/>
      <c r="DU57" s="413"/>
      <c r="DV57" s="413"/>
      <c r="DW57" s="413"/>
      <c r="DX57" s="413"/>
      <c r="DY57" s="431"/>
      <c r="DZ57" s="431"/>
    </row>
    <row r="58" spans="2:156" s="98" customFormat="1" ht="11.25" customHeight="1" outlineLevel="1" x14ac:dyDescent="0.2">
      <c r="B58" s="103" t="s">
        <v>247</v>
      </c>
      <c r="D58" s="57"/>
      <c r="E58" s="57"/>
      <c r="F58" s="57"/>
      <c r="G58" s="57"/>
      <c r="H58" s="57"/>
      <c r="I58" s="57"/>
      <c r="J58" s="57"/>
      <c r="K58" s="57">
        <v>-21.53</v>
      </c>
      <c r="L58" s="57">
        <v>-8.0380000000000003</v>
      </c>
      <c r="M58" s="57">
        <v>-11.1</v>
      </c>
      <c r="N58" s="57">
        <v>-6.0289999999999999</v>
      </c>
      <c r="O58" s="57">
        <v>0</v>
      </c>
      <c r="P58" s="57">
        <v>0</v>
      </c>
      <c r="Q58" s="57">
        <f>2.521-0.001</f>
        <v>2.52</v>
      </c>
      <c r="R58" s="57">
        <v>-9.6630000000000003</v>
      </c>
      <c r="S58" s="57">
        <f>144.036-35.438-6.913</f>
        <v>101.685</v>
      </c>
      <c r="T58" s="406">
        <v>0</v>
      </c>
      <c r="U58" s="406">
        <v>447.24</v>
      </c>
      <c r="V58" s="406">
        <v>0</v>
      </c>
      <c r="W58" s="406">
        <v>0</v>
      </c>
      <c r="X58" s="149">
        <v>0</v>
      </c>
      <c r="Y58" s="149">
        <v>0</v>
      </c>
      <c r="Z58" s="149">
        <v>0</v>
      </c>
      <c r="AA58" s="149">
        <v>0</v>
      </c>
      <c r="AB58" s="149">
        <v>0</v>
      </c>
      <c r="AC58" s="149">
        <v>0</v>
      </c>
      <c r="AD58" s="149">
        <v>0</v>
      </c>
      <c r="AE58" s="149">
        <v>0</v>
      </c>
      <c r="AF58" s="149">
        <v>0</v>
      </c>
      <c r="AG58" s="149">
        <v>0</v>
      </c>
      <c r="AH58" s="149">
        <v>0</v>
      </c>
      <c r="AI58" s="149">
        <v>0</v>
      </c>
      <c r="AJ58" s="149">
        <v>0</v>
      </c>
      <c r="AK58" s="149">
        <v>0</v>
      </c>
      <c r="AL58" s="149">
        <v>0</v>
      </c>
      <c r="AM58" s="149">
        <v>0</v>
      </c>
      <c r="AN58" s="149">
        <v>0</v>
      </c>
      <c r="AO58" s="149">
        <v>0</v>
      </c>
      <c r="AP58" s="149">
        <v>0</v>
      </c>
      <c r="AQ58" s="149">
        <v>0</v>
      </c>
      <c r="AR58" s="149">
        <v>0</v>
      </c>
      <c r="AS58" s="149">
        <v>0</v>
      </c>
      <c r="AT58" s="149">
        <v>0</v>
      </c>
      <c r="AU58" s="149">
        <v>0</v>
      </c>
      <c r="AV58" s="149">
        <v>0</v>
      </c>
      <c r="AW58" s="149">
        <v>0</v>
      </c>
      <c r="AX58" s="149">
        <v>0</v>
      </c>
      <c r="AY58" s="149">
        <v>0</v>
      </c>
      <c r="AZ58" s="149">
        <v>0</v>
      </c>
      <c r="BA58" s="149">
        <v>0</v>
      </c>
      <c r="BB58" s="149">
        <v>0</v>
      </c>
      <c r="BC58" s="149">
        <v>0</v>
      </c>
      <c r="BD58" s="149">
        <v>0</v>
      </c>
      <c r="BE58" s="149">
        <v>0</v>
      </c>
      <c r="BF58" s="149">
        <v>0</v>
      </c>
      <c r="BG58" s="149">
        <v>0</v>
      </c>
      <c r="BH58" s="149">
        <v>0</v>
      </c>
      <c r="BI58" s="149">
        <v>0</v>
      </c>
      <c r="BJ58" s="149">
        <v>0</v>
      </c>
      <c r="BK58" s="149">
        <v>0</v>
      </c>
      <c r="BL58" s="149">
        <v>0</v>
      </c>
      <c r="BM58" s="149">
        <v>0</v>
      </c>
      <c r="BN58" s="149">
        <v>0</v>
      </c>
      <c r="BO58" s="149">
        <v>0</v>
      </c>
      <c r="BP58" s="149">
        <v>0</v>
      </c>
      <c r="BQ58" s="149">
        <v>0</v>
      </c>
      <c r="BR58" s="149">
        <v>0</v>
      </c>
      <c r="BS58" s="149">
        <v>0</v>
      </c>
      <c r="BT58" s="149">
        <v>0</v>
      </c>
      <c r="BU58" s="149">
        <v>0</v>
      </c>
      <c r="BV58" s="149">
        <v>0</v>
      </c>
      <c r="BW58" s="149">
        <v>0</v>
      </c>
      <c r="BX58" s="149">
        <v>0</v>
      </c>
      <c r="BY58" s="149">
        <v>0</v>
      </c>
      <c r="BZ58" s="149">
        <v>0</v>
      </c>
      <c r="CA58" s="149">
        <v>0</v>
      </c>
      <c r="CB58" s="149">
        <v>0</v>
      </c>
      <c r="CC58" s="149">
        <v>0</v>
      </c>
      <c r="CD58" s="149">
        <v>0</v>
      </c>
      <c r="CE58" s="149">
        <v>0</v>
      </c>
      <c r="CF58" s="149">
        <v>0</v>
      </c>
      <c r="CG58" s="149">
        <v>0</v>
      </c>
      <c r="CH58" s="149">
        <v>0</v>
      </c>
      <c r="CI58" s="149">
        <v>0</v>
      </c>
      <c r="CJ58" s="149">
        <v>0</v>
      </c>
      <c r="CK58" s="149">
        <v>0</v>
      </c>
      <c r="CL58" s="149">
        <v>0</v>
      </c>
      <c r="CM58" s="149">
        <v>0</v>
      </c>
      <c r="CN58" s="149">
        <v>0</v>
      </c>
      <c r="CO58" s="149">
        <v>0</v>
      </c>
      <c r="CP58" s="149">
        <v>0</v>
      </c>
      <c r="CQ58" s="362" t="s">
        <v>77</v>
      </c>
      <c r="CR58" s="422">
        <f>+W56/CR56-1</f>
        <v>1.1783895388850496E-2</v>
      </c>
      <c r="CS58" s="423">
        <f>+X56/CS56-1</f>
        <v>-1.9597227003430584E-3</v>
      </c>
      <c r="CT58" s="424">
        <f>+Y56/CT56-1</f>
        <v>1.7305110750100994E-3</v>
      </c>
      <c r="CU58"/>
      <c r="CV58"/>
      <c r="CW58"/>
      <c r="CX58"/>
      <c r="CY58"/>
      <c r="CZ58"/>
      <c r="DB58" s="103" t="s">
        <v>247</v>
      </c>
      <c r="DD58" s="57">
        <v>19.341999999999999</v>
      </c>
      <c r="DE58" s="118">
        <f>+R58-DD58</f>
        <v>-29.004999999999999</v>
      </c>
      <c r="DF58" s="57">
        <f>122.954-42.351</f>
        <v>80.602999999999994</v>
      </c>
      <c r="DG58" s="118">
        <f>+S58-DF58</f>
        <v>21.082000000000008</v>
      </c>
      <c r="DH58" s="57">
        <v>0</v>
      </c>
      <c r="DI58" s="119">
        <f>+T58-DH58</f>
        <v>0</v>
      </c>
      <c r="DJ58" s="142">
        <v>447.24</v>
      </c>
      <c r="DK58" s="119">
        <f>+U58-DJ58</f>
        <v>0</v>
      </c>
      <c r="DL58" s="189">
        <v>0</v>
      </c>
      <c r="DM58" s="98">
        <f>V58-DL58</f>
        <v>0</v>
      </c>
      <c r="DN58" s="189">
        <v>0</v>
      </c>
      <c r="DO58" s="98">
        <f>W58-DN58</f>
        <v>0</v>
      </c>
      <c r="DP58" s="189">
        <v>0</v>
      </c>
      <c r="DQ58" s="98">
        <f t="shared" si="137"/>
        <v>0</v>
      </c>
      <c r="DR58" s="188"/>
      <c r="DU58" s="413"/>
      <c r="DV58" s="413"/>
      <c r="DW58" s="413"/>
      <c r="DX58" s="413"/>
      <c r="DY58" s="431"/>
      <c r="DZ58" s="431"/>
    </row>
    <row r="59" spans="2:156" outlineLevel="1" x14ac:dyDescent="0.2">
      <c r="B59" s="1" t="s">
        <v>248</v>
      </c>
      <c r="D59" s="3"/>
      <c r="E59" s="3"/>
      <c r="F59" s="3"/>
      <c r="G59" s="3"/>
      <c r="H59" s="3"/>
      <c r="I59" s="3"/>
      <c r="J59" s="3"/>
      <c r="K59" s="35">
        <f t="shared" ref="K59:S59" si="161">+K56+K57+K58</f>
        <v>157.346</v>
      </c>
      <c r="L59" s="35">
        <f t="shared" si="161"/>
        <v>192.36399999999998</v>
      </c>
      <c r="M59" s="35">
        <f t="shared" si="161"/>
        <v>285.74199999999996</v>
      </c>
      <c r="N59" s="35">
        <f t="shared" si="161"/>
        <v>424.50599999999997</v>
      </c>
      <c r="O59" s="35">
        <f t="shared" si="161"/>
        <v>444.37500000000006</v>
      </c>
      <c r="P59" s="35">
        <f t="shared" si="161"/>
        <v>459.97500000000002</v>
      </c>
      <c r="Q59" s="35">
        <f t="shared" si="161"/>
        <v>492.10899999999998</v>
      </c>
      <c r="R59" s="35">
        <f t="shared" si="161"/>
        <v>525.82499999999993</v>
      </c>
      <c r="S59" s="35">
        <f t="shared" si="161"/>
        <v>768.80100000000016</v>
      </c>
      <c r="T59" s="33">
        <f t="shared" ref="T59:BD59" si="162">+T56+T57+T58</f>
        <v>747.33400000000006</v>
      </c>
      <c r="U59" s="33">
        <f>+U56+U57+U58</f>
        <v>1269.49</v>
      </c>
      <c r="V59" s="33">
        <f>+V56+V57+V58</f>
        <v>1330.5239999999999</v>
      </c>
      <c r="W59" s="33">
        <f t="shared" si="162"/>
        <v>1470.1219999999996</v>
      </c>
      <c r="X59" s="33">
        <f t="shared" si="162"/>
        <v>1485.0839326218895</v>
      </c>
      <c r="Y59" s="33">
        <f t="shared" si="162"/>
        <v>1553.6840226773406</v>
      </c>
      <c r="Z59" s="33">
        <f t="shared" si="162"/>
        <v>1620.0453242958517</v>
      </c>
      <c r="AA59" s="33">
        <f t="shared" si="162"/>
        <v>1578.6426092790687</v>
      </c>
      <c r="AB59" s="33">
        <f t="shared" si="162"/>
        <v>1609.52085369918</v>
      </c>
      <c r="AC59" s="33">
        <f t="shared" si="162"/>
        <v>1642.0028360563829</v>
      </c>
      <c r="AD59" s="33">
        <f t="shared" si="162"/>
        <v>1675.0805825732421</v>
      </c>
      <c r="AE59" s="33">
        <f t="shared" si="162"/>
        <v>1695.880589685326</v>
      </c>
      <c r="AF59" s="33">
        <f t="shared" si="162"/>
        <v>1696.1048642026351</v>
      </c>
      <c r="AG59" s="33">
        <f t="shared" si="162"/>
        <v>1685.2892255631889</v>
      </c>
      <c r="AH59" s="33">
        <f t="shared" si="162"/>
        <v>1719.0505866419901</v>
      </c>
      <c r="AI59" s="33">
        <f t="shared" si="162"/>
        <v>1602.291369542542</v>
      </c>
      <c r="AJ59" s="33">
        <f t="shared" si="162"/>
        <v>1526.4531424686459</v>
      </c>
      <c r="AK59" s="33">
        <f t="shared" si="162"/>
        <v>1521.3601547795251</v>
      </c>
      <c r="AL59" s="33">
        <f t="shared" si="162"/>
        <v>1549.9754956129416</v>
      </c>
      <c r="AM59" s="33">
        <f t="shared" si="162"/>
        <v>1579.3938340493312</v>
      </c>
      <c r="AN59" s="33">
        <f t="shared" si="162"/>
        <v>1597.2978949890553</v>
      </c>
      <c r="AO59" s="33">
        <f t="shared" si="162"/>
        <v>1570.7805226278924</v>
      </c>
      <c r="AP59" s="33">
        <f t="shared" si="162"/>
        <v>1053.3073565634118</v>
      </c>
      <c r="AQ59" s="33">
        <f t="shared" si="162"/>
        <v>1073.5327907288965</v>
      </c>
      <c r="AR59" s="33">
        <f t="shared" si="162"/>
        <v>982.47702193906559</v>
      </c>
      <c r="AS59" s="33">
        <f t="shared" si="162"/>
        <v>867.35365710100416</v>
      </c>
      <c r="AT59" s="33">
        <f t="shared" si="162"/>
        <v>851.68790877391143</v>
      </c>
      <c r="AU59" s="33">
        <f t="shared" si="162"/>
        <v>869.58545277490578</v>
      </c>
      <c r="AV59" s="33">
        <f t="shared" si="162"/>
        <v>887.89293474404894</v>
      </c>
      <c r="AW59" s="33">
        <f t="shared" si="162"/>
        <v>862.0174764376809</v>
      </c>
      <c r="AX59" s="33">
        <f t="shared" si="162"/>
        <v>880.12946297243002</v>
      </c>
      <c r="AY59" s="33">
        <f t="shared" si="162"/>
        <v>898.6535200972977</v>
      </c>
      <c r="AZ59" s="33">
        <f t="shared" si="162"/>
        <v>917.59799903988528</v>
      </c>
      <c r="BA59" s="33">
        <f t="shared" si="162"/>
        <v>763.33702235912574</v>
      </c>
      <c r="BB59" s="33">
        <f t="shared" si="162"/>
        <v>779.12615032909673</v>
      </c>
      <c r="BC59" s="33">
        <f t="shared" si="162"/>
        <v>795.27078587070991</v>
      </c>
      <c r="BD59" s="33">
        <f t="shared" si="162"/>
        <v>811.77952485394837</v>
      </c>
      <c r="BE59" s="33">
        <f t="shared" ref="BE59:CP59" si="163">+BE56+BE57+BE58</f>
        <v>828.66110747292066</v>
      </c>
      <c r="BF59" s="33">
        <f t="shared" si="163"/>
        <v>845.92142142331602</v>
      </c>
      <c r="BG59" s="33">
        <f t="shared" si="163"/>
        <v>863.57188387036922</v>
      </c>
      <c r="BH59" s="33">
        <f t="shared" si="163"/>
        <v>881.61722123009372</v>
      </c>
      <c r="BI59" s="33">
        <f t="shared" si="163"/>
        <v>900.06996728874105</v>
      </c>
      <c r="BJ59" s="33">
        <f t="shared" si="163"/>
        <v>918.9356347041246</v>
      </c>
      <c r="BK59" s="33">
        <f t="shared" si="163"/>
        <v>938.22601361201976</v>
      </c>
      <c r="BL59" s="33">
        <f t="shared" si="163"/>
        <v>957.94929012326952</v>
      </c>
      <c r="BM59" s="33">
        <f t="shared" si="163"/>
        <v>978.11502059392751</v>
      </c>
      <c r="BN59" s="33">
        <f t="shared" si="163"/>
        <v>998.73255959238656</v>
      </c>
      <c r="BO59" s="33">
        <f t="shared" si="163"/>
        <v>1019.8122720104545</v>
      </c>
      <c r="BP59" s="33">
        <f t="shared" si="163"/>
        <v>1041.3643535097035</v>
      </c>
      <c r="BQ59" s="33">
        <f t="shared" si="163"/>
        <v>1063.3992277801251</v>
      </c>
      <c r="BR59" s="33">
        <f t="shared" si="163"/>
        <v>1085.9267900098723</v>
      </c>
      <c r="BS59" s="33">
        <f t="shared" si="163"/>
        <v>1068.6891164573028</v>
      </c>
      <c r="BT59" s="33">
        <f t="shared" si="163"/>
        <v>1055.6131069273245</v>
      </c>
      <c r="BU59" s="33">
        <f t="shared" si="163"/>
        <v>1077.90219574867</v>
      </c>
      <c r="BV59" s="33">
        <f t="shared" si="163"/>
        <v>1100.6884463287852</v>
      </c>
      <c r="BW59" s="33">
        <f t="shared" si="163"/>
        <v>1123.9824285790146</v>
      </c>
      <c r="BX59" s="33">
        <f t="shared" si="163"/>
        <v>1147.7960952306412</v>
      </c>
      <c r="BY59" s="33">
        <f t="shared" si="163"/>
        <v>1172.1386021199014</v>
      </c>
      <c r="BZ59" s="33">
        <f t="shared" si="163"/>
        <v>1197.0243070996821</v>
      </c>
      <c r="CA59" s="33">
        <f t="shared" si="163"/>
        <v>1222.4636437696258</v>
      </c>
      <c r="CB59" s="33">
        <f t="shared" si="163"/>
        <v>1248.4707360066436</v>
      </c>
      <c r="CC59" s="33">
        <f t="shared" si="163"/>
        <v>1270.3850341023813</v>
      </c>
      <c r="CD59" s="33">
        <f t="shared" si="163"/>
        <v>1241.4217866145787</v>
      </c>
      <c r="CE59" s="33">
        <f t="shared" si="163"/>
        <v>1267.7906044858398</v>
      </c>
      <c r="CF59" s="33">
        <f t="shared" si="163"/>
        <v>1294.7438478471772</v>
      </c>
      <c r="CG59" s="33">
        <f t="shared" si="163"/>
        <v>1322.2951858611975</v>
      </c>
      <c r="CH59" s="33">
        <f t="shared" si="163"/>
        <v>830.29504654147138</v>
      </c>
      <c r="CI59" s="33">
        <f t="shared" si="163"/>
        <v>847.04787506031528</v>
      </c>
      <c r="CJ59" s="33">
        <f t="shared" si="163"/>
        <v>864.16216785095594</v>
      </c>
      <c r="CK59" s="33">
        <f t="shared" si="163"/>
        <v>881.64445225053066</v>
      </c>
      <c r="CL59" s="33">
        <f t="shared" si="163"/>
        <v>899.50182972260382</v>
      </c>
      <c r="CM59" s="33">
        <f t="shared" si="163"/>
        <v>917.74306468398709</v>
      </c>
      <c r="CN59" s="33">
        <f t="shared" si="163"/>
        <v>936.37673374747465</v>
      </c>
      <c r="CO59" s="33">
        <f t="shared" si="163"/>
        <v>955.41197587764862</v>
      </c>
      <c r="CP59" s="33">
        <f t="shared" si="163"/>
        <v>944.07976935785462</v>
      </c>
      <c r="CQ59" s="362" t="s">
        <v>77</v>
      </c>
      <c r="DB59" s="1" t="s">
        <v>248</v>
      </c>
      <c r="DD59" s="33">
        <f t="shared" ref="DD59:DI59" si="164">+DD56+DD57+DD58</f>
        <v>278.892</v>
      </c>
      <c r="DE59" s="33">
        <f t="shared" si="164"/>
        <v>246.93299999999999</v>
      </c>
      <c r="DF59" s="33">
        <f t="shared" si="164"/>
        <v>423.67500000000001</v>
      </c>
      <c r="DG59" s="33">
        <f t="shared" si="164"/>
        <v>345.12599999999998</v>
      </c>
      <c r="DH59" s="33">
        <f t="shared" si="164"/>
        <v>398.89600000000007</v>
      </c>
      <c r="DI59" s="33">
        <f t="shared" si="164"/>
        <v>420.97400000000005</v>
      </c>
      <c r="DJ59" s="33">
        <f t="shared" ref="DJ59:DO59" si="165">+DJ56+DJ57+DJ58</f>
        <v>849.56299999999999</v>
      </c>
      <c r="DK59" s="33">
        <f t="shared" si="165"/>
        <v>419.92700000000002</v>
      </c>
      <c r="DL59" s="33">
        <f t="shared" si="165"/>
        <v>667.56700000000001</v>
      </c>
      <c r="DM59" s="33">
        <f t="shared" si="165"/>
        <v>662.95699999999999</v>
      </c>
      <c r="DN59" s="33">
        <f>+DN56+DN57+DN58</f>
        <v>759.68200000000013</v>
      </c>
      <c r="DO59" s="33">
        <f t="shared" si="165"/>
        <v>710.43999999999983</v>
      </c>
      <c r="DP59" s="33">
        <f>+DP56+DP57+DP58</f>
        <v>755.25599999999986</v>
      </c>
      <c r="DQ59" s="33">
        <f t="shared" si="137"/>
        <v>729.82793262188966</v>
      </c>
      <c r="DR59" s="33"/>
      <c r="DS59" s="33"/>
      <c r="DU59" s="420">
        <f>+(DD59/(DD59+DE59))</f>
        <v>0.53038938810440728</v>
      </c>
      <c r="DV59" s="420">
        <f>+(DF59/(DF59+DG59))</f>
        <v>0.5510853914081798</v>
      </c>
      <c r="DW59" s="420">
        <f>+(DH59/(DH59+DI59))</f>
        <v>0.4865356702891922</v>
      </c>
      <c r="DX59" s="420">
        <f>+(DJ59/(DJ59+DK59))</f>
        <v>0.66921598437167684</v>
      </c>
      <c r="DY59" s="420">
        <f>+(DL59/(DL59+DM59))</f>
        <v>0.50173240016715226</v>
      </c>
      <c r="DZ59" s="420">
        <f>+(DN59/(DN59+DO59))</f>
        <v>0.51674758965582468</v>
      </c>
    </row>
    <row r="60" spans="2:156" ht="11.25" customHeight="1" outlineLevel="1" x14ac:dyDescent="0.2">
      <c r="B60" s="410" t="s">
        <v>596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  <c r="BR60" s="54"/>
      <c r="BS60" s="54"/>
      <c r="BT60" s="54"/>
      <c r="BU60" s="54"/>
      <c r="BV60" s="54"/>
      <c r="BW60" s="54"/>
      <c r="BX60" s="54"/>
      <c r="BY60" s="54"/>
      <c r="BZ60" s="54"/>
      <c r="CA60" s="54"/>
      <c r="CB60" s="54"/>
      <c r="CC60" s="54"/>
      <c r="CD60" s="54"/>
      <c r="CE60" s="54"/>
      <c r="CF60" s="54"/>
      <c r="CG60" s="54"/>
      <c r="CH60" s="54"/>
      <c r="CI60" s="54"/>
      <c r="CJ60" s="54"/>
      <c r="CK60" s="54"/>
      <c r="CL60" s="54"/>
      <c r="CM60" s="54"/>
      <c r="CN60" s="54"/>
      <c r="CO60" s="54"/>
      <c r="CP60" s="54"/>
      <c r="CQ60" s="362"/>
      <c r="DB60" s="410"/>
      <c r="DD60" s="54"/>
      <c r="DE60" s="54"/>
      <c r="DF60" s="54"/>
      <c r="DG60" s="54"/>
      <c r="DH60" s="54"/>
      <c r="DI60" s="54"/>
      <c r="DJ60" s="54"/>
      <c r="DK60" s="54"/>
      <c r="DL60" s="54"/>
      <c r="DM60" s="54"/>
      <c r="DN60" s="54"/>
      <c r="DO60" s="54"/>
      <c r="DP60" s="54"/>
      <c r="DQ60" s="54"/>
      <c r="DR60" s="54"/>
      <c r="DS60" s="54"/>
      <c r="DT60" s="374"/>
      <c r="DU60" s="420"/>
      <c r="DV60" s="420"/>
      <c r="DW60" s="420"/>
      <c r="DX60" s="420"/>
      <c r="DY60" s="420"/>
      <c r="DZ60" s="420"/>
    </row>
    <row r="61" spans="2:156" s="98" customFormat="1" ht="11.25" customHeight="1" outlineLevel="1" x14ac:dyDescent="0.2">
      <c r="B61" s="432" t="s">
        <v>589</v>
      </c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672"/>
      <c r="W61" s="621">
        <f>'VIC&amp;SA'!W27+'WA&amp;NT'!W27+NSW!W21+Qld!W23</f>
        <v>312.20799999999997</v>
      </c>
      <c r="X61" s="621">
        <f>'VIC&amp;SA'!X27+'WA&amp;NT'!X27+NSW!X21+Qld!X23</f>
        <v>317.31607920438205</v>
      </c>
      <c r="Y61" s="621">
        <f>'VIC&amp;SA'!Y27+'WA&amp;NT'!Y27+NSW!Y21+Qld!Y23</f>
        <v>320.45141725870371</v>
      </c>
      <c r="Z61" s="621">
        <f>'VIC&amp;SA'!Z27+'WA&amp;NT'!Z27+NSW!Z21+Qld!Z23</f>
        <v>326.44418861743344</v>
      </c>
      <c r="AA61" s="621">
        <f>'VIC&amp;SA'!AA27+'WA&amp;NT'!AA27+NSW!AA21+Qld!AA23</f>
        <v>330.79686765432268</v>
      </c>
      <c r="AB61" s="621">
        <f>'VIC&amp;SA'!AB27+'WA&amp;NT'!AB27+NSW!AB21+Qld!AB23</f>
        <v>333.42844226057321</v>
      </c>
      <c r="AC61" s="621">
        <f>'VIC&amp;SA'!AC27+'WA&amp;NT'!AC27+NSW!AC21+Qld!AC23</f>
        <v>337.08539989210874</v>
      </c>
      <c r="AD61" s="621">
        <f>'VIC&amp;SA'!AD27+'WA&amp;NT'!AD27+NSW!AD21+Qld!AD23</f>
        <v>341.1674287500432</v>
      </c>
      <c r="AE61" s="621">
        <f>'VIC&amp;SA'!AE27+'WA&amp;NT'!AE27+NSW!AE21+Qld!AE23</f>
        <v>348.58617533446522</v>
      </c>
      <c r="AF61" s="621">
        <f>'VIC&amp;SA'!AF27+'WA&amp;NT'!AF27+NSW!AF21+Qld!AF23</f>
        <v>355.66650009437137</v>
      </c>
      <c r="AG61" s="621">
        <f>'VIC&amp;SA'!AG27+'WA&amp;NT'!AG27+NSW!AG21+Qld!AG23</f>
        <v>367.03624566991124</v>
      </c>
      <c r="AH61" s="621">
        <f>'VIC&amp;SA'!AH27+'WA&amp;NT'!AH27+NSW!AH21+Qld!AH23</f>
        <v>371.77394867063214</v>
      </c>
      <c r="AI61" s="621">
        <f>'VIC&amp;SA'!AI27+'WA&amp;NT'!AI27+NSW!AI21+Qld!AI23</f>
        <v>376.58126912612948</v>
      </c>
      <c r="AJ61" s="621">
        <f>'VIC&amp;SA'!AJ27+'WA&amp;NT'!AJ27+NSW!AJ21+Qld!AJ23</f>
        <v>381.50683934165954</v>
      </c>
      <c r="AK61" s="621">
        <f>'VIC&amp;SA'!AK27+'WA&amp;NT'!AK27+NSW!AK21+Qld!AK23</f>
        <v>386.43685479530825</v>
      </c>
      <c r="AL61" s="621">
        <f>'VIC&amp;SA'!AL27+'WA&amp;NT'!AL27+NSW!AL21+Qld!AL23</f>
        <v>391.51246663861372</v>
      </c>
      <c r="AM61" s="621">
        <f>'VIC&amp;SA'!AM27+'WA&amp;NT'!AM27+NSW!AM21+Qld!AM23</f>
        <v>396.71247055977989</v>
      </c>
      <c r="AN61" s="621">
        <f>'VIC&amp;SA'!AN27+'WA&amp;NT'!AN27+NSW!AN21+Qld!AN23</f>
        <v>402.04011297398984</v>
      </c>
      <c r="AO61" s="621">
        <f>'VIC&amp;SA'!AO27+'WA&amp;NT'!AO27+NSW!AO21+Qld!AO23</f>
        <v>407.50023712087784</v>
      </c>
      <c r="AP61" s="621">
        <f>'VIC&amp;SA'!AP27+'WA&amp;NT'!AP27+NSW!AP21+Qld!AP23</f>
        <v>413.09233028232393</v>
      </c>
      <c r="AQ61" s="621">
        <f>'VIC&amp;SA'!AQ27+'WA&amp;NT'!AQ27+NSW!AQ21+Qld!AQ23</f>
        <v>418.82211039990739</v>
      </c>
      <c r="AR61" s="621">
        <f>'VIC&amp;SA'!AR27+'WA&amp;NT'!AR27+NSW!AR21+Qld!AR23</f>
        <v>341.88292757652476</v>
      </c>
      <c r="AS61" s="621">
        <f>'VIC&amp;SA'!AS27+'WA&amp;NT'!AS27+NSW!AS21+Qld!AS23</f>
        <v>204.13064179806884</v>
      </c>
      <c r="AT61" s="621">
        <f>'VIC&amp;SA'!AT27+'WA&amp;NT'!AT27+NSW!AT21+Qld!AT23</f>
        <v>207.58011237070644</v>
      </c>
      <c r="AU61" s="621">
        <f>'VIC&amp;SA'!AU27+'WA&amp;NT'!AU27+NSW!AU21+Qld!AU23</f>
        <v>211.1169431660407</v>
      </c>
      <c r="AV61" s="621">
        <f>'VIC&amp;SA'!AV27+'WA&amp;NT'!AV27+NSW!AV21+Qld!AV23</f>
        <v>214.74588744200059</v>
      </c>
      <c r="AW61" s="621">
        <f>'VIC&amp;SA'!AW27+'WA&amp;NT'!AW27+NSW!AW21+Qld!AW23</f>
        <v>218.4652956578866</v>
      </c>
      <c r="AX61" s="621">
        <f>'VIC&amp;SA'!AX27+'WA&amp;NT'!AX27+NSW!AX21+Qld!AX23</f>
        <v>222.27962993875519</v>
      </c>
      <c r="AY61" s="621">
        <f>'VIC&amp;SA'!AY27+'WA&amp;NT'!AY27+NSW!AY21+Qld!AY23</f>
        <v>226.19055988275858</v>
      </c>
      <c r="AZ61" s="621">
        <f>'VIC&amp;SA'!AZ27+'WA&amp;NT'!AZ27+NSW!AZ21+Qld!AZ23</f>
        <v>230.1993960835311</v>
      </c>
      <c r="BA61" s="621">
        <f>'VIC&amp;SA'!BA27+'WA&amp;NT'!BA27+NSW!BA21+Qld!BA23</f>
        <v>234.30873177860616</v>
      </c>
      <c r="BB61" s="621">
        <f>'VIC&amp;SA'!BB27+'WA&amp;NT'!BB27+NSW!BB21+Qld!BB23</f>
        <v>238.52119543226974</v>
      </c>
      <c r="BC61" s="621" t="str">
        <f>IFERROR('VIC&amp;SA'!CQ27+'WA&amp;NT'!BC27+NSW!BC21+Qld!BC23,"n.a.")</f>
        <v>n.a.</v>
      </c>
      <c r="BD61" s="621">
        <f>'VIC&amp;SA'!CR27+'WA&amp;NT'!BD27+NSW!BD21+Qld!BD23</f>
        <v>240.95225293829793</v>
      </c>
      <c r="BE61" s="621">
        <f>'VIC&amp;SA'!CS27+'WA&amp;NT'!BE27+NSW!BE21+Qld!BE23</f>
        <v>245.48679568484545</v>
      </c>
      <c r="BF61" s="621">
        <f>'VIC&amp;SA'!CT27+'WA&amp;NT'!BF27+NSW!BF21+Qld!BF23</f>
        <v>250.13189477537611</v>
      </c>
      <c r="BG61" s="621">
        <f>'VIC&amp;SA'!CU27+'WA&amp;NT'!BG27+NSW!BG21+Qld!BG23</f>
        <v>254.89330308396219</v>
      </c>
      <c r="BH61" s="621">
        <f>'VIC&amp;SA'!CV27+'WA&amp;NT'!BH27+NSW!BH21+Qld!BH23</f>
        <v>259.76953540246006</v>
      </c>
      <c r="BI61" s="621">
        <f>'VIC&amp;SA'!CW27+'WA&amp;NT'!BI27+NSW!BI21+Qld!BI23</f>
        <v>264.76724801535522</v>
      </c>
      <c r="BJ61" s="621">
        <f>'VIC&amp;SA'!CX27+'WA&amp;NT'!BJ27+NSW!BJ21+Qld!BJ23</f>
        <v>269.88550243280417</v>
      </c>
      <c r="BK61" s="621">
        <f>'VIC&amp;SA'!CY27+'WA&amp;NT'!BK27+NSW!BK21+Qld!BK23</f>
        <v>275.12987213794332</v>
      </c>
      <c r="BL61" s="621">
        <f>'VIC&amp;SA'!CZ27+'WA&amp;NT'!BL27+NSW!BL21+Qld!BL23</f>
        <v>280.50195498425285</v>
      </c>
      <c r="BM61" s="621">
        <f>'VIC&amp;SA'!DA27+'WA&amp;NT'!BM27+NSW!BM21+Qld!BM23</f>
        <v>286.00464761528195</v>
      </c>
      <c r="BN61" s="621">
        <f>'VIC&amp;SA'!DB27+'WA&amp;NT'!BN27+NSW!BN21+Qld!BN23</f>
        <v>291.6404741321935</v>
      </c>
      <c r="BO61" s="621">
        <f>'VIC&amp;SA'!DC27+'WA&amp;NT'!BO27+NSW!BO21+Qld!BO23</f>
        <v>297.41286868601014</v>
      </c>
      <c r="BP61" s="621">
        <f>'VIC&amp;SA'!DD27+'WA&amp;NT'!BP27+NSW!BP21+Qld!BP23</f>
        <v>303.32492041876452</v>
      </c>
      <c r="BQ61" s="621">
        <f>'VIC&amp;SA'!DE27+'WA&amp;NT'!BQ27+NSW!BQ21+Qld!BQ23</f>
        <v>309.37979133760382</v>
      </c>
      <c r="BR61" s="621">
        <f>'VIC&amp;SA'!DF27+'WA&amp;NT'!BR27+NSW!BR21+Qld!BR23</f>
        <v>315.57990993054165</v>
      </c>
      <c r="BS61" s="621">
        <f>'VIC&amp;SA'!DG27+'WA&amp;NT'!BS27+NSW!BS21+Qld!BS23</f>
        <v>321.93019722026344</v>
      </c>
      <c r="BT61" s="621">
        <f>'VIC&amp;SA'!DH27+'WA&amp;NT'!BT27+NSW!BT21+Qld!BT23</f>
        <v>328.43285236277762</v>
      </c>
      <c r="BU61" s="621">
        <f>'VIC&amp;SA'!DI27+'WA&amp;NT'!BU27+NSW!BU21+Qld!BU23</f>
        <v>335.09092208995543</v>
      </c>
      <c r="BV61" s="621">
        <f>'VIC&amp;SA'!DJ27+'WA&amp;NT'!BV27+NSW!BV21+Qld!BV23</f>
        <v>341.90877548724791</v>
      </c>
      <c r="BW61" s="621">
        <f>'VIC&amp;SA'!DK27+'WA&amp;NT'!BW27+NSW!BW21+Qld!BW23</f>
        <v>348.889649226404</v>
      </c>
      <c r="BX61" s="621">
        <f>'VIC&amp;SA'!DL27+'WA&amp;NT'!BX27+NSW!BX21+Qld!BX23</f>
        <v>356.03807383739968</v>
      </c>
      <c r="BY61" s="621">
        <f>'VIC&amp;SA'!DM27+'WA&amp;NT'!BY27+NSW!BY21+Qld!BY23</f>
        <v>363.355435232324</v>
      </c>
      <c r="BZ61" s="621">
        <f>'VIC&amp;SA'!DN27+'WA&amp;NT'!BZ27+NSW!BZ21+Qld!BZ23</f>
        <v>370.84845776742662</v>
      </c>
      <c r="CA61" s="621">
        <f>'VIC&amp;SA'!DO27+'WA&amp;NT'!CA27+NSW!CA21+Qld!CA23</f>
        <v>378.5195172677881</v>
      </c>
      <c r="CB61" s="621">
        <f>'VIC&amp;SA'!DP27+'WA&amp;NT'!CB27+NSW!CB21+Qld!CB23</f>
        <v>386.37471608920737</v>
      </c>
      <c r="CC61" s="621">
        <f>'VIC&amp;SA'!DQ27+'WA&amp;NT'!CC27+NSW!CC21+Qld!CC23</f>
        <v>394.41462054247012</v>
      </c>
      <c r="CD61" s="621">
        <f>'VIC&amp;SA'!DR27+'WA&amp;NT'!CD27+NSW!CD21+Qld!CD23</f>
        <v>402.64551176112764</v>
      </c>
      <c r="CE61" s="621">
        <f>'VIC&amp;SA'!DS27+'WA&amp;NT'!CE27+NSW!CE21+Qld!CE23</f>
        <v>411.07259612634459</v>
      </c>
      <c r="CF61" s="621">
        <f>'VIC&amp;SA'!DT27+'WA&amp;NT'!CF27+NSW!CF21+Qld!CF23</f>
        <v>419.69872665397713</v>
      </c>
      <c r="CG61" s="621">
        <f>'VIC&amp;SA'!DU27+'WA&amp;NT'!CG27+NSW!CG21+Qld!CG23</f>
        <v>428.52931882251016</v>
      </c>
      <c r="CH61" s="621">
        <f>'VIC&amp;SA'!DV27+'WA&amp;NT'!CH27+NSW!CH21+Qld!CH23</f>
        <v>437.56946397493954</v>
      </c>
      <c r="CI61" s="621">
        <f>'VIC&amp;SA'!DW27+'WA&amp;NT'!CI27+NSW!CI21+Qld!CI23</f>
        <v>446.82276427004996</v>
      </c>
      <c r="CJ61" s="621">
        <f>'VIC&amp;SA'!DX27+'WA&amp;NT'!CJ27+NSW!CJ21+Qld!CJ23</f>
        <v>456.29576769420805</v>
      </c>
      <c r="CK61" s="621">
        <f>'VIC&amp;SA'!DY27+'WA&amp;NT'!CK27+NSW!CK21+Qld!CK23</f>
        <v>465.99228974417741</v>
      </c>
      <c r="CL61" s="621">
        <f>'VIC&amp;SA'!DZ27+'WA&amp;NT'!CL27+NSW!CL21+Qld!CL23</f>
        <v>475.91669716039218</v>
      </c>
      <c r="CM61" s="621">
        <f>'VIC&amp;SA'!EA27+'WA&amp;NT'!CM27+NSW!CM21+Qld!CM23</f>
        <v>486.07506213552</v>
      </c>
      <c r="CN61" s="621">
        <f>'VIC&amp;SA'!EB27+'WA&amp;NT'!CN27+NSW!CN21+Qld!CN23</f>
        <v>496.47319758300506</v>
      </c>
      <c r="CO61" s="621">
        <f>'VIC&amp;SA'!EC27+'WA&amp;NT'!CO27+NSW!CO21+Qld!CO23</f>
        <v>507.11745197688663</v>
      </c>
      <c r="CP61" s="621">
        <f>'VIC&amp;SA'!ED27+'WA&amp;NT'!CP27+NSW!CP21+Qld!CP23</f>
        <v>518.01186376450573</v>
      </c>
      <c r="CQ61" s="362" t="s">
        <v>77</v>
      </c>
      <c r="CU61"/>
      <c r="CV61"/>
      <c r="CW61"/>
      <c r="CX61"/>
      <c r="CY61"/>
      <c r="CZ61"/>
      <c r="DB61" s="103"/>
      <c r="DD61" s="57"/>
      <c r="DE61" s="118"/>
      <c r="DF61" s="57"/>
      <c r="DG61" s="118"/>
      <c r="DH61" s="57"/>
      <c r="DI61" s="119"/>
      <c r="DJ61" s="142"/>
      <c r="DK61" s="119"/>
      <c r="DL61" s="189"/>
      <c r="DN61" s="189"/>
      <c r="DP61" s="189"/>
      <c r="DR61" s="188"/>
      <c r="DT61" s="413"/>
      <c r="DU61" s="413"/>
      <c r="DV61" s="413"/>
      <c r="DW61" s="413"/>
      <c r="DX61" s="413"/>
      <c r="DY61" s="413"/>
      <c r="DZ61" s="413"/>
    </row>
    <row r="62" spans="2:156" s="98" customFormat="1" ht="11.25" customHeight="1" outlineLevel="1" x14ac:dyDescent="0.2">
      <c r="B62" s="432" t="s">
        <v>590</v>
      </c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672"/>
      <c r="W62" s="621">
        <f>'VIC&amp;SA'!W28+'WA&amp;NT'!W28+NSW!W22+Qld!W24</f>
        <v>34.6</v>
      </c>
      <c r="X62" s="621">
        <f>'VIC&amp;SA'!X28+'WA&amp;NT'!X28+NSW!X22+Qld!X24</f>
        <v>35.465000000000003</v>
      </c>
      <c r="Y62" s="621">
        <f>'VIC&amp;SA'!Y28+'WA&amp;NT'!Y28+NSW!Y22+Qld!Y24</f>
        <v>36.351624999999999</v>
      </c>
      <c r="Z62" s="621">
        <f>'VIC&amp;SA'!Z28+'WA&amp;NT'!Z28+NSW!Z22+Qld!Z24</f>
        <v>37.260415624999993</v>
      </c>
      <c r="AA62" s="621">
        <f>'VIC&amp;SA'!AA28+'WA&amp;NT'!AA28+NSW!AA22+Qld!AA24</f>
        <v>38.121239642963886</v>
      </c>
      <c r="AB62" s="621">
        <f>'VIC&amp;SA'!AB28+'WA&amp;NT'!AB28+NSW!AB22+Qld!AB24</f>
        <v>39.00190546002618</v>
      </c>
      <c r="AC62" s="621">
        <f>'VIC&amp;SA'!AC28+'WA&amp;NT'!AC28+NSW!AC22+Qld!AC24</f>
        <v>39.902869249632239</v>
      </c>
      <c r="AD62" s="621">
        <f>'VIC&amp;SA'!AD28+'WA&amp;NT'!AD28+NSW!AD22+Qld!AD24</f>
        <v>40.824597642614705</v>
      </c>
      <c r="AE62" s="621">
        <f>'VIC&amp;SA'!AE28+'WA&amp;NT'!AE28+NSW!AE22+Qld!AE24</f>
        <v>41.767567966138103</v>
      </c>
      <c r="AF62" s="621">
        <f>'VIC&amp;SA'!AF28+'WA&amp;NT'!AF28+NSW!AF22+Qld!AF24</f>
        <v>42.732268488082966</v>
      </c>
      <c r="AG62" s="621">
        <f>'VIC&amp;SA'!AG28+'WA&amp;NT'!AG28+NSW!AG22+Qld!AG24</f>
        <v>43.719198666992746</v>
      </c>
      <c r="AH62" s="621">
        <f>'VIC&amp;SA'!AH28+'WA&amp;NT'!AH28+NSW!AH22+Qld!AH24</f>
        <v>44.728869407709574</v>
      </c>
      <c r="AI62" s="621">
        <f>'VIC&amp;SA'!AI28+'WA&amp;NT'!AI28+NSW!AI22+Qld!AI24</f>
        <v>45.761803322827816</v>
      </c>
      <c r="AJ62" s="621">
        <f>'VIC&amp;SA'!AJ28+'WA&amp;NT'!AJ28+NSW!AJ22+Qld!AJ24</f>
        <v>46.818535000097256</v>
      </c>
      <c r="AK62" s="621">
        <f>'VIC&amp;SA'!AK28+'WA&amp;NT'!AK28+NSW!AK22+Qld!AK24</f>
        <v>47.899611275910644</v>
      </c>
      <c r="AL62" s="621">
        <f>'VIC&amp;SA'!AL28+'WA&amp;NT'!AL28+NSW!AL22+Qld!AL24</f>
        <v>49.00559151501362</v>
      </c>
      <c r="AM62" s="621">
        <f>'VIC&amp;SA'!AM28+'WA&amp;NT'!AM28+NSW!AM22+Qld!AM24</f>
        <v>50.137047896577798</v>
      </c>
      <c r="AN62" s="621">
        <f>'VIC&amp;SA'!AN28+'WA&amp;NT'!AN28+NSW!AN22+Qld!AN24</f>
        <v>51.294565706781185</v>
      </c>
      <c r="AO62" s="621">
        <f>'VIC&amp;SA'!AO28+'WA&amp;NT'!AO28+NSW!AO22+Qld!AO24</f>
        <v>52.478743638043397</v>
      </c>
      <c r="AP62" s="621">
        <f>'VIC&amp;SA'!AP28+'WA&amp;NT'!AP28+NSW!AP22+Qld!AP24</f>
        <v>53.690194095066261</v>
      </c>
      <c r="AQ62" s="621">
        <f>'VIC&amp;SA'!AQ28+'WA&amp;NT'!AQ28+NSW!AQ22+Qld!AQ24</f>
        <v>54.929543507833877</v>
      </c>
      <c r="AR62" s="621">
        <f>'VIC&amp;SA'!AR28+'WA&amp;NT'!AR28+NSW!AR22+Qld!AR24</f>
        <v>56.197432651729976</v>
      </c>
      <c r="AS62" s="621">
        <f>'VIC&amp;SA'!AS28+'WA&amp;NT'!AS28+NSW!AS22+Qld!AS24</f>
        <v>57.494516974933241</v>
      </c>
      <c r="AT62" s="621">
        <f>'VIC&amp;SA'!AT28+'WA&amp;NT'!AT28+NSW!AT22+Qld!AT24</f>
        <v>58.821466933255692</v>
      </c>
      <c r="AU62" s="621">
        <f>'VIC&amp;SA'!AU28+'WA&amp;NT'!AU28+NSW!AU22+Qld!AU24</f>
        <v>60.178968332592504</v>
      </c>
      <c r="AV62" s="621">
        <f>'VIC&amp;SA'!AV28+'WA&amp;NT'!AV28+NSW!AV22+Qld!AV24</f>
        <v>61.567722679155366</v>
      </c>
      <c r="AW62" s="621">
        <f>'VIC&amp;SA'!AW28+'WA&amp;NT'!AW28+NSW!AW22+Qld!AW24</f>
        <v>62.988447537665692</v>
      </c>
      <c r="AX62" s="621">
        <f>'VIC&amp;SA'!AX28+'WA&amp;NT'!AX28+NSW!AX22+Qld!AX24</f>
        <v>64.441876897687649</v>
      </c>
      <c r="AY62" s="621">
        <f>'VIC&amp;SA'!AY28+'WA&amp;NT'!AY28+NSW!AY22+Qld!AY24</f>
        <v>65.928761548285181</v>
      </c>
      <c r="AZ62" s="621">
        <f>'VIC&amp;SA'!AZ28+'WA&amp;NT'!AZ28+NSW!AZ22+Qld!AZ24</f>
        <v>67.449869461191341</v>
      </c>
      <c r="BA62" s="621">
        <f>'VIC&amp;SA'!BA28+'WA&amp;NT'!BA28+NSW!BA22+Qld!BA24</f>
        <v>0</v>
      </c>
      <c r="BB62" s="621">
        <f>'VIC&amp;SA'!BB28+'WA&amp;NT'!BB28+NSW!BB22+Qld!BB24</f>
        <v>0</v>
      </c>
      <c r="BC62" s="621" t="str">
        <f>IFERROR('VIC&amp;SA'!CQ28+'WA&amp;NT'!BC28+NSW!BC22+Qld!BC24,"n.a.")</f>
        <v>n.a.</v>
      </c>
      <c r="BD62" s="621">
        <f>'VIC&amp;SA'!CR28+'WA&amp;NT'!BD28+NSW!BD22+Qld!BD24</f>
        <v>0</v>
      </c>
      <c r="BE62" s="621">
        <f>'VIC&amp;SA'!CS28+'WA&amp;NT'!BE28+NSW!BE22+Qld!BE24</f>
        <v>0</v>
      </c>
      <c r="BF62" s="621">
        <f>'VIC&amp;SA'!CT28+'WA&amp;NT'!BF28+NSW!BF22+Qld!BF24</f>
        <v>0</v>
      </c>
      <c r="BG62" s="621">
        <f>'VIC&amp;SA'!CU28+'WA&amp;NT'!BG28+NSW!BG22+Qld!BG24</f>
        <v>0</v>
      </c>
      <c r="BH62" s="621">
        <f>'VIC&amp;SA'!CV28+'WA&amp;NT'!BH28+NSW!BH22+Qld!BH24</f>
        <v>0</v>
      </c>
      <c r="BI62" s="621">
        <f>'VIC&amp;SA'!CW28+'WA&amp;NT'!BI28+NSW!BI22+Qld!BI24</f>
        <v>0</v>
      </c>
      <c r="BJ62" s="621">
        <f>'VIC&amp;SA'!CX28+'WA&amp;NT'!BJ28+NSW!BJ22+Qld!BJ24</f>
        <v>0</v>
      </c>
      <c r="BK62" s="621">
        <f>'VIC&amp;SA'!CY28+'WA&amp;NT'!BK28+NSW!BK22+Qld!BK24</f>
        <v>0</v>
      </c>
      <c r="BL62" s="621">
        <f>'VIC&amp;SA'!CZ28+'WA&amp;NT'!BL28+NSW!BL22+Qld!BL24</f>
        <v>0</v>
      </c>
      <c r="BM62" s="621">
        <f>'VIC&amp;SA'!DA28+'WA&amp;NT'!BM28+NSW!BM22+Qld!BM24</f>
        <v>0</v>
      </c>
      <c r="BN62" s="621">
        <f>'VIC&amp;SA'!DB28+'WA&amp;NT'!BN28+NSW!BN22+Qld!BN24</f>
        <v>0</v>
      </c>
      <c r="BO62" s="621">
        <f>'VIC&amp;SA'!DC28+'WA&amp;NT'!BO28+NSW!BO22+Qld!BO24</f>
        <v>0</v>
      </c>
      <c r="BP62" s="621">
        <f>'VIC&amp;SA'!DD28+'WA&amp;NT'!BP28+NSW!BP22+Qld!BP24</f>
        <v>0</v>
      </c>
      <c r="BQ62" s="621">
        <f>'VIC&amp;SA'!DE28+'WA&amp;NT'!BQ28+NSW!BQ22+Qld!BQ24</f>
        <v>0</v>
      </c>
      <c r="BR62" s="621">
        <f>'VIC&amp;SA'!DF28+'WA&amp;NT'!BR28+NSW!BR22+Qld!BR24</f>
        <v>0</v>
      </c>
      <c r="BS62" s="621">
        <f>'VIC&amp;SA'!DG28+'WA&amp;NT'!BS28+NSW!BS22+Qld!BS24</f>
        <v>0</v>
      </c>
      <c r="BT62" s="621">
        <f>'VIC&amp;SA'!DH28+'WA&amp;NT'!BT28+NSW!BT22+Qld!BT24</f>
        <v>0</v>
      </c>
      <c r="BU62" s="621">
        <f>'VIC&amp;SA'!DI28+'WA&amp;NT'!BU28+NSW!BU22+Qld!BU24</f>
        <v>0</v>
      </c>
      <c r="BV62" s="621">
        <f>'VIC&amp;SA'!DJ28+'WA&amp;NT'!BV28+NSW!BV22+Qld!BV24</f>
        <v>0</v>
      </c>
      <c r="BW62" s="621">
        <f>'VIC&amp;SA'!DK28+'WA&amp;NT'!BW28+NSW!BW22+Qld!BW24</f>
        <v>0</v>
      </c>
      <c r="BX62" s="621">
        <f>'VIC&amp;SA'!DL28+'WA&amp;NT'!BX28+NSW!BX22+Qld!BX24</f>
        <v>0</v>
      </c>
      <c r="BY62" s="621">
        <f>'VIC&amp;SA'!DM28+'WA&amp;NT'!BY28+NSW!BY22+Qld!BY24</f>
        <v>0</v>
      </c>
      <c r="BZ62" s="621">
        <f>'VIC&amp;SA'!DN28+'WA&amp;NT'!BZ28+NSW!BZ22+Qld!BZ24</f>
        <v>0</v>
      </c>
      <c r="CA62" s="621">
        <f>'VIC&amp;SA'!DO28+'WA&amp;NT'!CA28+NSW!CA22+Qld!CA24</f>
        <v>0</v>
      </c>
      <c r="CB62" s="621">
        <f>'VIC&amp;SA'!DP28+'WA&amp;NT'!CB28+NSW!CB22+Qld!CB24</f>
        <v>0</v>
      </c>
      <c r="CC62" s="621">
        <f>'VIC&amp;SA'!DQ28+'WA&amp;NT'!CC28+NSW!CC22+Qld!CC24</f>
        <v>0</v>
      </c>
      <c r="CD62" s="621">
        <f>'VIC&amp;SA'!DR28+'WA&amp;NT'!CD28+NSW!CD22+Qld!CD24</f>
        <v>0</v>
      </c>
      <c r="CE62" s="621">
        <f>'VIC&amp;SA'!DS28+'WA&amp;NT'!CE28+NSW!CE22+Qld!CE24</f>
        <v>0</v>
      </c>
      <c r="CF62" s="621">
        <f>'VIC&amp;SA'!DT28+'WA&amp;NT'!CF28+NSW!CF22+Qld!CF24</f>
        <v>0</v>
      </c>
      <c r="CG62" s="621">
        <f>'VIC&amp;SA'!DU28+'WA&amp;NT'!CG28+NSW!CG22+Qld!CG24</f>
        <v>0</v>
      </c>
      <c r="CH62" s="621">
        <f>'VIC&amp;SA'!DV28+'WA&amp;NT'!CH28+NSW!CH22+Qld!CH24</f>
        <v>0</v>
      </c>
      <c r="CI62" s="621">
        <f>'VIC&amp;SA'!DW28+'WA&amp;NT'!CI28+NSW!CI22+Qld!CI24</f>
        <v>0</v>
      </c>
      <c r="CJ62" s="621">
        <f>'VIC&amp;SA'!DX28+'WA&amp;NT'!CJ28+NSW!CJ22+Qld!CJ24</f>
        <v>0</v>
      </c>
      <c r="CK62" s="621">
        <f>'VIC&amp;SA'!DY28+'WA&amp;NT'!CK28+NSW!CK22+Qld!CK24</f>
        <v>0</v>
      </c>
      <c r="CL62" s="621">
        <f>'VIC&amp;SA'!DZ28+'WA&amp;NT'!CL28+NSW!CL22+Qld!CL24</f>
        <v>0</v>
      </c>
      <c r="CM62" s="621">
        <f>'VIC&amp;SA'!EA28+'WA&amp;NT'!CM28+NSW!CM22+Qld!CM24</f>
        <v>0</v>
      </c>
      <c r="CN62" s="621">
        <f>'VIC&amp;SA'!EB28+'WA&amp;NT'!CN28+NSW!CN22+Qld!CN24</f>
        <v>0</v>
      </c>
      <c r="CO62" s="621">
        <f>'VIC&amp;SA'!EC28+'WA&amp;NT'!CO28+NSW!CO22+Qld!CO24</f>
        <v>0</v>
      </c>
      <c r="CP62" s="621">
        <f>'VIC&amp;SA'!ED28+'WA&amp;NT'!CP28+NSW!CP22+Qld!CP24</f>
        <v>0</v>
      </c>
      <c r="CQ62" s="362" t="s">
        <v>77</v>
      </c>
      <c r="CU62"/>
      <c r="CV62"/>
      <c r="CW62"/>
      <c r="CX62"/>
      <c r="CY62"/>
      <c r="CZ62"/>
      <c r="DB62" s="103"/>
      <c r="DD62" s="57"/>
      <c r="DE62" s="118"/>
      <c r="DF62" s="57"/>
      <c r="DG62" s="118"/>
      <c r="DH62" s="57"/>
      <c r="DI62" s="119"/>
      <c r="DJ62" s="142"/>
      <c r="DK62" s="119"/>
      <c r="DL62" s="189"/>
      <c r="DN62" s="189"/>
      <c r="DP62" s="189"/>
      <c r="DR62" s="188"/>
      <c r="DT62" s="413"/>
      <c r="DU62" s="413"/>
      <c r="DV62" s="413"/>
      <c r="DW62" s="413"/>
      <c r="DX62" s="413"/>
      <c r="DY62" s="413"/>
      <c r="DZ62" s="413"/>
    </row>
    <row r="63" spans="2:156" s="98" customFormat="1" ht="11.25" customHeight="1" outlineLevel="1" x14ac:dyDescent="0.2">
      <c r="B63" s="432" t="s">
        <v>591</v>
      </c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672"/>
      <c r="W63" s="621">
        <f>'VIC&amp;SA'!W29+'WA&amp;NT'!W29+NSW!W23+Qld!W25</f>
        <v>958.20299999999997</v>
      </c>
      <c r="X63" s="621">
        <f>'VIC&amp;SA'!X29+'WA&amp;NT'!X29+NSW!X23+Qld!X25</f>
        <v>967.39585479187645</v>
      </c>
      <c r="Y63" s="621">
        <f>'VIC&amp;SA'!Y29+'WA&amp;NT'!Y29+NSW!Y23+Qld!Y25</f>
        <v>1008.9728485224423</v>
      </c>
      <c r="Z63" s="621">
        <f>'VIC&amp;SA'!Z29+'WA&amp;NT'!Z29+NSW!Z23+Qld!Z25</f>
        <v>1026.3951557190012</v>
      </c>
      <c r="AA63" s="621">
        <f>'VIC&amp;SA'!AA29+'WA&amp;NT'!AA29+NSW!AA23+Qld!AA25</f>
        <v>969.59843586005309</v>
      </c>
      <c r="AB63" s="621">
        <f>'VIC&amp;SA'!AB29+'WA&amp;NT'!AB29+NSW!AB23+Qld!AB25</f>
        <v>989.89181579940771</v>
      </c>
      <c r="AC63" s="621">
        <f>'VIC&amp;SA'!AC29+'WA&amp;NT'!AC29+NSW!AC23+Qld!AC25</f>
        <v>1010.6146707673988</v>
      </c>
      <c r="AD63" s="621">
        <f>'VIC&amp;SA'!AD29+'WA&amp;NT'!AD29+NSW!AD23+Qld!AD25</f>
        <v>1031.637954948206</v>
      </c>
      <c r="AE63" s="621">
        <f>'VIC&amp;SA'!AE29+'WA&amp;NT'!AE29+NSW!AE23+Qld!AE25</f>
        <v>1036.269273945597</v>
      </c>
      <c r="AF63" s="621">
        <f>'VIC&amp;SA'!AF29+'WA&amp;NT'!AF29+NSW!AF23+Qld!AF25</f>
        <v>1040.7412875327627</v>
      </c>
      <c r="AG63" s="621">
        <f>'VIC&amp;SA'!AG29+'WA&amp;NT'!AG29+NSW!AG23+Qld!AG25</f>
        <v>1035.071251381579</v>
      </c>
      <c r="AH63" s="621">
        <f>'VIC&amp;SA'!AH29+'WA&amp;NT'!AH29+NSW!AH23+Qld!AH25</f>
        <v>1056.5314319545196</v>
      </c>
      <c r="AI63" s="621">
        <f>'VIC&amp;SA'!AI29+'WA&amp;NT'!AI29+NSW!AI23+Qld!AI25</f>
        <v>917.99447408141305</v>
      </c>
      <c r="AJ63" s="621">
        <f>'VIC&amp;SA'!AJ29+'WA&amp;NT'!AJ29+NSW!AJ23+Qld!AJ25</f>
        <v>936.45258534837672</v>
      </c>
      <c r="AK63" s="621">
        <f>'VIC&amp;SA'!AK29+'WA&amp;NT'!AK29+NSW!AK23+Qld!AK25</f>
        <v>955.28392134222327</v>
      </c>
      <c r="AL63" s="621">
        <f>'VIC&amp;SA'!AL29+'WA&amp;NT'!AL29+NSW!AL23+Qld!AL25</f>
        <v>974.4960678342336</v>
      </c>
      <c r="AM63" s="621">
        <f>'VIC&amp;SA'!AM29+'WA&amp;NT'!AM29+NSW!AM23+Qld!AM25</f>
        <v>994.09676546067635</v>
      </c>
      <c r="AN63" s="621">
        <f>'VIC&amp;SA'!AN29+'WA&amp;NT'!AN29+NSW!AN23+Qld!AN25</f>
        <v>1001.2062166717805</v>
      </c>
      <c r="AO63" s="621">
        <f>'VIC&amp;SA'!AO29+'WA&amp;NT'!AO29+NSW!AO23+Qld!AO25</f>
        <v>960.90144662224861</v>
      </c>
      <c r="AP63" s="621">
        <f>'VIC&amp;SA'!AP29+'WA&amp;NT'!AP29+NSW!AP23+Qld!AP25</f>
        <v>399.40300293574091</v>
      </c>
      <c r="AQ63" s="621">
        <f>'VIC&amp;SA'!AQ29+'WA&amp;NT'!AQ29+NSW!AQ23+Qld!AQ25</f>
        <v>408.11213007748796</v>
      </c>
      <c r="AR63" s="621">
        <f>'VIC&amp;SA'!AR29+'WA&amp;NT'!AR29+NSW!AR23+Qld!AR25</f>
        <v>408.27751885510423</v>
      </c>
      <c r="AS63" s="621">
        <f>'VIC&amp;SA'!AS29+'WA&amp;NT'!AS29+NSW!AS23+Qld!AS25</f>
        <v>417.16369821968289</v>
      </c>
      <c r="AT63" s="621">
        <f>'VIC&amp;SA'!AT29+'WA&amp;NT'!AT29+NSW!AT23+Qld!AT25</f>
        <v>426.24351020328709</v>
      </c>
      <c r="AU63" s="621">
        <f>'VIC&amp;SA'!AU29+'WA&amp;NT'!AU29+NSW!AU23+Qld!AU25</f>
        <v>435.52117230398113</v>
      </c>
      <c r="AV63" s="621">
        <f>'VIC&amp;SA'!AV29+'WA&amp;NT'!AV29+NSW!AV23+Qld!AV25</f>
        <v>445.00099368095329</v>
      </c>
      <c r="AW63" s="621">
        <f>'VIC&amp;SA'!AW29+'WA&amp;NT'!AW29+NSW!AW23+Qld!AW25</f>
        <v>448.56934741424152</v>
      </c>
      <c r="AX63" s="621">
        <f>'VIC&amp;SA'!AX29+'WA&amp;NT'!AX29+NSW!AX23+Qld!AX25</f>
        <v>458.32881356194889</v>
      </c>
      <c r="AY63" s="621">
        <f>'VIC&amp;SA'!AY29+'WA&amp;NT'!AY29+NSW!AY23+Qld!AY25</f>
        <v>468.30084264226269</v>
      </c>
      <c r="AZ63" s="621">
        <f>'VIC&amp;SA'!AZ29+'WA&amp;NT'!AZ29+NSW!AZ23+Qld!AZ25</f>
        <v>478.49006182827281</v>
      </c>
      <c r="BA63" s="621">
        <f>'VIC&amp;SA'!BA29+'WA&amp;NT'!BA29+NSW!BA23+Qld!BA25</f>
        <v>373.67843642506728</v>
      </c>
      <c r="BB63" s="621">
        <f>'VIC&amp;SA'!BB29+'WA&amp;NT'!BB29+NSW!BB23+Qld!BB25</f>
        <v>381.63711691337431</v>
      </c>
      <c r="BC63" s="621" t="str">
        <f>IFERROR('VIC&amp;SA'!CQ29+'WA&amp;NT'!BC29+NSW!BC23+Qld!BC25,"n.a.")</f>
        <v>n.a.</v>
      </c>
      <c r="BD63" s="621">
        <f>'VIC&amp;SA'!CR29+'WA&amp;NT'!BD29+NSW!BD23+Qld!BD25</f>
        <v>395.26661882978055</v>
      </c>
      <c r="BE63" s="621">
        <f>'VIC&amp;SA'!CS29+'WA&amp;NT'!BE29+NSW!BE23+Qld!BE25</f>
        <v>403.67994159767352</v>
      </c>
      <c r="BF63" s="621">
        <f>'VIC&amp;SA'!CT29+'WA&amp;NT'!BF29+NSW!BF23+Qld!BF25</f>
        <v>412.27229166651784</v>
      </c>
      <c r="BG63" s="621">
        <f>'VIC&amp;SA'!CU29+'WA&amp;NT'!BG29+NSW!BG23+Qld!BG25</f>
        <v>421.04746898688961</v>
      </c>
      <c r="BH63" s="621">
        <f>'VIC&amp;SA'!CV29+'WA&amp;NT'!BH29+NSW!BH23+Qld!BH25</f>
        <v>430.00935374731625</v>
      </c>
      <c r="BI63" s="621">
        <f>'VIC&amp;SA'!CW29+'WA&amp;NT'!BI29+NSW!BI23+Qld!BI25</f>
        <v>439.16190805412492</v>
      </c>
      <c r="BJ63" s="621">
        <f>'VIC&amp;SA'!CX29+'WA&amp;NT'!BJ29+NSW!BJ23+Qld!BJ25</f>
        <v>448.50917764600661</v>
      </c>
      <c r="BK63" s="621">
        <f>'VIC&amp;SA'!CY29+'WA&amp;NT'!BK29+NSW!BK23+Qld!BK25</f>
        <v>458.05529364400081</v>
      </c>
      <c r="BL63" s="621">
        <f>'VIC&amp;SA'!CZ29+'WA&amp;NT'!BL29+NSW!BL23+Qld!BL25</f>
        <v>467.80447433761697</v>
      </c>
      <c r="BM63" s="621">
        <f>'VIC&amp;SA'!DA29+'WA&amp;NT'!BM29+NSW!BM23+Qld!BM25</f>
        <v>477.76102700782707</v>
      </c>
      <c r="BN63" s="621">
        <f>'VIC&amp;SA'!DB29+'WA&amp;NT'!BN29+NSW!BN23+Qld!BN25</f>
        <v>487.92934978767221</v>
      </c>
      <c r="BO63" s="621">
        <f>'VIC&amp;SA'!DC29+'WA&amp;NT'!BO29+NSW!BO23+Qld!BO25</f>
        <v>498.31393356124778</v>
      </c>
      <c r="BP63" s="621">
        <f>'VIC&amp;SA'!DD29+'WA&amp;NT'!BP29+NSW!BP23+Qld!BP25</f>
        <v>508.91936390183946</v>
      </c>
      <c r="BQ63" s="621">
        <f>'VIC&amp;SA'!DE29+'WA&amp;NT'!BQ29+NSW!BQ23+Qld!BQ25</f>
        <v>519.75032305000411</v>
      </c>
      <c r="BR63" s="621">
        <f>'VIC&amp;SA'!DF29+'WA&amp;NT'!BR29+NSW!BR23+Qld!BR25</f>
        <v>530.81159193240023</v>
      </c>
      <c r="BS63" s="621">
        <f>'VIC&amp;SA'!DG29+'WA&amp;NT'!BS29+NSW!BS23+Qld!BS25</f>
        <v>499.38090681447238</v>
      </c>
      <c r="BT63" s="621">
        <f>'VIC&amp;SA'!DH29+'WA&amp;NT'!BT29+NSW!BT23+Qld!BT25</f>
        <v>472.05941594823861</v>
      </c>
      <c r="BU63" s="621">
        <f>'VIC&amp;SA'!DI29+'WA&amp;NT'!BU29+NSW!BU23+Qld!BU25</f>
        <v>481.94764252169477</v>
      </c>
      <c r="BV63" s="621">
        <f>'VIC&amp;SA'!DJ29+'WA&amp;NT'!BV29+NSW!BV23+Qld!BV25</f>
        <v>492.04245584111482</v>
      </c>
      <c r="BW63" s="621">
        <f>'VIC&amp;SA'!DK29+'WA&amp;NT'!BW29+NSW!BW23+Qld!BW25</f>
        <v>502.34814747443238</v>
      </c>
      <c r="BX63" s="621">
        <f>'VIC&amp;SA'!DL29+'WA&amp;NT'!BX29+NSW!BX23+Qld!BX25</f>
        <v>512.86909728301066</v>
      </c>
      <c r="BY63" s="621">
        <f>'VIC&amp;SA'!DM29+'WA&amp;NT'!BY29+NSW!BY23+Qld!BY25</f>
        <v>523.60977521089615</v>
      </c>
      <c r="BZ63" s="621">
        <f>'VIC&amp;SA'!DN29+'WA&amp;NT'!BZ29+NSW!BZ23+Qld!BZ25</f>
        <v>534.57474310950113</v>
      </c>
      <c r="CA63" s="621">
        <f>'VIC&amp;SA'!DO29+'WA&amp;NT'!CA29+NSW!CA23+Qld!CA25</f>
        <v>545.76865659839564</v>
      </c>
      <c r="CB63" s="621">
        <f>'VIC&amp;SA'!DP29+'WA&amp;NT'!CB29+NSW!CB23+Qld!CB25</f>
        <v>557.19626696289242</v>
      </c>
      <c r="CC63" s="621">
        <f>'VIC&amp;SA'!DQ29+'WA&amp;NT'!CC29+NSW!CC23+Qld!CC25</f>
        <v>568.86242308913086</v>
      </c>
      <c r="CD63" s="621">
        <f>'VIC&amp;SA'!DR29+'WA&amp;NT'!CD29+NSW!CD23+Qld!CD25</f>
        <v>521.32280467666169</v>
      </c>
      <c r="CE63" s="621">
        <f>'VIC&amp;SA'!DS29+'WA&amp;NT'!CE29+NSW!CE23+Qld!CE25</f>
        <v>532.09985243882704</v>
      </c>
      <c r="CF63" s="621">
        <f>'VIC&amp;SA'!DT29+'WA&amp;NT'!CF29+NSW!CF23+Qld!CF25</f>
        <v>543.09856524865108</v>
      </c>
      <c r="CG63" s="621">
        <f>'VIC&amp;SA'!DU29+'WA&amp;NT'!CG29+NSW!CG23+Qld!CG25</f>
        <v>554.32346097340485</v>
      </c>
      <c r="CH63" s="621">
        <f>'VIC&amp;SA'!DV29+'WA&amp;NT'!CH29+NSW!CH23+Qld!CH25</f>
        <v>13.881937932638987</v>
      </c>
      <c r="CI63" s="621">
        <f>'VIC&amp;SA'!DW29+'WA&amp;NT'!CI29+NSW!CI23+Qld!CI25</f>
        <v>12.804809698446082</v>
      </c>
      <c r="CJ63" s="621">
        <f>'VIC&amp;SA'!DX29+'WA&amp;NT'!CJ29+NSW!CJ23+Qld!CJ25</f>
        <v>11.673203485149031</v>
      </c>
      <c r="CK63" s="621">
        <f>'VIC&amp;SA'!DY29+'WA&amp;NT'!CK29+NSW!CK23+Qld!CK25</f>
        <v>10.485222250191825</v>
      </c>
      <c r="CL63" s="621">
        <f>'VIC&amp;SA'!DZ29+'WA&amp;NT'!CL29+NSW!CL23+Qld!CL25</f>
        <v>9.2389110815606159</v>
      </c>
      <c r="CM63" s="621">
        <f>'VIC&amp;SA'!EA29+'WA&amp;NT'!CM29+NSW!CM23+Qld!CM25</f>
        <v>7.9322555460528648</v>
      </c>
      <c r="CN63" s="621">
        <f>'VIC&amp;SA'!EB29+'WA&amp;NT'!CN29+NSW!CN23+Qld!CN25</f>
        <v>6.5631799922026381</v>
      </c>
      <c r="CO63" s="621">
        <f>'VIC&amp;SA'!EC29+'WA&amp;NT'!CO29+NSW!CO23+Qld!CO25</f>
        <v>5.1295458066467106</v>
      </c>
      <c r="CP63" s="621">
        <f>'VIC&amp;SA'!ED29+'WA&amp;NT'!CP29+NSW!CP23+Qld!CP25</f>
        <v>-29.024475951519868</v>
      </c>
      <c r="CQ63" s="362" t="s">
        <v>77</v>
      </c>
      <c r="CU63"/>
      <c r="CV63"/>
      <c r="CW63"/>
      <c r="CX63"/>
      <c r="CY63"/>
      <c r="CZ63"/>
      <c r="DB63" s="103"/>
      <c r="DD63" s="57"/>
      <c r="DE63" s="118"/>
      <c r="DF63" s="57"/>
      <c r="DG63" s="118"/>
      <c r="DH63" s="57"/>
      <c r="DI63" s="119"/>
      <c r="DJ63" s="142"/>
      <c r="DK63" s="119"/>
      <c r="DL63" s="189"/>
      <c r="DN63" s="189"/>
      <c r="DP63" s="189"/>
      <c r="DR63" s="188"/>
      <c r="DT63" s="413"/>
      <c r="DU63" s="413"/>
      <c r="DV63" s="413"/>
      <c r="DW63" s="413"/>
      <c r="DX63" s="413"/>
      <c r="DY63" s="413"/>
      <c r="DZ63" s="413"/>
    </row>
    <row r="64" spans="2:156" s="98" customFormat="1" ht="11.25" customHeight="1" outlineLevel="1" x14ac:dyDescent="0.2">
      <c r="B64" s="432" t="s">
        <v>592</v>
      </c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672"/>
      <c r="W64" s="621">
        <f>'VIC&amp;SA'!W30+'WA&amp;NT'!W30+NSW!W24+Qld!W26</f>
        <v>34.6</v>
      </c>
      <c r="X64" s="621">
        <f>'VIC&amp;SA'!X30+'WA&amp;NT'!X30+NSW!X24+Qld!X26</f>
        <v>35.246004560445499</v>
      </c>
      <c r="Y64" s="621">
        <f>'VIC&amp;SA'!Y30+'WA&amp;NT'!Y30+NSW!Y24+Qld!Y26</f>
        <v>36.113159234902135</v>
      </c>
      <c r="Z64" s="621">
        <f>'VIC&amp;SA'!Z30+'WA&amp;NT'!Z30+NSW!Z24+Qld!Z26</f>
        <v>59.501992776220185</v>
      </c>
      <c r="AA64" s="621">
        <f>'VIC&amp;SA'!AA30+'WA&amp;NT'!AA30+NSW!AA24+Qld!AA26</f>
        <v>60.975547156071187</v>
      </c>
      <c r="AB64" s="621">
        <f>'VIC&amp;SA'!AB30+'WA&amp;NT'!AB30+NSW!AB24+Qld!AB26</f>
        <v>62.457112270418456</v>
      </c>
      <c r="AC64" s="621">
        <f>'VIC&amp;SA'!AC30+'WA&amp;NT'!AC30+NSW!AC24+Qld!AC26</f>
        <v>63.975031844655661</v>
      </c>
      <c r="AD64" s="621">
        <f>'VIC&amp;SA'!AD30+'WA&amp;NT'!AD30+NSW!AD24+Qld!AD26</f>
        <v>65.481143183389463</v>
      </c>
      <c r="AE64" s="621">
        <f>'VIC&amp;SA'!AE30+'WA&amp;NT'!AE30+NSW!AE24+Qld!AE26</f>
        <v>67.023024666418166</v>
      </c>
      <c r="AF64" s="621">
        <f>'VIC&amp;SA'!AF30+'WA&amp;NT'!AF30+NSW!AF24+Qld!AF26</f>
        <v>68.601525834668834</v>
      </c>
      <c r="AG64" s="621">
        <f>'VIC&amp;SA'!AG30+'WA&amp;NT'!AG30+NSW!AG24+Qld!AG26</f>
        <v>70.217516405665435</v>
      </c>
      <c r="AH64" s="621">
        <f>'VIC&amp;SA'!AH30+'WA&amp;NT'!AH30+NSW!AH24+Qld!AH26</f>
        <v>71.871886752723213</v>
      </c>
      <c r="AI64" s="621">
        <f>'VIC&amp;SA'!AI30+'WA&amp;NT'!AI30+NSW!AI24+Qld!AI26</f>
        <v>73.565548395523606</v>
      </c>
      <c r="AJ64" s="621">
        <f>'VIC&amp;SA'!AJ30+'WA&amp;NT'!AJ30+NSW!AJ24+Qld!AJ26</f>
        <v>75.299434502340517</v>
      </c>
      <c r="AK64" s="621">
        <f>'VIC&amp;SA'!AK30+'WA&amp;NT'!AK30+NSW!AK24+Qld!AK26</f>
        <v>77.074500404194325</v>
      </c>
      <c r="AL64" s="621">
        <f>'VIC&amp;SA'!AL30+'WA&amp;NT'!AL30+NSW!AL24+Qld!AL26</f>
        <v>78.891724121217152</v>
      </c>
      <c r="AM64" s="621">
        <f>'VIC&amp;SA'!AM30+'WA&amp;NT'!AM30+NSW!AM24+Qld!AM26</f>
        <v>80.752106901519284</v>
      </c>
      <c r="AN64" s="621">
        <f>'VIC&amp;SA'!AN30+'WA&amp;NT'!AN30+NSW!AN24+Qld!AN26</f>
        <v>82.656673772853594</v>
      </c>
      <c r="AO64" s="621">
        <f>'VIC&amp;SA'!AO30+'WA&amp;NT'!AO30+NSW!AO24+Qld!AO26</f>
        <v>84.606474107382084</v>
      </c>
      <c r="AP64" s="621">
        <f>'VIC&amp;SA'!AP30+'WA&amp;NT'!AP30+NSW!AP24+Qld!AP26</f>
        <v>86.602582199855632</v>
      </c>
      <c r="AQ64" s="621">
        <f>'VIC&amp;SA'!AQ30+'WA&amp;NT'!AQ30+NSW!AQ24+Qld!AQ26</f>
        <v>88.646097859525426</v>
      </c>
      <c r="AR64" s="621">
        <f>'VIC&amp;SA'!AR30+'WA&amp;NT'!AR30+NSW!AR24+Qld!AR26</f>
        <v>90.738147016112379</v>
      </c>
      <c r="AS64" s="621">
        <f>'VIC&amp;SA'!AS30+'WA&amp;NT'!AS30+NSW!AS24+Qld!AS26</f>
        <v>92.87988234016828</v>
      </c>
      <c r="AT64" s="621">
        <f>'VIC&amp;SA'!AT30+'WA&amp;NT'!AT30+NSW!AT24+Qld!AT26</f>
        <v>59.048580915197846</v>
      </c>
      <c r="AU64" s="621">
        <f>'VIC&amp;SA'!AU30+'WA&amp;NT'!AU30+NSW!AU24+Qld!AU26</f>
        <v>60.437689044357015</v>
      </c>
      <c r="AV64" s="621">
        <f>'VIC&amp;SA'!AV30+'WA&amp;NT'!AV30+NSW!AV24+Qld!AV26</f>
        <v>61.859788491583714</v>
      </c>
      <c r="AW64" s="621">
        <f>'VIC&amp;SA'!AW30+'WA&amp;NT'!AW30+NSW!AW24+Qld!AW26</f>
        <v>63.315662800682055</v>
      </c>
      <c r="AX64" s="621">
        <f>'VIC&amp;SA'!AX30+'WA&amp;NT'!AX30+NSW!AX24+Qld!AX26</f>
        <v>64.806114124621473</v>
      </c>
      <c r="AY64" s="621">
        <f>'VIC&amp;SA'!AY30+'WA&amp;NT'!AY30+NSW!AY24+Qld!AY26</f>
        <v>66.331963667504453</v>
      </c>
      <c r="AZ64" s="621">
        <f>'VIC&amp;SA'!AZ30+'WA&amp;NT'!AZ30+NSW!AZ24+Qld!AZ26</f>
        <v>67.894052137030911</v>
      </c>
      <c r="BA64" s="621">
        <f>'VIC&amp;SA'!BA30+'WA&amp;NT'!BA30+NSW!BA24+Qld!BA26</f>
        <v>69.49324020770861</v>
      </c>
      <c r="BB64" s="621">
        <f>'VIC&amp;SA'!BB30+'WA&amp;NT'!BB30+NSW!BB24+Qld!BB26</f>
        <v>71.130408995064911</v>
      </c>
      <c r="BC64" s="621" t="str">
        <f>IFERROR('VIC&amp;SA'!CQ30+'WA&amp;NT'!BC30+NSW!BC24+Qld!BC26,"n.a.")</f>
        <v>n.a.</v>
      </c>
      <c r="BD64" s="621">
        <f>'VIC&amp;SA'!CR30+'WA&amp;NT'!BD30+NSW!BD24+Qld!BD26</f>
        <v>74.522318311395765</v>
      </c>
      <c r="BE64" s="621">
        <f>'VIC&amp;SA'!CS30+'WA&amp;NT'!BE30+NSW!BE24+Qld!BE26</f>
        <v>76.278927703714629</v>
      </c>
      <c r="BF64" s="621">
        <f>'VIC&amp;SA'!CT30+'WA&amp;NT'!BF30+NSW!BF24+Qld!BF26</f>
        <v>78.077256569101067</v>
      </c>
      <c r="BG64" s="621">
        <f>'VIC&amp;SA'!CU30+'WA&amp;NT'!BG30+NSW!BG24+Qld!BG26</f>
        <v>79.918295745040439</v>
      </c>
      <c r="BH64" s="621">
        <f>'VIC&amp;SA'!CV30+'WA&amp;NT'!BH30+NSW!BH24+Qld!BH26</f>
        <v>81.803059601408364</v>
      </c>
      <c r="BI64" s="621">
        <f>'VIC&amp;SA'!CW30+'WA&amp;NT'!BI30+NSW!BI24+Qld!BI26</f>
        <v>83.732586599365035</v>
      </c>
      <c r="BJ64" s="621">
        <f>'VIC&amp;SA'!CX30+'WA&amp;NT'!BJ30+NSW!BJ24+Qld!BJ26</f>
        <v>85.70793986352318</v>
      </c>
      <c r="BK64" s="621">
        <f>'VIC&amp;SA'!CY30+'WA&amp;NT'!BK30+NSW!BK24+Qld!BK26</f>
        <v>87.730207767705082</v>
      </c>
      <c r="BL64" s="621">
        <f>'VIC&amp;SA'!CZ30+'WA&amp;NT'!BL30+NSW!BL24+Qld!BL26</f>
        <v>89.800504534611292</v>
      </c>
      <c r="BM64" s="621">
        <f>'VIC&amp;SA'!DA30+'WA&amp;NT'!BM30+NSW!BM24+Qld!BM26</f>
        <v>91.919970849731527</v>
      </c>
      <c r="BN64" s="621">
        <f>'VIC&amp;SA'!DB30+'WA&amp;NT'!BN30+NSW!BN24+Qld!BN26</f>
        <v>94.089774489835861</v>
      </c>
      <c r="BO64" s="621">
        <f>'VIC&amp;SA'!DC30+'WA&amp;NT'!BO30+NSW!BO24+Qld!BO26</f>
        <v>96.31111096639269</v>
      </c>
      <c r="BP64" s="621">
        <f>'VIC&amp;SA'!DD30+'WA&amp;NT'!BP30+NSW!BP24+Qld!BP26</f>
        <v>98.585204184267738</v>
      </c>
      <c r="BQ64" s="621">
        <f>'VIC&amp;SA'!DE30+'WA&amp;NT'!BQ30+NSW!BQ24+Qld!BQ26</f>
        <v>100.91330711606732</v>
      </c>
      <c r="BR64" s="621">
        <f>'VIC&amp;SA'!DF30+'WA&amp;NT'!BR30+NSW!BR24+Qld!BR26</f>
        <v>103.29670249249715</v>
      </c>
      <c r="BS64" s="621">
        <f>'VIC&amp;SA'!DG30+'WA&amp;NT'!BS30+NSW!BS24+Qld!BS26</f>
        <v>105.73670350911716</v>
      </c>
      <c r="BT64" s="621">
        <f>'VIC&amp;SA'!DH30+'WA&amp;NT'!BT30+NSW!BT24+Qld!BT26</f>
        <v>108.23465454988191</v>
      </c>
      <c r="BU64" s="621">
        <f>'VIC&amp;SA'!DI30+'WA&amp;NT'!BU30+NSW!BU24+Qld!BU26</f>
        <v>110.79193192786481</v>
      </c>
      <c r="BV64" s="621">
        <f>'VIC&amp;SA'!DJ30+'WA&amp;NT'!BV30+NSW!BV24+Qld!BV26</f>
        <v>113.40994464357482</v>
      </c>
      <c r="BW64" s="621">
        <f>'VIC&amp;SA'!DK30+'WA&amp;NT'!BW30+NSW!BW24+Qld!BW26</f>
        <v>116.09013516128293</v>
      </c>
      <c r="BX64" s="621">
        <f>'VIC&amp;SA'!DL30+'WA&amp;NT'!BX30+NSW!BX24+Qld!BX26</f>
        <v>118.83398020378661</v>
      </c>
      <c r="BY64" s="621">
        <f>'VIC&amp;SA'!DM30+'WA&amp;NT'!BY30+NSW!BY24+Qld!BY26</f>
        <v>121.64299156604974</v>
      </c>
      <c r="BZ64" s="621">
        <f>'VIC&amp;SA'!DN30+'WA&amp;NT'!BZ30+NSW!BZ24+Qld!BZ26</f>
        <v>124.51871694816663</v>
      </c>
      <c r="CA64" s="621">
        <f>'VIC&amp;SA'!DO30+'WA&amp;NT'!CA30+NSW!CA24+Qld!CA26</f>
        <v>127.4627408081088</v>
      </c>
      <c r="CB64" s="621">
        <f>'VIC&amp;SA'!DP30+'WA&amp;NT'!CB30+NSW!CB24+Qld!CB26</f>
        <v>130.47668523472461</v>
      </c>
      <c r="CC64" s="621">
        <f>'VIC&amp;SA'!DQ30+'WA&amp;NT'!CC30+NSW!CC24+Qld!CC26</f>
        <v>133.56221084147253</v>
      </c>
      <c r="CD64" s="621">
        <f>'VIC&amp;SA'!DR30+'WA&amp;NT'!CD30+NSW!CD24+Qld!CD26</f>
        <v>136.72101768138074</v>
      </c>
      <c r="CE64" s="621">
        <f>'VIC&amp;SA'!DS30+'WA&amp;NT'!CE30+NSW!CE24+Qld!CE26</f>
        <v>139.95484618373675</v>
      </c>
      <c r="CF64" s="621">
        <f>'VIC&amp;SA'!DT30+'WA&amp;NT'!CF30+NSW!CF24+Qld!CF26</f>
        <v>143.2654781130237</v>
      </c>
      <c r="CG64" s="621">
        <f>'VIC&amp;SA'!DU30+'WA&amp;NT'!CG30+NSW!CG24+Qld!CG26</f>
        <v>146.65473755063124</v>
      </c>
      <c r="CH64" s="621">
        <f>'VIC&amp;SA'!DV30+'WA&amp;NT'!CH30+NSW!CH24+Qld!CH26</f>
        <v>150.12449189988195</v>
      </c>
      <c r="CI64" s="621">
        <f>'VIC&amp;SA'!DW30+'WA&amp;NT'!CI30+NSW!CI24+Qld!CI26</f>
        <v>153.67665291492736</v>
      </c>
      <c r="CJ64" s="621">
        <f>'VIC&amp;SA'!DX30+'WA&amp;NT'!CJ30+NSW!CJ24+Qld!CJ26</f>
        <v>157.3131777540801</v>
      </c>
      <c r="CK64" s="621">
        <f>'VIC&amp;SA'!DY30+'WA&amp;NT'!CK30+NSW!CK24+Qld!CK26</f>
        <v>161.03607005816272</v>
      </c>
      <c r="CL64" s="621">
        <f>'VIC&amp;SA'!DZ30+'WA&amp;NT'!CL30+NSW!CL24+Qld!CL26</f>
        <v>164.84738105446732</v>
      </c>
      <c r="CM64" s="621">
        <f>'VIC&amp;SA'!EA30+'WA&amp;NT'!CM30+NSW!CM24+Qld!CM26</f>
        <v>168.74921068693413</v>
      </c>
      <c r="CN64" s="621">
        <f>'VIC&amp;SA'!EB30+'WA&amp;NT'!CN30+NSW!CN24+Qld!CN26</f>
        <v>172.74370877317205</v>
      </c>
      <c r="CO64" s="621">
        <f>'VIC&amp;SA'!EC30+'WA&amp;NT'!CO30+NSW!CO24+Qld!CO26</f>
        <v>176.8330761889581</v>
      </c>
      <c r="CP64" s="621">
        <f>'VIC&amp;SA'!ED30+'WA&amp;NT'!CP30+NSW!CP24+Qld!CP26</f>
        <v>181.01956608086908</v>
      </c>
      <c r="CQ64" s="362" t="s">
        <v>77</v>
      </c>
      <c r="CU64"/>
      <c r="CV64"/>
      <c r="CW64"/>
      <c r="CX64"/>
      <c r="CY64"/>
      <c r="CZ64"/>
      <c r="DB64" s="103"/>
      <c r="DD64" s="57"/>
      <c r="DE64" s="118"/>
      <c r="DF64" s="57"/>
      <c r="DG64" s="118"/>
      <c r="DH64" s="57"/>
      <c r="DI64" s="119"/>
      <c r="DJ64" s="142"/>
      <c r="DK64" s="119"/>
      <c r="DL64" s="189"/>
      <c r="DN64" s="189"/>
      <c r="DP64" s="189"/>
      <c r="DR64" s="188"/>
      <c r="DT64" s="413"/>
      <c r="DU64" s="413"/>
      <c r="DV64" s="413"/>
      <c r="DW64" s="413"/>
      <c r="DX64" s="413"/>
      <c r="DY64" s="413"/>
      <c r="DZ64" s="413"/>
    </row>
    <row r="65" spans="2:130" s="98" customFormat="1" ht="11.25" customHeight="1" outlineLevel="1" x14ac:dyDescent="0.2">
      <c r="B65" s="432" t="s">
        <v>593</v>
      </c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672"/>
      <c r="W65" s="621">
        <f>'VIC&amp;SA'!W31+'WA&amp;NT'!W31+NSW!W25+Qld!W27</f>
        <v>114.1</v>
      </c>
      <c r="X65" s="621">
        <f>'VIC&amp;SA'!X31+'WA&amp;NT'!X31+NSW!X25+Qld!X27</f>
        <v>122.75512950731392</v>
      </c>
      <c r="Y65" s="621">
        <f>'VIC&amp;SA'!Y31+'WA&amp;NT'!Y31+NSW!Y25+Qld!Y27</f>
        <v>147.67663725231068</v>
      </c>
      <c r="Z65" s="621">
        <f>'VIC&amp;SA'!Z31+'WA&amp;NT'!Z31+NSW!Z25+Qld!Z27</f>
        <v>167.72743269093237</v>
      </c>
      <c r="AA65" s="621">
        <f>'VIC&amp;SA'!AA31+'WA&amp;NT'!AA31+NSW!AA25+Qld!AA27</f>
        <v>172.91586321023118</v>
      </c>
      <c r="AB65" s="621">
        <f>'VIC&amp;SA'!AB31+'WA&amp;NT'!AB31+NSW!AB25+Qld!AB27</f>
        <v>178.22962832213682</v>
      </c>
      <c r="AC65" s="621">
        <f>'VIC&amp;SA'!AC31+'WA&amp;NT'!AC31+NSW!AC25+Qld!AC27</f>
        <v>183.67175745741807</v>
      </c>
      <c r="AD65" s="621">
        <f>'VIC&amp;SA'!AD31+'WA&amp;NT'!AD31+NSW!AD25+Qld!AD27</f>
        <v>188.9648248197864</v>
      </c>
      <c r="AE65" s="621">
        <f>'VIC&amp;SA'!AE31+'WA&amp;NT'!AE31+NSW!AE25+Qld!AE27</f>
        <v>194.38354714015054</v>
      </c>
      <c r="AF65" s="621">
        <f>'VIC&amp;SA'!AF31+'WA&amp;NT'!AF31+NSW!AF25+Qld!AF27</f>
        <v>178.69402301996178</v>
      </c>
      <c r="AG65" s="621">
        <f>'VIC&amp;SA'!AG31+'WA&amp;NT'!AG31+NSW!AG25+Qld!AG27</f>
        <v>183.62707338905545</v>
      </c>
      <c r="AH65" s="621">
        <f>'VIC&amp;SA'!AH31+'WA&amp;NT'!AH31+NSW!AH25+Qld!AH27</f>
        <v>188.67709202218981</v>
      </c>
      <c r="AI65" s="621">
        <f>'VIC&amp;SA'!AI31+'WA&amp;NT'!AI31+NSW!AI25+Qld!AI27</f>
        <v>193.84685212358039</v>
      </c>
      <c r="AJ65" s="621">
        <f>'VIC&amp;SA'!AJ31+'WA&amp;NT'!AJ31+NSW!AJ25+Qld!AJ27</f>
        <v>85.214151660183461</v>
      </c>
      <c r="AK65" s="621">
        <f>'VIC&amp;SA'!AK31+'WA&amp;NT'!AK31+NSW!AK25+Qld!AK27</f>
        <v>51.155961012809264</v>
      </c>
      <c r="AL65" s="621">
        <f>'VIC&amp;SA'!AL31+'WA&amp;NT'!AL31+NSW!AL25+Qld!AL27</f>
        <v>52.224585345144035</v>
      </c>
      <c r="AM65" s="621">
        <f>'VIC&amp;SA'!AM31+'WA&amp;NT'!AM31+NSW!AM25+Qld!AM27</f>
        <v>53.518112000060029</v>
      </c>
      <c r="AN65" s="621">
        <f>'VIC&amp;SA'!AN31+'WA&amp;NT'!AN31+NSW!AN25+Qld!AN27</f>
        <v>54.841747886126839</v>
      </c>
      <c r="AO65" s="621">
        <f>'VIC&amp;SA'!AO31+'WA&amp;NT'!AO31+NSW!AO25+Qld!AO27</f>
        <v>56.196192796911717</v>
      </c>
      <c r="AP65" s="621">
        <f>'VIC&amp;SA'!AP31+'WA&amp;NT'!AP31+NSW!AP25+Qld!AP27</f>
        <v>57.582162763562316</v>
      </c>
      <c r="AQ65" s="621">
        <f>'VIC&amp;SA'!AQ31+'WA&amp;NT'!AQ31+NSW!AQ25+Qld!AQ27</f>
        <v>59.000390430886313</v>
      </c>
      <c r="AR65" s="621">
        <f>'VIC&amp;SA'!AR31+'WA&amp;NT'!AR31+NSW!AR25+Qld!AR27</f>
        <v>33.433232323452685</v>
      </c>
      <c r="AS65" s="621">
        <f>'VIC&amp;SA'!AS31+'WA&amp;NT'!AS31+NSW!AS25+Qld!AS27</f>
        <v>34.291697255219532</v>
      </c>
      <c r="AT65" s="621">
        <f>'VIC&amp;SA'!AT31+'WA&amp;NT'!AT31+NSW!AT25+Qld!AT27</f>
        <v>35.170219524990301</v>
      </c>
      <c r="AU65" s="621">
        <f>'VIC&amp;SA'!AU31+'WA&amp;NT'!AU31+NSW!AU25+Qld!AU27</f>
        <v>36.069267214439456</v>
      </c>
      <c r="AV65" s="621">
        <f>'VIC&amp;SA'!AV31+'WA&amp;NT'!AV31+NSW!AV25+Qld!AV27</f>
        <v>36.989319315178641</v>
      </c>
      <c r="AW65" s="621">
        <f>'VIC&amp;SA'!AW31+'WA&amp;NT'!AW31+NSW!AW25+Qld!AW27</f>
        <v>-3.2704770149999973</v>
      </c>
      <c r="AX65" s="621">
        <f>'VIC&amp;SA'!AX31+'WA&amp;NT'!AX31+NSW!AX25+Qld!AX27</f>
        <v>-3.2704770149999973</v>
      </c>
      <c r="AY65" s="621">
        <f>'VIC&amp;SA'!AY31+'WA&amp;NT'!AY31+NSW!AY25+Qld!AY27</f>
        <v>-3.2704770149999973</v>
      </c>
      <c r="AZ65" s="621">
        <f>'VIC&amp;SA'!AZ31+'WA&amp;NT'!AZ31+NSW!AZ25+Qld!AZ27</f>
        <v>-3.2704770149999973</v>
      </c>
      <c r="BA65" s="621">
        <f>'VIC&amp;SA'!BA31+'WA&amp;NT'!BA31+NSW!BA25+Qld!BA27</f>
        <v>-3.2704770149999973</v>
      </c>
      <c r="BB65" s="621">
        <f>'VIC&amp;SA'!BB31+'WA&amp;NT'!BB31+NSW!BB25+Qld!BB27</f>
        <v>-3.2704770149999973</v>
      </c>
      <c r="BC65" s="621" t="str">
        <f>IFERROR('VIC&amp;SA'!CQ31+'WA&amp;NT'!BC31+NSW!BC25+Qld!BC27,"n.a.")</f>
        <v>n.a.</v>
      </c>
      <c r="BD65" s="621">
        <f>'VIC&amp;SA'!CR31+'WA&amp;NT'!BD31+NSW!BD25+Qld!BD27</f>
        <v>-3.2704770149999973</v>
      </c>
      <c r="BE65" s="621">
        <f>'VIC&amp;SA'!CS31+'WA&amp;NT'!BE31+NSW!BE25+Qld!BE27</f>
        <v>-3.2704770149999973</v>
      </c>
      <c r="BF65" s="621">
        <f>'VIC&amp;SA'!CT31+'WA&amp;NT'!BF31+NSW!BF25+Qld!BF27</f>
        <v>-3.2704770149999973</v>
      </c>
      <c r="BG65" s="621">
        <f>'VIC&amp;SA'!CU31+'WA&amp;NT'!BG31+NSW!BG25+Qld!BG27</f>
        <v>-3.2704770149999973</v>
      </c>
      <c r="BH65" s="621">
        <f>'VIC&amp;SA'!CV31+'WA&amp;NT'!BH31+NSW!BH25+Qld!BH27</f>
        <v>-3.2704770149999973</v>
      </c>
      <c r="BI65" s="621">
        <f>'VIC&amp;SA'!CW31+'WA&amp;NT'!BI31+NSW!BI25+Qld!BI27</f>
        <v>-3.2704770149999973</v>
      </c>
      <c r="BJ65" s="621">
        <f>'VIC&amp;SA'!CX31+'WA&amp;NT'!BJ31+NSW!BJ25+Qld!BJ27</f>
        <v>-3.2704770149999973</v>
      </c>
      <c r="BK65" s="621">
        <f>'VIC&amp;SA'!CY31+'WA&amp;NT'!BK31+NSW!BK25+Qld!BK27</f>
        <v>-3.2704770149999973</v>
      </c>
      <c r="BL65" s="621">
        <f>'VIC&amp;SA'!CZ31+'WA&amp;NT'!BL31+NSW!BL25+Qld!BL27</f>
        <v>-3.2704770149999973</v>
      </c>
      <c r="BM65" s="621">
        <f>'VIC&amp;SA'!DA31+'WA&amp;NT'!BM31+NSW!BM25+Qld!BM27</f>
        <v>-3.2704770149999973</v>
      </c>
      <c r="BN65" s="621">
        <f>'VIC&amp;SA'!DB31+'WA&amp;NT'!BN31+NSW!BN25+Qld!BN27</f>
        <v>-3.2704770149999973</v>
      </c>
      <c r="BO65" s="621">
        <f>'VIC&amp;SA'!DC31+'WA&amp;NT'!BO31+NSW!BO25+Qld!BO27</f>
        <v>-3.2704770149999973</v>
      </c>
      <c r="BP65" s="621">
        <f>'VIC&amp;SA'!DD31+'WA&amp;NT'!BP31+NSW!BP25+Qld!BP27</f>
        <v>-3.2704770149999973</v>
      </c>
      <c r="BQ65" s="621">
        <f>'VIC&amp;SA'!DE31+'WA&amp;NT'!BQ31+NSW!BQ25+Qld!BQ27</f>
        <v>-3.2704770149999973</v>
      </c>
      <c r="BR65" s="621">
        <f>'VIC&amp;SA'!DF31+'WA&amp;NT'!BR31+NSW!BR25+Qld!BR27</f>
        <v>-3.2704770149999973</v>
      </c>
      <c r="BS65" s="621">
        <f>'VIC&amp;SA'!DG31+'WA&amp;NT'!BS31+NSW!BS25+Qld!BS27</f>
        <v>-3.2704770149999973</v>
      </c>
      <c r="BT65" s="621">
        <f>'VIC&amp;SA'!DH31+'WA&amp;NT'!BT31+NSW!BT25+Qld!BT27</f>
        <v>-3.2704770149999973</v>
      </c>
      <c r="BU65" s="621">
        <f>'VIC&amp;SA'!DI31+'WA&amp;NT'!BU31+NSW!BU25+Qld!BU27</f>
        <v>-3.2704770149999973</v>
      </c>
      <c r="BV65" s="621">
        <f>'VIC&amp;SA'!DJ31+'WA&amp;NT'!BV31+NSW!BV25+Qld!BV27</f>
        <v>-3.2704770149999973</v>
      </c>
      <c r="BW65" s="621">
        <f>'VIC&amp;SA'!DK31+'WA&amp;NT'!BW31+NSW!BW25+Qld!BW27</f>
        <v>-3.2704770149999973</v>
      </c>
      <c r="BX65" s="621">
        <f>'VIC&amp;SA'!DL31+'WA&amp;NT'!BX31+NSW!BX25+Qld!BX27</f>
        <v>-3.2704770149999973</v>
      </c>
      <c r="BY65" s="621">
        <f>'VIC&amp;SA'!DM31+'WA&amp;NT'!BY31+NSW!BY25+Qld!BY27</f>
        <v>-3.2704770149999973</v>
      </c>
      <c r="BZ65" s="621">
        <f>'VIC&amp;SA'!DN31+'WA&amp;NT'!BZ31+NSW!BZ25+Qld!BZ27</f>
        <v>-3.2704770149999973</v>
      </c>
      <c r="CA65" s="621">
        <f>'VIC&amp;SA'!DO31+'WA&amp;NT'!CA31+NSW!CA25+Qld!CA27</f>
        <v>-3.2704770149999973</v>
      </c>
      <c r="CB65" s="621">
        <f>'VIC&amp;SA'!DP31+'WA&amp;NT'!CB31+NSW!CB25+Qld!CB27</f>
        <v>-3.2704770149999973</v>
      </c>
      <c r="CC65" s="621">
        <f>'VIC&amp;SA'!DQ31+'WA&amp;NT'!CC31+NSW!CC25+Qld!CC27</f>
        <v>-3.2704770149999973</v>
      </c>
      <c r="CD65" s="621">
        <f>'VIC&amp;SA'!DR31+'WA&amp;NT'!CD31+NSW!CD25+Qld!CD27</f>
        <v>-3.2704770149999973</v>
      </c>
      <c r="CE65" s="621">
        <f>'VIC&amp;SA'!DS31+'WA&amp;NT'!CE31+NSW!CE25+Qld!CE27</f>
        <v>-3.2704770149999973</v>
      </c>
      <c r="CF65" s="621">
        <f>'VIC&amp;SA'!DT31+'WA&amp;NT'!CF31+NSW!CF25+Qld!CF27</f>
        <v>-3.2704770149999973</v>
      </c>
      <c r="CG65" s="621">
        <f>'VIC&amp;SA'!DU31+'WA&amp;NT'!CG31+NSW!CG25+Qld!CG27</f>
        <v>-3.2704770149999973</v>
      </c>
      <c r="CH65" s="621">
        <f>'VIC&amp;SA'!DV31+'WA&amp;NT'!CH31+NSW!CH25+Qld!CH27</f>
        <v>-3.2704770149999973</v>
      </c>
      <c r="CI65" s="621">
        <f>'VIC&amp;SA'!DW31+'WA&amp;NT'!CI31+NSW!CI25+Qld!CI27</f>
        <v>-3.2704770149999973</v>
      </c>
      <c r="CJ65" s="621">
        <f>'VIC&amp;SA'!DX31+'WA&amp;NT'!CJ31+NSW!CJ25+Qld!CJ27</f>
        <v>-3.2704770149999973</v>
      </c>
      <c r="CK65" s="621">
        <f>'VIC&amp;SA'!DY31+'WA&amp;NT'!CK31+NSW!CK25+Qld!CK27</f>
        <v>-3.2704770149999973</v>
      </c>
      <c r="CL65" s="621">
        <f>'VIC&amp;SA'!DZ31+'WA&amp;NT'!CL31+NSW!CL25+Qld!CL27</f>
        <v>-3.2704770149999973</v>
      </c>
      <c r="CM65" s="621">
        <f>'VIC&amp;SA'!EA31+'WA&amp;NT'!CM31+NSW!CM25+Qld!CM27</f>
        <v>-3.2704770149999973</v>
      </c>
      <c r="CN65" s="621">
        <f>'VIC&amp;SA'!EB31+'WA&amp;NT'!CN31+NSW!CN25+Qld!CN27</f>
        <v>-3.2704770149999973</v>
      </c>
      <c r="CO65" s="621">
        <f>'VIC&amp;SA'!EC31+'WA&amp;NT'!CO31+NSW!CO25+Qld!CO27</f>
        <v>-3.2704770149999973</v>
      </c>
      <c r="CP65" s="621">
        <f>'VIC&amp;SA'!ED31+'WA&amp;NT'!CP31+NSW!CP25+Qld!CP27</f>
        <v>-3.2704770149999973</v>
      </c>
      <c r="CQ65" s="362" t="s">
        <v>77</v>
      </c>
      <c r="CU65"/>
      <c r="CV65"/>
      <c r="CW65"/>
      <c r="CX65"/>
      <c r="CY65"/>
      <c r="CZ65"/>
      <c r="DB65" s="103"/>
      <c r="DD65" s="57"/>
      <c r="DE65" s="118"/>
      <c r="DF65" s="57"/>
      <c r="DG65" s="118"/>
      <c r="DH65" s="57"/>
      <c r="DI65" s="119"/>
      <c r="DJ65" s="142"/>
      <c r="DK65" s="119"/>
      <c r="DL65" s="189"/>
      <c r="DN65" s="189"/>
      <c r="DP65" s="189"/>
      <c r="DR65" s="188"/>
      <c r="DT65" s="413"/>
      <c r="DU65" s="413"/>
      <c r="DV65" s="413"/>
      <c r="DW65" s="413"/>
      <c r="DX65" s="413"/>
      <c r="DY65" s="413"/>
      <c r="DZ65" s="413"/>
    </row>
    <row r="66" spans="2:130" s="98" customFormat="1" ht="11.25" customHeight="1" outlineLevel="1" x14ac:dyDescent="0.2">
      <c r="B66" s="316" t="s">
        <v>595</v>
      </c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317" t="b">
        <f t="shared" ref="W66:BD66" si="166">IF(ABS(W43-SUM(W44:W49)&lt;0.1),TRUE,W43-SUM(W44:W49))</f>
        <v>1</v>
      </c>
      <c r="X66" s="317" t="b">
        <f t="shared" si="166"/>
        <v>1</v>
      </c>
      <c r="Y66" s="317" t="b">
        <f t="shared" si="166"/>
        <v>1</v>
      </c>
      <c r="Z66" s="317" t="b">
        <f t="shared" si="166"/>
        <v>1</v>
      </c>
      <c r="AA66" s="317" t="b">
        <f t="shared" si="166"/>
        <v>1</v>
      </c>
      <c r="AB66" s="317" t="b">
        <f t="shared" si="166"/>
        <v>1</v>
      </c>
      <c r="AC66" s="317" t="b">
        <f t="shared" si="166"/>
        <v>1</v>
      </c>
      <c r="AD66" s="317" t="b">
        <f t="shared" si="166"/>
        <v>1</v>
      </c>
      <c r="AE66" s="317" t="b">
        <f t="shared" si="166"/>
        <v>1</v>
      </c>
      <c r="AF66" s="317" t="b">
        <f t="shared" si="166"/>
        <v>1</v>
      </c>
      <c r="AG66" s="317" t="b">
        <f t="shared" si="166"/>
        <v>1</v>
      </c>
      <c r="AH66" s="317" t="b">
        <f t="shared" si="166"/>
        <v>1</v>
      </c>
      <c r="AI66" s="317" t="b">
        <f t="shared" si="166"/>
        <v>1</v>
      </c>
      <c r="AJ66" s="317" t="b">
        <f t="shared" si="166"/>
        <v>1</v>
      </c>
      <c r="AK66" s="317" t="b">
        <f t="shared" si="166"/>
        <v>1</v>
      </c>
      <c r="AL66" s="317" t="b">
        <f t="shared" si="166"/>
        <v>1</v>
      </c>
      <c r="AM66" s="317" t="b">
        <f t="shared" si="166"/>
        <v>1</v>
      </c>
      <c r="AN66" s="317" t="b">
        <f t="shared" si="166"/>
        <v>1</v>
      </c>
      <c r="AO66" s="317" t="b">
        <f t="shared" si="166"/>
        <v>1</v>
      </c>
      <c r="AP66" s="317" t="b">
        <f t="shared" si="166"/>
        <v>1</v>
      </c>
      <c r="AQ66" s="317" t="b">
        <f t="shared" si="166"/>
        <v>1</v>
      </c>
      <c r="AR66" s="317" t="b">
        <f t="shared" si="166"/>
        <v>1</v>
      </c>
      <c r="AS66" s="317" t="b">
        <f t="shared" si="166"/>
        <v>1</v>
      </c>
      <c r="AT66" s="317" t="b">
        <f t="shared" si="166"/>
        <v>1</v>
      </c>
      <c r="AU66" s="317" t="b">
        <f t="shared" si="166"/>
        <v>1</v>
      </c>
      <c r="AV66" s="317" t="b">
        <f t="shared" si="166"/>
        <v>1</v>
      </c>
      <c r="AW66" s="317" t="b">
        <f t="shared" si="166"/>
        <v>1</v>
      </c>
      <c r="AX66" s="317" t="b">
        <f t="shared" si="166"/>
        <v>1</v>
      </c>
      <c r="AY66" s="317" t="b">
        <f t="shared" si="166"/>
        <v>1</v>
      </c>
      <c r="AZ66" s="317" t="b">
        <f t="shared" si="166"/>
        <v>1</v>
      </c>
      <c r="BA66" s="317" t="b">
        <f t="shared" si="166"/>
        <v>1</v>
      </c>
      <c r="BB66" s="317" t="b">
        <f t="shared" si="166"/>
        <v>1</v>
      </c>
      <c r="BC66" s="317" t="b">
        <f t="shared" si="166"/>
        <v>1</v>
      </c>
      <c r="BD66" s="317" t="b">
        <f t="shared" si="166"/>
        <v>1</v>
      </c>
      <c r="BE66" s="317" t="b">
        <f t="shared" ref="BE66:CP66" si="167">IF(ABS(BE43-SUM(BE44:BE49)&lt;0.1),TRUE,BE43-SUM(BE44:BE49))</f>
        <v>1</v>
      </c>
      <c r="BF66" s="317" t="b">
        <f t="shared" si="167"/>
        <v>1</v>
      </c>
      <c r="BG66" s="317" t="b">
        <f t="shared" si="167"/>
        <v>1</v>
      </c>
      <c r="BH66" s="317" t="b">
        <f t="shared" si="167"/>
        <v>1</v>
      </c>
      <c r="BI66" s="317" t="b">
        <f t="shared" si="167"/>
        <v>1</v>
      </c>
      <c r="BJ66" s="317" t="b">
        <f t="shared" si="167"/>
        <v>1</v>
      </c>
      <c r="BK66" s="317" t="b">
        <f t="shared" si="167"/>
        <v>1</v>
      </c>
      <c r="BL66" s="317" t="b">
        <f t="shared" si="167"/>
        <v>1</v>
      </c>
      <c r="BM66" s="317" t="b">
        <f t="shared" si="167"/>
        <v>1</v>
      </c>
      <c r="BN66" s="317" t="b">
        <f t="shared" si="167"/>
        <v>1</v>
      </c>
      <c r="BO66" s="317" t="b">
        <f t="shared" si="167"/>
        <v>1</v>
      </c>
      <c r="BP66" s="317" t="b">
        <f t="shared" si="167"/>
        <v>1</v>
      </c>
      <c r="BQ66" s="317" t="b">
        <f t="shared" si="167"/>
        <v>1</v>
      </c>
      <c r="BR66" s="317" t="b">
        <f t="shared" si="167"/>
        <v>1</v>
      </c>
      <c r="BS66" s="317" t="b">
        <f t="shared" si="167"/>
        <v>1</v>
      </c>
      <c r="BT66" s="317" t="b">
        <f t="shared" si="167"/>
        <v>1</v>
      </c>
      <c r="BU66" s="317" t="b">
        <f t="shared" si="167"/>
        <v>1</v>
      </c>
      <c r="BV66" s="317" t="b">
        <f t="shared" si="167"/>
        <v>1</v>
      </c>
      <c r="BW66" s="317" t="b">
        <f t="shared" si="167"/>
        <v>1</v>
      </c>
      <c r="BX66" s="317" t="b">
        <f t="shared" si="167"/>
        <v>1</v>
      </c>
      <c r="BY66" s="317" t="b">
        <f t="shared" si="167"/>
        <v>1</v>
      </c>
      <c r="BZ66" s="317" t="b">
        <f t="shared" si="167"/>
        <v>1</v>
      </c>
      <c r="CA66" s="317" t="b">
        <f t="shared" si="167"/>
        <v>1</v>
      </c>
      <c r="CB66" s="317" t="b">
        <f t="shared" si="167"/>
        <v>1</v>
      </c>
      <c r="CC66" s="317" t="b">
        <f t="shared" si="167"/>
        <v>1</v>
      </c>
      <c r="CD66" s="317" t="b">
        <f t="shared" si="167"/>
        <v>1</v>
      </c>
      <c r="CE66" s="317" t="b">
        <f t="shared" si="167"/>
        <v>1</v>
      </c>
      <c r="CF66" s="317" t="b">
        <f t="shared" si="167"/>
        <v>1</v>
      </c>
      <c r="CG66" s="317" t="b">
        <f t="shared" si="167"/>
        <v>1</v>
      </c>
      <c r="CH66" s="317" t="b">
        <f t="shared" si="167"/>
        <v>1</v>
      </c>
      <c r="CI66" s="317" t="b">
        <f t="shared" si="167"/>
        <v>1</v>
      </c>
      <c r="CJ66" s="317" t="b">
        <f t="shared" si="167"/>
        <v>1</v>
      </c>
      <c r="CK66" s="317" t="b">
        <f t="shared" si="167"/>
        <v>1</v>
      </c>
      <c r="CL66" s="317" t="b">
        <f t="shared" si="167"/>
        <v>1</v>
      </c>
      <c r="CM66" s="317" t="b">
        <f t="shared" si="167"/>
        <v>1</v>
      </c>
      <c r="CN66" s="317" t="b">
        <f t="shared" si="167"/>
        <v>1</v>
      </c>
      <c r="CO66" s="317" t="b">
        <f t="shared" si="167"/>
        <v>1</v>
      </c>
      <c r="CP66" s="317" t="b">
        <f t="shared" si="167"/>
        <v>1</v>
      </c>
      <c r="CQ66" s="362" t="s">
        <v>77</v>
      </c>
      <c r="CU66"/>
      <c r="CV66"/>
      <c r="CW66"/>
      <c r="CX66"/>
      <c r="CY66"/>
      <c r="CZ66"/>
      <c r="DB66" s="103"/>
      <c r="DD66" s="57"/>
      <c r="DE66" s="118"/>
      <c r="DF66" s="57"/>
      <c r="DG66" s="118"/>
      <c r="DH66" s="57"/>
      <c r="DI66" s="119"/>
      <c r="DJ66" s="142"/>
      <c r="DK66" s="119"/>
      <c r="DL66" s="189"/>
      <c r="DN66" s="189"/>
      <c r="DP66" s="189"/>
      <c r="DR66" s="188"/>
      <c r="DT66" s="413"/>
      <c r="DU66" s="413"/>
      <c r="DV66" s="413"/>
      <c r="DW66" s="413"/>
      <c r="DX66" s="413"/>
      <c r="DY66" s="413"/>
      <c r="DZ66" s="413"/>
    </row>
    <row r="67" spans="2:130" x14ac:dyDescent="0.2">
      <c r="B67" s="7"/>
      <c r="K67" s="10"/>
      <c r="L67" s="10"/>
      <c r="M67" s="10"/>
      <c r="N67" s="10"/>
      <c r="O67" s="10"/>
      <c r="P67" s="10"/>
      <c r="Q67" s="10"/>
      <c r="R67" s="10"/>
      <c r="S67" s="10"/>
      <c r="T67" s="4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362" t="s">
        <v>77</v>
      </c>
      <c r="DB67" s="7"/>
      <c r="DD67" s="10"/>
      <c r="DE67" s="10"/>
      <c r="DF67" s="10"/>
      <c r="DG67" s="10"/>
      <c r="DH67" s="10"/>
      <c r="DI67" s="10"/>
      <c r="DJ67" s="10"/>
      <c r="DK67" s="10"/>
      <c r="DM67" s="413"/>
      <c r="DO67" s="413"/>
      <c r="DQ67" s="413"/>
      <c r="DR67" s="413"/>
      <c r="DS67" s="413"/>
      <c r="DT67" s="413"/>
    </row>
    <row r="68" spans="2:130" s="233" customFormat="1" x14ac:dyDescent="0.2">
      <c r="B68" s="728" t="s">
        <v>245</v>
      </c>
      <c r="C68" s="312"/>
      <c r="D68" s="308"/>
      <c r="E68" s="308"/>
      <c r="F68" s="312">
        <f t="shared" ref="F68:BQ68" si="168">Fiscal_Year</f>
        <v>36707</v>
      </c>
      <c r="G68" s="312">
        <f t="shared" si="168"/>
        <v>37072</v>
      </c>
      <c r="H68" s="312">
        <f t="shared" si="168"/>
        <v>37437</v>
      </c>
      <c r="I68" s="312">
        <f t="shared" si="168"/>
        <v>37802</v>
      </c>
      <c r="J68" s="312">
        <f t="shared" si="168"/>
        <v>38168</v>
      </c>
      <c r="K68" s="312">
        <f t="shared" si="168"/>
        <v>38533</v>
      </c>
      <c r="L68" s="312">
        <f t="shared" si="168"/>
        <v>38898</v>
      </c>
      <c r="M68" s="312">
        <f t="shared" si="168"/>
        <v>39263</v>
      </c>
      <c r="N68" s="312">
        <f t="shared" si="168"/>
        <v>39629</v>
      </c>
      <c r="O68" s="312">
        <f t="shared" si="168"/>
        <v>39994</v>
      </c>
      <c r="P68" s="312">
        <f t="shared" si="168"/>
        <v>40359</v>
      </c>
      <c r="Q68" s="312">
        <f t="shared" si="168"/>
        <v>40724</v>
      </c>
      <c r="R68" s="312">
        <f t="shared" si="168"/>
        <v>41090</v>
      </c>
      <c r="S68" s="312">
        <f t="shared" si="168"/>
        <v>41455</v>
      </c>
      <c r="T68" s="312">
        <f t="shared" si="168"/>
        <v>41820</v>
      </c>
      <c r="U68" s="312">
        <f t="shared" si="168"/>
        <v>42185</v>
      </c>
      <c r="V68" s="312">
        <f t="shared" si="168"/>
        <v>42551</v>
      </c>
      <c r="W68" s="312">
        <f t="shared" si="168"/>
        <v>42916</v>
      </c>
      <c r="X68" s="312">
        <f t="shared" si="168"/>
        <v>43281</v>
      </c>
      <c r="Y68" s="312">
        <f t="shared" si="168"/>
        <v>43646</v>
      </c>
      <c r="Z68" s="312">
        <f t="shared" si="168"/>
        <v>44012</v>
      </c>
      <c r="AA68" s="312">
        <f t="shared" si="168"/>
        <v>44377</v>
      </c>
      <c r="AB68" s="312">
        <f t="shared" si="168"/>
        <v>44742</v>
      </c>
      <c r="AC68" s="312">
        <f t="shared" si="168"/>
        <v>45107</v>
      </c>
      <c r="AD68" s="312">
        <f t="shared" si="168"/>
        <v>45473</v>
      </c>
      <c r="AE68" s="312">
        <f t="shared" si="168"/>
        <v>45838</v>
      </c>
      <c r="AF68" s="312">
        <f t="shared" si="168"/>
        <v>46203</v>
      </c>
      <c r="AG68" s="312">
        <f t="shared" si="168"/>
        <v>46568</v>
      </c>
      <c r="AH68" s="312">
        <f t="shared" si="168"/>
        <v>46934</v>
      </c>
      <c r="AI68" s="312">
        <f t="shared" si="168"/>
        <v>47299</v>
      </c>
      <c r="AJ68" s="312">
        <f t="shared" si="168"/>
        <v>47664</v>
      </c>
      <c r="AK68" s="312">
        <f t="shared" si="168"/>
        <v>48029</v>
      </c>
      <c r="AL68" s="312">
        <f t="shared" si="168"/>
        <v>48395</v>
      </c>
      <c r="AM68" s="312">
        <f t="shared" si="168"/>
        <v>48760</v>
      </c>
      <c r="AN68" s="312">
        <f t="shared" si="168"/>
        <v>49125</v>
      </c>
      <c r="AO68" s="312">
        <f t="shared" si="168"/>
        <v>49490</v>
      </c>
      <c r="AP68" s="312">
        <f t="shared" si="168"/>
        <v>49856</v>
      </c>
      <c r="AQ68" s="312">
        <f t="shared" si="168"/>
        <v>50221</v>
      </c>
      <c r="AR68" s="312">
        <f t="shared" si="168"/>
        <v>50586</v>
      </c>
      <c r="AS68" s="312">
        <f t="shared" si="168"/>
        <v>50951</v>
      </c>
      <c r="AT68" s="312">
        <f t="shared" si="168"/>
        <v>51317</v>
      </c>
      <c r="AU68" s="312">
        <f t="shared" si="168"/>
        <v>51682</v>
      </c>
      <c r="AV68" s="312">
        <f t="shared" si="168"/>
        <v>52047</v>
      </c>
      <c r="AW68" s="312">
        <f t="shared" si="168"/>
        <v>52412</v>
      </c>
      <c r="AX68" s="312">
        <f t="shared" si="168"/>
        <v>52778</v>
      </c>
      <c r="AY68" s="312">
        <f t="shared" si="168"/>
        <v>53143</v>
      </c>
      <c r="AZ68" s="312">
        <f t="shared" si="168"/>
        <v>53508</v>
      </c>
      <c r="BA68" s="312">
        <f t="shared" si="168"/>
        <v>53873</v>
      </c>
      <c r="BB68" s="312">
        <f t="shared" si="168"/>
        <v>54239</v>
      </c>
      <c r="BC68" s="312">
        <f t="shared" si="168"/>
        <v>54604</v>
      </c>
      <c r="BD68" s="312">
        <f t="shared" si="168"/>
        <v>54969</v>
      </c>
      <c r="BE68" s="312">
        <f t="shared" si="168"/>
        <v>55334</v>
      </c>
      <c r="BF68" s="312">
        <f t="shared" si="168"/>
        <v>55700</v>
      </c>
      <c r="BG68" s="312">
        <f t="shared" si="168"/>
        <v>56065</v>
      </c>
      <c r="BH68" s="312">
        <f t="shared" si="168"/>
        <v>56430</v>
      </c>
      <c r="BI68" s="312">
        <f t="shared" si="168"/>
        <v>56795</v>
      </c>
      <c r="BJ68" s="312">
        <f t="shared" si="168"/>
        <v>57161</v>
      </c>
      <c r="BK68" s="312">
        <f t="shared" si="168"/>
        <v>57526</v>
      </c>
      <c r="BL68" s="312">
        <f t="shared" si="168"/>
        <v>57891</v>
      </c>
      <c r="BM68" s="312">
        <f t="shared" si="168"/>
        <v>58256</v>
      </c>
      <c r="BN68" s="312">
        <f t="shared" si="168"/>
        <v>58622</v>
      </c>
      <c r="BO68" s="312">
        <f t="shared" si="168"/>
        <v>58987</v>
      </c>
      <c r="BP68" s="312">
        <f t="shared" si="168"/>
        <v>59352</v>
      </c>
      <c r="BQ68" s="312">
        <f t="shared" si="168"/>
        <v>59717</v>
      </c>
      <c r="BR68" s="312">
        <f t="shared" ref="BR68:CP68" si="169">Fiscal_Year</f>
        <v>60083</v>
      </c>
      <c r="BS68" s="312">
        <f t="shared" si="169"/>
        <v>60448</v>
      </c>
      <c r="BT68" s="312">
        <f t="shared" si="169"/>
        <v>60813</v>
      </c>
      <c r="BU68" s="312">
        <f t="shared" si="169"/>
        <v>61178</v>
      </c>
      <c r="BV68" s="312">
        <f t="shared" si="169"/>
        <v>61544</v>
      </c>
      <c r="BW68" s="312">
        <f t="shared" si="169"/>
        <v>61909</v>
      </c>
      <c r="BX68" s="312">
        <f t="shared" si="169"/>
        <v>62274</v>
      </c>
      <c r="BY68" s="312">
        <f t="shared" si="169"/>
        <v>62639</v>
      </c>
      <c r="BZ68" s="312">
        <f t="shared" si="169"/>
        <v>63005</v>
      </c>
      <c r="CA68" s="312">
        <f t="shared" si="169"/>
        <v>63370</v>
      </c>
      <c r="CB68" s="312">
        <f t="shared" si="169"/>
        <v>63735</v>
      </c>
      <c r="CC68" s="312">
        <f t="shared" si="169"/>
        <v>64100</v>
      </c>
      <c r="CD68" s="312">
        <f t="shared" si="169"/>
        <v>64466</v>
      </c>
      <c r="CE68" s="312">
        <f t="shared" si="169"/>
        <v>64831</v>
      </c>
      <c r="CF68" s="312">
        <f t="shared" si="169"/>
        <v>65196</v>
      </c>
      <c r="CG68" s="312">
        <f t="shared" si="169"/>
        <v>65561</v>
      </c>
      <c r="CH68" s="312">
        <f t="shared" si="169"/>
        <v>65927</v>
      </c>
      <c r="CI68" s="312">
        <f t="shared" si="169"/>
        <v>66292</v>
      </c>
      <c r="CJ68" s="312">
        <f t="shared" si="169"/>
        <v>66657</v>
      </c>
      <c r="CK68" s="312">
        <f t="shared" si="169"/>
        <v>67022</v>
      </c>
      <c r="CL68" s="312">
        <f t="shared" si="169"/>
        <v>67388</v>
      </c>
      <c r="CM68" s="312">
        <f t="shared" si="169"/>
        <v>67753</v>
      </c>
      <c r="CN68" s="312">
        <f t="shared" si="169"/>
        <v>68118</v>
      </c>
      <c r="CO68" s="312">
        <f t="shared" si="169"/>
        <v>68483</v>
      </c>
      <c r="CP68" s="312">
        <f t="shared" si="169"/>
        <v>68849</v>
      </c>
      <c r="CQ68" s="362" t="s">
        <v>77</v>
      </c>
      <c r="CU68"/>
      <c r="CV68"/>
      <c r="CW68"/>
      <c r="CX68"/>
      <c r="CY68"/>
      <c r="CZ68"/>
      <c r="DB68" s="728" t="s">
        <v>245</v>
      </c>
      <c r="DC68" s="8"/>
      <c r="DD68" s="312">
        <f t="shared" ref="DD68:DQ68" si="170">+DD$3</f>
        <v>40908</v>
      </c>
      <c r="DE68" s="312">
        <f t="shared" si="170"/>
        <v>41090</v>
      </c>
      <c r="DF68" s="312">
        <f t="shared" si="170"/>
        <v>41274</v>
      </c>
      <c r="DG68" s="312">
        <f t="shared" si="170"/>
        <v>41455</v>
      </c>
      <c r="DH68" s="312">
        <f t="shared" si="170"/>
        <v>41639</v>
      </c>
      <c r="DI68" s="312">
        <f t="shared" si="170"/>
        <v>41820</v>
      </c>
      <c r="DJ68" s="312">
        <f t="shared" si="170"/>
        <v>42004</v>
      </c>
      <c r="DK68" s="312">
        <f t="shared" si="170"/>
        <v>42185</v>
      </c>
      <c r="DL68" s="312">
        <f t="shared" si="170"/>
        <v>42369</v>
      </c>
      <c r="DM68" s="312">
        <f t="shared" si="170"/>
        <v>42551</v>
      </c>
      <c r="DN68" s="312">
        <f t="shared" si="170"/>
        <v>42735</v>
      </c>
      <c r="DO68" s="312">
        <f t="shared" si="170"/>
        <v>42916</v>
      </c>
      <c r="DP68" s="312">
        <f t="shared" si="170"/>
        <v>43100</v>
      </c>
      <c r="DQ68" s="312">
        <f t="shared" si="170"/>
        <v>43281</v>
      </c>
      <c r="DR68" s="312"/>
      <c r="DS68" s="312"/>
      <c r="DT68" s="413"/>
    </row>
    <row r="69" spans="2:130" ht="5.0999999999999996" customHeight="1" x14ac:dyDescent="0.2">
      <c r="B69" s="107"/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  <c r="AZ69" s="108"/>
      <c r="BA69" s="108"/>
      <c r="BB69" s="108"/>
      <c r="BC69" s="108"/>
      <c r="BD69" s="108"/>
      <c r="BE69" s="108"/>
      <c r="BF69" s="108"/>
      <c r="BG69" s="108"/>
      <c r="BH69" s="108"/>
      <c r="BI69" s="108"/>
      <c r="BJ69" s="108"/>
      <c r="BK69" s="108"/>
      <c r="BL69" s="108"/>
      <c r="BM69" s="108"/>
      <c r="BN69" s="108"/>
      <c r="BO69" s="108"/>
      <c r="BP69" s="108"/>
      <c r="BQ69" s="108"/>
      <c r="BR69" s="108"/>
      <c r="BS69" s="108"/>
      <c r="BT69" s="108"/>
      <c r="BU69" s="108"/>
      <c r="BV69" s="108"/>
      <c r="BW69" s="108"/>
      <c r="BX69" s="108"/>
      <c r="BY69" s="108"/>
      <c r="BZ69" s="108"/>
      <c r="CA69" s="108"/>
      <c r="CB69" s="108"/>
      <c r="CC69" s="108"/>
      <c r="CD69" s="108"/>
      <c r="CE69" s="108"/>
      <c r="CF69" s="108"/>
      <c r="CG69" s="108"/>
      <c r="CH69" s="108"/>
      <c r="CI69" s="108"/>
      <c r="CJ69" s="108"/>
      <c r="CK69" s="108"/>
      <c r="CL69" s="108"/>
      <c r="CM69" s="108"/>
      <c r="CN69" s="108"/>
      <c r="CO69" s="108"/>
      <c r="CP69" s="108"/>
      <c r="CQ69" s="362" t="s">
        <v>77</v>
      </c>
      <c r="DB69" s="107"/>
      <c r="DD69" s="108"/>
      <c r="DE69" s="108"/>
      <c r="DF69" s="108"/>
      <c r="DG69" s="108"/>
      <c r="DH69" s="108"/>
      <c r="DI69" s="108"/>
      <c r="DJ69" s="108"/>
      <c r="DK69" s="108"/>
      <c r="DM69" s="413"/>
      <c r="DO69" s="413"/>
      <c r="DQ69" s="413"/>
      <c r="DR69" s="413"/>
      <c r="DS69" s="413"/>
      <c r="DT69" s="413"/>
    </row>
    <row r="70" spans="2:130" s="98" customFormat="1" ht="11.25" customHeight="1" outlineLevel="1" x14ac:dyDescent="0.2">
      <c r="B70" s="433" t="s">
        <v>272</v>
      </c>
      <c r="D70" s="434"/>
      <c r="E70" s="434"/>
      <c r="F70" s="434"/>
      <c r="G70" s="434"/>
      <c r="H70" s="434"/>
      <c r="I70" s="434"/>
      <c r="J70" s="434"/>
      <c r="K70" s="120" t="str">
        <f t="shared" ref="K70:BD70" si="171">IF(ISERROR(+K43/K23),"n.a.",+K43/K23)</f>
        <v>n.a.</v>
      </c>
      <c r="L70" s="120" t="str">
        <f t="shared" si="171"/>
        <v>n.a.</v>
      </c>
      <c r="M70" s="120">
        <f t="shared" si="171"/>
        <v>0.69980156112018987</v>
      </c>
      <c r="N70" s="120">
        <f t="shared" si="171"/>
        <v>0.72207026154448217</v>
      </c>
      <c r="O70" s="120">
        <f t="shared" si="171"/>
        <v>0.71565482278322678</v>
      </c>
      <c r="P70" s="120">
        <f t="shared" si="171"/>
        <v>0.7216051683000102</v>
      </c>
      <c r="Q70" s="120">
        <f t="shared" si="171"/>
        <v>0.71293632914829141</v>
      </c>
      <c r="R70" s="120">
        <f t="shared" si="171"/>
        <v>0.72408332158419852</v>
      </c>
      <c r="S70" s="120">
        <f t="shared" si="171"/>
        <v>0.74160323462930722</v>
      </c>
      <c r="T70" s="120">
        <f t="shared" si="171"/>
        <v>0.8302517761552336</v>
      </c>
      <c r="U70" s="120">
        <f t="shared" si="171"/>
        <v>0.83438728370547477</v>
      </c>
      <c r="V70" s="120">
        <f t="shared" si="171"/>
        <v>0.87374131217551498</v>
      </c>
      <c r="W70" s="120">
        <f t="shared" si="171"/>
        <v>0.8198976645128685</v>
      </c>
      <c r="X70" s="120">
        <f t="shared" si="171"/>
        <v>0.81982923869086632</v>
      </c>
      <c r="Y70" s="120">
        <f t="shared" si="171"/>
        <v>0.8172435143780522</v>
      </c>
      <c r="Z70" s="120">
        <f t="shared" si="171"/>
        <v>0.81548909052856844</v>
      </c>
      <c r="AA70" s="120">
        <f t="shared" si="171"/>
        <v>0.80821825869633823</v>
      </c>
      <c r="AB70" s="120">
        <f t="shared" si="171"/>
        <v>0.80836690000771383</v>
      </c>
      <c r="AC70" s="120">
        <f t="shared" si="171"/>
        <v>0.80850078757923549</v>
      </c>
      <c r="AD70" s="120">
        <f t="shared" si="171"/>
        <v>0.80851945261995062</v>
      </c>
      <c r="AE70" s="120">
        <f t="shared" si="171"/>
        <v>0.80697265597621137</v>
      </c>
      <c r="AF70" s="120">
        <f t="shared" si="171"/>
        <v>0.80987841663597715</v>
      </c>
      <c r="AG70" s="120">
        <f t="shared" si="171"/>
        <v>0.807263812956171</v>
      </c>
      <c r="AH70" s="120">
        <f t="shared" si="171"/>
        <v>0.80714177487608196</v>
      </c>
      <c r="AI70" s="120">
        <f t="shared" si="171"/>
        <v>0.79174078206295762</v>
      </c>
      <c r="AJ70" s="120">
        <f t="shared" si="171"/>
        <v>0.79802812783290245</v>
      </c>
      <c r="AK70" s="120">
        <f t="shared" si="171"/>
        <v>0.79624062623205683</v>
      </c>
      <c r="AL70" s="120">
        <f t="shared" si="171"/>
        <v>0.7955085835352852</v>
      </c>
      <c r="AM70" s="120">
        <f t="shared" si="171"/>
        <v>0.79487827429535007</v>
      </c>
      <c r="AN70" s="120">
        <f t="shared" si="171"/>
        <v>0.79292650157964717</v>
      </c>
      <c r="AO70" s="120">
        <f t="shared" si="171"/>
        <v>0.78597109550177868</v>
      </c>
      <c r="AP70" s="120">
        <f t="shared" si="171"/>
        <v>0.69903873534034999</v>
      </c>
      <c r="AQ70" s="120">
        <f t="shared" si="171"/>
        <v>0.6982149461171463</v>
      </c>
      <c r="AR70" s="120">
        <f t="shared" si="171"/>
        <v>0.6870367432585911</v>
      </c>
      <c r="AS70" s="120">
        <f t="shared" si="171"/>
        <v>0.67608740392747846</v>
      </c>
      <c r="AT70" s="120">
        <f t="shared" si="171"/>
        <v>0.67051766212083053</v>
      </c>
      <c r="AU70" s="120">
        <f t="shared" si="171"/>
        <v>0.6697016390706132</v>
      </c>
      <c r="AV70" s="120">
        <f t="shared" si="171"/>
        <v>0.66889236560895249</v>
      </c>
      <c r="AW70" s="120">
        <f t="shared" si="171"/>
        <v>0.66966343020834662</v>
      </c>
      <c r="AX70" s="120">
        <f t="shared" si="171"/>
        <v>0.66883774861028078</v>
      </c>
      <c r="AY70" s="120">
        <f t="shared" si="171"/>
        <v>0.6680184609465234</v>
      </c>
      <c r="AZ70" s="120">
        <f t="shared" si="171"/>
        <v>0.66720532521895715</v>
      </c>
      <c r="BA70" s="120">
        <f t="shared" si="171"/>
        <v>0.66066072377643814</v>
      </c>
      <c r="BB70" s="120">
        <f t="shared" si="171"/>
        <v>0.65973884200148536</v>
      </c>
      <c r="BC70" s="120">
        <f t="shared" si="171"/>
        <v>0.65882408904860779</v>
      </c>
      <c r="BD70" s="120">
        <f t="shared" si="171"/>
        <v>0.65791646140101523</v>
      </c>
      <c r="BE70" s="120">
        <f t="shared" ref="BE70:CP70" si="172">IF(ISERROR(+BE43/BE23),"n.a.",+BE43/BE23)</f>
        <v>0.65701594343702652</v>
      </c>
      <c r="BF70" s="120">
        <f t="shared" si="172"/>
        <v>0.65612200475052529</v>
      </c>
      <c r="BG70" s="120">
        <f t="shared" si="172"/>
        <v>0.65523502329190242</v>
      </c>
      <c r="BH70" s="120">
        <f t="shared" si="172"/>
        <v>0.65435422892272499</v>
      </c>
      <c r="BI70" s="120">
        <f t="shared" si="172"/>
        <v>0.65348011088715352</v>
      </c>
      <c r="BJ70" s="120">
        <f t="shared" si="172"/>
        <v>0.65261198516180363</v>
      </c>
      <c r="BK70" s="120">
        <f t="shared" si="172"/>
        <v>0.65175014559245004</v>
      </c>
      <c r="BL70" s="120">
        <f t="shared" si="172"/>
        <v>0.65089428059048493</v>
      </c>
      <c r="BM70" s="120">
        <f t="shared" si="172"/>
        <v>0.65004426599749032</v>
      </c>
      <c r="BN70" s="120">
        <f t="shared" si="172"/>
        <v>0.64919991806964839</v>
      </c>
      <c r="BO70" s="120">
        <f t="shared" si="172"/>
        <v>0.64836117369427726</v>
      </c>
      <c r="BP70" s="120">
        <f t="shared" si="172"/>
        <v>0.64752791181815139</v>
      </c>
      <c r="BQ70" s="120">
        <f t="shared" si="172"/>
        <v>0.64670001325085558</v>
      </c>
      <c r="BR70" s="120">
        <f t="shared" si="172"/>
        <v>0.64587725556108189</v>
      </c>
      <c r="BS70" s="120">
        <f t="shared" si="172"/>
        <v>0.64317108010791846</v>
      </c>
      <c r="BT70" s="120">
        <f t="shared" si="172"/>
        <v>0.6398042482588584</v>
      </c>
      <c r="BU70" s="120">
        <f t="shared" si="172"/>
        <v>0.63895435171952475</v>
      </c>
      <c r="BV70" s="120">
        <f t="shared" si="172"/>
        <v>0.63810967442054112</v>
      </c>
      <c r="BW70" s="120">
        <f t="shared" si="172"/>
        <v>0.63727004807976495</v>
      </c>
      <c r="BX70" s="120">
        <f t="shared" si="172"/>
        <v>0.63643546790373329</v>
      </c>
      <c r="BY70" s="120">
        <f t="shared" si="172"/>
        <v>0.63560550833158913</v>
      </c>
      <c r="BZ70" s="120">
        <f t="shared" si="172"/>
        <v>0.6347804301641351</v>
      </c>
      <c r="CA70" s="120">
        <f t="shared" si="172"/>
        <v>0.63395991994198875</v>
      </c>
      <c r="CB70" s="120">
        <f t="shared" si="172"/>
        <v>0.63314412339780746</v>
      </c>
      <c r="CC70" s="120">
        <f t="shared" si="172"/>
        <v>0.63225805356024278</v>
      </c>
      <c r="CD70" s="120">
        <f t="shared" si="172"/>
        <v>0.62769326401513137</v>
      </c>
      <c r="CE70" s="120">
        <f t="shared" si="172"/>
        <v>0.62686153925441335</v>
      </c>
      <c r="CF70" s="120">
        <f t="shared" si="172"/>
        <v>0.6260340851796129</v>
      </c>
      <c r="CG70" s="120">
        <f t="shared" si="172"/>
        <v>0.62521090812851576</v>
      </c>
      <c r="CH70" s="120">
        <f t="shared" si="172"/>
        <v>0.58761884340707482</v>
      </c>
      <c r="CI70" s="120">
        <f t="shared" si="172"/>
        <v>0.58639317407189973</v>
      </c>
      <c r="CJ70" s="120">
        <f t="shared" si="172"/>
        <v>0.5851746830172847</v>
      </c>
      <c r="CK70" s="120">
        <f t="shared" si="172"/>
        <v>0.58396292235758929</v>
      </c>
      <c r="CL70" s="120">
        <f t="shared" si="172"/>
        <v>0.58275757003841178</v>
      </c>
      <c r="CM70" s="120">
        <f t="shared" si="172"/>
        <v>0.58155869571969088</v>
      </c>
      <c r="CN70" s="120">
        <f t="shared" si="172"/>
        <v>0.58036626868373675</v>
      </c>
      <c r="CO70" s="120">
        <f t="shared" si="172"/>
        <v>0.5791803482651986</v>
      </c>
      <c r="CP70" s="120">
        <f t="shared" si="172"/>
        <v>0.57457911319887367</v>
      </c>
      <c r="CQ70" s="362" t="s">
        <v>77</v>
      </c>
      <c r="CU70"/>
      <c r="CV70"/>
      <c r="CW70"/>
      <c r="CX70"/>
      <c r="CY70"/>
      <c r="CZ70"/>
      <c r="DB70" s="433" t="s">
        <v>272</v>
      </c>
      <c r="DD70" s="120">
        <f t="shared" ref="DD70:DN70" si="173">IF(ISERROR(+DD43/DD23),"n.a.",+DD43/DD23)</f>
        <v>0.75351001939237239</v>
      </c>
      <c r="DE70" s="120">
        <f t="shared" si="173"/>
        <v>0.69379254359991227</v>
      </c>
      <c r="DF70" s="120">
        <f t="shared" si="173"/>
        <v>0.74113138783932253</v>
      </c>
      <c r="DG70" s="120">
        <f t="shared" si="173"/>
        <v>0.74208131282140399</v>
      </c>
      <c r="DH70" s="120">
        <f t="shared" si="173"/>
        <v>0.7864772804029605</v>
      </c>
      <c r="DI70" s="120">
        <f t="shared" si="173"/>
        <v>0.87456014385014491</v>
      </c>
      <c r="DJ70" s="120">
        <f t="shared" si="173"/>
        <v>0.85200679882843133</v>
      </c>
      <c r="DK70" s="120">
        <f t="shared" si="173"/>
        <v>0.8182515129048159</v>
      </c>
      <c r="DL70" s="120">
        <f t="shared" si="173"/>
        <v>0.9058239978404643</v>
      </c>
      <c r="DM70" s="120">
        <f t="shared" si="173"/>
        <v>0.84356385112660537</v>
      </c>
      <c r="DN70" s="120">
        <f t="shared" si="173"/>
        <v>0.83349448463370623</v>
      </c>
      <c r="DO70" s="120">
        <f t="shared" ref="DO70:DQ70" si="174">IF(ISERROR(+DO43/DO23),"n.a.",+DO43/DO23)</f>
        <v>0.80582174326291256</v>
      </c>
      <c r="DP70" s="120">
        <f t="shared" si="174"/>
        <v>0.82902164367419973</v>
      </c>
      <c r="DQ70" s="120">
        <f t="shared" si="174"/>
        <v>0.81067642991791211</v>
      </c>
      <c r="DR70" s="120"/>
      <c r="DS70" s="120"/>
    </row>
    <row r="71" spans="2:130" s="98" customFormat="1" ht="11.25" customHeight="1" outlineLevel="1" x14ac:dyDescent="0.2">
      <c r="B71" s="103" t="s">
        <v>235</v>
      </c>
      <c r="D71" s="118"/>
      <c r="E71" s="118"/>
      <c r="F71" s="118"/>
      <c r="G71" s="118"/>
      <c r="H71" s="118"/>
      <c r="I71" s="118"/>
      <c r="J71" s="118"/>
      <c r="K71" s="93" t="str">
        <f t="shared" ref="K71:BD71" si="175">IF(ISERROR(+K44/K24),"n.a.",+K44/K24)</f>
        <v>n.a.</v>
      </c>
      <c r="L71" s="93" t="str">
        <f t="shared" si="175"/>
        <v>n.a.</v>
      </c>
      <c r="M71" s="93">
        <f t="shared" si="175"/>
        <v>0.68241981698863119</v>
      </c>
      <c r="N71" s="93">
        <f t="shared" si="175"/>
        <v>0.70442188011791684</v>
      </c>
      <c r="O71" s="93">
        <f t="shared" si="175"/>
        <v>0.67576523877672945</v>
      </c>
      <c r="P71" s="93">
        <f t="shared" si="175"/>
        <v>0.6831962117404301</v>
      </c>
      <c r="Q71" s="93">
        <f t="shared" si="175"/>
        <v>0.66554944850893161</v>
      </c>
      <c r="R71" s="93">
        <f t="shared" si="175"/>
        <v>0.70898641122744488</v>
      </c>
      <c r="S71" s="93">
        <f t="shared" si="175"/>
        <v>0.7527605387762607</v>
      </c>
      <c r="T71" s="92">
        <f t="shared" si="175"/>
        <v>0.86278413377148599</v>
      </c>
      <c r="U71" s="92">
        <f t="shared" si="175"/>
        <v>0.87456160199117539</v>
      </c>
      <c r="V71" s="92">
        <f t="shared" si="175"/>
        <v>0.91041136725594529</v>
      </c>
      <c r="W71" s="92">
        <f t="shared" si="175"/>
        <v>0.83035063727759884</v>
      </c>
      <c r="X71" s="92">
        <f t="shared" si="175"/>
        <v>0.83191368207688243</v>
      </c>
      <c r="Y71" s="92">
        <f t="shared" si="175"/>
        <v>0.83113214017934145</v>
      </c>
      <c r="Z71" s="92">
        <f t="shared" si="175"/>
        <v>0.82811777239343431</v>
      </c>
      <c r="AA71" s="92">
        <f t="shared" si="175"/>
        <v>0.82444603297975605</v>
      </c>
      <c r="AB71" s="92">
        <f t="shared" si="175"/>
        <v>0.82462106468350282</v>
      </c>
      <c r="AC71" s="92">
        <f t="shared" si="175"/>
        <v>0.82471141993800112</v>
      </c>
      <c r="AD71" s="92">
        <f t="shared" si="175"/>
        <v>0.82462786520345843</v>
      </c>
      <c r="AE71" s="92">
        <f t="shared" si="175"/>
        <v>0.82453522922651301</v>
      </c>
      <c r="AF71" s="92">
        <f t="shared" si="175"/>
        <v>0.82443369501115982</v>
      </c>
      <c r="AG71" s="92">
        <f t="shared" si="175"/>
        <v>0.8235246655990085</v>
      </c>
      <c r="AH71" s="92">
        <f t="shared" si="175"/>
        <v>0.82341353525644811</v>
      </c>
      <c r="AI71" s="92">
        <f t="shared" si="175"/>
        <v>0.80110293769088281</v>
      </c>
      <c r="AJ71" s="92">
        <f t="shared" si="175"/>
        <v>0.81276092919998477</v>
      </c>
      <c r="AK71" s="92">
        <f t="shared" si="175"/>
        <v>0.80942809449280062</v>
      </c>
      <c r="AL71" s="92">
        <f t="shared" si="175"/>
        <v>0.80857610109803213</v>
      </c>
      <c r="AM71" s="92">
        <f t="shared" si="175"/>
        <v>0.80772440373714549</v>
      </c>
      <c r="AN71" s="92">
        <f t="shared" si="175"/>
        <v>0.80687302424509266</v>
      </c>
      <c r="AO71" s="92">
        <f t="shared" si="175"/>
        <v>0.79625001301761233</v>
      </c>
      <c r="AP71" s="92">
        <f t="shared" si="175"/>
        <v>0.61062899188298558</v>
      </c>
      <c r="AQ71" s="92">
        <f t="shared" si="175"/>
        <v>0.60966475369879025</v>
      </c>
      <c r="AR71" s="92">
        <f t="shared" si="175"/>
        <v>0.55647841812326926</v>
      </c>
      <c r="AS71" s="92">
        <f t="shared" si="175"/>
        <v>0.55554326739241389</v>
      </c>
      <c r="AT71" s="92">
        <f t="shared" si="175"/>
        <v>0.55460762835813004</v>
      </c>
      <c r="AU71" s="92">
        <f t="shared" si="175"/>
        <v>0.55367150194860948</v>
      </c>
      <c r="AV71" s="92">
        <f t="shared" si="175"/>
        <v>0.55273488907441459</v>
      </c>
      <c r="AW71" s="92">
        <f t="shared" si="175"/>
        <v>0.55860503897736657</v>
      </c>
      <c r="AX71" s="92">
        <f t="shared" si="175"/>
        <v>0.55767064557565127</v>
      </c>
      <c r="AY71" s="92">
        <f t="shared" si="175"/>
        <v>0.55673576120626045</v>
      </c>
      <c r="AZ71" s="92">
        <f t="shared" si="175"/>
        <v>0.55580038684234201</v>
      </c>
      <c r="BA71" s="92">
        <f t="shared" si="175"/>
        <v>0.53576098615226997</v>
      </c>
      <c r="BB71" s="92">
        <f t="shared" si="175"/>
        <v>0.53469985113867957</v>
      </c>
      <c r="BC71" s="92">
        <f t="shared" si="175"/>
        <v>0.5336380667857632</v>
      </c>
      <c r="BD71" s="92">
        <f t="shared" si="175"/>
        <v>0.53257563520610174</v>
      </c>
      <c r="BE71" s="92">
        <f t="shared" ref="BE71:CP71" si="176">IF(ISERROR(+BE44/BE24),"n.a.",+BE44/BE24)</f>
        <v>0.53151255849167589</v>
      </c>
      <c r="BF71" s="92">
        <f t="shared" si="176"/>
        <v>0.53044883871383908</v>
      </c>
      <c r="BG71" s="92">
        <f t="shared" si="176"/>
        <v>0.52938447792329246</v>
      </c>
      <c r="BH71" s="92">
        <f t="shared" si="176"/>
        <v>0.52831947815006042</v>
      </c>
      <c r="BI71" s="92">
        <f t="shared" si="176"/>
        <v>0.52725384140346776</v>
      </c>
      <c r="BJ71" s="92">
        <f t="shared" si="176"/>
        <v>0.52618756967211733</v>
      </c>
      <c r="BK71" s="92">
        <f t="shared" si="176"/>
        <v>0.52512066492387</v>
      </c>
      <c r="BL71" s="92">
        <f t="shared" si="176"/>
        <v>0.52405312910582424</v>
      </c>
      <c r="BM71" s="92">
        <f t="shared" si="176"/>
        <v>0.5229849641442994</v>
      </c>
      <c r="BN71" s="92">
        <f t="shared" si="176"/>
        <v>0.52191617194481754</v>
      </c>
      <c r="BO71" s="92">
        <f t="shared" si="176"/>
        <v>0.52084675439208861</v>
      </c>
      <c r="BP71" s="92">
        <f t="shared" si="176"/>
        <v>0.51977671334999431</v>
      </c>
      <c r="BQ71" s="92">
        <f t="shared" si="176"/>
        <v>0.51870605066157671</v>
      </c>
      <c r="BR71" s="92">
        <f t="shared" si="176"/>
        <v>0.51763476814902454</v>
      </c>
      <c r="BS71" s="92">
        <f t="shared" si="176"/>
        <v>0.51656286761366244</v>
      </c>
      <c r="BT71" s="92">
        <f t="shared" si="176"/>
        <v>0.51549035083594086</v>
      </c>
      <c r="BU71" s="92">
        <f t="shared" si="176"/>
        <v>0.51441721957542841</v>
      </c>
      <c r="BV71" s="92">
        <f t="shared" si="176"/>
        <v>0.51334347557080218</v>
      </c>
      <c r="BW71" s="92">
        <f t="shared" si="176"/>
        <v>0.51226912053984341</v>
      </c>
      <c r="BX71" s="92">
        <f t="shared" si="176"/>
        <v>0.51119415617943031</v>
      </c>
      <c r="BY71" s="92">
        <f t="shared" si="176"/>
        <v>0.51011858416553502</v>
      </c>
      <c r="BZ71" s="92">
        <f t="shared" si="176"/>
        <v>0.50904240615321961</v>
      </c>
      <c r="CA71" s="92">
        <f t="shared" si="176"/>
        <v>0.50796562377663501</v>
      </c>
      <c r="CB71" s="92">
        <f t="shared" si="176"/>
        <v>0.506888238649019</v>
      </c>
      <c r="CC71" s="92">
        <f t="shared" si="176"/>
        <v>0.50581025236269661</v>
      </c>
      <c r="CD71" s="92">
        <f t="shared" si="176"/>
        <v>0.50473166648908185</v>
      </c>
      <c r="CE71" s="92">
        <f t="shared" si="176"/>
        <v>0.50365248257867956</v>
      </c>
      <c r="CF71" s="92">
        <f t="shared" si="176"/>
        <v>0.50257270216108851</v>
      </c>
      <c r="CG71" s="92">
        <f t="shared" si="176"/>
        <v>0.50149232674500677</v>
      </c>
      <c r="CH71" s="92">
        <f t="shared" si="176"/>
        <v>-3.5167374503778152E-2</v>
      </c>
      <c r="CI71" s="92">
        <f t="shared" si="176"/>
        <v>-4.0499926820111588E-2</v>
      </c>
      <c r="CJ71" s="92">
        <f t="shared" si="176"/>
        <v>-4.585694216097571E-2</v>
      </c>
      <c r="CK71" s="92">
        <f t="shared" si="176"/>
        <v>-5.1238505964920252E-2</v>
      </c>
      <c r="CL71" s="92">
        <f t="shared" si="176"/>
        <v>-5.6644703736249913E-2</v>
      </c>
      <c r="CM71" s="92">
        <f t="shared" si="176"/>
        <v>-6.2075621042874195E-2</v>
      </c>
      <c r="CN71" s="92">
        <f t="shared" si="176"/>
        <v>-6.7531343514137226E-2</v>
      </c>
      <c r="CO71" s="92">
        <f t="shared" si="176"/>
        <v>-7.3011956838631986E-2</v>
      </c>
      <c r="CP71" s="92">
        <f t="shared" si="176"/>
        <v>-0.22131007984088125</v>
      </c>
      <c r="CQ71" s="362" t="s">
        <v>77</v>
      </c>
      <c r="CU71"/>
      <c r="CV71"/>
      <c r="CW71"/>
      <c r="CX71"/>
      <c r="CY71"/>
      <c r="CZ71"/>
      <c r="DB71" s="103" t="s">
        <v>235</v>
      </c>
      <c r="DD71" s="93">
        <f t="shared" ref="DD71:DN71" si="177">IF(ISERROR(+DD44/DD24),"n.a.",+DD44/DD24)</f>
        <v>0.75110870740941049</v>
      </c>
      <c r="DE71" s="93">
        <f t="shared" si="177"/>
        <v>0.66781781340851032</v>
      </c>
      <c r="DF71" s="93">
        <f t="shared" si="177"/>
        <v>0.74132244747341958</v>
      </c>
      <c r="DG71" s="93">
        <f t="shared" si="177"/>
        <v>0.76034308779011084</v>
      </c>
      <c r="DH71" s="93">
        <f t="shared" si="177"/>
        <v>0.82228134755364746</v>
      </c>
      <c r="DI71" s="92">
        <f t="shared" si="177"/>
        <v>0.901210487063278</v>
      </c>
      <c r="DJ71" s="92">
        <f t="shared" si="177"/>
        <v>0.90807581963403827</v>
      </c>
      <c r="DK71" s="92">
        <f t="shared" si="177"/>
        <v>0.85079087429076217</v>
      </c>
      <c r="DL71" s="92">
        <f t="shared" si="177"/>
        <v>0.95188361053608395</v>
      </c>
      <c r="DM71" s="92">
        <f t="shared" si="177"/>
        <v>0.87259876951238124</v>
      </c>
      <c r="DN71" s="92">
        <f t="shared" si="177"/>
        <v>0.83038788405097319</v>
      </c>
      <c r="DO71" s="92">
        <f t="shared" ref="DO71:DQ71" si="178">IF(ISERROR(+DO44/DO24),"n.a.",+DO44/DO24)</f>
        <v>0.83031368041316345</v>
      </c>
      <c r="DP71" s="92">
        <f t="shared" si="178"/>
        <v>0.83325510959234017</v>
      </c>
      <c r="DQ71" s="92">
        <f t="shared" si="178"/>
        <v>0.83057429498741542</v>
      </c>
      <c r="DR71" s="92"/>
      <c r="DS71" s="92"/>
    </row>
    <row r="72" spans="2:130" s="98" customFormat="1" ht="11.25" customHeight="1" outlineLevel="1" x14ac:dyDescent="0.2">
      <c r="B72" s="103" t="s">
        <v>236</v>
      </c>
      <c r="D72" s="118"/>
      <c r="E72" s="118"/>
      <c r="F72" s="118"/>
      <c r="G72" s="118"/>
      <c r="H72" s="118"/>
      <c r="I72" s="118"/>
      <c r="J72" s="118"/>
      <c r="K72" s="93" t="str">
        <f t="shared" ref="K72:BD72" si="179">IF(ISERROR(+K45/K25),"n.a.",+K45/K25)</f>
        <v>n.a.</v>
      </c>
      <c r="L72" s="93" t="str">
        <f t="shared" si="179"/>
        <v>n.a.</v>
      </c>
      <c r="M72" s="93">
        <f t="shared" si="179"/>
        <v>0.61727248607057583</v>
      </c>
      <c r="N72" s="93">
        <f t="shared" si="179"/>
        <v>0.81053029103268492</v>
      </c>
      <c r="O72" s="93">
        <f t="shared" si="179"/>
        <v>0.77310846499559838</v>
      </c>
      <c r="P72" s="93">
        <f t="shared" si="179"/>
        <v>0.80184312718902406</v>
      </c>
      <c r="Q72" s="93">
        <f t="shared" si="179"/>
        <v>0.79952943777288277</v>
      </c>
      <c r="R72" s="93">
        <f t="shared" si="179"/>
        <v>0.81692826650679329</v>
      </c>
      <c r="S72" s="93">
        <f t="shared" si="179"/>
        <v>0.8086289934754991</v>
      </c>
      <c r="T72" s="92">
        <f t="shared" si="179"/>
        <v>0.86533536996271176</v>
      </c>
      <c r="U72" s="92">
        <f t="shared" si="179"/>
        <v>0.87543297728952607</v>
      </c>
      <c r="V72" s="92">
        <f t="shared" si="179"/>
        <v>0.84857802226916834</v>
      </c>
      <c r="W72" s="92">
        <f t="shared" si="179"/>
        <v>0.84934090909090909</v>
      </c>
      <c r="X72" s="92">
        <f t="shared" si="179"/>
        <v>0.83078831737734893</v>
      </c>
      <c r="Y72" s="92">
        <f t="shared" si="179"/>
        <v>0.83078831737734882</v>
      </c>
      <c r="Z72" s="92">
        <f t="shared" si="179"/>
        <v>0.83078831737734871</v>
      </c>
      <c r="AA72" s="92">
        <f t="shared" si="179"/>
        <v>0.75890603838183479</v>
      </c>
      <c r="AB72" s="92">
        <f t="shared" si="179"/>
        <v>0.75861166236032296</v>
      </c>
      <c r="AC72" s="92">
        <f t="shared" si="179"/>
        <v>0.75831692690532959</v>
      </c>
      <c r="AD72" s="92">
        <f t="shared" si="179"/>
        <v>0.75802183157798553</v>
      </c>
      <c r="AE72" s="92">
        <f t="shared" si="179"/>
        <v>0.7577263759388867</v>
      </c>
      <c r="AF72" s="92">
        <f t="shared" si="179"/>
        <v>0.72276138936172929</v>
      </c>
      <c r="AG72" s="92">
        <f t="shared" si="179"/>
        <v>0.72242288067963123</v>
      </c>
      <c r="AH72" s="92">
        <f t="shared" si="179"/>
        <v>0.72208395867801889</v>
      </c>
      <c r="AI72" s="92">
        <f t="shared" si="179"/>
        <v>0.72174462285222918</v>
      </c>
      <c r="AJ72" s="92">
        <f t="shared" si="179"/>
        <v>0.72140487269698139</v>
      </c>
      <c r="AK72" s="92">
        <f t="shared" si="179"/>
        <v>0.72106470770637954</v>
      </c>
      <c r="AL72" s="92">
        <f t="shared" si="179"/>
        <v>0.72072412737390856</v>
      </c>
      <c r="AM72" s="92">
        <f t="shared" si="179"/>
        <v>0.72038313119243602</v>
      </c>
      <c r="AN72" s="92">
        <f t="shared" si="179"/>
        <v>0.72004171865420952</v>
      </c>
      <c r="AO72" s="92">
        <f t="shared" si="179"/>
        <v>0.71969988925085693</v>
      </c>
      <c r="AP72" s="92">
        <f t="shared" si="179"/>
        <v>0.71935764247338541</v>
      </c>
      <c r="AQ72" s="92">
        <f t="shared" si="179"/>
        <v>0.71901497781218082</v>
      </c>
      <c r="AR72" s="92">
        <f t="shared" si="179"/>
        <v>0.71867189475700644</v>
      </c>
      <c r="AS72" s="92">
        <f t="shared" si="179"/>
        <v>0.71832839279700267</v>
      </c>
      <c r="AT72" s="92">
        <f t="shared" si="179"/>
        <v>0.71798447142068655</v>
      </c>
      <c r="AU72" s="92">
        <f t="shared" si="179"/>
        <v>0.71764013011594996</v>
      </c>
      <c r="AV72" s="92">
        <f t="shared" si="179"/>
        <v>0.7172953683700598</v>
      </c>
      <c r="AW72" s="92">
        <f t="shared" si="179"/>
        <v>0.71695018566965707</v>
      </c>
      <c r="AX72" s="92">
        <f t="shared" si="179"/>
        <v>0.71660458150075557</v>
      </c>
      <c r="AY72" s="92">
        <f t="shared" si="179"/>
        <v>0.71625855534874183</v>
      </c>
      <c r="AZ72" s="92">
        <f t="shared" si="179"/>
        <v>0.71591210669837391</v>
      </c>
      <c r="BA72" s="92">
        <f t="shared" si="179"/>
        <v>0.71699443199866164</v>
      </c>
      <c r="BB72" s="92">
        <f t="shared" si="179"/>
        <v>0.71664888185458187</v>
      </c>
      <c r="BC72" s="92">
        <f t="shared" si="179"/>
        <v>0.7163029097933542</v>
      </c>
      <c r="BD72" s="92">
        <f t="shared" si="179"/>
        <v>0.71595651529981741</v>
      </c>
      <c r="BE72" s="92">
        <f t="shared" ref="BE72:CP72" si="180">IF(ISERROR(+BE45/BE25),"n.a.",+BE45/BE25)</f>
        <v>0.71560969785818107</v>
      </c>
      <c r="BF72" s="92">
        <f t="shared" si="180"/>
        <v>0.71526245695202495</v>
      </c>
      <c r="BG72" s="92">
        <f t="shared" si="180"/>
        <v>0.71491479206429853</v>
      </c>
      <c r="BH72" s="92">
        <f t="shared" si="180"/>
        <v>0.71456670267731959</v>
      </c>
      <c r="BI72" s="92">
        <f t="shared" si="180"/>
        <v>0.71421818827277428</v>
      </c>
      <c r="BJ72" s="92">
        <f t="shared" si="180"/>
        <v>0.71386924833171539</v>
      </c>
      <c r="BK72" s="92">
        <f t="shared" si="180"/>
        <v>0.71351988233456232</v>
      </c>
      <c r="BL72" s="92">
        <f t="shared" si="180"/>
        <v>0.7131700897611003</v>
      </c>
      <c r="BM72" s="92">
        <f t="shared" si="180"/>
        <v>0.71281987009047887</v>
      </c>
      <c r="BN72" s="92">
        <f t="shared" si="180"/>
        <v>0.71246922280121205</v>
      </c>
      <c r="BO72" s="92">
        <f t="shared" si="180"/>
        <v>0.71211814737117696</v>
      </c>
      <c r="BP72" s="92">
        <f t="shared" si="180"/>
        <v>0.71176664327761319</v>
      </c>
      <c r="BQ72" s="92">
        <f t="shared" si="180"/>
        <v>0.71141470999712186</v>
      </c>
      <c r="BR72" s="92">
        <f t="shared" si="180"/>
        <v>0.7110623470056654</v>
      </c>
      <c r="BS72" s="92">
        <f t="shared" si="180"/>
        <v>0.71070955377856604</v>
      </c>
      <c r="BT72" s="92" t="str">
        <f t="shared" si="180"/>
        <v>n.a.</v>
      </c>
      <c r="BU72" s="92" t="str">
        <f t="shared" si="180"/>
        <v>n.a.</v>
      </c>
      <c r="BV72" s="92" t="str">
        <f t="shared" si="180"/>
        <v>n.a.</v>
      </c>
      <c r="BW72" s="92" t="str">
        <f t="shared" si="180"/>
        <v>n.a.</v>
      </c>
      <c r="BX72" s="92" t="str">
        <f t="shared" si="180"/>
        <v>n.a.</v>
      </c>
      <c r="BY72" s="92" t="str">
        <f t="shared" si="180"/>
        <v>n.a.</v>
      </c>
      <c r="BZ72" s="92" t="str">
        <f t="shared" si="180"/>
        <v>n.a.</v>
      </c>
      <c r="CA72" s="92" t="str">
        <f t="shared" si="180"/>
        <v>n.a.</v>
      </c>
      <c r="CB72" s="92" t="str">
        <f t="shared" si="180"/>
        <v>n.a.</v>
      </c>
      <c r="CC72" s="92" t="str">
        <f t="shared" si="180"/>
        <v>n.a.</v>
      </c>
      <c r="CD72" s="92" t="str">
        <f t="shared" si="180"/>
        <v>n.a.</v>
      </c>
      <c r="CE72" s="92" t="str">
        <f t="shared" si="180"/>
        <v>n.a.</v>
      </c>
      <c r="CF72" s="92" t="str">
        <f t="shared" si="180"/>
        <v>n.a.</v>
      </c>
      <c r="CG72" s="92" t="str">
        <f t="shared" si="180"/>
        <v>n.a.</v>
      </c>
      <c r="CH72" s="92" t="str">
        <f t="shared" si="180"/>
        <v>n.a.</v>
      </c>
      <c r="CI72" s="92" t="str">
        <f t="shared" si="180"/>
        <v>n.a.</v>
      </c>
      <c r="CJ72" s="92" t="str">
        <f t="shared" si="180"/>
        <v>n.a.</v>
      </c>
      <c r="CK72" s="92" t="str">
        <f t="shared" si="180"/>
        <v>n.a.</v>
      </c>
      <c r="CL72" s="92" t="str">
        <f t="shared" si="180"/>
        <v>n.a.</v>
      </c>
      <c r="CM72" s="92" t="str">
        <f t="shared" si="180"/>
        <v>n.a.</v>
      </c>
      <c r="CN72" s="92" t="str">
        <f t="shared" si="180"/>
        <v>n.a.</v>
      </c>
      <c r="CO72" s="92" t="str">
        <f t="shared" si="180"/>
        <v>n.a.</v>
      </c>
      <c r="CP72" s="92" t="str">
        <f t="shared" si="180"/>
        <v>n.a.</v>
      </c>
      <c r="CQ72" s="362" t="s">
        <v>77</v>
      </c>
      <c r="CU72"/>
      <c r="CV72"/>
      <c r="CW72"/>
      <c r="CX72"/>
      <c r="CY72"/>
      <c r="CZ72"/>
      <c r="DB72" s="103" t="s">
        <v>236</v>
      </c>
      <c r="DD72" s="93">
        <f t="shared" ref="DD72:DN72" si="181">IF(ISERROR(+DD45/DD25),"n.a.",+DD45/DD25)</f>
        <v>0.83680565213763181</v>
      </c>
      <c r="DE72" s="93">
        <f t="shared" si="181"/>
        <v>0.79544942216077297</v>
      </c>
      <c r="DF72" s="93">
        <f t="shared" si="181"/>
        <v>0.82675747171722858</v>
      </c>
      <c r="DG72" s="93">
        <f t="shared" si="181"/>
        <v>0.7897528313773754</v>
      </c>
      <c r="DH72" s="93">
        <f t="shared" si="181"/>
        <v>0.83851953762527154</v>
      </c>
      <c r="DI72" s="92">
        <f t="shared" si="181"/>
        <v>0.89879660018513841</v>
      </c>
      <c r="DJ72" s="92">
        <f t="shared" si="181"/>
        <v>0.88498047336455743</v>
      </c>
      <c r="DK72" s="92">
        <f t="shared" si="181"/>
        <v>0.86503141797259475</v>
      </c>
      <c r="DL72" s="92">
        <f t="shared" si="181"/>
        <v>0.86870918171340761</v>
      </c>
      <c r="DM72" s="92">
        <f t="shared" si="181"/>
        <v>0.827778801582014</v>
      </c>
      <c r="DN72" s="92">
        <f t="shared" si="181"/>
        <v>0.87903708296620209</v>
      </c>
      <c r="DO72" s="92">
        <f t="shared" ref="DO72:DQ72" si="182">IF(ISERROR(+DO45/DO25),"n.a.",+DO45/DO25)</f>
        <v>0.81686907494855554</v>
      </c>
      <c r="DP72" s="92">
        <f t="shared" si="182"/>
        <v>0.86783310576493189</v>
      </c>
      <c r="DQ72" s="92">
        <f t="shared" si="182"/>
        <v>0.79127870644376164</v>
      </c>
      <c r="DR72" s="92"/>
      <c r="DS72" s="92"/>
    </row>
    <row r="73" spans="2:130" s="98" customFormat="1" ht="11.25" customHeight="1" outlineLevel="1" x14ac:dyDescent="0.2">
      <c r="B73" s="103" t="s">
        <v>237</v>
      </c>
      <c r="D73" s="118"/>
      <c r="E73" s="118"/>
      <c r="F73" s="118"/>
      <c r="G73" s="118"/>
      <c r="H73" s="118"/>
      <c r="I73" s="118"/>
      <c r="J73" s="118"/>
      <c r="K73" s="93" t="str">
        <f t="shared" ref="K73:BD73" si="183">IF(ISERROR(+K46/K26),"n.a.",+K46/K26)</f>
        <v>n.a.</v>
      </c>
      <c r="L73" s="93" t="str">
        <f t="shared" si="183"/>
        <v>n.a.</v>
      </c>
      <c r="M73" s="93">
        <f t="shared" si="183"/>
        <v>0.75531308158732069</v>
      </c>
      <c r="N73" s="93">
        <f t="shared" si="183"/>
        <v>0.73677351076443665</v>
      </c>
      <c r="O73" s="93">
        <f t="shared" si="183"/>
        <v>0.77989308755760367</v>
      </c>
      <c r="P73" s="93">
        <f t="shared" si="183"/>
        <v>0.75985005699587871</v>
      </c>
      <c r="Q73" s="93">
        <f t="shared" si="183"/>
        <v>0.75566269203552705</v>
      </c>
      <c r="R73" s="93">
        <f t="shared" si="183"/>
        <v>0.75357260209427335</v>
      </c>
      <c r="S73" s="93">
        <f t="shared" si="183"/>
        <v>0.76277816732479609</v>
      </c>
      <c r="T73" s="92">
        <f t="shared" si="183"/>
        <v>0.83046027500667008</v>
      </c>
      <c r="U73" s="92">
        <f t="shared" si="183"/>
        <v>0.79569905618856651</v>
      </c>
      <c r="V73" s="92">
        <f t="shared" si="183"/>
        <v>0.78958893006778164</v>
      </c>
      <c r="W73" s="92">
        <f t="shared" si="183"/>
        <v>0.78376001936971951</v>
      </c>
      <c r="X73" s="92">
        <f t="shared" si="183"/>
        <v>0.78389652838972024</v>
      </c>
      <c r="Y73" s="92">
        <f t="shared" si="183"/>
        <v>0.78397257469565307</v>
      </c>
      <c r="Z73" s="92">
        <f t="shared" si="183"/>
        <v>0.78651983826180971</v>
      </c>
      <c r="AA73" s="92">
        <f t="shared" si="183"/>
        <v>0.78674199301341907</v>
      </c>
      <c r="AB73" s="92">
        <f t="shared" si="183"/>
        <v>0.78696275181214426</v>
      </c>
      <c r="AC73" s="92">
        <f t="shared" si="183"/>
        <v>0.78705177697774453</v>
      </c>
      <c r="AD73" s="92">
        <f t="shared" si="183"/>
        <v>0.78712243799381665</v>
      </c>
      <c r="AE73" s="92">
        <f t="shared" si="183"/>
        <v>0.78744811033914608</v>
      </c>
      <c r="AF73" s="92">
        <f t="shared" si="183"/>
        <v>0.78772588770448981</v>
      </c>
      <c r="AG73" s="92">
        <f t="shared" si="183"/>
        <v>0.78782698645221816</v>
      </c>
      <c r="AH73" s="92">
        <f t="shared" si="183"/>
        <v>0.78792863310602923</v>
      </c>
      <c r="AI73" s="92">
        <f t="shared" si="183"/>
        <v>0.78779696547323363</v>
      </c>
      <c r="AJ73" s="92">
        <f t="shared" si="183"/>
        <v>0.78766489423600494</v>
      </c>
      <c r="AK73" s="92">
        <f t="shared" si="183"/>
        <v>0.78753235310893355</v>
      </c>
      <c r="AL73" s="92">
        <f t="shared" si="183"/>
        <v>0.78739945190323923</v>
      </c>
      <c r="AM73" s="92">
        <f t="shared" si="183"/>
        <v>0.78726629706334561</v>
      </c>
      <c r="AN73" s="92">
        <f t="shared" si="183"/>
        <v>0.78713265669179977</v>
      </c>
      <c r="AO73" s="92">
        <f t="shared" si="183"/>
        <v>0.78699872466020948</v>
      </c>
      <c r="AP73" s="92">
        <f t="shared" si="183"/>
        <v>0.78686460569376904</v>
      </c>
      <c r="AQ73" s="92">
        <f t="shared" si="183"/>
        <v>0.78673015932556345</v>
      </c>
      <c r="AR73" s="92">
        <f t="shared" si="183"/>
        <v>0.78659541253672427</v>
      </c>
      <c r="AS73" s="92">
        <f t="shared" si="183"/>
        <v>0.9434483281062308</v>
      </c>
      <c r="AT73" s="92" t="str">
        <f t="shared" si="183"/>
        <v>n.a.</v>
      </c>
      <c r="AU73" s="92" t="str">
        <f t="shared" si="183"/>
        <v>n.a.</v>
      </c>
      <c r="AV73" s="92" t="str">
        <f t="shared" si="183"/>
        <v>n.a.</v>
      </c>
      <c r="AW73" s="92" t="str">
        <f t="shared" si="183"/>
        <v>n.a.</v>
      </c>
      <c r="AX73" s="92" t="str">
        <f t="shared" si="183"/>
        <v>n.a.</v>
      </c>
      <c r="AY73" s="92" t="str">
        <f t="shared" si="183"/>
        <v>n.a.</v>
      </c>
      <c r="AZ73" s="92" t="str">
        <f t="shared" si="183"/>
        <v>n.a.</v>
      </c>
      <c r="BA73" s="92" t="str">
        <f t="shared" si="183"/>
        <v>n.a.</v>
      </c>
      <c r="BB73" s="92" t="str">
        <f t="shared" si="183"/>
        <v>n.a.</v>
      </c>
      <c r="BC73" s="92" t="str">
        <f t="shared" si="183"/>
        <v>n.a.</v>
      </c>
      <c r="BD73" s="92" t="str">
        <f t="shared" si="183"/>
        <v>n.a.</v>
      </c>
      <c r="BE73" s="92" t="str">
        <f t="shared" ref="BE73:CP73" si="184">IF(ISERROR(+BE46/BE26),"n.a.",+BE46/BE26)</f>
        <v>n.a.</v>
      </c>
      <c r="BF73" s="92" t="str">
        <f t="shared" si="184"/>
        <v>n.a.</v>
      </c>
      <c r="BG73" s="92" t="str">
        <f t="shared" si="184"/>
        <v>n.a.</v>
      </c>
      <c r="BH73" s="92" t="str">
        <f t="shared" si="184"/>
        <v>n.a.</v>
      </c>
      <c r="BI73" s="92" t="str">
        <f t="shared" si="184"/>
        <v>n.a.</v>
      </c>
      <c r="BJ73" s="92" t="str">
        <f t="shared" si="184"/>
        <v>n.a.</v>
      </c>
      <c r="BK73" s="92" t="str">
        <f t="shared" si="184"/>
        <v>n.a.</v>
      </c>
      <c r="BL73" s="92" t="str">
        <f t="shared" si="184"/>
        <v>n.a.</v>
      </c>
      <c r="BM73" s="92" t="str">
        <f t="shared" si="184"/>
        <v>n.a.</v>
      </c>
      <c r="BN73" s="92" t="str">
        <f t="shared" si="184"/>
        <v>n.a.</v>
      </c>
      <c r="BO73" s="92" t="str">
        <f t="shared" si="184"/>
        <v>n.a.</v>
      </c>
      <c r="BP73" s="92" t="str">
        <f t="shared" si="184"/>
        <v>n.a.</v>
      </c>
      <c r="BQ73" s="92" t="str">
        <f t="shared" si="184"/>
        <v>n.a.</v>
      </c>
      <c r="BR73" s="92" t="str">
        <f t="shared" si="184"/>
        <v>n.a.</v>
      </c>
      <c r="BS73" s="92" t="str">
        <f t="shared" si="184"/>
        <v>n.a.</v>
      </c>
      <c r="BT73" s="92" t="str">
        <f t="shared" si="184"/>
        <v>n.a.</v>
      </c>
      <c r="BU73" s="92" t="str">
        <f t="shared" si="184"/>
        <v>n.a.</v>
      </c>
      <c r="BV73" s="92" t="str">
        <f t="shared" si="184"/>
        <v>n.a.</v>
      </c>
      <c r="BW73" s="92" t="str">
        <f t="shared" si="184"/>
        <v>n.a.</v>
      </c>
      <c r="BX73" s="92" t="str">
        <f t="shared" si="184"/>
        <v>n.a.</v>
      </c>
      <c r="BY73" s="92" t="str">
        <f t="shared" si="184"/>
        <v>n.a.</v>
      </c>
      <c r="BZ73" s="92" t="str">
        <f t="shared" si="184"/>
        <v>n.a.</v>
      </c>
      <c r="CA73" s="92" t="str">
        <f t="shared" si="184"/>
        <v>n.a.</v>
      </c>
      <c r="CB73" s="92" t="str">
        <f t="shared" si="184"/>
        <v>n.a.</v>
      </c>
      <c r="CC73" s="92" t="str">
        <f t="shared" si="184"/>
        <v>n.a.</v>
      </c>
      <c r="CD73" s="92" t="str">
        <f t="shared" si="184"/>
        <v>n.a.</v>
      </c>
      <c r="CE73" s="92" t="str">
        <f t="shared" si="184"/>
        <v>n.a.</v>
      </c>
      <c r="CF73" s="92" t="str">
        <f t="shared" si="184"/>
        <v>n.a.</v>
      </c>
      <c r="CG73" s="92" t="str">
        <f t="shared" si="184"/>
        <v>n.a.</v>
      </c>
      <c r="CH73" s="92" t="str">
        <f t="shared" si="184"/>
        <v>n.a.</v>
      </c>
      <c r="CI73" s="92" t="str">
        <f t="shared" si="184"/>
        <v>n.a.</v>
      </c>
      <c r="CJ73" s="92" t="str">
        <f t="shared" si="184"/>
        <v>n.a.</v>
      </c>
      <c r="CK73" s="92" t="str">
        <f t="shared" si="184"/>
        <v>n.a.</v>
      </c>
      <c r="CL73" s="92" t="str">
        <f t="shared" si="184"/>
        <v>n.a.</v>
      </c>
      <c r="CM73" s="92" t="str">
        <f t="shared" si="184"/>
        <v>n.a.</v>
      </c>
      <c r="CN73" s="92" t="str">
        <f t="shared" si="184"/>
        <v>n.a.</v>
      </c>
      <c r="CO73" s="92" t="str">
        <f t="shared" si="184"/>
        <v>n.a.</v>
      </c>
      <c r="CP73" s="92" t="str">
        <f t="shared" si="184"/>
        <v>n.a.</v>
      </c>
      <c r="CQ73" s="362" t="s">
        <v>77</v>
      </c>
      <c r="CU73"/>
      <c r="CV73"/>
      <c r="CW73"/>
      <c r="CX73"/>
      <c r="CY73"/>
      <c r="CZ73"/>
      <c r="DB73" s="103" t="s">
        <v>237</v>
      </c>
      <c r="DD73" s="93">
        <f t="shared" ref="DD73:DN73" si="185">IF(ISERROR(+DD46/DD26),"n.a.",+DD46/DD26)</f>
        <v>0.78371679316888054</v>
      </c>
      <c r="DE73" s="93">
        <f t="shared" si="185"/>
        <v>0.72055289242241194</v>
      </c>
      <c r="DF73" s="93">
        <f t="shared" si="185"/>
        <v>0.78844732563295827</v>
      </c>
      <c r="DG73" s="93">
        <f t="shared" si="185"/>
        <v>0.72695526610479155</v>
      </c>
      <c r="DH73" s="93">
        <f t="shared" si="185"/>
        <v>0.77062439745082567</v>
      </c>
      <c r="DI73" s="92">
        <f t="shared" si="185"/>
        <v>0.89521680216802169</v>
      </c>
      <c r="DJ73" s="92">
        <f t="shared" si="185"/>
        <v>0.8039310248743422</v>
      </c>
      <c r="DK73" s="92">
        <f t="shared" si="185"/>
        <v>0.78477014356245434</v>
      </c>
      <c r="DL73" s="92">
        <f t="shared" si="185"/>
        <v>0.82316912064948478</v>
      </c>
      <c r="DM73" s="92">
        <f t="shared" si="185"/>
        <v>0.74948727142344906</v>
      </c>
      <c r="DN73" s="92">
        <f t="shared" si="185"/>
        <v>0.84301265522338154</v>
      </c>
      <c r="DO73" s="92">
        <f t="shared" ref="DO73:DQ73" si="186">IF(ISERROR(+DO46/DO26),"n.a.",+DO46/DO26)</f>
        <v>0.69828968050173501</v>
      </c>
      <c r="DP73" s="92">
        <f t="shared" si="186"/>
        <v>0.82529908101628791</v>
      </c>
      <c r="DQ73" s="92">
        <f t="shared" si="186"/>
        <v>0.73575507142416108</v>
      </c>
      <c r="DR73" s="92"/>
      <c r="DS73" s="92"/>
    </row>
    <row r="74" spans="2:130" s="98" customFormat="1" ht="11.25" customHeight="1" outlineLevel="1" x14ac:dyDescent="0.2">
      <c r="B74" s="103" t="s">
        <v>238</v>
      </c>
      <c r="D74" s="118"/>
      <c r="E74" s="118"/>
      <c r="F74" s="118"/>
      <c r="G74" s="118"/>
      <c r="H74" s="118"/>
      <c r="I74" s="118"/>
      <c r="J74" s="118"/>
      <c r="K74" s="93" t="str">
        <f t="shared" ref="K74:BD74" si="187">IF(ISERROR(+K47/K27),"n.a.",+K47/K27)</f>
        <v>n.a.</v>
      </c>
      <c r="L74" s="93" t="str">
        <f t="shared" si="187"/>
        <v>n.a.</v>
      </c>
      <c r="M74" s="93" t="str">
        <f t="shared" si="187"/>
        <v>n.a.</v>
      </c>
      <c r="N74" s="93">
        <f t="shared" si="187"/>
        <v>0.89757127771911305</v>
      </c>
      <c r="O74" s="93">
        <f t="shared" si="187"/>
        <v>0.88522902727740604</v>
      </c>
      <c r="P74" s="93">
        <f t="shared" si="187"/>
        <v>0.85785536159601006</v>
      </c>
      <c r="Q74" s="93">
        <f t="shared" si="187"/>
        <v>0.7896534895070767</v>
      </c>
      <c r="R74" s="93">
        <f t="shared" si="187"/>
        <v>0.72119487908961588</v>
      </c>
      <c r="S74" s="93">
        <f t="shared" si="187"/>
        <v>0.80036968576709788</v>
      </c>
      <c r="T74" s="92">
        <f t="shared" si="187"/>
        <v>0.88574618533680682</v>
      </c>
      <c r="U74" s="92">
        <f t="shared" si="187"/>
        <v>0.71192660550458708</v>
      </c>
      <c r="V74" s="92">
        <f t="shared" si="187"/>
        <v>0.80111459421804243</v>
      </c>
      <c r="W74" s="92">
        <f t="shared" si="187"/>
        <v>0.78397565922920887</v>
      </c>
      <c r="X74" s="92">
        <f t="shared" si="187"/>
        <v>0.78397565922920887</v>
      </c>
      <c r="Y74" s="92">
        <f t="shared" si="187"/>
        <v>0.78397565922920887</v>
      </c>
      <c r="Z74" s="92">
        <f t="shared" si="187"/>
        <v>0.78397565922920898</v>
      </c>
      <c r="AA74" s="92">
        <f t="shared" si="187"/>
        <v>0.78397565922920887</v>
      </c>
      <c r="AB74" s="92">
        <f t="shared" si="187"/>
        <v>0.78371189324536172</v>
      </c>
      <c r="AC74" s="92">
        <f t="shared" si="187"/>
        <v>0.78344780520292634</v>
      </c>
      <c r="AD74" s="92">
        <f t="shared" si="187"/>
        <v>0.7831833947086686</v>
      </c>
      <c r="AE74" s="92">
        <f t="shared" si="187"/>
        <v>0.67006104412185463</v>
      </c>
      <c r="AF74" s="92">
        <f t="shared" si="187"/>
        <v>0.66965818825387158</v>
      </c>
      <c r="AG74" s="92">
        <f t="shared" si="187"/>
        <v>0.6692548404983818</v>
      </c>
      <c r="AH74" s="92">
        <f t="shared" si="187"/>
        <v>0.66885100025479016</v>
      </c>
      <c r="AI74" s="92">
        <f t="shared" si="187"/>
        <v>0.66844666692176791</v>
      </c>
      <c r="AJ74" s="92">
        <f t="shared" si="187"/>
        <v>0.66804183989725241</v>
      </c>
      <c r="AK74" s="92">
        <f t="shared" si="187"/>
        <v>0.66763651857844564</v>
      </c>
      <c r="AL74" s="92">
        <f t="shared" si="187"/>
        <v>0.6672307023618137</v>
      </c>
      <c r="AM74" s="92">
        <f t="shared" si="187"/>
        <v>0.66682439064308574</v>
      </c>
      <c r="AN74" s="92">
        <f t="shared" si="187"/>
        <v>0.66641758281725316</v>
      </c>
      <c r="AO74" s="92">
        <f t="shared" si="187"/>
        <v>0.66601027827856851</v>
      </c>
      <c r="AP74" s="92">
        <f t="shared" si="187"/>
        <v>0.66560247642054482</v>
      </c>
      <c r="AQ74" s="92">
        <f t="shared" si="187"/>
        <v>0.66519417663595448</v>
      </c>
      <c r="AR74" s="92">
        <f t="shared" si="187"/>
        <v>0.66478537831682871</v>
      </c>
      <c r="AS74" s="92">
        <f t="shared" si="187"/>
        <v>0.6643760808544561</v>
      </c>
      <c r="AT74" s="92">
        <f t="shared" si="187"/>
        <v>0.66396628363938215</v>
      </c>
      <c r="AU74" s="92">
        <f t="shared" si="187"/>
        <v>0.66355598606140842</v>
      </c>
      <c r="AV74" s="92">
        <f t="shared" si="187"/>
        <v>0.66314518750959084</v>
      </c>
      <c r="AW74" s="92">
        <f t="shared" si="187"/>
        <v>0.66273388737223993</v>
      </c>
      <c r="AX74" s="92">
        <f t="shared" si="187"/>
        <v>0.66232208503691903</v>
      </c>
      <c r="AY74" s="92">
        <f t="shared" si="187"/>
        <v>0.66190977989044408</v>
      </c>
      <c r="AZ74" s="92">
        <f t="shared" si="187"/>
        <v>0.66149697131888174</v>
      </c>
      <c r="BA74" s="92">
        <f t="shared" si="187"/>
        <v>0.66108365870754948</v>
      </c>
      <c r="BB74" s="92">
        <f t="shared" si="187"/>
        <v>0.66066984144101404</v>
      </c>
      <c r="BC74" s="92">
        <f t="shared" si="187"/>
        <v>0.66025551890309098</v>
      </c>
      <c r="BD74" s="92">
        <f t="shared" si="187"/>
        <v>0.65984069047684324</v>
      </c>
      <c r="BE74" s="92">
        <f t="shared" ref="BE74:CP74" si="188">IF(ISERROR(+BE47/BE27),"n.a.",+BE47/BE27)</f>
        <v>0.65942535554458059</v>
      </c>
      <c r="BF74" s="92">
        <f t="shared" si="188"/>
        <v>0.65900951348785841</v>
      </c>
      <c r="BG74" s="92">
        <f t="shared" si="188"/>
        <v>0.65859316368747745</v>
      </c>
      <c r="BH74" s="92">
        <f t="shared" si="188"/>
        <v>0.6581763055234815</v>
      </c>
      <c r="BI74" s="92">
        <f t="shared" si="188"/>
        <v>0.65775893837515864</v>
      </c>
      <c r="BJ74" s="92">
        <f t="shared" si="188"/>
        <v>0.657341061621038</v>
      </c>
      <c r="BK74" s="92">
        <f t="shared" si="188"/>
        <v>0.65692267463889031</v>
      </c>
      <c r="BL74" s="92">
        <f t="shared" si="188"/>
        <v>0.65650377680572658</v>
      </c>
      <c r="BM74" s="92">
        <f t="shared" si="188"/>
        <v>0.65608436749779708</v>
      </c>
      <c r="BN74" s="92">
        <f t="shared" si="188"/>
        <v>0.65566444609059049</v>
      </c>
      <c r="BO74" s="92">
        <f t="shared" si="188"/>
        <v>0.65524401195883297</v>
      </c>
      <c r="BP74" s="92">
        <f t="shared" si="188"/>
        <v>0.6548230644764873</v>
      </c>
      <c r="BQ74" s="92">
        <f t="shared" si="188"/>
        <v>0.65440160301675154</v>
      </c>
      <c r="BR74" s="92">
        <f t="shared" si="188"/>
        <v>0.65397962695205891</v>
      </c>
      <c r="BS74" s="92">
        <f t="shared" si="188"/>
        <v>0.65355713565407614</v>
      </c>
      <c r="BT74" s="92">
        <f t="shared" si="188"/>
        <v>0.65313412849370256</v>
      </c>
      <c r="BU74" s="92">
        <f t="shared" si="188"/>
        <v>0.65271060484106969</v>
      </c>
      <c r="BV74" s="92">
        <f t="shared" si="188"/>
        <v>0.65228656406553998</v>
      </c>
      <c r="BW74" s="92">
        <f t="shared" si="188"/>
        <v>0.65186200553570539</v>
      </c>
      <c r="BX74" s="92">
        <f t="shared" si="188"/>
        <v>0.65143692861938751</v>
      </c>
      <c r="BY74" s="92">
        <f t="shared" si="188"/>
        <v>0.65101133268363576</v>
      </c>
      <c r="BZ74" s="92">
        <f t="shared" si="188"/>
        <v>0.65058521709472694</v>
      </c>
      <c r="CA74" s="92">
        <f t="shared" si="188"/>
        <v>0.65015858121816372</v>
      </c>
      <c r="CB74" s="92">
        <f t="shared" si="188"/>
        <v>0.64973142441867426</v>
      </c>
      <c r="CC74" s="92" t="str">
        <f t="shared" si="188"/>
        <v>n.a.</v>
      </c>
      <c r="CD74" s="92" t="str">
        <f t="shared" si="188"/>
        <v>n.a.</v>
      </c>
      <c r="CE74" s="92" t="str">
        <f t="shared" si="188"/>
        <v>n.a.</v>
      </c>
      <c r="CF74" s="92" t="str">
        <f t="shared" si="188"/>
        <v>n.a.</v>
      </c>
      <c r="CG74" s="92" t="str">
        <f t="shared" si="188"/>
        <v>n.a.</v>
      </c>
      <c r="CH74" s="92" t="str">
        <f t="shared" si="188"/>
        <v>n.a.</v>
      </c>
      <c r="CI74" s="92" t="str">
        <f t="shared" si="188"/>
        <v>n.a.</v>
      </c>
      <c r="CJ74" s="92" t="str">
        <f t="shared" si="188"/>
        <v>n.a.</v>
      </c>
      <c r="CK74" s="92" t="str">
        <f t="shared" si="188"/>
        <v>n.a.</v>
      </c>
      <c r="CL74" s="92" t="str">
        <f t="shared" si="188"/>
        <v>n.a.</v>
      </c>
      <c r="CM74" s="92" t="str">
        <f t="shared" si="188"/>
        <v>n.a.</v>
      </c>
      <c r="CN74" s="92" t="str">
        <f t="shared" si="188"/>
        <v>n.a.</v>
      </c>
      <c r="CO74" s="92" t="str">
        <f t="shared" si="188"/>
        <v>n.a.</v>
      </c>
      <c r="CP74" s="92" t="str">
        <f t="shared" si="188"/>
        <v>n.a.</v>
      </c>
      <c r="CQ74" s="362" t="s">
        <v>77</v>
      </c>
      <c r="CU74"/>
      <c r="CV74"/>
      <c r="CW74"/>
      <c r="CX74"/>
      <c r="CY74"/>
      <c r="CZ74"/>
      <c r="DB74" s="103" t="s">
        <v>238</v>
      </c>
      <c r="DD74" s="93">
        <f t="shared" ref="DD74:DN74" si="189">IF(ISERROR(+DD47/DD27),"n.a.",+DD47/DD27)</f>
        <v>0.66698841698841693</v>
      </c>
      <c r="DE74" s="93">
        <f t="shared" si="189"/>
        <v>0.77353215284249766</v>
      </c>
      <c r="DF74" s="93">
        <f t="shared" si="189"/>
        <v>0.5530811915887851</v>
      </c>
      <c r="DG74" s="93">
        <f t="shared" si="189"/>
        <v>0.5066770724939299</v>
      </c>
      <c r="DH74" s="93">
        <f t="shared" si="189"/>
        <v>0.85989010989010972</v>
      </c>
      <c r="DI74" s="92">
        <f t="shared" si="189"/>
        <v>0.90344827586206899</v>
      </c>
      <c r="DJ74" s="92">
        <f t="shared" si="189"/>
        <v>0.84603997039230205</v>
      </c>
      <c r="DK74" s="92">
        <f t="shared" si="189"/>
        <v>0.58005822416302755</v>
      </c>
      <c r="DL74" s="92">
        <f t="shared" si="189"/>
        <v>0.87006460875807601</v>
      </c>
      <c r="DM74" s="92">
        <f t="shared" si="189"/>
        <v>0.73612990527740185</v>
      </c>
      <c r="DN74" s="92">
        <f t="shared" si="189"/>
        <v>0.85869565217391308</v>
      </c>
      <c r="DO74" s="92">
        <f t="shared" ref="DO74:DQ74" si="190">IF(ISERROR(+DO47/DO27),"n.a.",+DO47/DO27)</f>
        <v>0.7099596231493942</v>
      </c>
      <c r="DP74" s="92">
        <f t="shared" si="190"/>
        <v>0.86253369272237201</v>
      </c>
      <c r="DQ74" s="92">
        <f t="shared" si="190"/>
        <v>0.70866307051261324</v>
      </c>
      <c r="DR74" s="92"/>
      <c r="DS74" s="92"/>
    </row>
    <row r="75" spans="2:130" s="98" customFormat="1" ht="11.25" customHeight="1" outlineLevel="1" x14ac:dyDescent="0.2">
      <c r="B75" s="103" t="s">
        <v>239</v>
      </c>
      <c r="D75" s="118"/>
      <c r="E75" s="118"/>
      <c r="F75" s="118"/>
      <c r="G75" s="118"/>
      <c r="H75" s="118"/>
      <c r="I75" s="118"/>
      <c r="J75" s="118"/>
      <c r="K75" s="93" t="str">
        <f t="shared" ref="K75:BD75" si="191">IF(ISERROR(+K48/K28),"n.a.",+K48/K28)</f>
        <v>n.a.</v>
      </c>
      <c r="L75" s="93" t="str">
        <f t="shared" si="191"/>
        <v>n.a.</v>
      </c>
      <c r="M75" s="93">
        <f t="shared" si="191"/>
        <v>0.78220236939211496</v>
      </c>
      <c r="N75" s="93">
        <f t="shared" si="191"/>
        <v>0.74644763197870601</v>
      </c>
      <c r="O75" s="93">
        <f t="shared" si="191"/>
        <v>0.71546248583854111</v>
      </c>
      <c r="P75" s="93">
        <f t="shared" si="191"/>
        <v>0.69929584793090283</v>
      </c>
      <c r="Q75" s="93">
        <f t="shared" si="191"/>
        <v>0.65595260472142747</v>
      </c>
      <c r="R75" s="93">
        <f t="shared" si="191"/>
        <v>0.67405234087020438</v>
      </c>
      <c r="S75" s="93">
        <f t="shared" si="191"/>
        <v>0.6906815388209957</v>
      </c>
      <c r="T75" s="92">
        <f t="shared" si="191"/>
        <v>0.79535198935865703</v>
      </c>
      <c r="U75" s="92">
        <f t="shared" si="191"/>
        <v>0.79934729971575968</v>
      </c>
      <c r="V75" s="92">
        <f t="shared" si="191"/>
        <v>0.83521638814347299</v>
      </c>
      <c r="W75" s="92">
        <f t="shared" si="191"/>
        <v>0.80459880436571052</v>
      </c>
      <c r="X75" s="92">
        <f t="shared" si="191"/>
        <v>0.7876232459979895</v>
      </c>
      <c r="Y75" s="92">
        <f t="shared" si="191"/>
        <v>0.77812649359343733</v>
      </c>
      <c r="Z75" s="92">
        <f t="shared" si="191"/>
        <v>0.78146058130375107</v>
      </c>
      <c r="AA75" s="92">
        <f t="shared" si="191"/>
        <v>0.78195553407686536</v>
      </c>
      <c r="AB75" s="92">
        <f t="shared" si="191"/>
        <v>0.78234278687175796</v>
      </c>
      <c r="AC75" s="92">
        <f t="shared" si="191"/>
        <v>0.78272393067884782</v>
      </c>
      <c r="AD75" s="92">
        <f t="shared" si="191"/>
        <v>0.78301069621309427</v>
      </c>
      <c r="AE75" s="92">
        <f t="shared" si="191"/>
        <v>0.77508303319085059</v>
      </c>
      <c r="AF75" s="92">
        <f t="shared" si="191"/>
        <v>0.79670244738465468</v>
      </c>
      <c r="AG75" s="92">
        <f t="shared" si="191"/>
        <v>0.78422152984801474</v>
      </c>
      <c r="AH75" s="92">
        <f t="shared" si="191"/>
        <v>0.78395210042356778</v>
      </c>
      <c r="AI75" s="92">
        <f t="shared" si="191"/>
        <v>0.78365007937275943</v>
      </c>
      <c r="AJ75" s="92">
        <f t="shared" si="191"/>
        <v>0.78390588459013677</v>
      </c>
      <c r="AK75" s="92">
        <f t="shared" si="191"/>
        <v>0.78505443748533799</v>
      </c>
      <c r="AL75" s="92">
        <f t="shared" si="191"/>
        <v>0.78422038588058007</v>
      </c>
      <c r="AM75" s="92">
        <f t="shared" si="191"/>
        <v>0.78392393127917714</v>
      </c>
      <c r="AN75" s="92">
        <f t="shared" si="191"/>
        <v>0.77620999431682924</v>
      </c>
      <c r="AO75" s="92">
        <f t="shared" si="191"/>
        <v>0.77588613082556845</v>
      </c>
      <c r="AP75" s="92">
        <f t="shared" si="191"/>
        <v>0.77556613730382185</v>
      </c>
      <c r="AQ75" s="92">
        <f t="shared" si="191"/>
        <v>0.77524997888917413</v>
      </c>
      <c r="AR75" s="92">
        <f t="shared" si="191"/>
        <v>0.77493758765618048</v>
      </c>
      <c r="AS75" s="92">
        <f t="shared" si="191"/>
        <v>0.77462895551380073</v>
      </c>
      <c r="AT75" s="92">
        <f t="shared" si="191"/>
        <v>0.77432404117217668</v>
      </c>
      <c r="AU75" s="92">
        <f t="shared" si="191"/>
        <v>0.77402274164548157</v>
      </c>
      <c r="AV75" s="92">
        <f t="shared" si="191"/>
        <v>0.77372504352160987</v>
      </c>
      <c r="AW75" s="92">
        <f t="shared" si="191"/>
        <v>0.77877256794350236</v>
      </c>
      <c r="AX75" s="92">
        <f t="shared" si="191"/>
        <v>0.77847547116128091</v>
      </c>
      <c r="AY75" s="92">
        <f t="shared" si="191"/>
        <v>0.77818186218067975</v>
      </c>
      <c r="AZ75" s="92">
        <f t="shared" si="191"/>
        <v>0.77789170271696684</v>
      </c>
      <c r="BA75" s="92">
        <f t="shared" si="191"/>
        <v>0.77760492681697169</v>
      </c>
      <c r="BB75" s="92">
        <f t="shared" si="191"/>
        <v>0.77732151969021701</v>
      </c>
      <c r="BC75" s="92">
        <f t="shared" si="191"/>
        <v>0.77704141309683661</v>
      </c>
      <c r="BD75" s="92">
        <f t="shared" si="191"/>
        <v>0.77676456395405058</v>
      </c>
      <c r="BE75" s="92">
        <f t="shared" ref="BE75:CP75" si="192">IF(ISERROR(+BE48/BE28),"n.a.",+BE48/BE28)</f>
        <v>0.77649092815918586</v>
      </c>
      <c r="BF75" s="92">
        <f t="shared" si="192"/>
        <v>0.77622046070211492</v>
      </c>
      <c r="BG75" s="92">
        <f t="shared" si="192"/>
        <v>0.77595311577256809</v>
      </c>
      <c r="BH75" s="92">
        <f t="shared" si="192"/>
        <v>0.77568884686239792</v>
      </c>
      <c r="BI75" s="92">
        <f t="shared" si="192"/>
        <v>0.77542760686287915</v>
      </c>
      <c r="BJ75" s="92">
        <f t="shared" si="192"/>
        <v>0.77516932425806484</v>
      </c>
      <c r="BK75" s="92">
        <f t="shared" si="192"/>
        <v>0.7749139754451223</v>
      </c>
      <c r="BL75" s="92">
        <f t="shared" si="192"/>
        <v>0.77466148869884432</v>
      </c>
      <c r="BM75" s="92">
        <f t="shared" si="192"/>
        <v>0.77441181621570343</v>
      </c>
      <c r="BN75" s="92">
        <f t="shared" si="192"/>
        <v>0.77416493283136234</v>
      </c>
      <c r="BO75" s="92">
        <f t="shared" si="192"/>
        <v>0.77392076709935531</v>
      </c>
      <c r="BP75" s="92">
        <f t="shared" si="192"/>
        <v>0.77367927089296373</v>
      </c>
      <c r="BQ75" s="92">
        <f t="shared" si="192"/>
        <v>0.77344039610340276</v>
      </c>
      <c r="BR75" s="92">
        <f t="shared" si="192"/>
        <v>0.77320409469485529</v>
      </c>
      <c r="BS75" s="92">
        <f t="shared" si="192"/>
        <v>0.78207641301570419</v>
      </c>
      <c r="BT75" s="92">
        <f t="shared" si="192"/>
        <v>0.78187699070194838</v>
      </c>
      <c r="BU75" s="92">
        <f t="shared" si="192"/>
        <v>0.78167999544735156</v>
      </c>
      <c r="BV75" s="92">
        <f t="shared" si="192"/>
        <v>0.78148538446304106</v>
      </c>
      <c r="BW75" s="92">
        <f t="shared" si="192"/>
        <v>0.78129309999054675</v>
      </c>
      <c r="BX75" s="92">
        <f t="shared" si="192"/>
        <v>0.78110309997985727</v>
      </c>
      <c r="BY75" s="92">
        <f t="shared" si="192"/>
        <v>0.78091534255837769</v>
      </c>
      <c r="BZ75" s="92">
        <f t="shared" si="192"/>
        <v>0.78072980058398578</v>
      </c>
      <c r="CA75" s="92">
        <f t="shared" si="192"/>
        <v>0.78054643210027019</v>
      </c>
      <c r="CB75" s="92">
        <f t="shared" si="192"/>
        <v>0.7803651812675596</v>
      </c>
      <c r="CC75" s="92">
        <f t="shared" si="192"/>
        <v>0.78018599327938964</v>
      </c>
      <c r="CD75" s="92">
        <f t="shared" si="192"/>
        <v>0.78956492751506835</v>
      </c>
      <c r="CE75" s="92">
        <f t="shared" si="192"/>
        <v>0.78942797738419257</v>
      </c>
      <c r="CF75" s="92">
        <f t="shared" si="192"/>
        <v>0.78929305584309684</v>
      </c>
      <c r="CG75" s="92">
        <f t="shared" si="192"/>
        <v>0.78916012576476813</v>
      </c>
      <c r="CH75" s="92">
        <f t="shared" si="192"/>
        <v>0.7890291424597845</v>
      </c>
      <c r="CI75" s="92">
        <f t="shared" si="192"/>
        <v>0.78890007737268752</v>
      </c>
      <c r="CJ75" s="92">
        <f t="shared" si="192"/>
        <v>0.78877289427250163</v>
      </c>
      <c r="CK75" s="92">
        <f t="shared" si="192"/>
        <v>0.78864754967753947</v>
      </c>
      <c r="CL75" s="92">
        <f t="shared" si="192"/>
        <v>0.78852400830743319</v>
      </c>
      <c r="CM75" s="92">
        <f t="shared" si="192"/>
        <v>0.78840223526087239</v>
      </c>
      <c r="CN75" s="92">
        <f t="shared" si="192"/>
        <v>0.78828220335603505</v>
      </c>
      <c r="CO75" s="92">
        <f t="shared" si="192"/>
        <v>0.78816387822099776</v>
      </c>
      <c r="CP75" s="92">
        <f t="shared" si="192"/>
        <v>0.78804721159806634</v>
      </c>
      <c r="CQ75" s="362" t="s">
        <v>77</v>
      </c>
      <c r="CU75"/>
      <c r="CV75"/>
      <c r="CW75"/>
      <c r="CX75"/>
      <c r="CY75"/>
      <c r="CZ75"/>
      <c r="DB75" s="103" t="s">
        <v>239</v>
      </c>
      <c r="DD75" s="93">
        <f t="shared" ref="DD75:DN75" si="193">IF(ISERROR(+DD48/DD28),"n.a.",+DD48/DD28)</f>
        <v>0.70239910600998756</v>
      </c>
      <c r="DE75" s="93">
        <f t="shared" si="193"/>
        <v>0.64646098414892539</v>
      </c>
      <c r="DF75" s="93">
        <f t="shared" si="193"/>
        <v>0.68977083921126048</v>
      </c>
      <c r="DG75" s="93">
        <f t="shared" si="193"/>
        <v>0.69154287860369046</v>
      </c>
      <c r="DH75" s="93">
        <f t="shared" si="193"/>
        <v>0.74473791565041536</v>
      </c>
      <c r="DI75" s="92">
        <f t="shared" si="193"/>
        <v>0.84301161393672408</v>
      </c>
      <c r="DJ75" s="92">
        <f t="shared" si="193"/>
        <v>0.81708133051336274</v>
      </c>
      <c r="DK75" s="92">
        <f t="shared" si="193"/>
        <v>0.78238578269472692</v>
      </c>
      <c r="DL75" s="92">
        <f t="shared" si="193"/>
        <v>0.84118363996650392</v>
      </c>
      <c r="DM75" s="92">
        <f t="shared" si="193"/>
        <v>0.83007078001000922</v>
      </c>
      <c r="DN75" s="92">
        <f t="shared" si="193"/>
        <v>0.8273296359343254</v>
      </c>
      <c r="DO75" s="92">
        <f t="shared" ref="DO75:DQ75" si="194">IF(ISERROR(+DO48/DO28),"n.a.",+DO48/DO28)</f>
        <v>0.78192276088742796</v>
      </c>
      <c r="DP75" s="92">
        <f t="shared" si="194"/>
        <v>0.80775391838707444</v>
      </c>
      <c r="DQ75" s="92">
        <f t="shared" si="194"/>
        <v>0.77101147418621385</v>
      </c>
      <c r="DR75" s="92"/>
      <c r="DS75" s="92"/>
    </row>
    <row r="76" spans="2:130" s="98" customFormat="1" ht="11.25" customHeight="1" outlineLevel="1" x14ac:dyDescent="0.2">
      <c r="B76" s="103" t="s">
        <v>240</v>
      </c>
      <c r="D76" s="118"/>
      <c r="E76" s="118"/>
      <c r="F76" s="118"/>
      <c r="G76" s="118"/>
      <c r="H76" s="118"/>
      <c r="I76" s="118"/>
      <c r="J76" s="118"/>
      <c r="K76" s="93" t="str">
        <f t="shared" ref="K76:BD76" si="195">IF(ISERROR(+K49/K29),"n.a.",+K49/K29)</f>
        <v>n.a.</v>
      </c>
      <c r="L76" s="93" t="str">
        <f t="shared" si="195"/>
        <v>n.a.</v>
      </c>
      <c r="M76" s="93">
        <f t="shared" si="195"/>
        <v>0.2903715435887283</v>
      </c>
      <c r="N76" s="93">
        <f t="shared" si="195"/>
        <v>0.16354759967453217</v>
      </c>
      <c r="O76" s="93">
        <f t="shared" si="195"/>
        <v>0.17080745341614906</v>
      </c>
      <c r="P76" s="93">
        <f t="shared" si="195"/>
        <v>0.17238925458103538</v>
      </c>
      <c r="Q76" s="93">
        <f t="shared" si="195"/>
        <v>0.40274368231046936</v>
      </c>
      <c r="R76" s="93">
        <f t="shared" si="195"/>
        <v>0.39297874298334406</v>
      </c>
      <c r="S76" s="93">
        <f t="shared" si="195"/>
        <v>0.51076040172166426</v>
      </c>
      <c r="T76" s="92">
        <f t="shared" si="195"/>
        <v>0.61227528643810647</v>
      </c>
      <c r="U76" s="92">
        <f t="shared" si="195"/>
        <v>0.64404347670122331</v>
      </c>
      <c r="V76" s="92">
        <f t="shared" si="195"/>
        <v>0.60534618451617384</v>
      </c>
      <c r="W76" s="92">
        <f t="shared" si="195"/>
        <v>0.60684727789990955</v>
      </c>
      <c r="X76" s="92">
        <f t="shared" si="195"/>
        <v>0.84642857142857153</v>
      </c>
      <c r="Y76" s="92">
        <f t="shared" si="195"/>
        <v>0.84622222222222232</v>
      </c>
      <c r="Z76" s="92">
        <f t="shared" si="195"/>
        <v>0.84561403508771948</v>
      </c>
      <c r="AA76" s="92">
        <f t="shared" si="195"/>
        <v>0.84541484716157222</v>
      </c>
      <c r="AB76" s="92">
        <f t="shared" si="195"/>
        <v>0.84378395532180861</v>
      </c>
      <c r="AC76" s="92">
        <f t="shared" si="195"/>
        <v>0.84306853197754761</v>
      </c>
      <c r="AD76" s="92">
        <f t="shared" si="195"/>
        <v>0.84236338599906246</v>
      </c>
      <c r="AE76" s="92">
        <f t="shared" si="195"/>
        <v>0.84166665115988759</v>
      </c>
      <c r="AF76" s="92">
        <f t="shared" si="195"/>
        <v>0.84097996744477521</v>
      </c>
      <c r="AG76" s="92">
        <f t="shared" si="195"/>
        <v>0.84030003865971969</v>
      </c>
      <c r="AH76" s="92">
        <f t="shared" si="195"/>
        <v>0.83963158389757186</v>
      </c>
      <c r="AI76" s="92">
        <f t="shared" si="195"/>
        <v>0.83896988407014361</v>
      </c>
      <c r="AJ76" s="92">
        <f t="shared" si="195"/>
        <v>0.83831792091282609</v>
      </c>
      <c r="AK76" s="92">
        <f t="shared" si="195"/>
        <v>0.83683414062955586</v>
      </c>
      <c r="AL76" s="92">
        <f t="shared" si="195"/>
        <v>0.8362127613628958</v>
      </c>
      <c r="AM76" s="92">
        <f t="shared" si="195"/>
        <v>0.8356006377512416</v>
      </c>
      <c r="AN76" s="92">
        <f t="shared" si="195"/>
        <v>0.83499762444699233</v>
      </c>
      <c r="AO76" s="92">
        <f t="shared" si="195"/>
        <v>0.83440122871255507</v>
      </c>
      <c r="AP76" s="92">
        <f t="shared" si="195"/>
        <v>0.83381383501575723</v>
      </c>
      <c r="AQ76" s="92">
        <f t="shared" si="195"/>
        <v>0.83323419274966315</v>
      </c>
      <c r="AR76" s="92">
        <f t="shared" si="195"/>
        <v>0.83266334726109137</v>
      </c>
      <c r="AS76" s="92">
        <f t="shared" si="195"/>
        <v>0.83210012642602948</v>
      </c>
      <c r="AT76" s="92">
        <f t="shared" si="195"/>
        <v>0.83154450209417907</v>
      </c>
      <c r="AU76" s="92">
        <f t="shared" si="195"/>
        <v>0.8309973975359739</v>
      </c>
      <c r="AV76" s="92">
        <f t="shared" si="195"/>
        <v>0.83045592437967375</v>
      </c>
      <c r="AW76" s="92">
        <f t="shared" si="195"/>
        <v>0.82992467840683193</v>
      </c>
      <c r="AX76" s="92">
        <f t="shared" si="195"/>
        <v>0.82939990415116505</v>
      </c>
      <c r="AY76" s="92">
        <f t="shared" si="195"/>
        <v>0.82888248401800368</v>
      </c>
      <c r="AZ76" s="92">
        <f t="shared" si="195"/>
        <v>0.82837318421186268</v>
      </c>
      <c r="BA76" s="92">
        <f t="shared" si="195"/>
        <v>0.82787109644250578</v>
      </c>
      <c r="BB76" s="92">
        <f t="shared" si="195"/>
        <v>0.82737617739096347</v>
      </c>
      <c r="BC76" s="92">
        <f t="shared" si="195"/>
        <v>0.82688910703510454</v>
      </c>
      <c r="BD76" s="92">
        <f t="shared" si="195"/>
        <v>0.82640905410381493</v>
      </c>
      <c r="BE76" s="92">
        <f t="shared" ref="BE76:CP76" si="196">IF(ISERROR(+BE49/BE29),"n.a.",+BE49/BE29)</f>
        <v>0.82593531757246608</v>
      </c>
      <c r="BF76" s="92">
        <f t="shared" si="196"/>
        <v>0.82546985259627048</v>
      </c>
      <c r="BG76" s="92">
        <f t="shared" si="196"/>
        <v>0.82500996934506354</v>
      </c>
      <c r="BH76" s="92">
        <f t="shared" si="196"/>
        <v>0.82455875386695654</v>
      </c>
      <c r="BI76" s="92">
        <f t="shared" si="196"/>
        <v>0.82411307410805357</v>
      </c>
      <c r="BJ76" s="92">
        <f t="shared" si="196"/>
        <v>0.82367522504003576</v>
      </c>
      <c r="BK76" s="92">
        <f t="shared" si="196"/>
        <v>0.82324341924707245</v>
      </c>
      <c r="BL76" s="92">
        <f t="shared" si="196"/>
        <v>0.82281818368400839</v>
      </c>
      <c r="BM76" s="92">
        <f t="shared" si="196"/>
        <v>0.82239945069282416</v>
      </c>
      <c r="BN76" s="92">
        <f t="shared" si="196"/>
        <v>0.82198765248121752</v>
      </c>
      <c r="BO76" s="92">
        <f t="shared" si="196"/>
        <v>0.82158220918451386</v>
      </c>
      <c r="BP76" s="92">
        <f t="shared" si="196"/>
        <v>0.82118306230347315</v>
      </c>
      <c r="BQ76" s="92">
        <f t="shared" si="196"/>
        <v>0.82079015236942365</v>
      </c>
      <c r="BR76" s="92">
        <f t="shared" si="196"/>
        <v>0.82040383259410821</v>
      </c>
      <c r="BS76" s="92">
        <f t="shared" si="196"/>
        <v>0.82002320337142154</v>
      </c>
      <c r="BT76" s="92">
        <f t="shared" si="196"/>
        <v>0.81964862403903405</v>
      </c>
      <c r="BU76" s="92">
        <f t="shared" si="196"/>
        <v>0.8192804091300645</v>
      </c>
      <c r="BV76" s="92">
        <f t="shared" si="196"/>
        <v>0.8189180946788317</v>
      </c>
      <c r="BW76" s="92">
        <f t="shared" si="196"/>
        <v>0.81856161839913022</v>
      </c>
      <c r="BX76" s="92">
        <f t="shared" si="196"/>
        <v>0.81821058802212532</v>
      </c>
      <c r="BY76" s="92">
        <f t="shared" si="196"/>
        <v>0.81786592861111962</v>
      </c>
      <c r="BZ76" s="92">
        <f t="shared" si="196"/>
        <v>0.81752658811484569</v>
      </c>
      <c r="CA76" s="92">
        <f t="shared" si="196"/>
        <v>0.81719312558475343</v>
      </c>
      <c r="CB76" s="92">
        <f t="shared" si="196"/>
        <v>0.81686459853544457</v>
      </c>
      <c r="CC76" s="92">
        <f t="shared" si="196"/>
        <v>0.81654208939482675</v>
      </c>
      <c r="CD76" s="92">
        <f t="shared" si="196"/>
        <v>0.81622495278166562</v>
      </c>
      <c r="CE76" s="92">
        <f t="shared" si="196"/>
        <v>0.81591286794987095</v>
      </c>
      <c r="CF76" s="92">
        <f t="shared" si="196"/>
        <v>0.81560628876644259</v>
      </c>
      <c r="CG76" s="92">
        <f t="shared" si="196"/>
        <v>0.81530488468013562</v>
      </c>
      <c r="CH76" s="92">
        <f t="shared" si="196"/>
        <v>0.81500837252201752</v>
      </c>
      <c r="CI76" s="92">
        <f t="shared" si="196"/>
        <v>0.81471714183987254</v>
      </c>
      <c r="CJ76" s="92">
        <f t="shared" si="196"/>
        <v>0.81443068683789477</v>
      </c>
      <c r="CK76" s="92">
        <f t="shared" si="196"/>
        <v>0.81414917050484281</v>
      </c>
      <c r="CL76" s="92">
        <f t="shared" si="196"/>
        <v>0.81387271506823233</v>
      </c>
      <c r="CM76" s="92">
        <f t="shared" si="196"/>
        <v>0.81360105369351565</v>
      </c>
      <c r="CN76" s="92">
        <f t="shared" si="196"/>
        <v>0.81333412067104105</v>
      </c>
      <c r="CO76" s="92">
        <f t="shared" si="196"/>
        <v>0.81307168101893601</v>
      </c>
      <c r="CP76" s="92">
        <f t="shared" si="196"/>
        <v>0.81281385788876082</v>
      </c>
      <c r="CQ76" s="362" t="s">
        <v>77</v>
      </c>
      <c r="CU76"/>
      <c r="CV76"/>
      <c r="CW76"/>
      <c r="CX76"/>
      <c r="CY76"/>
      <c r="CZ76"/>
      <c r="DB76" s="103" t="s">
        <v>240</v>
      </c>
      <c r="DD76" s="93">
        <f t="shared" ref="DD76:DN76" si="197">IF(ISERROR(+DD49/DD29),"n.a.",+DD49/DD29)</f>
        <v>0.38913144449605203</v>
      </c>
      <c r="DE76" s="93">
        <f t="shared" si="197"/>
        <v>0.39675448992615553</v>
      </c>
      <c r="DF76" s="93">
        <f t="shared" si="197"/>
        <v>0.46687948922585792</v>
      </c>
      <c r="DG76" s="93">
        <f t="shared" si="197"/>
        <v>0.55296827021494355</v>
      </c>
      <c r="DH76" s="93">
        <f t="shared" si="197"/>
        <v>0.56836101325280985</v>
      </c>
      <c r="DI76" s="92">
        <f t="shared" si="197"/>
        <v>0.65277767033103073</v>
      </c>
      <c r="DJ76" s="92">
        <f t="shared" si="197"/>
        <v>0.67942133815551542</v>
      </c>
      <c r="DK76" s="92">
        <f t="shared" si="197"/>
        <v>0.6092371192712781</v>
      </c>
      <c r="DL76" s="92">
        <f t="shared" si="197"/>
        <v>0.68349702586803152</v>
      </c>
      <c r="DM76" s="92">
        <f t="shared" si="197"/>
        <v>0.52679874869655896</v>
      </c>
      <c r="DN76" s="92">
        <f t="shared" si="197"/>
        <v>0.66824139996007714</v>
      </c>
      <c r="DO76" s="92">
        <f t="shared" ref="DO76:DQ76" si="198">IF(ISERROR(+DO49/DO29),"n.a.",+DO49/DO29)</f>
        <v>0.54882726529585624</v>
      </c>
      <c r="DP76" s="92">
        <f t="shared" si="198"/>
        <v>0.69144171407819877</v>
      </c>
      <c r="DQ76" s="92">
        <f t="shared" si="198"/>
        <v>1.2820687308608372</v>
      </c>
      <c r="DR76" s="92"/>
      <c r="DS76" s="92"/>
    </row>
    <row r="77" spans="2:130" s="98" customFormat="1" ht="11.25" customHeight="1" outlineLevel="1" x14ac:dyDescent="0.2">
      <c r="B77" s="433" t="s">
        <v>274</v>
      </c>
      <c r="D77" s="434"/>
      <c r="E77" s="434"/>
      <c r="F77" s="434"/>
      <c r="G77" s="434"/>
      <c r="H77" s="434"/>
      <c r="I77" s="434"/>
      <c r="J77" s="434"/>
      <c r="K77" s="120" t="str">
        <f t="shared" ref="K77:BD77" si="199">IF(ISERROR(+K50/K30),"n.a.",+K50/K30)</f>
        <v>n.a.</v>
      </c>
      <c r="L77" s="120" t="str">
        <f t="shared" si="199"/>
        <v>n.a.</v>
      </c>
      <c r="M77" s="120">
        <f t="shared" si="199"/>
        <v>0.75376578768471136</v>
      </c>
      <c r="N77" s="120">
        <f t="shared" si="199"/>
        <v>0.6872781011768524</v>
      </c>
      <c r="O77" s="120">
        <f t="shared" si="199"/>
        <v>0.47361276560378979</v>
      </c>
      <c r="P77" s="120">
        <f t="shared" si="199"/>
        <v>0.64669460490051722</v>
      </c>
      <c r="Q77" s="120">
        <f t="shared" si="199"/>
        <v>0.68751566285189203</v>
      </c>
      <c r="R77" s="120">
        <f t="shared" si="199"/>
        <v>0.66335563700548439</v>
      </c>
      <c r="S77" s="120">
        <f t="shared" si="199"/>
        <v>0.72392169202760093</v>
      </c>
      <c r="T77" s="120">
        <f t="shared" si="199"/>
        <v>0.51147611533495918</v>
      </c>
      <c r="U77" s="120">
        <f t="shared" si="199"/>
        <v>0.6667072257581429</v>
      </c>
      <c r="V77" s="120">
        <f t="shared" si="199"/>
        <v>0.66009167266230662</v>
      </c>
      <c r="W77" s="120">
        <f t="shared" si="199"/>
        <v>0.7499684132628196</v>
      </c>
      <c r="X77" s="120">
        <f t="shared" si="199"/>
        <v>0.65361604967240039</v>
      </c>
      <c r="Y77" s="120">
        <f t="shared" si="199"/>
        <v>0.64289126523069751</v>
      </c>
      <c r="Z77" s="120">
        <f t="shared" si="199"/>
        <v>0.64316935065821601</v>
      </c>
      <c r="AA77" s="120">
        <f t="shared" si="199"/>
        <v>0.64344819393005681</v>
      </c>
      <c r="AB77" s="120">
        <f t="shared" si="199"/>
        <v>0.64372779480091757</v>
      </c>
      <c r="AC77" s="120">
        <f t="shared" si="199"/>
        <v>0.64400815300599601</v>
      </c>
      <c r="AD77" s="120">
        <f t="shared" si="199"/>
        <v>0.64428926826089539</v>
      </c>
      <c r="AE77" s="120">
        <f t="shared" si="199"/>
        <v>0.64457114026152951</v>
      </c>
      <c r="AF77" s="120">
        <f t="shared" si="199"/>
        <v>0.64485376868402899</v>
      </c>
      <c r="AG77" s="120">
        <f t="shared" si="199"/>
        <v>0.64513715318464793</v>
      </c>
      <c r="AH77" s="120">
        <f t="shared" si="199"/>
        <v>0.64542129339967136</v>
      </c>
      <c r="AI77" s="120">
        <f t="shared" si="199"/>
        <v>0.64570618894532317</v>
      </c>
      <c r="AJ77" s="120">
        <f t="shared" si="199"/>
        <v>0.64599183941767446</v>
      </c>
      <c r="AK77" s="120">
        <f t="shared" si="199"/>
        <v>0.6462782443925541</v>
      </c>
      <c r="AL77" s="120">
        <f t="shared" si="199"/>
        <v>0.64656540342545721</v>
      </c>
      <c r="AM77" s="120">
        <f t="shared" si="199"/>
        <v>0.64685331605145746</v>
      </c>
      <c r="AN77" s="120">
        <f t="shared" si="199"/>
        <v>0.64714198178511784</v>
      </c>
      <c r="AO77" s="120">
        <f t="shared" si="199"/>
        <v>0.64743140012040312</v>
      </c>
      <c r="AP77" s="120">
        <f t="shared" si="199"/>
        <v>0.64772157053059309</v>
      </c>
      <c r="AQ77" s="120">
        <f t="shared" si="199"/>
        <v>0.64801249246819648</v>
      </c>
      <c r="AR77" s="120">
        <f t="shared" si="199"/>
        <v>0.64830416536486535</v>
      </c>
      <c r="AS77" s="120">
        <f t="shared" si="199"/>
        <v>0.64859658863131076</v>
      </c>
      <c r="AT77" s="120">
        <f t="shared" si="199"/>
        <v>0.6488897616572189</v>
      </c>
      <c r="AU77" s="120">
        <f t="shared" si="199"/>
        <v>0.64918368381116853</v>
      </c>
      <c r="AV77" s="120">
        <f t="shared" si="199"/>
        <v>0.64947835444054802</v>
      </c>
      <c r="AW77" s="120">
        <f t="shared" si="199"/>
        <v>0.64977377287147553</v>
      </c>
      <c r="AX77" s="120">
        <f t="shared" si="199"/>
        <v>0.65006993840871763</v>
      </c>
      <c r="AY77" s="120">
        <f t="shared" si="199"/>
        <v>0.65036685033561015</v>
      </c>
      <c r="AZ77" s="120">
        <f t="shared" si="199"/>
        <v>0.65066450791397956</v>
      </c>
      <c r="BA77" s="120">
        <f t="shared" si="199"/>
        <v>0.65096291038406562</v>
      </c>
      <c r="BB77" s="120">
        <f t="shared" si="199"/>
        <v>0.65126205696444461</v>
      </c>
      <c r="BC77" s="120">
        <f t="shared" si="199"/>
        <v>0.65156194685195279</v>
      </c>
      <c r="BD77" s="120">
        <f t="shared" si="199"/>
        <v>0.65186257922161273</v>
      </c>
      <c r="BE77" s="120">
        <f t="shared" ref="BE77:CP77" si="200">IF(ISERROR(+BE50/BE30),"n.a.",+BE50/BE30)</f>
        <v>0.65216395322655862</v>
      </c>
      <c r="BF77" s="120">
        <f t="shared" si="200"/>
        <v>0.65246606799796392</v>
      </c>
      <c r="BG77" s="120">
        <f t="shared" si="200"/>
        <v>0.65276892264496877</v>
      </c>
      <c r="BH77" s="120">
        <f t="shared" si="200"/>
        <v>0.65307251625460983</v>
      </c>
      <c r="BI77" s="120">
        <f t="shared" si="200"/>
        <v>0.65337684789174999</v>
      </c>
      <c r="BJ77" s="120">
        <f t="shared" si="200"/>
        <v>0.65368191659900965</v>
      </c>
      <c r="BK77" s="120">
        <f t="shared" si="200"/>
        <v>0.65398772139669847</v>
      </c>
      <c r="BL77" s="120">
        <f t="shared" si="200"/>
        <v>0.65429426128274959</v>
      </c>
      <c r="BM77" s="120">
        <f t="shared" si="200"/>
        <v>0.65460153523265263</v>
      </c>
      <c r="BN77" s="120">
        <f t="shared" si="200"/>
        <v>0.65490954219939079</v>
      </c>
      <c r="BO77" s="120">
        <f t="shared" si="200"/>
        <v>0.65521828111337532</v>
      </c>
      <c r="BP77" s="120">
        <f t="shared" si="200"/>
        <v>0.6555277508823848</v>
      </c>
      <c r="BQ77" s="120">
        <f t="shared" si="200"/>
        <v>0.65583795039150317</v>
      </c>
      <c r="BR77" s="120">
        <f t="shared" si="200"/>
        <v>0.65614887850305936</v>
      </c>
      <c r="BS77" s="120">
        <f t="shared" si="200"/>
        <v>0.65646053405656901</v>
      </c>
      <c r="BT77" s="120">
        <f t="shared" si="200"/>
        <v>0.65677291586867559</v>
      </c>
      <c r="BU77" s="120">
        <f t="shared" si="200"/>
        <v>0.65708602273309502</v>
      </c>
      <c r="BV77" s="120">
        <f t="shared" si="200"/>
        <v>0.65739985342055873</v>
      </c>
      <c r="BW77" s="120">
        <f t="shared" si="200"/>
        <v>0.65771440667876113</v>
      </c>
      <c r="BX77" s="120">
        <f t="shared" si="200"/>
        <v>0.6580296812323051</v>
      </c>
      <c r="BY77" s="120">
        <f t="shared" si="200"/>
        <v>0.65834567578265069</v>
      </c>
      <c r="BZ77" s="120">
        <f t="shared" si="200"/>
        <v>0.6586623890080644</v>
      </c>
      <c r="CA77" s="120">
        <f t="shared" si="200"/>
        <v>0.6589798195635701</v>
      </c>
      <c r="CB77" s="120">
        <f t="shared" si="200"/>
        <v>0.65929796608090097</v>
      </c>
      <c r="CC77" s="120">
        <f t="shared" si="200"/>
        <v>0.65961682716845182</v>
      </c>
      <c r="CD77" s="120">
        <f t="shared" si="200"/>
        <v>0.659936401411235</v>
      </c>
      <c r="CE77" s="120">
        <f t="shared" si="200"/>
        <v>0.66025668737083509</v>
      </c>
      <c r="CF77" s="120">
        <f t="shared" si="200"/>
        <v>0.66057768358536639</v>
      </c>
      <c r="CG77" s="120">
        <f t="shared" si="200"/>
        <v>0.66089938856943065</v>
      </c>
      <c r="CH77" s="120">
        <f t="shared" si="200"/>
        <v>0.66122180081407889</v>
      </c>
      <c r="CI77" s="120">
        <f t="shared" si="200"/>
        <v>0.66154491878676958</v>
      </c>
      <c r="CJ77" s="120">
        <f t="shared" si="200"/>
        <v>0.66186874093133341</v>
      </c>
      <c r="CK77" s="120">
        <f t="shared" si="200"/>
        <v>0.66219326566793579</v>
      </c>
      <c r="CL77" s="120">
        <f t="shared" si="200"/>
        <v>0.6625184913930432</v>
      </c>
      <c r="CM77" s="120">
        <f t="shared" si="200"/>
        <v>0.6628444164793883</v>
      </c>
      <c r="CN77" s="120">
        <f t="shared" si="200"/>
        <v>0.66317103927593979</v>
      </c>
      <c r="CO77" s="120">
        <f t="shared" si="200"/>
        <v>0.66349835810787028</v>
      </c>
      <c r="CP77" s="120">
        <f t="shared" si="200"/>
        <v>0.66382637127652777</v>
      </c>
      <c r="CQ77" s="362" t="s">
        <v>77</v>
      </c>
      <c r="CU77"/>
      <c r="CV77"/>
      <c r="CW77"/>
      <c r="CX77"/>
      <c r="CY77"/>
      <c r="CZ77"/>
      <c r="DB77" s="433" t="s">
        <v>274</v>
      </c>
      <c r="DD77" s="120">
        <f t="shared" ref="DD77:DN77" si="201">IF(ISERROR(+DD50/DD30),"n.a.",+DD50/DD30)</f>
        <v>0.64604298888460321</v>
      </c>
      <c r="DE77" s="120">
        <f t="shared" si="201"/>
        <v>0.68164058883436707</v>
      </c>
      <c r="DF77" s="120">
        <f t="shared" si="201"/>
        <v>0.70049559229858338</v>
      </c>
      <c r="DG77" s="120">
        <f t="shared" si="201"/>
        <v>0.74854771784232355</v>
      </c>
      <c r="DH77" s="120">
        <f t="shared" si="201"/>
        <v>0.77159101737445612</v>
      </c>
      <c r="DI77" s="120">
        <f t="shared" si="201"/>
        <v>0.17426394893967481</v>
      </c>
      <c r="DJ77" s="120">
        <f t="shared" si="201"/>
        <v>0.70566783163652946</v>
      </c>
      <c r="DK77" s="120">
        <f t="shared" si="201"/>
        <v>0.63717440310664275</v>
      </c>
      <c r="DL77" s="120">
        <f t="shared" si="201"/>
        <v>0.60284536439114389</v>
      </c>
      <c r="DM77" s="120">
        <f t="shared" si="201"/>
        <v>0.73319834330418754</v>
      </c>
      <c r="DN77" s="120">
        <f t="shared" si="201"/>
        <v>0.72993985340476153</v>
      </c>
      <c r="DO77" s="120">
        <f t="shared" ref="DO77:DQ77" si="202">IF(ISERROR(+DO50/DO30),"n.a.",+DO50/DO30)</f>
        <v>0.76749183573326096</v>
      </c>
      <c r="DP77" s="120">
        <f t="shared" si="202"/>
        <v>0.73504439565563739</v>
      </c>
      <c r="DQ77" s="120">
        <f t="shared" si="202"/>
        <v>0.58613532419375214</v>
      </c>
      <c r="DR77" s="120"/>
      <c r="DS77" s="120"/>
    </row>
    <row r="78" spans="2:130" s="98" customFormat="1" ht="11.25" customHeight="1" outlineLevel="1" x14ac:dyDescent="0.2">
      <c r="B78" s="103" t="s">
        <v>273</v>
      </c>
      <c r="D78" s="118"/>
      <c r="E78" s="118"/>
      <c r="F78" s="118"/>
      <c r="G78" s="118"/>
      <c r="H78" s="118"/>
      <c r="I78" s="118"/>
      <c r="J78" s="118"/>
      <c r="K78" s="93" t="str">
        <f t="shared" ref="K78:BD78" si="203">IF(ISERROR(+K51/K31),"n.a.",+K51/K31)</f>
        <v>n.a.</v>
      </c>
      <c r="L78" s="93" t="str">
        <f t="shared" si="203"/>
        <v>n.a.</v>
      </c>
      <c r="M78" s="93">
        <f>IF(ISERROR(+M51/M31),"n.a.",+M51/M31)</f>
        <v>0.84968777876895629</v>
      </c>
      <c r="N78" s="93">
        <f t="shared" si="203"/>
        <v>0.53699499807618323</v>
      </c>
      <c r="O78" s="93">
        <f t="shared" si="203"/>
        <v>0.37411535154441433</v>
      </c>
      <c r="P78" s="93">
        <f t="shared" si="203"/>
        <v>0.53814130851081543</v>
      </c>
      <c r="Q78" s="93">
        <f t="shared" si="203"/>
        <v>0.56433638760615901</v>
      </c>
      <c r="R78" s="93">
        <f t="shared" si="203"/>
        <v>0.46048833987531745</v>
      </c>
      <c r="S78" s="93">
        <f t="shared" si="203"/>
        <v>0.55225839378804997</v>
      </c>
      <c r="T78" s="92">
        <f t="shared" si="203"/>
        <v>0.68116687338032289</v>
      </c>
      <c r="U78" s="92">
        <f t="shared" si="203"/>
        <v>0.58135816403310758</v>
      </c>
      <c r="V78" s="92">
        <f t="shared" si="203"/>
        <v>0.56437179084145439</v>
      </c>
      <c r="W78" s="92">
        <f t="shared" si="203"/>
        <v>0.67942932518744792</v>
      </c>
      <c r="X78" s="92">
        <f t="shared" si="203"/>
        <v>0.56999999999999995</v>
      </c>
      <c r="Y78" s="92">
        <f t="shared" si="203"/>
        <v>0.56999999999999995</v>
      </c>
      <c r="Z78" s="92">
        <f t="shared" si="203"/>
        <v>0.56999999999999995</v>
      </c>
      <c r="AA78" s="92">
        <f t="shared" si="203"/>
        <v>0.56999999999999995</v>
      </c>
      <c r="AB78" s="92">
        <f t="shared" si="203"/>
        <v>0.56999999999999995</v>
      </c>
      <c r="AC78" s="92">
        <f t="shared" si="203"/>
        <v>0.56999999999999995</v>
      </c>
      <c r="AD78" s="92">
        <f t="shared" si="203"/>
        <v>0.56999999999999995</v>
      </c>
      <c r="AE78" s="92">
        <f t="shared" si="203"/>
        <v>0.56999999999999995</v>
      </c>
      <c r="AF78" s="92">
        <f t="shared" si="203"/>
        <v>0.56999999999999995</v>
      </c>
      <c r="AG78" s="92">
        <f t="shared" si="203"/>
        <v>0.56999999999999995</v>
      </c>
      <c r="AH78" s="92">
        <f t="shared" si="203"/>
        <v>0.56999999999999995</v>
      </c>
      <c r="AI78" s="92">
        <f t="shared" si="203"/>
        <v>0.56999999999999995</v>
      </c>
      <c r="AJ78" s="92">
        <f t="shared" si="203"/>
        <v>0.56999999999999995</v>
      </c>
      <c r="AK78" s="92">
        <f t="shared" si="203"/>
        <v>0.56999999999999995</v>
      </c>
      <c r="AL78" s="92">
        <f t="shared" si="203"/>
        <v>0.56999999999999995</v>
      </c>
      <c r="AM78" s="92">
        <f t="shared" si="203"/>
        <v>0.56999999999999995</v>
      </c>
      <c r="AN78" s="92">
        <f t="shared" si="203"/>
        <v>0.56999999999999995</v>
      </c>
      <c r="AO78" s="92">
        <f t="shared" si="203"/>
        <v>0.56999999999999995</v>
      </c>
      <c r="AP78" s="92">
        <f t="shared" si="203"/>
        <v>0.56999999999999995</v>
      </c>
      <c r="AQ78" s="92">
        <f t="shared" si="203"/>
        <v>0.56999999999999995</v>
      </c>
      <c r="AR78" s="92">
        <f t="shared" si="203"/>
        <v>0.56999999999999995</v>
      </c>
      <c r="AS78" s="92">
        <f t="shared" si="203"/>
        <v>0.56999999999999995</v>
      </c>
      <c r="AT78" s="92">
        <f t="shared" si="203"/>
        <v>0.56999999999999995</v>
      </c>
      <c r="AU78" s="92">
        <f t="shared" si="203"/>
        <v>0.56999999999999995</v>
      </c>
      <c r="AV78" s="92">
        <f t="shared" si="203"/>
        <v>0.56999999999999995</v>
      </c>
      <c r="AW78" s="92">
        <f t="shared" si="203"/>
        <v>0.56999999999999995</v>
      </c>
      <c r="AX78" s="92">
        <f t="shared" si="203"/>
        <v>0.56999999999999995</v>
      </c>
      <c r="AY78" s="92">
        <f t="shared" si="203"/>
        <v>0.56999999999999995</v>
      </c>
      <c r="AZ78" s="92">
        <f t="shared" si="203"/>
        <v>0.56999999999999995</v>
      </c>
      <c r="BA78" s="92">
        <f t="shared" si="203"/>
        <v>0.56999999999999995</v>
      </c>
      <c r="BB78" s="92">
        <f t="shared" si="203"/>
        <v>0.56999999999999995</v>
      </c>
      <c r="BC78" s="92">
        <f t="shared" si="203"/>
        <v>0.56999999999999995</v>
      </c>
      <c r="BD78" s="92">
        <f t="shared" si="203"/>
        <v>0.56999999999999995</v>
      </c>
      <c r="BE78" s="92">
        <f t="shared" ref="BE78:CP78" si="204">IF(ISERROR(+BE51/BE31),"n.a.",+BE51/BE31)</f>
        <v>0.56999999999999995</v>
      </c>
      <c r="BF78" s="92">
        <f t="shared" si="204"/>
        <v>0.56999999999999995</v>
      </c>
      <c r="BG78" s="92">
        <f t="shared" si="204"/>
        <v>0.56999999999999995</v>
      </c>
      <c r="BH78" s="92">
        <f t="shared" si="204"/>
        <v>0.56999999999999995</v>
      </c>
      <c r="BI78" s="92">
        <f t="shared" si="204"/>
        <v>0.56999999999999995</v>
      </c>
      <c r="BJ78" s="92">
        <f t="shared" si="204"/>
        <v>0.56999999999999995</v>
      </c>
      <c r="BK78" s="92">
        <f t="shared" si="204"/>
        <v>0.56999999999999995</v>
      </c>
      <c r="BL78" s="92">
        <f t="shared" si="204"/>
        <v>0.56999999999999995</v>
      </c>
      <c r="BM78" s="92">
        <f t="shared" si="204"/>
        <v>0.56999999999999995</v>
      </c>
      <c r="BN78" s="92">
        <f t="shared" si="204"/>
        <v>0.56999999999999995</v>
      </c>
      <c r="BO78" s="92">
        <f t="shared" si="204"/>
        <v>0.56999999999999995</v>
      </c>
      <c r="BP78" s="92">
        <f t="shared" si="204"/>
        <v>0.56999999999999995</v>
      </c>
      <c r="BQ78" s="92">
        <f t="shared" si="204"/>
        <v>0.56999999999999995</v>
      </c>
      <c r="BR78" s="92">
        <f t="shared" si="204"/>
        <v>0.56999999999999995</v>
      </c>
      <c r="BS78" s="92">
        <f t="shared" si="204"/>
        <v>0.56999999999999995</v>
      </c>
      <c r="BT78" s="92">
        <f t="shared" si="204"/>
        <v>0.57000000000000006</v>
      </c>
      <c r="BU78" s="92">
        <f t="shared" si="204"/>
        <v>0.56999999999999995</v>
      </c>
      <c r="BV78" s="92">
        <f t="shared" si="204"/>
        <v>0.56999999999999995</v>
      </c>
      <c r="BW78" s="92">
        <f t="shared" si="204"/>
        <v>0.56999999999999995</v>
      </c>
      <c r="BX78" s="92">
        <f t="shared" si="204"/>
        <v>0.56999999999999995</v>
      </c>
      <c r="BY78" s="92">
        <f t="shared" si="204"/>
        <v>0.56999999999999995</v>
      </c>
      <c r="BZ78" s="92">
        <f t="shared" si="204"/>
        <v>0.56999999999999995</v>
      </c>
      <c r="CA78" s="92">
        <f t="shared" si="204"/>
        <v>0.56999999999999995</v>
      </c>
      <c r="CB78" s="92">
        <f t="shared" si="204"/>
        <v>0.56999999999999995</v>
      </c>
      <c r="CC78" s="92">
        <f t="shared" si="204"/>
        <v>0.56999999999999995</v>
      </c>
      <c r="CD78" s="92">
        <f t="shared" si="204"/>
        <v>0.56999999999999995</v>
      </c>
      <c r="CE78" s="92">
        <f t="shared" si="204"/>
        <v>0.56999999999999995</v>
      </c>
      <c r="CF78" s="92">
        <f t="shared" si="204"/>
        <v>0.56999999999999995</v>
      </c>
      <c r="CG78" s="92">
        <f t="shared" si="204"/>
        <v>0.56999999999999995</v>
      </c>
      <c r="CH78" s="92">
        <f t="shared" si="204"/>
        <v>0.56999999999999995</v>
      </c>
      <c r="CI78" s="92">
        <f t="shared" si="204"/>
        <v>0.56999999999999995</v>
      </c>
      <c r="CJ78" s="92">
        <f t="shared" si="204"/>
        <v>0.56999999999999995</v>
      </c>
      <c r="CK78" s="92">
        <f t="shared" si="204"/>
        <v>0.56999999999999995</v>
      </c>
      <c r="CL78" s="92">
        <f t="shared" si="204"/>
        <v>0.56999999999999995</v>
      </c>
      <c r="CM78" s="92">
        <f t="shared" si="204"/>
        <v>0.56999999999999995</v>
      </c>
      <c r="CN78" s="92">
        <f t="shared" si="204"/>
        <v>0.56999999999999995</v>
      </c>
      <c r="CO78" s="92">
        <f t="shared" si="204"/>
        <v>0.56999999999999995</v>
      </c>
      <c r="CP78" s="92">
        <f t="shared" si="204"/>
        <v>0.56999999999999995</v>
      </c>
      <c r="CQ78" s="362" t="s">
        <v>77</v>
      </c>
      <c r="CU78"/>
      <c r="CV78"/>
      <c r="CW78"/>
      <c r="CX78"/>
      <c r="CY78"/>
      <c r="CZ78"/>
      <c r="DB78" s="103" t="s">
        <v>273</v>
      </c>
      <c r="DD78" s="93">
        <f t="shared" ref="DD78:DN78" si="205">IF(ISERROR(+DD51/DD31),"n.a.",+DD51/DD31)</f>
        <v>0.41030807417141191</v>
      </c>
      <c r="DE78" s="93">
        <f t="shared" si="205"/>
        <v>0.50951470714102298</v>
      </c>
      <c r="DF78" s="93">
        <f t="shared" si="205"/>
        <v>0.45634288747346075</v>
      </c>
      <c r="DG78" s="93">
        <f t="shared" si="205"/>
        <v>0.63326832985900972</v>
      </c>
      <c r="DH78" s="93">
        <f t="shared" si="205"/>
        <v>0.61531740370898713</v>
      </c>
      <c r="DI78" s="92">
        <f t="shared" si="205"/>
        <v>0.76686547074795208</v>
      </c>
      <c r="DJ78" s="92">
        <f t="shared" si="205"/>
        <v>0.64708485163977092</v>
      </c>
      <c r="DK78" s="92">
        <f t="shared" si="205"/>
        <v>0.52721073848529043</v>
      </c>
      <c r="DL78" s="92">
        <f t="shared" si="205"/>
        <v>0.50268036026929952</v>
      </c>
      <c r="DM78" s="92">
        <f t="shared" si="205"/>
        <v>0.6497614110475427</v>
      </c>
      <c r="DN78" s="92">
        <f t="shared" si="205"/>
        <v>0.6433843246418266</v>
      </c>
      <c r="DO78" s="92">
        <f t="shared" ref="DO78:DQ78" si="206">IF(ISERROR(+DO51/DO31),"n.a.",+DO51/DO31)</f>
        <v>0.70928977933865045</v>
      </c>
      <c r="DP78" s="92">
        <f t="shared" si="206"/>
        <v>0.65525697095330793</v>
      </c>
      <c r="DQ78" s="92">
        <f t="shared" si="206"/>
        <v>0.50121201119369496</v>
      </c>
      <c r="DR78" s="92"/>
      <c r="DS78" s="92"/>
    </row>
    <row r="79" spans="2:130" s="98" customFormat="1" ht="11.25" customHeight="1" outlineLevel="1" x14ac:dyDescent="0.2">
      <c r="B79" s="103" t="s">
        <v>241</v>
      </c>
      <c r="D79" s="118"/>
      <c r="E79" s="118"/>
      <c r="F79" s="118"/>
      <c r="G79" s="118"/>
      <c r="H79" s="118"/>
      <c r="I79" s="118"/>
      <c r="J79" s="118"/>
      <c r="K79" s="93" t="str">
        <f t="shared" ref="K79:BD79" si="207">IF(ISERROR(+K52/K32),"n.a.",+K52/K32)</f>
        <v>n.a.</v>
      </c>
      <c r="L79" s="93" t="str">
        <f t="shared" si="207"/>
        <v>n.a.</v>
      </c>
      <c r="M79" s="93" t="str">
        <f t="shared" si="207"/>
        <v>n.a.</v>
      </c>
      <c r="N79" s="93">
        <f t="shared" si="207"/>
        <v>1.002322495023225</v>
      </c>
      <c r="O79" s="93">
        <f t="shared" si="207"/>
        <v>0.9871138419525517</v>
      </c>
      <c r="P79" s="93">
        <f t="shared" si="207"/>
        <v>0.98258450123660346</v>
      </c>
      <c r="Q79" s="93">
        <f t="shared" si="207"/>
        <v>0.9992994358615096</v>
      </c>
      <c r="R79" s="93">
        <f t="shared" si="207"/>
        <v>1.0000958152681629</v>
      </c>
      <c r="S79" s="93">
        <f t="shared" si="207"/>
        <v>0.99994138335287219</v>
      </c>
      <c r="T79" s="92">
        <f t="shared" si="207"/>
        <v>0.26448270294864457</v>
      </c>
      <c r="U79" s="92">
        <f t="shared" si="207"/>
        <v>0.99995409474843933</v>
      </c>
      <c r="V79" s="92">
        <f t="shared" si="207"/>
        <v>0.98319833044462523</v>
      </c>
      <c r="W79" s="92">
        <f t="shared" si="207"/>
        <v>1</v>
      </c>
      <c r="X79" s="92">
        <f>IF(ISERROR(+X52/X32),"n.a.",+X52/X32)</f>
        <v>0.95</v>
      </c>
      <c r="Y79" s="92">
        <f t="shared" si="207"/>
        <v>0.9</v>
      </c>
      <c r="Z79" s="92">
        <f t="shared" si="207"/>
        <v>0.90000000000000013</v>
      </c>
      <c r="AA79" s="92">
        <f t="shared" si="207"/>
        <v>0.90000000000000013</v>
      </c>
      <c r="AB79" s="92">
        <f t="shared" si="207"/>
        <v>0.9</v>
      </c>
      <c r="AC79" s="92">
        <f t="shared" si="207"/>
        <v>0.9</v>
      </c>
      <c r="AD79" s="92">
        <f t="shared" si="207"/>
        <v>0.9</v>
      </c>
      <c r="AE79" s="92">
        <f t="shared" si="207"/>
        <v>0.9</v>
      </c>
      <c r="AF79" s="92">
        <f t="shared" si="207"/>
        <v>0.89999999999999991</v>
      </c>
      <c r="AG79" s="92">
        <f t="shared" si="207"/>
        <v>0.9</v>
      </c>
      <c r="AH79" s="92">
        <f t="shared" si="207"/>
        <v>0.9</v>
      </c>
      <c r="AI79" s="92">
        <f t="shared" si="207"/>
        <v>0.9</v>
      </c>
      <c r="AJ79" s="92">
        <f t="shared" si="207"/>
        <v>0.9</v>
      </c>
      <c r="AK79" s="92">
        <f t="shared" si="207"/>
        <v>0.9</v>
      </c>
      <c r="AL79" s="92">
        <f t="shared" si="207"/>
        <v>0.9</v>
      </c>
      <c r="AM79" s="92">
        <f t="shared" si="207"/>
        <v>0.9</v>
      </c>
      <c r="AN79" s="92">
        <f t="shared" si="207"/>
        <v>0.90000000000000013</v>
      </c>
      <c r="AO79" s="92">
        <f t="shared" si="207"/>
        <v>0.89999999999999991</v>
      </c>
      <c r="AP79" s="92">
        <f t="shared" si="207"/>
        <v>0.90000000000000013</v>
      </c>
      <c r="AQ79" s="92">
        <f t="shared" si="207"/>
        <v>0.9</v>
      </c>
      <c r="AR79" s="92">
        <f t="shared" si="207"/>
        <v>0.9</v>
      </c>
      <c r="AS79" s="92">
        <f t="shared" si="207"/>
        <v>0.89999999999999991</v>
      </c>
      <c r="AT79" s="92">
        <f t="shared" si="207"/>
        <v>0.89999999999999991</v>
      </c>
      <c r="AU79" s="92">
        <f t="shared" si="207"/>
        <v>0.90000000000000013</v>
      </c>
      <c r="AV79" s="92">
        <f t="shared" si="207"/>
        <v>0.9</v>
      </c>
      <c r="AW79" s="92">
        <f t="shared" si="207"/>
        <v>0.9</v>
      </c>
      <c r="AX79" s="92">
        <f t="shared" si="207"/>
        <v>0.9</v>
      </c>
      <c r="AY79" s="92">
        <f t="shared" si="207"/>
        <v>0.9</v>
      </c>
      <c r="AZ79" s="92">
        <f t="shared" si="207"/>
        <v>0.9</v>
      </c>
      <c r="BA79" s="92">
        <f t="shared" si="207"/>
        <v>0.9</v>
      </c>
      <c r="BB79" s="92">
        <f t="shared" si="207"/>
        <v>0.90000000000000013</v>
      </c>
      <c r="BC79" s="92">
        <f t="shared" si="207"/>
        <v>0.9</v>
      </c>
      <c r="BD79" s="92">
        <f t="shared" si="207"/>
        <v>0.9</v>
      </c>
      <c r="BE79" s="92">
        <f t="shared" ref="BE79:CP79" si="208">IF(ISERROR(+BE52/BE32),"n.a.",+BE52/BE32)</f>
        <v>0.9</v>
      </c>
      <c r="BF79" s="92">
        <f t="shared" si="208"/>
        <v>0.9</v>
      </c>
      <c r="BG79" s="92">
        <f t="shared" si="208"/>
        <v>0.9</v>
      </c>
      <c r="BH79" s="92">
        <f t="shared" si="208"/>
        <v>0.9</v>
      </c>
      <c r="BI79" s="92">
        <f t="shared" si="208"/>
        <v>0.9</v>
      </c>
      <c r="BJ79" s="92">
        <f t="shared" si="208"/>
        <v>0.9</v>
      </c>
      <c r="BK79" s="92">
        <f t="shared" si="208"/>
        <v>0.9</v>
      </c>
      <c r="BL79" s="92">
        <f t="shared" si="208"/>
        <v>0.9</v>
      </c>
      <c r="BM79" s="92">
        <f t="shared" si="208"/>
        <v>0.9</v>
      </c>
      <c r="BN79" s="92">
        <f t="shared" si="208"/>
        <v>0.9</v>
      </c>
      <c r="BO79" s="92">
        <f t="shared" si="208"/>
        <v>0.90000000000000013</v>
      </c>
      <c r="BP79" s="92">
        <f t="shared" si="208"/>
        <v>0.9</v>
      </c>
      <c r="BQ79" s="92">
        <f t="shared" si="208"/>
        <v>0.89999999999999991</v>
      </c>
      <c r="BR79" s="92">
        <f t="shared" si="208"/>
        <v>0.90000000000000013</v>
      </c>
      <c r="BS79" s="92">
        <f t="shared" si="208"/>
        <v>0.9</v>
      </c>
      <c r="BT79" s="92">
        <f t="shared" si="208"/>
        <v>0.9</v>
      </c>
      <c r="BU79" s="92">
        <f t="shared" si="208"/>
        <v>0.9</v>
      </c>
      <c r="BV79" s="92">
        <f t="shared" si="208"/>
        <v>0.90000000000000013</v>
      </c>
      <c r="BW79" s="92">
        <f t="shared" si="208"/>
        <v>0.9</v>
      </c>
      <c r="BX79" s="92">
        <f t="shared" si="208"/>
        <v>0.9</v>
      </c>
      <c r="BY79" s="92">
        <f t="shared" si="208"/>
        <v>0.90000000000000013</v>
      </c>
      <c r="BZ79" s="92">
        <f t="shared" si="208"/>
        <v>0.9</v>
      </c>
      <c r="CA79" s="92">
        <f t="shared" si="208"/>
        <v>0.9</v>
      </c>
      <c r="CB79" s="92">
        <f t="shared" si="208"/>
        <v>0.9</v>
      </c>
      <c r="CC79" s="92">
        <f t="shared" si="208"/>
        <v>0.9</v>
      </c>
      <c r="CD79" s="92">
        <f t="shared" si="208"/>
        <v>0.9</v>
      </c>
      <c r="CE79" s="92">
        <f t="shared" si="208"/>
        <v>0.9</v>
      </c>
      <c r="CF79" s="92">
        <f t="shared" si="208"/>
        <v>0.9</v>
      </c>
      <c r="CG79" s="92">
        <f t="shared" si="208"/>
        <v>0.9</v>
      </c>
      <c r="CH79" s="92">
        <f t="shared" si="208"/>
        <v>0.9</v>
      </c>
      <c r="CI79" s="92">
        <f t="shared" si="208"/>
        <v>0.9</v>
      </c>
      <c r="CJ79" s="92">
        <f t="shared" si="208"/>
        <v>0.9</v>
      </c>
      <c r="CK79" s="92">
        <f t="shared" si="208"/>
        <v>0.9</v>
      </c>
      <c r="CL79" s="92">
        <f t="shared" si="208"/>
        <v>0.9</v>
      </c>
      <c r="CM79" s="92">
        <f t="shared" si="208"/>
        <v>0.9</v>
      </c>
      <c r="CN79" s="92">
        <f t="shared" si="208"/>
        <v>0.9</v>
      </c>
      <c r="CO79" s="92">
        <f t="shared" si="208"/>
        <v>0.9</v>
      </c>
      <c r="CP79" s="92">
        <f t="shared" si="208"/>
        <v>0.9</v>
      </c>
      <c r="CQ79" s="362" t="s">
        <v>77</v>
      </c>
      <c r="CU79"/>
      <c r="CV79"/>
      <c r="CW79"/>
      <c r="CX79"/>
      <c r="CY79"/>
      <c r="CZ79"/>
      <c r="DB79" s="103" t="s">
        <v>241</v>
      </c>
      <c r="DD79" s="93">
        <f t="shared" ref="DD79:DN79" si="209">IF(ISERROR(+DD52/DD32),"n.a.",+DD52/DD32)</f>
        <v>1.0002193655947</v>
      </c>
      <c r="DE79" s="93">
        <f t="shared" si="209"/>
        <v>0.99994724068798135</v>
      </c>
      <c r="DF79" s="93">
        <f t="shared" si="209"/>
        <v>0.99993490219054137</v>
      </c>
      <c r="DG79" s="93">
        <f t="shared" si="209"/>
        <v>0.99995111697707384</v>
      </c>
      <c r="DH79" s="93">
        <f t="shared" si="209"/>
        <v>1</v>
      </c>
      <c r="DI79" s="92">
        <f t="shared" si="209"/>
        <v>-0.68367826904985896</v>
      </c>
      <c r="DJ79" s="92">
        <f t="shared" si="209"/>
        <v>1</v>
      </c>
      <c r="DK79" s="92">
        <f t="shared" si="209"/>
        <v>0.99992926363443457</v>
      </c>
      <c r="DL79" s="92">
        <f t="shared" si="209"/>
        <v>1</v>
      </c>
      <c r="DM79" s="92">
        <f t="shared" si="209"/>
        <v>0.96677857042943061</v>
      </c>
      <c r="DN79" s="92">
        <f t="shared" si="209"/>
        <v>1</v>
      </c>
      <c r="DO79" s="92">
        <f t="shared" ref="DO79:DP79" si="210">IF(ISERROR(+DO52/DO32),"n.a.",+DO52/DO32)</f>
        <v>1</v>
      </c>
      <c r="DP79" s="92">
        <f t="shared" si="210"/>
        <v>1</v>
      </c>
      <c r="DQ79" s="92">
        <f>IF(ISERROR(+DQ52/DQ32),"n.a.",+DQ52/DQ32)</f>
        <v>0.90446326517349596</v>
      </c>
      <c r="DR79" s="92"/>
      <c r="DS79" s="92"/>
    </row>
    <row r="80" spans="2:130" s="98" customFormat="1" ht="11.25" customHeight="1" outlineLevel="1" x14ac:dyDescent="0.2">
      <c r="B80" s="433" t="s">
        <v>216</v>
      </c>
      <c r="D80" s="434"/>
      <c r="E80" s="434"/>
      <c r="F80" s="434"/>
      <c r="G80" s="434"/>
      <c r="H80" s="434"/>
      <c r="I80" s="434"/>
      <c r="J80" s="434"/>
      <c r="K80" s="120" t="s">
        <v>78</v>
      </c>
      <c r="L80" s="120" t="s">
        <v>78</v>
      </c>
      <c r="M80" s="120" t="s">
        <v>78</v>
      </c>
      <c r="N80" s="120" t="s">
        <v>78</v>
      </c>
      <c r="O80" s="120" t="s">
        <v>78</v>
      </c>
      <c r="P80" s="120" t="s">
        <v>78</v>
      </c>
      <c r="Q80" s="120" t="s">
        <v>78</v>
      </c>
      <c r="R80" s="120" t="s">
        <v>78</v>
      </c>
      <c r="S80" s="120" t="s">
        <v>78</v>
      </c>
      <c r="T80" s="120" t="s">
        <v>78</v>
      </c>
      <c r="U80" s="120" t="s">
        <v>78</v>
      </c>
      <c r="V80" s="120" t="s">
        <v>78</v>
      </c>
      <c r="W80" s="120" t="s">
        <v>78</v>
      </c>
      <c r="X80" s="120" t="s">
        <v>78</v>
      </c>
      <c r="Y80" s="120" t="s">
        <v>78</v>
      </c>
      <c r="Z80" s="120" t="s">
        <v>78</v>
      </c>
      <c r="AA80" s="120" t="s">
        <v>78</v>
      </c>
      <c r="AB80" s="120" t="s">
        <v>78</v>
      </c>
      <c r="AC80" s="120" t="s">
        <v>78</v>
      </c>
      <c r="AD80" s="120" t="s">
        <v>78</v>
      </c>
      <c r="AE80" s="120" t="s">
        <v>78</v>
      </c>
      <c r="AF80" s="120" t="s">
        <v>78</v>
      </c>
      <c r="AG80" s="120" t="s">
        <v>78</v>
      </c>
      <c r="AH80" s="120" t="s">
        <v>78</v>
      </c>
      <c r="AI80" s="120" t="s">
        <v>78</v>
      </c>
      <c r="AJ80" s="120" t="s">
        <v>78</v>
      </c>
      <c r="AK80" s="120" t="s">
        <v>78</v>
      </c>
      <c r="AL80" s="120" t="s">
        <v>78</v>
      </c>
      <c r="AM80" s="120" t="s">
        <v>78</v>
      </c>
      <c r="AN80" s="120" t="s">
        <v>78</v>
      </c>
      <c r="AO80" s="120" t="s">
        <v>78</v>
      </c>
      <c r="AP80" s="120" t="s">
        <v>78</v>
      </c>
      <c r="AQ80" s="120" t="s">
        <v>78</v>
      </c>
      <c r="AR80" s="120" t="s">
        <v>78</v>
      </c>
      <c r="AS80" s="120" t="s">
        <v>78</v>
      </c>
      <c r="AT80" s="120" t="s">
        <v>78</v>
      </c>
      <c r="AU80" s="120" t="s">
        <v>78</v>
      </c>
      <c r="AV80" s="120" t="s">
        <v>78</v>
      </c>
      <c r="AW80" s="120" t="s">
        <v>78</v>
      </c>
      <c r="AX80" s="120" t="s">
        <v>78</v>
      </c>
      <c r="AY80" s="120" t="s">
        <v>78</v>
      </c>
      <c r="AZ80" s="120" t="s">
        <v>78</v>
      </c>
      <c r="BA80" s="120" t="s">
        <v>78</v>
      </c>
      <c r="BB80" s="120" t="s">
        <v>78</v>
      </c>
      <c r="BC80" s="120" t="s">
        <v>78</v>
      </c>
      <c r="BD80" s="120" t="s">
        <v>78</v>
      </c>
      <c r="BE80" s="120" t="s">
        <v>78</v>
      </c>
      <c r="BF80" s="120" t="s">
        <v>78</v>
      </c>
      <c r="BG80" s="120" t="s">
        <v>78</v>
      </c>
      <c r="BH80" s="120" t="s">
        <v>78</v>
      </c>
      <c r="BI80" s="120" t="s">
        <v>78</v>
      </c>
      <c r="BJ80" s="120" t="s">
        <v>78</v>
      </c>
      <c r="BK80" s="120" t="s">
        <v>78</v>
      </c>
      <c r="BL80" s="120" t="s">
        <v>78</v>
      </c>
      <c r="BM80" s="120" t="s">
        <v>78</v>
      </c>
      <c r="BN80" s="120" t="s">
        <v>78</v>
      </c>
      <c r="BO80" s="120" t="s">
        <v>78</v>
      </c>
      <c r="BP80" s="120" t="s">
        <v>78</v>
      </c>
      <c r="BQ80" s="120" t="s">
        <v>78</v>
      </c>
      <c r="BR80" s="120" t="s">
        <v>78</v>
      </c>
      <c r="BS80" s="120" t="s">
        <v>78</v>
      </c>
      <c r="BT80" s="120" t="s">
        <v>78</v>
      </c>
      <c r="BU80" s="120" t="s">
        <v>78</v>
      </c>
      <c r="BV80" s="120" t="s">
        <v>78</v>
      </c>
      <c r="BW80" s="120" t="s">
        <v>78</v>
      </c>
      <c r="BX80" s="120" t="s">
        <v>78</v>
      </c>
      <c r="BY80" s="120" t="s">
        <v>78</v>
      </c>
      <c r="BZ80" s="120" t="s">
        <v>78</v>
      </c>
      <c r="CA80" s="120" t="s">
        <v>78</v>
      </c>
      <c r="CB80" s="120" t="s">
        <v>78</v>
      </c>
      <c r="CC80" s="120" t="s">
        <v>78</v>
      </c>
      <c r="CD80" s="120" t="s">
        <v>78</v>
      </c>
      <c r="CE80" s="120" t="s">
        <v>78</v>
      </c>
      <c r="CF80" s="120" t="s">
        <v>78</v>
      </c>
      <c r="CG80" s="120" t="s">
        <v>78</v>
      </c>
      <c r="CH80" s="120" t="s">
        <v>78</v>
      </c>
      <c r="CI80" s="120" t="s">
        <v>78</v>
      </c>
      <c r="CJ80" s="120" t="s">
        <v>78</v>
      </c>
      <c r="CK80" s="120" t="s">
        <v>78</v>
      </c>
      <c r="CL80" s="120" t="s">
        <v>78</v>
      </c>
      <c r="CM80" s="120" t="s">
        <v>78</v>
      </c>
      <c r="CN80" s="120" t="s">
        <v>78</v>
      </c>
      <c r="CO80" s="120" t="s">
        <v>78</v>
      </c>
      <c r="CP80" s="120" t="s">
        <v>78</v>
      </c>
      <c r="CQ80" s="362" t="s">
        <v>77</v>
      </c>
      <c r="CU80"/>
      <c r="CV80"/>
      <c r="CW80"/>
      <c r="CX80"/>
      <c r="CY80"/>
      <c r="CZ80"/>
      <c r="DB80" s="433" t="s">
        <v>216</v>
      </c>
      <c r="DD80" s="120" t="s">
        <v>78</v>
      </c>
      <c r="DE80" s="120" t="s">
        <v>78</v>
      </c>
      <c r="DF80" s="120" t="s">
        <v>78</v>
      </c>
      <c r="DG80" s="120" t="s">
        <v>78</v>
      </c>
      <c r="DH80" s="120" t="s">
        <v>78</v>
      </c>
      <c r="DI80" s="120" t="s">
        <v>78</v>
      </c>
      <c r="DJ80" s="120" t="s">
        <v>78</v>
      </c>
      <c r="DK80" s="120" t="s">
        <v>78</v>
      </c>
      <c r="DL80" s="120" t="s">
        <v>78</v>
      </c>
      <c r="DM80" s="120" t="s">
        <v>78</v>
      </c>
      <c r="DN80" s="120" t="s">
        <v>78</v>
      </c>
      <c r="DO80" s="120" t="s">
        <v>78</v>
      </c>
      <c r="DP80" s="120" t="s">
        <v>78</v>
      </c>
      <c r="DQ80" s="120" t="s">
        <v>78</v>
      </c>
      <c r="DR80" s="120"/>
      <c r="DS80" s="120"/>
      <c r="DT80" s="413"/>
    </row>
    <row r="81" spans="1:140" s="98" customFormat="1" ht="11.25" customHeight="1" outlineLevel="1" x14ac:dyDescent="0.2">
      <c r="B81" s="103" t="s">
        <v>243</v>
      </c>
      <c r="D81" s="118"/>
      <c r="E81" s="118"/>
      <c r="F81" s="118"/>
      <c r="G81" s="118"/>
      <c r="H81" s="118"/>
      <c r="I81" s="118"/>
      <c r="J81" s="118"/>
      <c r="K81" s="93" t="s">
        <v>78</v>
      </c>
      <c r="L81" s="93" t="s">
        <v>78</v>
      </c>
      <c r="M81" s="93" t="s">
        <v>78</v>
      </c>
      <c r="N81" s="93" t="s">
        <v>78</v>
      </c>
      <c r="O81" s="93" t="s">
        <v>78</v>
      </c>
      <c r="P81" s="93" t="s">
        <v>78</v>
      </c>
      <c r="Q81" s="93" t="s">
        <v>78</v>
      </c>
      <c r="R81" s="93" t="s">
        <v>78</v>
      </c>
      <c r="S81" s="93" t="s">
        <v>78</v>
      </c>
      <c r="T81" s="92" t="s">
        <v>78</v>
      </c>
      <c r="U81" s="92">
        <f t="shared" ref="U81:BD81" si="211">IF(ISERROR(+U57/U37),"n.a.",+U57/U37)</f>
        <v>1</v>
      </c>
      <c r="V81" s="92" t="str">
        <f t="shared" si="211"/>
        <v>n.a.</v>
      </c>
      <c r="W81" s="92" t="str">
        <f t="shared" si="211"/>
        <v>n.a.</v>
      </c>
      <c r="X81" s="92" t="str">
        <f t="shared" si="211"/>
        <v>n.a.</v>
      </c>
      <c r="Y81" s="92" t="str">
        <f t="shared" si="211"/>
        <v>n.a.</v>
      </c>
      <c r="Z81" s="92" t="str">
        <f t="shared" si="211"/>
        <v>n.a.</v>
      </c>
      <c r="AA81" s="92" t="str">
        <f t="shared" si="211"/>
        <v>n.a.</v>
      </c>
      <c r="AB81" s="92" t="str">
        <f t="shared" si="211"/>
        <v>n.a.</v>
      </c>
      <c r="AC81" s="92" t="str">
        <f t="shared" si="211"/>
        <v>n.a.</v>
      </c>
      <c r="AD81" s="92" t="str">
        <f t="shared" si="211"/>
        <v>n.a.</v>
      </c>
      <c r="AE81" s="92" t="str">
        <f t="shared" si="211"/>
        <v>n.a.</v>
      </c>
      <c r="AF81" s="92" t="str">
        <f t="shared" si="211"/>
        <v>n.a.</v>
      </c>
      <c r="AG81" s="92" t="str">
        <f t="shared" si="211"/>
        <v>n.a.</v>
      </c>
      <c r="AH81" s="92" t="str">
        <f t="shared" si="211"/>
        <v>n.a.</v>
      </c>
      <c r="AI81" s="92" t="str">
        <f t="shared" si="211"/>
        <v>n.a.</v>
      </c>
      <c r="AJ81" s="92" t="str">
        <f t="shared" si="211"/>
        <v>n.a.</v>
      </c>
      <c r="AK81" s="92" t="str">
        <f t="shared" si="211"/>
        <v>n.a.</v>
      </c>
      <c r="AL81" s="92" t="str">
        <f t="shared" si="211"/>
        <v>n.a.</v>
      </c>
      <c r="AM81" s="92" t="str">
        <f t="shared" si="211"/>
        <v>n.a.</v>
      </c>
      <c r="AN81" s="92" t="str">
        <f t="shared" si="211"/>
        <v>n.a.</v>
      </c>
      <c r="AO81" s="92" t="str">
        <f t="shared" si="211"/>
        <v>n.a.</v>
      </c>
      <c r="AP81" s="92" t="str">
        <f t="shared" si="211"/>
        <v>n.a.</v>
      </c>
      <c r="AQ81" s="92" t="str">
        <f t="shared" si="211"/>
        <v>n.a.</v>
      </c>
      <c r="AR81" s="92" t="str">
        <f t="shared" si="211"/>
        <v>n.a.</v>
      </c>
      <c r="AS81" s="92" t="str">
        <f t="shared" si="211"/>
        <v>n.a.</v>
      </c>
      <c r="AT81" s="92" t="str">
        <f t="shared" si="211"/>
        <v>n.a.</v>
      </c>
      <c r="AU81" s="92" t="str">
        <f t="shared" si="211"/>
        <v>n.a.</v>
      </c>
      <c r="AV81" s="92" t="str">
        <f t="shared" si="211"/>
        <v>n.a.</v>
      </c>
      <c r="AW81" s="92" t="str">
        <f t="shared" si="211"/>
        <v>n.a.</v>
      </c>
      <c r="AX81" s="92" t="str">
        <f t="shared" si="211"/>
        <v>n.a.</v>
      </c>
      <c r="AY81" s="92" t="str">
        <f t="shared" si="211"/>
        <v>n.a.</v>
      </c>
      <c r="AZ81" s="92" t="str">
        <f t="shared" si="211"/>
        <v>n.a.</v>
      </c>
      <c r="BA81" s="92" t="str">
        <f t="shared" si="211"/>
        <v>n.a.</v>
      </c>
      <c r="BB81" s="92" t="str">
        <f t="shared" si="211"/>
        <v>n.a.</v>
      </c>
      <c r="BC81" s="92" t="str">
        <f t="shared" si="211"/>
        <v>n.a.</v>
      </c>
      <c r="BD81" s="92" t="str">
        <f t="shared" si="211"/>
        <v>n.a.</v>
      </c>
      <c r="BE81" s="92" t="str">
        <f t="shared" ref="BE81:CP81" si="212">IF(ISERROR(+BE57/BE37),"n.a.",+BE57/BE37)</f>
        <v>n.a.</v>
      </c>
      <c r="BF81" s="92" t="str">
        <f t="shared" si="212"/>
        <v>n.a.</v>
      </c>
      <c r="BG81" s="92" t="str">
        <f t="shared" si="212"/>
        <v>n.a.</v>
      </c>
      <c r="BH81" s="92" t="str">
        <f t="shared" si="212"/>
        <v>n.a.</v>
      </c>
      <c r="BI81" s="92" t="str">
        <f t="shared" si="212"/>
        <v>n.a.</v>
      </c>
      <c r="BJ81" s="92" t="str">
        <f t="shared" si="212"/>
        <v>n.a.</v>
      </c>
      <c r="BK81" s="92" t="str">
        <f t="shared" si="212"/>
        <v>n.a.</v>
      </c>
      <c r="BL81" s="92" t="str">
        <f t="shared" si="212"/>
        <v>n.a.</v>
      </c>
      <c r="BM81" s="92" t="str">
        <f t="shared" si="212"/>
        <v>n.a.</v>
      </c>
      <c r="BN81" s="92" t="str">
        <f t="shared" si="212"/>
        <v>n.a.</v>
      </c>
      <c r="BO81" s="92" t="str">
        <f t="shared" si="212"/>
        <v>n.a.</v>
      </c>
      <c r="BP81" s="92" t="str">
        <f t="shared" si="212"/>
        <v>n.a.</v>
      </c>
      <c r="BQ81" s="92" t="str">
        <f t="shared" si="212"/>
        <v>n.a.</v>
      </c>
      <c r="BR81" s="92" t="str">
        <f t="shared" si="212"/>
        <v>n.a.</v>
      </c>
      <c r="BS81" s="92" t="str">
        <f t="shared" si="212"/>
        <v>n.a.</v>
      </c>
      <c r="BT81" s="92" t="str">
        <f t="shared" si="212"/>
        <v>n.a.</v>
      </c>
      <c r="BU81" s="92" t="str">
        <f t="shared" si="212"/>
        <v>n.a.</v>
      </c>
      <c r="BV81" s="92" t="str">
        <f t="shared" si="212"/>
        <v>n.a.</v>
      </c>
      <c r="BW81" s="92" t="str">
        <f t="shared" si="212"/>
        <v>n.a.</v>
      </c>
      <c r="BX81" s="92" t="str">
        <f t="shared" si="212"/>
        <v>n.a.</v>
      </c>
      <c r="BY81" s="92" t="str">
        <f t="shared" si="212"/>
        <v>n.a.</v>
      </c>
      <c r="BZ81" s="92" t="str">
        <f t="shared" si="212"/>
        <v>n.a.</v>
      </c>
      <c r="CA81" s="92" t="str">
        <f t="shared" si="212"/>
        <v>n.a.</v>
      </c>
      <c r="CB81" s="92" t="str">
        <f t="shared" si="212"/>
        <v>n.a.</v>
      </c>
      <c r="CC81" s="92" t="str">
        <f t="shared" si="212"/>
        <v>n.a.</v>
      </c>
      <c r="CD81" s="92" t="str">
        <f t="shared" si="212"/>
        <v>n.a.</v>
      </c>
      <c r="CE81" s="92" t="str">
        <f t="shared" si="212"/>
        <v>n.a.</v>
      </c>
      <c r="CF81" s="92" t="str">
        <f t="shared" si="212"/>
        <v>n.a.</v>
      </c>
      <c r="CG81" s="92" t="str">
        <f t="shared" si="212"/>
        <v>n.a.</v>
      </c>
      <c r="CH81" s="92" t="str">
        <f t="shared" si="212"/>
        <v>n.a.</v>
      </c>
      <c r="CI81" s="92" t="str">
        <f t="shared" si="212"/>
        <v>n.a.</v>
      </c>
      <c r="CJ81" s="92" t="str">
        <f t="shared" si="212"/>
        <v>n.a.</v>
      </c>
      <c r="CK81" s="92" t="str">
        <f t="shared" si="212"/>
        <v>n.a.</v>
      </c>
      <c r="CL81" s="92" t="str">
        <f t="shared" si="212"/>
        <v>n.a.</v>
      </c>
      <c r="CM81" s="92" t="str">
        <f t="shared" si="212"/>
        <v>n.a.</v>
      </c>
      <c r="CN81" s="92" t="str">
        <f t="shared" si="212"/>
        <v>n.a.</v>
      </c>
      <c r="CO81" s="92" t="str">
        <f t="shared" si="212"/>
        <v>n.a.</v>
      </c>
      <c r="CP81" s="92" t="str">
        <f t="shared" si="212"/>
        <v>n.a.</v>
      </c>
      <c r="CQ81" s="362" t="s">
        <v>77</v>
      </c>
      <c r="CU81"/>
      <c r="CV81"/>
      <c r="CW81"/>
      <c r="CX81"/>
      <c r="CY81"/>
      <c r="CZ81"/>
      <c r="DB81" s="103" t="s">
        <v>243</v>
      </c>
      <c r="DD81" s="93" t="s">
        <v>78</v>
      </c>
      <c r="DE81" s="93" t="s">
        <v>78</v>
      </c>
      <c r="DF81" s="93" t="s">
        <v>78</v>
      </c>
      <c r="DG81" s="93" t="s">
        <v>78</v>
      </c>
      <c r="DH81" s="93" t="s">
        <v>78</v>
      </c>
      <c r="DI81" s="92" t="s">
        <v>78</v>
      </c>
      <c r="DJ81" s="92" t="s">
        <v>78</v>
      </c>
      <c r="DK81" s="92" t="s">
        <v>78</v>
      </c>
      <c r="DL81" s="92" t="s">
        <v>78</v>
      </c>
      <c r="DM81" s="92" t="s">
        <v>78</v>
      </c>
      <c r="DN81" s="92" t="s">
        <v>78</v>
      </c>
      <c r="DO81" s="92" t="s">
        <v>78</v>
      </c>
      <c r="DP81" s="92" t="s">
        <v>78</v>
      </c>
      <c r="DQ81" s="92" t="s">
        <v>78</v>
      </c>
      <c r="DR81" s="92"/>
      <c r="DS81" s="92"/>
      <c r="DT81" s="413"/>
    </row>
    <row r="82" spans="1:140" s="98" customFormat="1" outlineLevel="1" x14ac:dyDescent="0.2">
      <c r="B82" s="121" t="s">
        <v>461</v>
      </c>
      <c r="D82" s="122"/>
      <c r="E82" s="122"/>
      <c r="F82" s="122"/>
      <c r="G82" s="122"/>
      <c r="H82" s="122"/>
      <c r="I82" s="122"/>
      <c r="J82" s="122"/>
      <c r="K82" s="123" t="str">
        <f t="shared" ref="K82:BD82" si="213">IF(ISERROR(+K56/K39),"n.a.",+K56/K39)</f>
        <v>n.a.</v>
      </c>
      <c r="L82" s="123" t="str">
        <f t="shared" si="213"/>
        <v>n.a.</v>
      </c>
      <c r="M82" s="123">
        <f t="shared" si="213"/>
        <v>0.55724047306176072</v>
      </c>
      <c r="N82" s="123">
        <f t="shared" si="213"/>
        <v>0.48828494923043242</v>
      </c>
      <c r="O82" s="123">
        <f t="shared" si="213"/>
        <v>0.44815208552163466</v>
      </c>
      <c r="P82" s="123">
        <f t="shared" si="213"/>
        <v>0.46486068580784046</v>
      </c>
      <c r="Q82" s="123">
        <f t="shared" si="213"/>
        <v>0.41241337254727589</v>
      </c>
      <c r="R82" s="123">
        <f t="shared" si="213"/>
        <v>0.48585977436732902</v>
      </c>
      <c r="S82" s="123">
        <f t="shared" si="213"/>
        <v>0.50815198382100624</v>
      </c>
      <c r="T82" s="123">
        <f t="shared" si="213"/>
        <v>0.49944473189429489</v>
      </c>
      <c r="U82" s="123">
        <f t="shared" si="213"/>
        <v>0.52861165732823134</v>
      </c>
      <c r="V82" s="123">
        <f t="shared" si="213"/>
        <v>0.63530604916955702</v>
      </c>
      <c r="W82" s="124">
        <f t="shared" si="213"/>
        <v>0.63192458799356932</v>
      </c>
      <c r="X82" s="124">
        <f t="shared" si="213"/>
        <v>0.6271192154636025</v>
      </c>
      <c r="Y82" s="124">
        <f t="shared" si="213"/>
        <v>0.62779044063634459</v>
      </c>
      <c r="Z82" s="124">
        <f t="shared" si="213"/>
        <v>0.62889058523403885</v>
      </c>
      <c r="AA82" s="124">
        <f t="shared" si="213"/>
        <v>0.61843127429002764</v>
      </c>
      <c r="AB82" s="124">
        <f t="shared" si="213"/>
        <v>0.61789095233063895</v>
      </c>
      <c r="AC82" s="124">
        <f t="shared" si="213"/>
        <v>0.61741550636014575</v>
      </c>
      <c r="AD82" s="124">
        <f t="shared" si="213"/>
        <v>0.61686689684154095</v>
      </c>
      <c r="AE82" s="124">
        <f t="shared" si="213"/>
        <v>0.6144592798151618</v>
      </c>
      <c r="AF82" s="124">
        <f t="shared" si="213"/>
        <v>0.61304751624521903</v>
      </c>
      <c r="AG82" s="124">
        <f t="shared" si="213"/>
        <v>0.60051481040329568</v>
      </c>
      <c r="AH82" s="124">
        <f t="shared" si="213"/>
        <v>0.59986383205994287</v>
      </c>
      <c r="AI82" s="124">
        <f t="shared" si="213"/>
        <v>0.57928317710908128</v>
      </c>
      <c r="AJ82" s="124">
        <f t="shared" si="213"/>
        <v>0.57288622333364592</v>
      </c>
      <c r="AK82" s="124">
        <f t="shared" si="213"/>
        <v>0.56815724224010034</v>
      </c>
      <c r="AL82" s="124">
        <f t="shared" si="213"/>
        <v>0.56698276774381307</v>
      </c>
      <c r="AM82" s="124">
        <f t="shared" si="213"/>
        <v>0.5658824111159102</v>
      </c>
      <c r="AN82" s="124">
        <f t="shared" si="213"/>
        <v>0.56307136094739674</v>
      </c>
      <c r="AO82" s="124">
        <f t="shared" si="213"/>
        <v>0.5538678287580332</v>
      </c>
      <c r="AP82" s="124">
        <f t="shared" si="213"/>
        <v>0.4549823853392046</v>
      </c>
      <c r="AQ82" s="124">
        <f t="shared" si="213"/>
        <v>0.45387165619262915</v>
      </c>
      <c r="AR82" s="124">
        <f t="shared" si="213"/>
        <v>0.43341575185869491</v>
      </c>
      <c r="AS82" s="124">
        <f t="shared" si="213"/>
        <v>0.40784763405773078</v>
      </c>
      <c r="AT82" s="124">
        <f t="shared" si="213"/>
        <v>0.39970789205238705</v>
      </c>
      <c r="AU82" s="124">
        <f t="shared" si="213"/>
        <v>0.39888677713051129</v>
      </c>
      <c r="AV82" s="124">
        <f t="shared" si="213"/>
        <v>0.39807406355394503</v>
      </c>
      <c r="AW82" s="124">
        <f t="shared" si="213"/>
        <v>0.39031554606422242</v>
      </c>
      <c r="AX82" s="124">
        <f t="shared" si="213"/>
        <v>0.38949673815429386</v>
      </c>
      <c r="AY82" s="124">
        <f t="shared" si="213"/>
        <v>0.38868578006762139</v>
      </c>
      <c r="AZ82" s="124">
        <f t="shared" si="213"/>
        <v>0.38788231374727622</v>
      </c>
      <c r="BA82" s="124">
        <f t="shared" si="213"/>
        <v>0.35456050811572409</v>
      </c>
      <c r="BB82" s="124">
        <f t="shared" si="213"/>
        <v>0.35369971043583787</v>
      </c>
      <c r="BC82" s="124">
        <f t="shared" si="213"/>
        <v>0.35284722881257091</v>
      </c>
      <c r="BD82" s="124">
        <f t="shared" si="213"/>
        <v>0.3520030442316992</v>
      </c>
      <c r="BE82" s="124">
        <f t="shared" ref="BE82:CP82" si="214">IF(ISERROR(+BE56/BE39),"n.a.",+BE56/BE39)</f>
        <v>0.35116712067269334</v>
      </c>
      <c r="BF82" s="124">
        <f t="shared" si="214"/>
        <v>0.35033874111550445</v>
      </c>
      <c r="BG82" s="124">
        <f t="shared" si="214"/>
        <v>0.34951839684261643</v>
      </c>
      <c r="BH82" s="124">
        <f t="shared" si="214"/>
        <v>0.34870506573358373</v>
      </c>
      <c r="BI82" s="124">
        <f t="shared" si="214"/>
        <v>0.3478993843986774</v>
      </c>
      <c r="BJ82" s="124">
        <f t="shared" si="214"/>
        <v>0.34710045599500106</v>
      </c>
      <c r="BK82" s="124">
        <f t="shared" si="214"/>
        <v>0.34630866025152385</v>
      </c>
      <c r="BL82" s="124">
        <f t="shared" si="214"/>
        <v>0.34552359187978265</v>
      </c>
      <c r="BM82" s="124">
        <f t="shared" si="214"/>
        <v>0.34474509138294712</v>
      </c>
      <c r="BN82" s="124">
        <f t="shared" si="214"/>
        <v>0.34397292541365249</v>
      </c>
      <c r="BO82" s="124">
        <f t="shared" si="214"/>
        <v>0.34320701624089855</v>
      </c>
      <c r="BP82" s="124">
        <f t="shared" si="214"/>
        <v>0.3424472134654743</v>
      </c>
      <c r="BQ82" s="124">
        <f t="shared" si="214"/>
        <v>0.3416933705833532</v>
      </c>
      <c r="BR82" s="124">
        <f t="shared" si="214"/>
        <v>0.34094521390128246</v>
      </c>
      <c r="BS82" s="124">
        <f t="shared" si="214"/>
        <v>0.33420400029887543</v>
      </c>
      <c r="BT82" s="124">
        <f t="shared" si="214"/>
        <v>0.32789350603072637</v>
      </c>
      <c r="BU82" s="124">
        <f t="shared" si="214"/>
        <v>0.32714460383397398</v>
      </c>
      <c r="BV82" s="124">
        <f t="shared" si="214"/>
        <v>0.32640133092351453</v>
      </c>
      <c r="BW82" s="124">
        <f t="shared" si="214"/>
        <v>0.32566349303745612</v>
      </c>
      <c r="BX82" s="124">
        <f t="shared" si="214"/>
        <v>0.32493108812366672</v>
      </c>
      <c r="BY82" s="124">
        <f t="shared" si="214"/>
        <v>0.32420362660644736</v>
      </c>
      <c r="BZ82" s="124">
        <f t="shared" si="214"/>
        <v>0.32348141643577821</v>
      </c>
      <c r="CA82" s="124">
        <f t="shared" si="214"/>
        <v>0.32276410097760744</v>
      </c>
      <c r="CB82" s="124">
        <f t="shared" si="214"/>
        <v>0.32205185267983316</v>
      </c>
      <c r="CC82" s="124">
        <f t="shared" si="214"/>
        <v>0.32078408613547482</v>
      </c>
      <c r="CD82" s="124">
        <f t="shared" si="214"/>
        <v>0.31274359231899407</v>
      </c>
      <c r="CE82" s="124">
        <f t="shared" si="214"/>
        <v>0.31203534373453351</v>
      </c>
      <c r="CF82" s="124">
        <f t="shared" si="214"/>
        <v>0.31133159351009754</v>
      </c>
      <c r="CG82" s="124">
        <f t="shared" si="214"/>
        <v>0.31063235438769549</v>
      </c>
      <c r="CH82" s="124">
        <f t="shared" si="214"/>
        <v>0.23495172738156703</v>
      </c>
      <c r="CI82" s="124">
        <f t="shared" si="214"/>
        <v>0.2341748348562995</v>
      </c>
      <c r="CJ82" s="124">
        <f t="shared" si="214"/>
        <v>0.2334042015758146</v>
      </c>
      <c r="CK82" s="124">
        <f t="shared" si="214"/>
        <v>0.23263948148101765</v>
      </c>
      <c r="CL82" s="124">
        <f t="shared" si="214"/>
        <v>0.23188042319725002</v>
      </c>
      <c r="CM82" s="124">
        <f t="shared" si="214"/>
        <v>0.23112705064947051</v>
      </c>
      <c r="CN82" s="124">
        <f t="shared" si="214"/>
        <v>0.23037931728769465</v>
      </c>
      <c r="CO82" s="124">
        <f t="shared" si="214"/>
        <v>0.22963723806937472</v>
      </c>
      <c r="CP82" s="124">
        <f t="shared" si="214"/>
        <v>0.22428409267717966</v>
      </c>
      <c r="CQ82" s="362" t="s">
        <v>77</v>
      </c>
      <c r="CU82"/>
      <c r="CV82"/>
      <c r="CW82"/>
      <c r="CX82"/>
      <c r="CY82"/>
      <c r="CZ82"/>
      <c r="DB82" s="121" t="s">
        <v>246</v>
      </c>
      <c r="DD82" s="123">
        <f t="shared" ref="DD82:DN82" si="215">IF(ISERROR(+DD56/DD39),"n.a.",+DD56/DD39)</f>
        <v>0.50897159403678371</v>
      </c>
      <c r="DE82" s="123">
        <f t="shared" si="215"/>
        <v>0.46273740593349805</v>
      </c>
      <c r="DF82" s="123">
        <f t="shared" si="215"/>
        <v>0.51943370130369082</v>
      </c>
      <c r="DG82" s="123">
        <f t="shared" si="215"/>
        <v>0.49726905906460833</v>
      </c>
      <c r="DH82" s="123">
        <f t="shared" si="215"/>
        <v>0.56071576668704903</v>
      </c>
      <c r="DI82" s="123">
        <f t="shared" si="215"/>
        <v>0.54172930172674827</v>
      </c>
      <c r="DJ82" s="123">
        <f t="shared" si="215"/>
        <v>0.54226517732039281</v>
      </c>
      <c r="DK82" s="123">
        <f t="shared" si="215"/>
        <v>0.51619025609885005</v>
      </c>
      <c r="DL82" s="123">
        <f t="shared" si="215"/>
        <v>0.6363350399063562</v>
      </c>
      <c r="DM82" s="123">
        <f t="shared" si="215"/>
        <v>0.63427326034731346</v>
      </c>
      <c r="DN82" s="123">
        <f t="shared" si="215"/>
        <v>0.64429790897178751</v>
      </c>
      <c r="DO82" s="123">
        <f t="shared" ref="DO82:DQ82" si="216">IF(ISERROR(+DO56/DO39),"n.a.",+DO56/DO39)</f>
        <v>0.61920886227649263</v>
      </c>
      <c r="DP82" s="123">
        <f t="shared" si="216"/>
        <v>0.63539026239032703</v>
      </c>
      <c r="DQ82" s="123">
        <f t="shared" si="216"/>
        <v>0.6187836993068111</v>
      </c>
      <c r="DR82" s="123"/>
      <c r="DS82" s="123"/>
      <c r="DT82" s="413"/>
    </row>
    <row r="83" spans="1:140" s="98" customFormat="1" outlineLevel="1" x14ac:dyDescent="0.2">
      <c r="B83" s="121" t="s">
        <v>645</v>
      </c>
      <c r="D83" s="122"/>
      <c r="E83" s="122"/>
      <c r="F83" s="122"/>
      <c r="G83" s="122"/>
      <c r="H83" s="122"/>
      <c r="I83" s="122"/>
      <c r="J83" s="122"/>
      <c r="K83" s="123" t="str">
        <f t="shared" ref="K83:BD83" si="217">IF(ISERROR(+K59/K39),"n.a.",+K59/K39)</f>
        <v>n.a.</v>
      </c>
      <c r="L83" s="123" t="str">
        <f t="shared" si="217"/>
        <v>n.a.</v>
      </c>
      <c r="M83" s="123">
        <f t="shared" si="217"/>
        <v>0.53640322883424052</v>
      </c>
      <c r="N83" s="123">
        <f t="shared" si="217"/>
        <v>0.48144724739687583</v>
      </c>
      <c r="O83" s="123">
        <f t="shared" si="217"/>
        <v>0.47052887710500468</v>
      </c>
      <c r="P83" s="123">
        <f t="shared" si="217"/>
        <v>0.46486068580784046</v>
      </c>
      <c r="Q83" s="123">
        <f t="shared" si="217"/>
        <v>0.44656434864594835</v>
      </c>
      <c r="R83" s="123">
        <f t="shared" si="217"/>
        <v>0.49575170978124972</v>
      </c>
      <c r="S83" s="123">
        <f t="shared" si="217"/>
        <v>0.60427646083723008</v>
      </c>
      <c r="T83" s="124">
        <f t="shared" si="217"/>
        <v>0.5353424943676266</v>
      </c>
      <c r="U83" s="124">
        <f t="shared" si="217"/>
        <v>0.81712007157500421</v>
      </c>
      <c r="V83" s="124">
        <f t="shared" si="217"/>
        <v>0.63530604916955702</v>
      </c>
      <c r="W83" s="124">
        <f t="shared" si="217"/>
        <v>0.63192458799356932</v>
      </c>
      <c r="X83" s="124">
        <f t="shared" si="217"/>
        <v>0.6271192154636025</v>
      </c>
      <c r="Y83" s="124">
        <f t="shared" si="217"/>
        <v>0.62779044063634459</v>
      </c>
      <c r="Z83" s="124">
        <f t="shared" si="217"/>
        <v>0.62889058523403885</v>
      </c>
      <c r="AA83" s="124">
        <f t="shared" si="217"/>
        <v>0.61843127429002764</v>
      </c>
      <c r="AB83" s="124">
        <f t="shared" si="217"/>
        <v>0.61789095233063895</v>
      </c>
      <c r="AC83" s="124">
        <f t="shared" si="217"/>
        <v>0.61741550636014575</v>
      </c>
      <c r="AD83" s="124">
        <f t="shared" si="217"/>
        <v>0.61686689684154095</v>
      </c>
      <c r="AE83" s="124">
        <f t="shared" si="217"/>
        <v>0.6144592798151618</v>
      </c>
      <c r="AF83" s="124">
        <f t="shared" si="217"/>
        <v>0.61304751624521903</v>
      </c>
      <c r="AG83" s="124">
        <f t="shared" si="217"/>
        <v>0.60051481040329568</v>
      </c>
      <c r="AH83" s="124">
        <f t="shared" si="217"/>
        <v>0.59986383205994287</v>
      </c>
      <c r="AI83" s="124">
        <f t="shared" si="217"/>
        <v>0.57928317710908128</v>
      </c>
      <c r="AJ83" s="124">
        <f t="shared" si="217"/>
        <v>0.57288622333364592</v>
      </c>
      <c r="AK83" s="124">
        <f t="shared" si="217"/>
        <v>0.56815724224010034</v>
      </c>
      <c r="AL83" s="124">
        <f t="shared" si="217"/>
        <v>0.56698276774381307</v>
      </c>
      <c r="AM83" s="124">
        <f t="shared" si="217"/>
        <v>0.5658824111159102</v>
      </c>
      <c r="AN83" s="124">
        <f t="shared" si="217"/>
        <v>0.56307136094739674</v>
      </c>
      <c r="AO83" s="124">
        <f t="shared" si="217"/>
        <v>0.5538678287580332</v>
      </c>
      <c r="AP83" s="124">
        <f t="shared" si="217"/>
        <v>0.4549823853392046</v>
      </c>
      <c r="AQ83" s="124">
        <f t="shared" si="217"/>
        <v>0.45387165619262915</v>
      </c>
      <c r="AR83" s="124">
        <f t="shared" si="217"/>
        <v>0.43341575185869491</v>
      </c>
      <c r="AS83" s="124">
        <f t="shared" si="217"/>
        <v>0.40784763405773078</v>
      </c>
      <c r="AT83" s="124">
        <f t="shared" si="217"/>
        <v>0.39970789205238705</v>
      </c>
      <c r="AU83" s="124">
        <f t="shared" si="217"/>
        <v>0.39888677713051129</v>
      </c>
      <c r="AV83" s="124">
        <f t="shared" si="217"/>
        <v>0.39807406355394503</v>
      </c>
      <c r="AW83" s="124">
        <f t="shared" si="217"/>
        <v>0.39031554606422242</v>
      </c>
      <c r="AX83" s="124">
        <f t="shared" si="217"/>
        <v>0.38949673815429386</v>
      </c>
      <c r="AY83" s="124">
        <f t="shared" si="217"/>
        <v>0.38868578006762139</v>
      </c>
      <c r="AZ83" s="124">
        <f t="shared" si="217"/>
        <v>0.38788231374727622</v>
      </c>
      <c r="BA83" s="124">
        <f t="shared" si="217"/>
        <v>0.35456050811572409</v>
      </c>
      <c r="BB83" s="124">
        <f t="shared" si="217"/>
        <v>0.35369971043583787</v>
      </c>
      <c r="BC83" s="124">
        <f t="shared" si="217"/>
        <v>0.35284722881257091</v>
      </c>
      <c r="BD83" s="124">
        <f t="shared" si="217"/>
        <v>0.3520030442316992</v>
      </c>
      <c r="BE83" s="124">
        <f t="shared" ref="BE83:CP83" si="218">IF(ISERROR(+BE59/BE39),"n.a.",+BE59/BE39)</f>
        <v>0.35116712067269334</v>
      </c>
      <c r="BF83" s="124">
        <f t="shared" si="218"/>
        <v>0.35033874111550445</v>
      </c>
      <c r="BG83" s="124">
        <f t="shared" si="218"/>
        <v>0.34951839684261643</v>
      </c>
      <c r="BH83" s="124">
        <f t="shared" si="218"/>
        <v>0.34870506573358373</v>
      </c>
      <c r="BI83" s="124">
        <f t="shared" si="218"/>
        <v>0.3478993843986774</v>
      </c>
      <c r="BJ83" s="124">
        <f t="shared" si="218"/>
        <v>0.34710045599500106</v>
      </c>
      <c r="BK83" s="124">
        <f t="shared" si="218"/>
        <v>0.34630866025152385</v>
      </c>
      <c r="BL83" s="124">
        <f t="shared" si="218"/>
        <v>0.34552359187978265</v>
      </c>
      <c r="BM83" s="124">
        <f t="shared" si="218"/>
        <v>0.34474509138294712</v>
      </c>
      <c r="BN83" s="124">
        <f t="shared" si="218"/>
        <v>0.34397292541365249</v>
      </c>
      <c r="BO83" s="124">
        <f t="shared" si="218"/>
        <v>0.34320701624089855</v>
      </c>
      <c r="BP83" s="124">
        <f t="shared" si="218"/>
        <v>0.3424472134654743</v>
      </c>
      <c r="BQ83" s="124">
        <f t="shared" si="218"/>
        <v>0.3416933705833532</v>
      </c>
      <c r="BR83" s="124">
        <f t="shared" si="218"/>
        <v>0.34094521390128246</v>
      </c>
      <c r="BS83" s="124">
        <f t="shared" si="218"/>
        <v>0.33420400029887543</v>
      </c>
      <c r="BT83" s="124">
        <f t="shared" si="218"/>
        <v>0.32789350603072637</v>
      </c>
      <c r="BU83" s="124">
        <f t="shared" si="218"/>
        <v>0.32714460383397398</v>
      </c>
      <c r="BV83" s="124">
        <f t="shared" si="218"/>
        <v>0.32640133092351453</v>
      </c>
      <c r="BW83" s="124">
        <f t="shared" si="218"/>
        <v>0.32566349303745612</v>
      </c>
      <c r="BX83" s="124">
        <f t="shared" si="218"/>
        <v>0.32493108812366672</v>
      </c>
      <c r="BY83" s="124">
        <f t="shared" si="218"/>
        <v>0.32420362660644736</v>
      </c>
      <c r="BZ83" s="124">
        <f t="shared" si="218"/>
        <v>0.32348141643577821</v>
      </c>
      <c r="CA83" s="124">
        <f t="shared" si="218"/>
        <v>0.32276410097760744</v>
      </c>
      <c r="CB83" s="124">
        <f t="shared" si="218"/>
        <v>0.32205185267983316</v>
      </c>
      <c r="CC83" s="124">
        <f t="shared" si="218"/>
        <v>0.32078408613547482</v>
      </c>
      <c r="CD83" s="124">
        <f t="shared" si="218"/>
        <v>0.31274359231899407</v>
      </c>
      <c r="CE83" s="124">
        <f t="shared" si="218"/>
        <v>0.31203534373453351</v>
      </c>
      <c r="CF83" s="124">
        <f t="shared" si="218"/>
        <v>0.31133159351009754</v>
      </c>
      <c r="CG83" s="124">
        <f t="shared" si="218"/>
        <v>0.31063235438769549</v>
      </c>
      <c r="CH83" s="124">
        <f t="shared" si="218"/>
        <v>0.23495172738156703</v>
      </c>
      <c r="CI83" s="124">
        <f t="shared" si="218"/>
        <v>0.2341748348562995</v>
      </c>
      <c r="CJ83" s="124">
        <f t="shared" si="218"/>
        <v>0.2334042015758146</v>
      </c>
      <c r="CK83" s="124">
        <f t="shared" si="218"/>
        <v>0.23263948148101765</v>
      </c>
      <c r="CL83" s="124">
        <f t="shared" si="218"/>
        <v>0.23188042319725002</v>
      </c>
      <c r="CM83" s="124">
        <f t="shared" si="218"/>
        <v>0.23112705064947051</v>
      </c>
      <c r="CN83" s="124">
        <f t="shared" si="218"/>
        <v>0.23037931728769465</v>
      </c>
      <c r="CO83" s="124">
        <f t="shared" si="218"/>
        <v>0.22963723806937472</v>
      </c>
      <c r="CP83" s="124">
        <f t="shared" si="218"/>
        <v>0.22428409267717966</v>
      </c>
      <c r="CQ83" s="362" t="s">
        <v>77</v>
      </c>
      <c r="CU83"/>
      <c r="CV83"/>
      <c r="CW83"/>
      <c r="CX83"/>
      <c r="CY83"/>
      <c r="CZ83"/>
      <c r="DB83" s="121" t="s">
        <v>248</v>
      </c>
      <c r="DD83" s="123">
        <f t="shared" ref="DD83:DN83" si="219">IF(ISERROR(+DD59/DD39),"n.a.",+DD59/DD39)</f>
        <v>0.52576293425229803</v>
      </c>
      <c r="DE83" s="123">
        <f t="shared" si="219"/>
        <v>0.46572678749929269</v>
      </c>
      <c r="DF83" s="123">
        <f t="shared" si="219"/>
        <v>0.67821856670850089</v>
      </c>
      <c r="DG83" s="123">
        <f t="shared" si="219"/>
        <v>0.53294810362905531</v>
      </c>
      <c r="DH83" s="123">
        <f t="shared" si="219"/>
        <v>0.56071576668704903</v>
      </c>
      <c r="DI83" s="123">
        <f t="shared" si="219"/>
        <v>0.61493106868912106</v>
      </c>
      <c r="DJ83" s="123">
        <f t="shared" si="219"/>
        <v>1.1479014350744021</v>
      </c>
      <c r="DK83" s="123">
        <f t="shared" si="219"/>
        <v>0.51618902686370483</v>
      </c>
      <c r="DL83" s="123">
        <f t="shared" si="219"/>
        <v>0.6363350399063562</v>
      </c>
      <c r="DM83" s="123">
        <f t="shared" si="219"/>
        <v>0.63427326034731346</v>
      </c>
      <c r="DN83" s="123">
        <f t="shared" si="219"/>
        <v>0.64429790897178751</v>
      </c>
      <c r="DO83" s="123">
        <f t="shared" ref="DO83:DQ83" si="220">IF(ISERROR(+DO59/DO39),"n.a.",+DO59/DO39)</f>
        <v>0.61920886227649263</v>
      </c>
      <c r="DP83" s="123">
        <f t="shared" si="220"/>
        <v>0.63539026239032703</v>
      </c>
      <c r="DQ83" s="123">
        <f t="shared" si="220"/>
        <v>0.6187836993068111</v>
      </c>
      <c r="DR83" s="123"/>
      <c r="DS83" s="123"/>
      <c r="DT83" s="413"/>
    </row>
    <row r="84" spans="1:140" x14ac:dyDescent="0.2">
      <c r="B84" s="7"/>
      <c r="CQ84" s="362" t="s">
        <v>77</v>
      </c>
      <c r="DB84" s="7"/>
      <c r="DU84" s="413"/>
      <c r="DV84" s="413"/>
    </row>
    <row r="85" spans="1:140" s="233" customFormat="1" x14ac:dyDescent="0.2">
      <c r="B85" s="728" t="s">
        <v>86</v>
      </c>
      <c r="C85" s="312"/>
      <c r="D85" s="308"/>
      <c r="E85" s="308"/>
      <c r="F85" s="312">
        <f t="shared" ref="F85:BQ85" si="221">Fiscal_Year</f>
        <v>36707</v>
      </c>
      <c r="G85" s="312">
        <f t="shared" si="221"/>
        <v>37072</v>
      </c>
      <c r="H85" s="312">
        <f t="shared" si="221"/>
        <v>37437</v>
      </c>
      <c r="I85" s="312">
        <f t="shared" si="221"/>
        <v>37802</v>
      </c>
      <c r="J85" s="312">
        <f t="shared" si="221"/>
        <v>38168</v>
      </c>
      <c r="K85" s="312">
        <f t="shared" si="221"/>
        <v>38533</v>
      </c>
      <c r="L85" s="312">
        <f t="shared" si="221"/>
        <v>38898</v>
      </c>
      <c r="M85" s="312">
        <f t="shared" si="221"/>
        <v>39263</v>
      </c>
      <c r="N85" s="312">
        <f t="shared" si="221"/>
        <v>39629</v>
      </c>
      <c r="O85" s="312">
        <f t="shared" si="221"/>
        <v>39994</v>
      </c>
      <c r="P85" s="312">
        <f t="shared" si="221"/>
        <v>40359</v>
      </c>
      <c r="Q85" s="312">
        <f t="shared" si="221"/>
        <v>40724</v>
      </c>
      <c r="R85" s="312">
        <f t="shared" si="221"/>
        <v>41090</v>
      </c>
      <c r="S85" s="312">
        <f t="shared" si="221"/>
        <v>41455</v>
      </c>
      <c r="T85" s="312">
        <f t="shared" si="221"/>
        <v>41820</v>
      </c>
      <c r="U85" s="312">
        <f t="shared" si="221"/>
        <v>42185</v>
      </c>
      <c r="V85" s="312">
        <f t="shared" si="221"/>
        <v>42551</v>
      </c>
      <c r="W85" s="312">
        <f t="shared" si="221"/>
        <v>42916</v>
      </c>
      <c r="X85" s="312">
        <f t="shared" si="221"/>
        <v>43281</v>
      </c>
      <c r="Y85" s="312">
        <f t="shared" si="221"/>
        <v>43646</v>
      </c>
      <c r="Z85" s="312">
        <f t="shared" si="221"/>
        <v>44012</v>
      </c>
      <c r="AA85" s="312">
        <f t="shared" si="221"/>
        <v>44377</v>
      </c>
      <c r="AB85" s="312">
        <f t="shared" si="221"/>
        <v>44742</v>
      </c>
      <c r="AC85" s="312">
        <f t="shared" si="221"/>
        <v>45107</v>
      </c>
      <c r="AD85" s="312">
        <f t="shared" si="221"/>
        <v>45473</v>
      </c>
      <c r="AE85" s="312">
        <f t="shared" si="221"/>
        <v>45838</v>
      </c>
      <c r="AF85" s="312">
        <f t="shared" si="221"/>
        <v>46203</v>
      </c>
      <c r="AG85" s="312">
        <f t="shared" si="221"/>
        <v>46568</v>
      </c>
      <c r="AH85" s="312">
        <f t="shared" si="221"/>
        <v>46934</v>
      </c>
      <c r="AI85" s="312">
        <f t="shared" si="221"/>
        <v>47299</v>
      </c>
      <c r="AJ85" s="312">
        <f t="shared" si="221"/>
        <v>47664</v>
      </c>
      <c r="AK85" s="312">
        <f t="shared" si="221"/>
        <v>48029</v>
      </c>
      <c r="AL85" s="312">
        <f t="shared" si="221"/>
        <v>48395</v>
      </c>
      <c r="AM85" s="312">
        <f t="shared" si="221"/>
        <v>48760</v>
      </c>
      <c r="AN85" s="312">
        <f t="shared" si="221"/>
        <v>49125</v>
      </c>
      <c r="AO85" s="312">
        <f t="shared" si="221"/>
        <v>49490</v>
      </c>
      <c r="AP85" s="312">
        <f t="shared" si="221"/>
        <v>49856</v>
      </c>
      <c r="AQ85" s="312">
        <f t="shared" si="221"/>
        <v>50221</v>
      </c>
      <c r="AR85" s="312">
        <f t="shared" si="221"/>
        <v>50586</v>
      </c>
      <c r="AS85" s="312">
        <f t="shared" si="221"/>
        <v>50951</v>
      </c>
      <c r="AT85" s="312">
        <f t="shared" si="221"/>
        <v>51317</v>
      </c>
      <c r="AU85" s="312">
        <f t="shared" si="221"/>
        <v>51682</v>
      </c>
      <c r="AV85" s="312">
        <f t="shared" si="221"/>
        <v>52047</v>
      </c>
      <c r="AW85" s="312">
        <f t="shared" si="221"/>
        <v>52412</v>
      </c>
      <c r="AX85" s="312">
        <f t="shared" si="221"/>
        <v>52778</v>
      </c>
      <c r="AY85" s="312">
        <f t="shared" si="221"/>
        <v>53143</v>
      </c>
      <c r="AZ85" s="312">
        <f t="shared" si="221"/>
        <v>53508</v>
      </c>
      <c r="BA85" s="312">
        <f t="shared" si="221"/>
        <v>53873</v>
      </c>
      <c r="BB85" s="312">
        <f t="shared" si="221"/>
        <v>54239</v>
      </c>
      <c r="BC85" s="312">
        <f t="shared" si="221"/>
        <v>54604</v>
      </c>
      <c r="BD85" s="312">
        <f t="shared" si="221"/>
        <v>54969</v>
      </c>
      <c r="BE85" s="312">
        <f t="shared" si="221"/>
        <v>55334</v>
      </c>
      <c r="BF85" s="312">
        <f t="shared" si="221"/>
        <v>55700</v>
      </c>
      <c r="BG85" s="312">
        <f t="shared" si="221"/>
        <v>56065</v>
      </c>
      <c r="BH85" s="312">
        <f t="shared" si="221"/>
        <v>56430</v>
      </c>
      <c r="BI85" s="312">
        <f t="shared" si="221"/>
        <v>56795</v>
      </c>
      <c r="BJ85" s="312">
        <f t="shared" si="221"/>
        <v>57161</v>
      </c>
      <c r="BK85" s="312">
        <f t="shared" si="221"/>
        <v>57526</v>
      </c>
      <c r="BL85" s="312">
        <f t="shared" si="221"/>
        <v>57891</v>
      </c>
      <c r="BM85" s="312">
        <f t="shared" si="221"/>
        <v>58256</v>
      </c>
      <c r="BN85" s="312">
        <f t="shared" si="221"/>
        <v>58622</v>
      </c>
      <c r="BO85" s="312">
        <f t="shared" si="221"/>
        <v>58987</v>
      </c>
      <c r="BP85" s="312">
        <f t="shared" si="221"/>
        <v>59352</v>
      </c>
      <c r="BQ85" s="312">
        <f t="shared" si="221"/>
        <v>59717</v>
      </c>
      <c r="BR85" s="312">
        <f t="shared" ref="BR85:CP85" si="222">Fiscal_Year</f>
        <v>60083</v>
      </c>
      <c r="BS85" s="312">
        <f t="shared" si="222"/>
        <v>60448</v>
      </c>
      <c r="BT85" s="312">
        <f t="shared" si="222"/>
        <v>60813</v>
      </c>
      <c r="BU85" s="312">
        <f t="shared" si="222"/>
        <v>61178</v>
      </c>
      <c r="BV85" s="312">
        <f t="shared" si="222"/>
        <v>61544</v>
      </c>
      <c r="BW85" s="312">
        <f t="shared" si="222"/>
        <v>61909</v>
      </c>
      <c r="BX85" s="312">
        <f t="shared" si="222"/>
        <v>62274</v>
      </c>
      <c r="BY85" s="312">
        <f t="shared" si="222"/>
        <v>62639</v>
      </c>
      <c r="BZ85" s="312">
        <f t="shared" si="222"/>
        <v>63005</v>
      </c>
      <c r="CA85" s="312">
        <f t="shared" si="222"/>
        <v>63370</v>
      </c>
      <c r="CB85" s="312">
        <f t="shared" si="222"/>
        <v>63735</v>
      </c>
      <c r="CC85" s="312">
        <f t="shared" si="222"/>
        <v>64100</v>
      </c>
      <c r="CD85" s="312">
        <f t="shared" si="222"/>
        <v>64466</v>
      </c>
      <c r="CE85" s="312">
        <f t="shared" si="222"/>
        <v>64831</v>
      </c>
      <c r="CF85" s="312">
        <f t="shared" si="222"/>
        <v>65196</v>
      </c>
      <c r="CG85" s="312">
        <f t="shared" si="222"/>
        <v>65561</v>
      </c>
      <c r="CH85" s="312">
        <f t="shared" si="222"/>
        <v>65927</v>
      </c>
      <c r="CI85" s="312">
        <f t="shared" si="222"/>
        <v>66292</v>
      </c>
      <c r="CJ85" s="312">
        <f t="shared" si="222"/>
        <v>66657</v>
      </c>
      <c r="CK85" s="312">
        <f t="shared" si="222"/>
        <v>67022</v>
      </c>
      <c r="CL85" s="312">
        <f t="shared" si="222"/>
        <v>67388</v>
      </c>
      <c r="CM85" s="312">
        <f t="shared" si="222"/>
        <v>67753</v>
      </c>
      <c r="CN85" s="312">
        <f t="shared" si="222"/>
        <v>68118</v>
      </c>
      <c r="CO85" s="312">
        <f t="shared" si="222"/>
        <v>68483</v>
      </c>
      <c r="CP85" s="312">
        <f t="shared" si="222"/>
        <v>68849</v>
      </c>
      <c r="CQ85" s="362" t="s">
        <v>77</v>
      </c>
      <c r="CR85" s="8"/>
      <c r="CS85" s="8"/>
      <c r="CT85" s="8"/>
      <c r="CU85"/>
      <c r="CV85"/>
      <c r="CW85"/>
      <c r="CX85"/>
      <c r="CY85"/>
      <c r="CZ85"/>
      <c r="DB85" s="728" t="s">
        <v>86</v>
      </c>
      <c r="DC85" s="8"/>
      <c r="DD85" s="312">
        <f t="shared" ref="DD85:DQ85" si="223">+DD$3</f>
        <v>40908</v>
      </c>
      <c r="DE85" s="312">
        <f t="shared" si="223"/>
        <v>41090</v>
      </c>
      <c r="DF85" s="312">
        <f t="shared" si="223"/>
        <v>41274</v>
      </c>
      <c r="DG85" s="312">
        <f t="shared" si="223"/>
        <v>41455</v>
      </c>
      <c r="DH85" s="312">
        <f t="shared" si="223"/>
        <v>41639</v>
      </c>
      <c r="DI85" s="312">
        <f t="shared" si="223"/>
        <v>41820</v>
      </c>
      <c r="DJ85" s="312">
        <f t="shared" si="223"/>
        <v>42004</v>
      </c>
      <c r="DK85" s="312">
        <f t="shared" si="223"/>
        <v>42185</v>
      </c>
      <c r="DL85" s="312">
        <f t="shared" si="223"/>
        <v>42369</v>
      </c>
      <c r="DM85" s="312">
        <f t="shared" si="223"/>
        <v>42551</v>
      </c>
      <c r="DN85" s="312">
        <f t="shared" si="223"/>
        <v>42735</v>
      </c>
      <c r="DO85" s="312">
        <f t="shared" si="223"/>
        <v>42916</v>
      </c>
      <c r="DP85" s="312">
        <f t="shared" si="223"/>
        <v>43100</v>
      </c>
      <c r="DQ85" s="312">
        <f t="shared" si="223"/>
        <v>43281</v>
      </c>
      <c r="DR85" s="312"/>
      <c r="DS85" s="312"/>
      <c r="DU85" s="370" t="s">
        <v>427</v>
      </c>
      <c r="DV85" s="370" t="s">
        <v>428</v>
      </c>
      <c r="DW85" s="370" t="s">
        <v>429</v>
      </c>
      <c r="DX85" s="370" t="s">
        <v>430</v>
      </c>
      <c r="DY85" s="370" t="s">
        <v>528</v>
      </c>
      <c r="DZ85" s="370" t="s">
        <v>529</v>
      </c>
      <c r="EA85" s="370" t="s">
        <v>674</v>
      </c>
      <c r="EH85" s="409" t="s">
        <v>430</v>
      </c>
      <c r="EI85" s="409" t="s">
        <v>528</v>
      </c>
      <c r="EJ85" s="409" t="s">
        <v>529</v>
      </c>
    </row>
    <row r="86" spans="1:140" ht="5.0999999999999996" customHeight="1" x14ac:dyDescent="0.2">
      <c r="B86" s="107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362" t="s">
        <v>77</v>
      </c>
      <c r="DB86" s="107"/>
      <c r="DD86" s="108"/>
      <c r="DE86" s="108"/>
      <c r="DF86" s="108"/>
      <c r="DG86" s="108"/>
      <c r="DH86" s="108"/>
      <c r="DI86" s="108"/>
      <c r="DJ86" s="108"/>
      <c r="DK86" s="108"/>
      <c r="DU86" s="413"/>
      <c r="DV86" s="413"/>
    </row>
    <row r="87" spans="1:140" ht="11.25" customHeight="1" outlineLevel="1" x14ac:dyDescent="0.2">
      <c r="B87" s="18" t="s">
        <v>255</v>
      </c>
      <c r="C87" s="435"/>
      <c r="D87" s="436"/>
      <c r="E87" s="436"/>
      <c r="F87" s="436"/>
      <c r="G87" s="436"/>
      <c r="H87" s="436"/>
      <c r="I87" s="436"/>
      <c r="J87" s="436"/>
      <c r="K87" s="436" t="s">
        <v>78</v>
      </c>
      <c r="L87" s="436" t="s">
        <v>78</v>
      </c>
      <c r="M87" s="436">
        <f t="shared" ref="M87:BD87" si="224">+M23</f>
        <v>394.07600000000002</v>
      </c>
      <c r="N87" s="436">
        <f t="shared" si="224"/>
        <v>490.62399999999997</v>
      </c>
      <c r="O87" s="436">
        <f t="shared" si="224"/>
        <v>543.62800000000004</v>
      </c>
      <c r="P87" s="436">
        <f t="shared" si="224"/>
        <v>566.22099999999989</v>
      </c>
      <c r="Q87" s="436">
        <f t="shared" si="224"/>
        <v>545.11599999999999</v>
      </c>
      <c r="R87" s="436">
        <f t="shared" si="224"/>
        <v>609.97400000000005</v>
      </c>
      <c r="S87" s="436">
        <f t="shared" si="224"/>
        <v>741.47599999999989</v>
      </c>
      <c r="T87" s="436">
        <f t="shared" si="224"/>
        <v>824.0693</v>
      </c>
      <c r="U87" s="60">
        <f t="shared" si="224"/>
        <v>987.07999999999993</v>
      </c>
      <c r="V87" s="60">
        <f t="shared" si="224"/>
        <v>1528.576</v>
      </c>
      <c r="W87" s="60">
        <f t="shared" si="224"/>
        <v>1772.9920000000002</v>
      </c>
      <c r="X87" s="60">
        <f t="shared" si="224"/>
        <v>1803.0316537922304</v>
      </c>
      <c r="Y87" s="60">
        <f t="shared" si="224"/>
        <v>1896.0880814669135</v>
      </c>
      <c r="Z87" s="60">
        <f t="shared" si="224"/>
        <v>1983.2628102729088</v>
      </c>
      <c r="AA87" s="60">
        <f t="shared" si="224"/>
        <v>1945.5239183286292</v>
      </c>
      <c r="AB87" s="60">
        <f t="shared" si="224"/>
        <v>1983.0214523841412</v>
      </c>
      <c r="AC87" s="60">
        <f t="shared" si="224"/>
        <v>2022.5703602681456</v>
      </c>
      <c r="AD87" s="60">
        <f t="shared" si="224"/>
        <v>2063.1240769022397</v>
      </c>
      <c r="AE87" s="60">
        <f t="shared" si="224"/>
        <v>2091.8051888768464</v>
      </c>
      <c r="AF87" s="60">
        <f t="shared" si="224"/>
        <v>2082.3318294798619</v>
      </c>
      <c r="AG87" s="60">
        <f t="shared" si="224"/>
        <v>2105.4719141801602</v>
      </c>
      <c r="AH87" s="60">
        <f t="shared" si="224"/>
        <v>2147.8051102904769</v>
      </c>
      <c r="AI87" s="60">
        <f t="shared" si="224"/>
        <v>2030.6519298656376</v>
      </c>
      <c r="AJ87" s="60">
        <f t="shared" si="224"/>
        <v>1911.3255443698285</v>
      </c>
      <c r="AK87" s="60">
        <f t="shared" si="224"/>
        <v>1906.2715450895396</v>
      </c>
      <c r="AL87" s="60">
        <f t="shared" si="224"/>
        <v>1943.5747991343239</v>
      </c>
      <c r="AM87" s="60">
        <f t="shared" si="224"/>
        <v>1981.7078334604421</v>
      </c>
      <c r="AN87" s="60">
        <f t="shared" si="224"/>
        <v>2007.8018755078983</v>
      </c>
      <c r="AO87" s="60">
        <f t="shared" si="224"/>
        <v>1986.9472340944749</v>
      </c>
      <c r="AP87" s="60">
        <f t="shared" si="224"/>
        <v>1445.3709375412752</v>
      </c>
      <c r="AQ87" s="60">
        <f t="shared" si="224"/>
        <v>1474.4890208965967</v>
      </c>
      <c r="AR87" s="60">
        <f t="shared" si="224"/>
        <v>1354.4097423515611</v>
      </c>
      <c r="AS87" s="60">
        <f t="shared" si="224"/>
        <v>1192.0950337281026</v>
      </c>
      <c r="AT87" s="60">
        <f t="shared" si="224"/>
        <v>1173.5170218463845</v>
      </c>
      <c r="AU87" s="60">
        <f t="shared" si="224"/>
        <v>1199.5252709493643</v>
      </c>
      <c r="AV87" s="60">
        <f t="shared" si="224"/>
        <v>1226.151999600419</v>
      </c>
      <c r="AW87" s="60">
        <f t="shared" si="224"/>
        <v>1179.799046439894</v>
      </c>
      <c r="AX87" s="60">
        <f t="shared" si="224"/>
        <v>1205.951606624996</v>
      </c>
      <c r="AY87" s="60">
        <f t="shared" si="224"/>
        <v>1232.7228944526619</v>
      </c>
      <c r="AZ87" s="60">
        <f t="shared" si="224"/>
        <v>1260.1261871210525</v>
      </c>
      <c r="BA87" s="60">
        <f t="shared" si="224"/>
        <v>1020.5085713927334</v>
      </c>
      <c r="BB87" s="60">
        <f t="shared" si="224"/>
        <v>1042.8645405179279</v>
      </c>
      <c r="BC87" s="60">
        <f t="shared" si="224"/>
        <v>1065.7459709863347</v>
      </c>
      <c r="BD87" s="60">
        <f t="shared" si="224"/>
        <v>1089.1659955046093</v>
      </c>
      <c r="BE87" s="60">
        <f t="shared" ref="BE87:CP87" si="225">+BE23</f>
        <v>1113.1379894555432</v>
      </c>
      <c r="BF87" s="60">
        <f t="shared" si="225"/>
        <v>1137.6715977803376</v>
      </c>
      <c r="BG87" s="60">
        <f t="shared" si="225"/>
        <v>1162.7838531346811</v>
      </c>
      <c r="BH87" s="60">
        <f t="shared" si="225"/>
        <v>1188.4829702305169</v>
      </c>
      <c r="BI87" s="60">
        <f t="shared" si="225"/>
        <v>1214.7875756815165</v>
      </c>
      <c r="BJ87" s="60">
        <f t="shared" si="225"/>
        <v>1241.7070431725294</v>
      </c>
      <c r="BK87" s="60">
        <f t="shared" si="225"/>
        <v>1269.2591325260671</v>
      </c>
      <c r="BL87" s="60">
        <f t="shared" si="225"/>
        <v>1297.4568859635933</v>
      </c>
      <c r="BM87" s="60">
        <f t="shared" si="225"/>
        <v>1326.3152270301205</v>
      </c>
      <c r="BN87" s="60">
        <f t="shared" si="225"/>
        <v>1355.8488774671123</v>
      </c>
      <c r="BO87" s="60">
        <f t="shared" si="225"/>
        <v>1386.0739666330633</v>
      </c>
      <c r="BP87" s="60">
        <f t="shared" si="225"/>
        <v>1417.0064690053409</v>
      </c>
      <c r="BQ87" s="60">
        <f t="shared" si="225"/>
        <v>1448.6627329967662</v>
      </c>
      <c r="BR87" s="60">
        <f t="shared" si="225"/>
        <v>1481.0584796013043</v>
      </c>
      <c r="BS87" s="60">
        <f t="shared" si="225"/>
        <v>1452.227279496039</v>
      </c>
      <c r="BT87" s="60">
        <f t="shared" si="225"/>
        <v>1431.3764785155433</v>
      </c>
      <c r="BU87" s="60">
        <f t="shared" si="225"/>
        <v>1463.3243652382967</v>
      </c>
      <c r="BV87" s="60">
        <f t="shared" si="225"/>
        <v>1496.0178159806969</v>
      </c>
      <c r="BW87" s="60">
        <f t="shared" si="225"/>
        <v>1529.4735500879704</v>
      </c>
      <c r="BX87" s="60">
        <f t="shared" si="225"/>
        <v>1563.7101997127008</v>
      </c>
      <c r="BY87" s="60">
        <f t="shared" si="225"/>
        <v>1598.7427686327351</v>
      </c>
      <c r="BZ87" s="60">
        <f t="shared" si="225"/>
        <v>1634.593243153982</v>
      </c>
      <c r="CA87" s="60">
        <f t="shared" si="225"/>
        <v>1671.2784906325023</v>
      </c>
      <c r="CB87" s="60">
        <f t="shared" si="225"/>
        <v>1708.8203607130338</v>
      </c>
      <c r="CC87" s="60">
        <f t="shared" si="225"/>
        <v>1739.6035984013795</v>
      </c>
      <c r="CD87" s="60">
        <f t="shared" si="225"/>
        <v>1694.6628643638026</v>
      </c>
      <c r="CE87" s="60">
        <f t="shared" si="225"/>
        <v>1732.7054817549779</v>
      </c>
      <c r="CF87" s="60">
        <f t="shared" si="225"/>
        <v>1771.6318118941092</v>
      </c>
      <c r="CG87" s="60">
        <f t="shared" si="225"/>
        <v>1811.4633529911503</v>
      </c>
      <c r="CH87" s="60">
        <f t="shared" si="225"/>
        <v>1028.9238189170669</v>
      </c>
      <c r="CI87" s="60">
        <f t="shared" si="225"/>
        <v>1051.0752593215354</v>
      </c>
      <c r="CJ87" s="60">
        <f t="shared" si="225"/>
        <v>1073.7328489883676</v>
      </c>
      <c r="CK87" s="60">
        <f t="shared" si="225"/>
        <v>1096.9064783857407</v>
      </c>
      <c r="CL87" s="60">
        <f t="shared" si="225"/>
        <v>1120.6068414897682</v>
      </c>
      <c r="CM87" s="60">
        <f t="shared" si="225"/>
        <v>1144.8468811271889</v>
      </c>
      <c r="CN87" s="60">
        <f t="shared" si="225"/>
        <v>1169.6393357017628</v>
      </c>
      <c r="CO87" s="60">
        <f t="shared" si="225"/>
        <v>1194.9977354448438</v>
      </c>
      <c r="CP87" s="60">
        <f t="shared" si="225"/>
        <v>1171.3723472566896</v>
      </c>
      <c r="CQ87" s="362" t="s">
        <v>77</v>
      </c>
      <c r="DB87" s="18" t="s">
        <v>255</v>
      </c>
      <c r="DC87" s="435"/>
      <c r="DD87" s="437">
        <f t="shared" ref="DD87:DO87" si="226">+DD23</f>
        <v>309.39999999999998</v>
      </c>
      <c r="DE87" s="437">
        <f t="shared" si="226"/>
        <v>300.57400000000001</v>
      </c>
      <c r="DF87" s="437">
        <f t="shared" si="226"/>
        <v>373.17</v>
      </c>
      <c r="DG87" s="437">
        <f t="shared" si="226"/>
        <v>368.30599999999998</v>
      </c>
      <c r="DH87" s="437">
        <f t="shared" si="226"/>
        <v>414.53200000000004</v>
      </c>
      <c r="DI87" s="60">
        <f t="shared" si="226"/>
        <v>409.53730000000007</v>
      </c>
      <c r="DJ87" s="60">
        <f t="shared" si="226"/>
        <v>471.84599999999995</v>
      </c>
      <c r="DK87" s="60">
        <f t="shared" si="226"/>
        <v>515.23400000000004</v>
      </c>
      <c r="DL87" s="60">
        <f t="shared" si="226"/>
        <v>740.9</v>
      </c>
      <c r="DM87" s="60">
        <f t="shared" si="226"/>
        <v>787.67599999999993</v>
      </c>
      <c r="DN87" s="60">
        <f>+DN23</f>
        <v>901.84399999999994</v>
      </c>
      <c r="DO87" s="60">
        <f t="shared" si="226"/>
        <v>871.14800000000014</v>
      </c>
      <c r="DP87" s="60">
        <f>+DP23</f>
        <v>899.57</v>
      </c>
      <c r="DQ87" s="60"/>
      <c r="DR87" s="60"/>
      <c r="DS87" s="60"/>
      <c r="DU87" s="413">
        <f t="shared" ref="DU87:DU117" si="227">+(DD87/(DD87+DE87))</f>
        <v>0.50723473459524504</v>
      </c>
      <c r="DV87" s="413">
        <f t="shared" ref="DV87:DV117" si="228">+(DF87/(DF87+DG87))</f>
        <v>0.50327994432726075</v>
      </c>
      <c r="DW87" s="413">
        <f t="shared" ref="DW87:DW117" si="229">+(DH87/(DH87+DI87))</f>
        <v>0.50303050969135721</v>
      </c>
      <c r="DX87" s="413">
        <f t="shared" ref="DX87:DX105" si="230">+(DJ87/(DJ87+DK87))</f>
        <v>0.47802204481906224</v>
      </c>
      <c r="DY87" s="413">
        <f t="shared" ref="DY87:DY97" si="231">+(DL87/(DL87+DM87))</f>
        <v>0.48469948501088594</v>
      </c>
      <c r="DZ87" s="413">
        <f t="shared" ref="DZ87:DZ123" si="232">+(DN87/(DN87+DO87))</f>
        <v>0.50865655344186544</v>
      </c>
      <c r="EH87" s="411" t="b">
        <f>ROUND(U87,1)=ROUND(SUM(DJ87:DK87),1)</f>
        <v>1</v>
      </c>
      <c r="EI87" s="411" t="b">
        <f>ROUND(V87,1)=ROUND(SUM(DL87:DM87),1)</f>
        <v>1</v>
      </c>
      <c r="EJ87" s="411" t="b">
        <f t="shared" ref="EJ87:EJ123" si="233">ROUND(W87,1)=ROUND(SUM(DN87:DO87),1)</f>
        <v>1</v>
      </c>
    </row>
    <row r="88" spans="1:140" ht="11.25" customHeight="1" outlineLevel="1" x14ac:dyDescent="0.2">
      <c r="B88" s="18" t="s">
        <v>275</v>
      </c>
      <c r="C88" s="435"/>
      <c r="D88" s="436"/>
      <c r="E88" s="436"/>
      <c r="F88" s="436"/>
      <c r="G88" s="436"/>
      <c r="H88" s="436"/>
      <c r="I88" s="436"/>
      <c r="J88" s="436"/>
      <c r="K88" s="436" t="s">
        <v>78</v>
      </c>
      <c r="L88" s="436" t="s">
        <v>78</v>
      </c>
      <c r="M88" s="436">
        <f t="shared" ref="M88:BD88" si="234">+M30</f>
        <v>27.949000000000002</v>
      </c>
      <c r="N88" s="436">
        <f t="shared" si="234"/>
        <v>110.97399999999999</v>
      </c>
      <c r="O88" s="436">
        <f t="shared" si="234"/>
        <v>72.194000000000003</v>
      </c>
      <c r="P88" s="436">
        <f t="shared" si="234"/>
        <v>79.460999999999999</v>
      </c>
      <c r="Q88" s="436">
        <f t="shared" si="234"/>
        <v>95.768000000000001</v>
      </c>
      <c r="R88" s="436">
        <f t="shared" si="234"/>
        <v>111.04300000000001</v>
      </c>
      <c r="S88" s="436">
        <f t="shared" si="234"/>
        <v>133.47300000000001</v>
      </c>
      <c r="T88" s="436">
        <f t="shared" si="234"/>
        <v>167.304</v>
      </c>
      <c r="U88" s="60">
        <f t="shared" si="234"/>
        <v>106.84</v>
      </c>
      <c r="V88" s="60">
        <f t="shared" si="234"/>
        <v>123.70100000000001</v>
      </c>
      <c r="W88" s="60">
        <f t="shared" si="234"/>
        <v>110.80600000000001</v>
      </c>
      <c r="X88" s="60">
        <f t="shared" si="234"/>
        <v>113.57615</v>
      </c>
      <c r="Y88" s="60">
        <f t="shared" si="234"/>
        <v>115.97263074999999</v>
      </c>
      <c r="Z88" s="60">
        <f t="shared" si="234"/>
        <v>118.42016505874999</v>
      </c>
      <c r="AA88" s="60">
        <f t="shared" si="234"/>
        <v>120.91985209601873</v>
      </c>
      <c r="AB88" s="60">
        <f t="shared" si="234"/>
        <v>123.4728149674352</v>
      </c>
      <c r="AC88" s="60">
        <f t="shared" si="234"/>
        <v>126.0802012420174</v>
      </c>
      <c r="AD88" s="60">
        <f t="shared" si="234"/>
        <v>128.74318349147208</v>
      </c>
      <c r="AE88" s="60">
        <f t="shared" si="234"/>
        <v>131.46295984153119</v>
      </c>
      <c r="AF88" s="60">
        <f t="shared" si="234"/>
        <v>134.24075453559726</v>
      </c>
      <c r="AG88" s="60">
        <f t="shared" si="234"/>
        <v>137.07781851097553</v>
      </c>
      <c r="AH88" s="60">
        <f t="shared" si="234"/>
        <v>139.975429987978</v>
      </c>
      <c r="AI88" s="60">
        <f t="shared" si="234"/>
        <v>142.9348950721901</v>
      </c>
      <c r="AJ88" s="60">
        <f t="shared" si="234"/>
        <v>145.95754837019777</v>
      </c>
      <c r="AK88" s="60">
        <f t="shared" si="234"/>
        <v>149.0447536190797</v>
      </c>
      <c r="AL88" s="60">
        <f t="shared" si="234"/>
        <v>152.19790432997621</v>
      </c>
      <c r="AM88" s="60">
        <f t="shared" si="234"/>
        <v>155.41842444605351</v>
      </c>
      <c r="AN88" s="60">
        <f t="shared" si="234"/>
        <v>158.70776901518929</v>
      </c>
      <c r="AO88" s="60">
        <f t="shared" si="234"/>
        <v>162.06742487771317</v>
      </c>
      <c r="AP88" s="60">
        <f t="shared" si="234"/>
        <v>165.49891136954304</v>
      </c>
      <c r="AQ88" s="60">
        <f t="shared" si="234"/>
        <v>169.00378104106639</v>
      </c>
      <c r="AR88" s="60">
        <f t="shared" si="234"/>
        <v>172.58362039212352</v>
      </c>
      <c r="AS88" s="60">
        <f t="shared" si="234"/>
        <v>176.24005062345768</v>
      </c>
      <c r="AT88" s="60">
        <f t="shared" si="234"/>
        <v>179.97472840500581</v>
      </c>
      <c r="AU88" s="60">
        <f t="shared" si="234"/>
        <v>183.78934666141186</v>
      </c>
      <c r="AV88" s="60">
        <f t="shared" si="234"/>
        <v>187.68563537515371</v>
      </c>
      <c r="AW88" s="60">
        <f t="shared" si="234"/>
        <v>191.66536240768323</v>
      </c>
      <c r="AX88" s="60">
        <f t="shared" si="234"/>
        <v>195.730334338989</v>
      </c>
      <c r="AY88" s="60">
        <f t="shared" si="234"/>
        <v>199.8823973259997</v>
      </c>
      <c r="AZ88" s="60">
        <f t="shared" si="234"/>
        <v>204.1234379802564</v>
      </c>
      <c r="BA88" s="60">
        <f t="shared" si="234"/>
        <v>208.45538426529163</v>
      </c>
      <c r="BB88" s="60">
        <f t="shared" si="234"/>
        <v>212.8802064141633</v>
      </c>
      <c r="BC88" s="60">
        <f t="shared" si="234"/>
        <v>217.39991786760157</v>
      </c>
      <c r="BD88" s="60">
        <f t="shared" si="234"/>
        <v>222.01657623323749</v>
      </c>
      <c r="BE88" s="60">
        <f t="shared" ref="BE88:CP88" si="235">+BE30</f>
        <v>226.73228426639321</v>
      </c>
      <c r="BF88" s="60">
        <f t="shared" si="235"/>
        <v>231.54919087292433</v>
      </c>
      <c r="BG88" s="60">
        <f t="shared" si="235"/>
        <v>236.46949213461613</v>
      </c>
      <c r="BH88" s="60">
        <f t="shared" si="235"/>
        <v>241.49543235764764</v>
      </c>
      <c r="BI88" s="60">
        <f t="shared" si="235"/>
        <v>246.62930514464824</v>
      </c>
      <c r="BJ88" s="60">
        <f t="shared" si="235"/>
        <v>251.87345449088502</v>
      </c>
      <c r="BK88" s="60">
        <f t="shared" si="235"/>
        <v>257.23027590513016</v>
      </c>
      <c r="BL88" s="60">
        <f t="shared" si="235"/>
        <v>262.70221755577086</v>
      </c>
      <c r="BM88" s="60">
        <f t="shared" si="235"/>
        <v>268.29178144273789</v>
      </c>
      <c r="BN88" s="60">
        <f t="shared" si="235"/>
        <v>274.00152459584046</v>
      </c>
      <c r="BO88" s="60">
        <f t="shared" si="235"/>
        <v>279.83406030011133</v>
      </c>
      <c r="BP88" s="60">
        <f t="shared" si="235"/>
        <v>285.79205934877649</v>
      </c>
      <c r="BQ88" s="60">
        <f t="shared" si="235"/>
        <v>291.87825132448148</v>
      </c>
      <c r="BR88" s="60">
        <f t="shared" si="235"/>
        <v>298.09542590941885</v>
      </c>
      <c r="BS88" s="60">
        <f t="shared" si="235"/>
        <v>304.44643422501611</v>
      </c>
      <c r="BT88" s="60">
        <f t="shared" si="235"/>
        <v>310.93419020186059</v>
      </c>
      <c r="BU88" s="60">
        <f t="shared" si="235"/>
        <v>317.5616719805505</v>
      </c>
      <c r="BV88" s="60">
        <f t="shared" si="235"/>
        <v>324.33192334418061</v>
      </c>
      <c r="BW88" s="60">
        <f t="shared" si="235"/>
        <v>331.24805518318374</v>
      </c>
      <c r="BX88" s="60">
        <f t="shared" si="235"/>
        <v>338.3132469932699</v>
      </c>
      <c r="BY88" s="60">
        <f t="shared" si="235"/>
        <v>345.53074840721837</v>
      </c>
      <c r="BZ88" s="60">
        <f t="shared" si="235"/>
        <v>352.90388076129784</v>
      </c>
      <c r="CA88" s="60">
        <f t="shared" si="235"/>
        <v>360.43603869710739</v>
      </c>
      <c r="CB88" s="60">
        <f t="shared" si="235"/>
        <v>368.13069179964759</v>
      </c>
      <c r="CC88" s="60">
        <f t="shared" si="235"/>
        <v>375.99138627245367</v>
      </c>
      <c r="CD88" s="60">
        <f t="shared" si="235"/>
        <v>384.02174665063615</v>
      </c>
      <c r="CE88" s="60">
        <f t="shared" si="235"/>
        <v>392.22547755270062</v>
      </c>
      <c r="CF88" s="60">
        <f t="shared" si="235"/>
        <v>400.60636547203262</v>
      </c>
      <c r="CG88" s="60">
        <f t="shared" si="235"/>
        <v>409.1682806089583</v>
      </c>
      <c r="CH88" s="60">
        <f t="shared" si="235"/>
        <v>417.91517874430951</v>
      </c>
      <c r="CI88" s="60">
        <f t="shared" si="235"/>
        <v>426.85110315544716</v>
      </c>
      <c r="CJ88" s="60">
        <f t="shared" si="235"/>
        <v>435.98018657571379</v>
      </c>
      <c r="CK88" s="60">
        <f t="shared" si="235"/>
        <v>445.30665319831468</v>
      </c>
      <c r="CL88" s="60">
        <f t="shared" si="235"/>
        <v>454.83482072564476</v>
      </c>
      <c r="CM88" s="60">
        <f t="shared" si="235"/>
        <v>464.56910246510557</v>
      </c>
      <c r="CN88" s="60">
        <f t="shared" si="235"/>
        <v>474.5140094724793</v>
      </c>
      <c r="CO88" s="60">
        <f t="shared" si="235"/>
        <v>484.67415274395228</v>
      </c>
      <c r="CP88" s="60">
        <f t="shared" si="235"/>
        <v>495.05424545790527</v>
      </c>
      <c r="CQ88" s="362" t="s">
        <v>77</v>
      </c>
      <c r="DB88" s="18" t="s">
        <v>275</v>
      </c>
      <c r="DC88" s="435"/>
      <c r="DD88" s="437">
        <f t="shared" ref="DD88:DO88" si="236">+DD30</f>
        <v>57.037999999999997</v>
      </c>
      <c r="DE88" s="437">
        <f t="shared" si="236"/>
        <v>54.00500000000001</v>
      </c>
      <c r="DF88" s="437">
        <f t="shared" si="236"/>
        <v>68.402999999999992</v>
      </c>
      <c r="DG88" s="437">
        <f t="shared" si="236"/>
        <v>65.070000000000007</v>
      </c>
      <c r="DH88" s="437">
        <f t="shared" si="236"/>
        <v>94.448999999999998</v>
      </c>
      <c r="DI88" s="60">
        <f t="shared" si="236"/>
        <v>72.855000000000004</v>
      </c>
      <c r="DJ88" s="60">
        <f t="shared" si="236"/>
        <v>46.067</v>
      </c>
      <c r="DK88" s="60">
        <f t="shared" si="236"/>
        <v>60.772999999999996</v>
      </c>
      <c r="DL88" s="60">
        <f t="shared" si="236"/>
        <v>69.376000000000005</v>
      </c>
      <c r="DM88" s="60">
        <f t="shared" si="236"/>
        <v>54.32500000000001</v>
      </c>
      <c r="DN88" s="60">
        <f t="shared" si="236"/>
        <v>51.706999999999994</v>
      </c>
      <c r="DO88" s="60">
        <f t="shared" si="236"/>
        <v>59.099000000000011</v>
      </c>
      <c r="DP88" s="60">
        <f t="shared" ref="DP88" si="237">+DP30</f>
        <v>51.469000000000001</v>
      </c>
      <c r="DQ88" s="60"/>
      <c r="DR88" s="60"/>
      <c r="DS88" s="60"/>
      <c r="DU88" s="413">
        <f t="shared" si="227"/>
        <v>0.51365687166232898</v>
      </c>
      <c r="DV88" s="413">
        <f t="shared" si="228"/>
        <v>0.51248567125935574</v>
      </c>
      <c r="DW88" s="413">
        <f t="shared" si="229"/>
        <v>0.56453521732893419</v>
      </c>
      <c r="DX88" s="413">
        <f t="shared" si="230"/>
        <v>0.43117746162485959</v>
      </c>
      <c r="DY88" s="413">
        <f t="shared" si="231"/>
        <v>0.56083620989321015</v>
      </c>
      <c r="DZ88" s="413">
        <f t="shared" si="232"/>
        <v>0.46664440553760617</v>
      </c>
      <c r="EH88" s="411" t="b">
        <f t="shared" ref="EH88:EH123" si="238">ROUND(U88,1)=ROUND(SUM(DJ88:DK88),1)</f>
        <v>1</v>
      </c>
      <c r="EI88" s="411" t="b">
        <f t="shared" ref="EI88:EI123" si="239">ROUND(V88,1)=ROUND(SUM(DL88:DM88),1)</f>
        <v>1</v>
      </c>
      <c r="EJ88" s="411" t="b">
        <f t="shared" si="233"/>
        <v>1</v>
      </c>
    </row>
    <row r="89" spans="1:140" ht="11.25" customHeight="1" outlineLevel="1" x14ac:dyDescent="0.2">
      <c r="B89" s="18" t="s">
        <v>216</v>
      </c>
      <c r="C89" s="435"/>
      <c r="D89" s="436"/>
      <c r="E89" s="436"/>
      <c r="F89" s="436"/>
      <c r="G89" s="436"/>
      <c r="H89" s="436"/>
      <c r="I89" s="436"/>
      <c r="J89" s="436"/>
      <c r="K89" s="436" t="s">
        <v>78</v>
      </c>
      <c r="L89" s="436" t="s">
        <v>78</v>
      </c>
      <c r="M89" s="436">
        <f t="shared" ref="M89:BD89" si="240">+M34</f>
        <v>110.675</v>
      </c>
      <c r="N89" s="436">
        <f t="shared" si="240"/>
        <v>280.13100000000003</v>
      </c>
      <c r="O89" s="436">
        <f t="shared" si="240"/>
        <v>328.59399999999999</v>
      </c>
      <c r="P89" s="436">
        <f t="shared" si="240"/>
        <v>343.80799999999999</v>
      </c>
      <c r="Q89" s="436">
        <f t="shared" si="240"/>
        <v>461.10500000000002</v>
      </c>
      <c r="R89" s="436">
        <f t="shared" si="240"/>
        <v>339.64499999999998</v>
      </c>
      <c r="S89" s="436">
        <f t="shared" si="240"/>
        <v>397.31799999999998</v>
      </c>
      <c r="T89" s="436">
        <f t="shared" si="240"/>
        <v>404.61899999999997</v>
      </c>
      <c r="U89" s="60">
        <f t="shared" si="240"/>
        <v>459.69499999999999</v>
      </c>
      <c r="V89" s="60">
        <f t="shared" si="240"/>
        <v>442.02699999999999</v>
      </c>
      <c r="W89" s="60">
        <f t="shared" si="240"/>
        <v>442.62200000000001</v>
      </c>
      <c r="X89" s="60">
        <f t="shared" si="240"/>
        <v>451.49684999999999</v>
      </c>
      <c r="Y89" s="60">
        <f t="shared" si="240"/>
        <v>462.78427124999996</v>
      </c>
      <c r="Z89" s="60">
        <f t="shared" si="240"/>
        <v>474.35387803124996</v>
      </c>
      <c r="AA89" s="60">
        <f t="shared" si="240"/>
        <v>486.21272498203115</v>
      </c>
      <c r="AB89" s="60">
        <f t="shared" si="240"/>
        <v>498.36804310658192</v>
      </c>
      <c r="AC89" s="60">
        <f t="shared" si="240"/>
        <v>510.82724418424641</v>
      </c>
      <c r="AD89" s="60">
        <f t="shared" si="240"/>
        <v>523.59792528885259</v>
      </c>
      <c r="AE89" s="60">
        <f t="shared" si="240"/>
        <v>536.68787342107385</v>
      </c>
      <c r="AF89" s="60">
        <f t="shared" si="240"/>
        <v>550.10507025660058</v>
      </c>
      <c r="AG89" s="60">
        <f t="shared" si="240"/>
        <v>563.85769701301558</v>
      </c>
      <c r="AH89" s="60">
        <f t="shared" si="240"/>
        <v>577.95413943834092</v>
      </c>
      <c r="AI89" s="60">
        <f t="shared" si="240"/>
        <v>592.40299292429938</v>
      </c>
      <c r="AJ89" s="60">
        <f t="shared" si="240"/>
        <v>607.21306774740685</v>
      </c>
      <c r="AK89" s="60">
        <f t="shared" si="240"/>
        <v>622.39339444109191</v>
      </c>
      <c r="AL89" s="60">
        <f t="shared" si="240"/>
        <v>637.95322930211921</v>
      </c>
      <c r="AM89" s="60">
        <f t="shared" si="240"/>
        <v>653.90206003467199</v>
      </c>
      <c r="AN89" s="60">
        <f t="shared" si="240"/>
        <v>670.24961153553875</v>
      </c>
      <c r="AO89" s="60">
        <f t="shared" si="240"/>
        <v>687.00585182392717</v>
      </c>
      <c r="AP89" s="60">
        <f t="shared" si="240"/>
        <v>704.18099811952527</v>
      </c>
      <c r="AQ89" s="60">
        <f t="shared" si="240"/>
        <v>721.78552307251334</v>
      </c>
      <c r="AR89" s="60">
        <f t="shared" si="240"/>
        <v>739.83016114932616</v>
      </c>
      <c r="AS89" s="60">
        <f t="shared" si="240"/>
        <v>758.32591517805918</v>
      </c>
      <c r="AT89" s="60">
        <f t="shared" si="240"/>
        <v>777.28406305751071</v>
      </c>
      <c r="AU89" s="60">
        <f t="shared" si="240"/>
        <v>796.71616463394844</v>
      </c>
      <c r="AV89" s="60">
        <f t="shared" si="240"/>
        <v>816.63406874979717</v>
      </c>
      <c r="AW89" s="60">
        <f t="shared" si="240"/>
        <v>837.04992046854193</v>
      </c>
      <c r="AX89" s="60">
        <f t="shared" si="240"/>
        <v>857.97616848025541</v>
      </c>
      <c r="AY89" s="60">
        <f t="shared" si="240"/>
        <v>879.42557269226165</v>
      </c>
      <c r="AZ89" s="60">
        <f t="shared" si="240"/>
        <v>901.41121200956809</v>
      </c>
      <c r="BA89" s="60">
        <f t="shared" si="240"/>
        <v>923.94649230980724</v>
      </c>
      <c r="BB89" s="60">
        <f t="shared" si="240"/>
        <v>947.04515461755238</v>
      </c>
      <c r="BC89" s="60">
        <f t="shared" si="240"/>
        <v>970.72128348299111</v>
      </c>
      <c r="BD89" s="60">
        <f t="shared" si="240"/>
        <v>994.98931557006586</v>
      </c>
      <c r="BE89" s="60">
        <f t="shared" ref="BE89:CP89" si="241">+BE34</f>
        <v>1019.8640484593175</v>
      </c>
      <c r="BF89" s="60">
        <f t="shared" si="241"/>
        <v>1045.3606496708003</v>
      </c>
      <c r="BG89" s="60">
        <f t="shared" si="241"/>
        <v>1071.4946659125701</v>
      </c>
      <c r="BH89" s="60">
        <f t="shared" si="241"/>
        <v>1098.2820325603843</v>
      </c>
      <c r="BI89" s="60">
        <f t="shared" si="241"/>
        <v>1125.7390833743939</v>
      </c>
      <c r="BJ89" s="60">
        <f t="shared" si="241"/>
        <v>1153.8825604587537</v>
      </c>
      <c r="BK89" s="60">
        <f t="shared" si="241"/>
        <v>1182.7296244702225</v>
      </c>
      <c r="BL89" s="60">
        <f t="shared" si="241"/>
        <v>1212.297865081978</v>
      </c>
      <c r="BM89" s="60">
        <f t="shared" si="241"/>
        <v>1242.6053117090271</v>
      </c>
      <c r="BN89" s="60">
        <f t="shared" si="241"/>
        <v>1273.6704445017526</v>
      </c>
      <c r="BO89" s="60">
        <f t="shared" si="241"/>
        <v>1305.5122056142966</v>
      </c>
      <c r="BP89" s="60">
        <f t="shared" si="241"/>
        <v>1338.1500107546537</v>
      </c>
      <c r="BQ89" s="60">
        <f t="shared" si="241"/>
        <v>1371.6037610235201</v>
      </c>
      <c r="BR89" s="60">
        <f t="shared" si="241"/>
        <v>1405.893855049108</v>
      </c>
      <c r="BS89" s="60">
        <f t="shared" si="241"/>
        <v>1441.0412014253357</v>
      </c>
      <c r="BT89" s="60">
        <f t="shared" si="241"/>
        <v>1477.0672314609687</v>
      </c>
      <c r="BU89" s="60">
        <f t="shared" si="241"/>
        <v>1513.993912247493</v>
      </c>
      <c r="BV89" s="60">
        <f t="shared" si="241"/>
        <v>1551.8437600536802</v>
      </c>
      <c r="BW89" s="60">
        <f t="shared" si="241"/>
        <v>1590.6398540550222</v>
      </c>
      <c r="BX89" s="60">
        <f t="shared" si="241"/>
        <v>1630.4058504063976</v>
      </c>
      <c r="BY89" s="60">
        <f t="shared" si="241"/>
        <v>1671.1659966665575</v>
      </c>
      <c r="BZ89" s="60">
        <f t="shared" si="241"/>
        <v>1712.9451465832212</v>
      </c>
      <c r="CA89" s="60">
        <f t="shared" si="241"/>
        <v>1755.7687752478016</v>
      </c>
      <c r="CB89" s="60">
        <f t="shared" si="241"/>
        <v>1799.6629946289966</v>
      </c>
      <c r="CC89" s="60">
        <f t="shared" si="241"/>
        <v>1844.6545694947213</v>
      </c>
      <c r="CD89" s="60">
        <f t="shared" si="241"/>
        <v>1890.7709337320891</v>
      </c>
      <c r="CE89" s="60">
        <f t="shared" si="241"/>
        <v>1938.0402070753912</v>
      </c>
      <c r="CF89" s="60">
        <f t="shared" si="241"/>
        <v>1986.4912122522758</v>
      </c>
      <c r="CG89" s="60">
        <f t="shared" si="241"/>
        <v>2036.1534925585825</v>
      </c>
      <c r="CH89" s="60">
        <f t="shared" si="241"/>
        <v>2087.0573298725471</v>
      </c>
      <c r="CI89" s="60">
        <f t="shared" si="241"/>
        <v>2139.2337631193604</v>
      </c>
      <c r="CJ89" s="60">
        <f t="shared" si="241"/>
        <v>2192.7146071973443</v>
      </c>
      <c r="CK89" s="60">
        <f t="shared" si="241"/>
        <v>2247.5324723772778</v>
      </c>
      <c r="CL89" s="60">
        <f t="shared" si="241"/>
        <v>2303.7207841867094</v>
      </c>
      <c r="CM89" s="60">
        <f t="shared" si="241"/>
        <v>2361.3138037913768</v>
      </c>
      <c r="CN89" s="60">
        <f t="shared" si="241"/>
        <v>2420.3466488861613</v>
      </c>
      <c r="CO89" s="60">
        <f t="shared" si="241"/>
        <v>2480.8553151083152</v>
      </c>
      <c r="CP89" s="60">
        <f t="shared" si="241"/>
        <v>2542.8766979860225</v>
      </c>
      <c r="CQ89" s="362" t="s">
        <v>77</v>
      </c>
      <c r="CS89" s="43"/>
      <c r="CT89" s="43"/>
      <c r="DB89" s="18" t="s">
        <v>216</v>
      </c>
      <c r="DC89" s="435"/>
      <c r="DD89" s="437">
        <f t="shared" ref="DD89:DO89" si="242">+DD34</f>
        <v>164.01399999999998</v>
      </c>
      <c r="DE89" s="437">
        <f t="shared" si="242"/>
        <v>175.631</v>
      </c>
      <c r="DF89" s="437">
        <f t="shared" si="242"/>
        <v>183.11500000000001</v>
      </c>
      <c r="DG89" s="437">
        <f t="shared" si="242"/>
        <v>214.20299999999997</v>
      </c>
      <c r="DH89" s="437">
        <f t="shared" si="242"/>
        <v>202.42399999999998</v>
      </c>
      <c r="DI89" s="60">
        <f t="shared" si="242"/>
        <v>202.19499999999999</v>
      </c>
      <c r="DJ89" s="60">
        <f t="shared" si="242"/>
        <v>222.18799999999999</v>
      </c>
      <c r="DK89" s="60">
        <f t="shared" si="242"/>
        <v>237.50700000000001</v>
      </c>
      <c r="DL89" s="60">
        <f t="shared" si="242"/>
        <v>238.80499999999998</v>
      </c>
      <c r="DM89" s="60">
        <f t="shared" si="242"/>
        <v>203.22200000000001</v>
      </c>
      <c r="DN89" s="60">
        <f t="shared" si="242"/>
        <v>225.53399999999999</v>
      </c>
      <c r="DO89" s="60">
        <f t="shared" si="242"/>
        <v>217.08799999999999</v>
      </c>
      <c r="DP89" s="60">
        <f t="shared" ref="DP89" si="243">+DP34</f>
        <v>237.61</v>
      </c>
      <c r="DQ89" s="60"/>
      <c r="DR89" s="60"/>
      <c r="DS89" s="60"/>
      <c r="DU89" s="413">
        <f t="shared" si="227"/>
        <v>0.48289832030502433</v>
      </c>
      <c r="DV89" s="413">
        <f t="shared" si="228"/>
        <v>0.46087768487710101</v>
      </c>
      <c r="DW89" s="413">
        <f t="shared" si="229"/>
        <v>0.50028298226232581</v>
      </c>
      <c r="DX89" s="413">
        <f t="shared" si="230"/>
        <v>0.48333786532374723</v>
      </c>
      <c r="DY89" s="413">
        <f t="shared" si="231"/>
        <v>0.54024980374502007</v>
      </c>
      <c r="DZ89" s="413">
        <f t="shared" si="232"/>
        <v>0.50954087234705914</v>
      </c>
      <c r="EH89" s="411" t="b">
        <f t="shared" si="238"/>
        <v>1</v>
      </c>
      <c r="EI89" s="411" t="b">
        <f t="shared" si="239"/>
        <v>1</v>
      </c>
      <c r="EJ89" s="411" t="b">
        <f t="shared" si="233"/>
        <v>1</v>
      </c>
    </row>
    <row r="90" spans="1:140" ht="11.25" customHeight="1" outlineLevel="1" x14ac:dyDescent="0.2">
      <c r="B90" s="1" t="s">
        <v>12</v>
      </c>
      <c r="D90" s="3"/>
      <c r="E90" s="3"/>
      <c r="F90" s="3"/>
      <c r="G90" s="3"/>
      <c r="H90" s="3"/>
      <c r="I90" s="3"/>
      <c r="J90" s="3"/>
      <c r="K90" s="3">
        <v>367.31200000000001</v>
      </c>
      <c r="L90" s="3">
        <v>382.29</v>
      </c>
      <c r="M90" s="3">
        <f t="shared" ref="M90:R90" si="244">SUM(M87:M89)</f>
        <v>532.70000000000005</v>
      </c>
      <c r="N90" s="3">
        <f t="shared" si="244"/>
        <v>881.72900000000004</v>
      </c>
      <c r="O90" s="3">
        <f t="shared" si="244"/>
        <v>944.41599999999994</v>
      </c>
      <c r="P90" s="3">
        <f t="shared" si="244"/>
        <v>989.4899999999999</v>
      </c>
      <c r="Q90" s="3">
        <f t="shared" si="244"/>
        <v>1101.989</v>
      </c>
      <c r="R90" s="3">
        <f t="shared" si="244"/>
        <v>1060.662</v>
      </c>
      <c r="S90" s="3">
        <f t="shared" ref="S90:BD90" si="245">SUM(S87:S89)</f>
        <v>1272.2669999999998</v>
      </c>
      <c r="T90" s="33">
        <f t="shared" si="245"/>
        <v>1395.9922999999999</v>
      </c>
      <c r="U90" s="33">
        <f t="shared" si="245"/>
        <v>1553.6149999999998</v>
      </c>
      <c r="V90" s="33">
        <f t="shared" si="245"/>
        <v>2094.3040000000001</v>
      </c>
      <c r="W90" s="33">
        <f t="shared" si="245"/>
        <v>2326.42</v>
      </c>
      <c r="X90" s="33">
        <f t="shared" si="245"/>
        <v>2368.1046537922302</v>
      </c>
      <c r="Y90" s="33">
        <f t="shared" si="245"/>
        <v>2474.8449834669136</v>
      </c>
      <c r="Z90" s="33">
        <f t="shared" si="245"/>
        <v>2576.0368533629089</v>
      </c>
      <c r="AA90" s="33">
        <f t="shared" si="245"/>
        <v>2552.6564954066789</v>
      </c>
      <c r="AB90" s="33">
        <f t="shared" si="245"/>
        <v>2604.8623104581584</v>
      </c>
      <c r="AC90" s="33">
        <f t="shared" si="245"/>
        <v>2659.4778056944092</v>
      </c>
      <c r="AD90" s="33">
        <f t="shared" si="245"/>
        <v>2715.465185682564</v>
      </c>
      <c r="AE90" s="33">
        <f t="shared" si="245"/>
        <v>2759.9560221394513</v>
      </c>
      <c r="AF90" s="33">
        <f t="shared" si="245"/>
        <v>2766.67765427206</v>
      </c>
      <c r="AG90" s="33">
        <f t="shared" si="245"/>
        <v>2806.4074297041516</v>
      </c>
      <c r="AH90" s="33">
        <f t="shared" si="245"/>
        <v>2865.7346797167957</v>
      </c>
      <c r="AI90" s="33">
        <f t="shared" si="245"/>
        <v>2765.989817862127</v>
      </c>
      <c r="AJ90" s="33">
        <f t="shared" si="245"/>
        <v>2664.4961604874334</v>
      </c>
      <c r="AK90" s="33">
        <f t="shared" si="245"/>
        <v>2677.7096931497113</v>
      </c>
      <c r="AL90" s="33">
        <f t="shared" si="245"/>
        <v>2733.7259327664196</v>
      </c>
      <c r="AM90" s="33">
        <f t="shared" si="245"/>
        <v>2791.0283179411676</v>
      </c>
      <c r="AN90" s="33">
        <f t="shared" si="245"/>
        <v>2836.7592560586263</v>
      </c>
      <c r="AO90" s="33">
        <f t="shared" si="245"/>
        <v>2836.0205107961151</v>
      </c>
      <c r="AP90" s="33">
        <f t="shared" si="245"/>
        <v>2315.0508470303434</v>
      </c>
      <c r="AQ90" s="33">
        <f t="shared" si="245"/>
        <v>2365.2783250101766</v>
      </c>
      <c r="AR90" s="33">
        <f t="shared" si="245"/>
        <v>2266.823523893011</v>
      </c>
      <c r="AS90" s="33">
        <f t="shared" si="245"/>
        <v>2126.6609995296194</v>
      </c>
      <c r="AT90" s="33">
        <f t="shared" si="245"/>
        <v>2130.775813308901</v>
      </c>
      <c r="AU90" s="33">
        <f t="shared" si="245"/>
        <v>2180.0307822447248</v>
      </c>
      <c r="AV90" s="33">
        <f t="shared" si="245"/>
        <v>2230.4717037253699</v>
      </c>
      <c r="AW90" s="33">
        <f t="shared" si="245"/>
        <v>2208.5143293161191</v>
      </c>
      <c r="AX90" s="33">
        <f t="shared" si="245"/>
        <v>2259.6581094442404</v>
      </c>
      <c r="AY90" s="33">
        <f t="shared" si="245"/>
        <v>2312.030864470923</v>
      </c>
      <c r="AZ90" s="33">
        <f t="shared" si="245"/>
        <v>2365.6608371108769</v>
      </c>
      <c r="BA90" s="33">
        <f t="shared" si="245"/>
        <v>2152.9104479678322</v>
      </c>
      <c r="BB90" s="33">
        <f t="shared" si="245"/>
        <v>2202.7899015496437</v>
      </c>
      <c r="BC90" s="33">
        <f t="shared" si="245"/>
        <v>2253.8671723369271</v>
      </c>
      <c r="BD90" s="33">
        <f t="shared" si="245"/>
        <v>2306.1718873079126</v>
      </c>
      <c r="BE90" s="33">
        <f t="shared" ref="BE90:CP90" si="246">SUM(BE87:BE89)</f>
        <v>2359.7343221812539</v>
      </c>
      <c r="BF90" s="33">
        <f t="shared" si="246"/>
        <v>2414.5814383240622</v>
      </c>
      <c r="BG90" s="33">
        <f t="shared" si="246"/>
        <v>2470.7480111818672</v>
      </c>
      <c r="BH90" s="33">
        <f t="shared" si="246"/>
        <v>2528.2604351485488</v>
      </c>
      <c r="BI90" s="33">
        <f t="shared" si="246"/>
        <v>2587.1559642005586</v>
      </c>
      <c r="BJ90" s="33">
        <f t="shared" si="246"/>
        <v>2647.4630581221681</v>
      </c>
      <c r="BK90" s="33">
        <f t="shared" si="246"/>
        <v>2709.2190329014197</v>
      </c>
      <c r="BL90" s="33">
        <f t="shared" si="246"/>
        <v>2772.4569686013419</v>
      </c>
      <c r="BM90" s="33">
        <f t="shared" si="246"/>
        <v>2837.2123201818854</v>
      </c>
      <c r="BN90" s="33">
        <f t="shared" si="246"/>
        <v>2903.5208465647056</v>
      </c>
      <c r="BO90" s="33">
        <f t="shared" si="246"/>
        <v>2971.4202325474712</v>
      </c>
      <c r="BP90" s="33">
        <f t="shared" si="246"/>
        <v>3040.948539108771</v>
      </c>
      <c r="BQ90" s="33">
        <f t="shared" si="246"/>
        <v>3112.1447453447677</v>
      </c>
      <c r="BR90" s="33">
        <f t="shared" si="246"/>
        <v>3185.0477605598312</v>
      </c>
      <c r="BS90" s="33">
        <f t="shared" si="246"/>
        <v>3197.7149151463909</v>
      </c>
      <c r="BT90" s="33">
        <f t="shared" si="246"/>
        <v>3219.3779001783728</v>
      </c>
      <c r="BU90" s="33">
        <f t="shared" si="246"/>
        <v>3294.8799494663399</v>
      </c>
      <c r="BV90" s="33">
        <f t="shared" si="246"/>
        <v>3372.193499378558</v>
      </c>
      <c r="BW90" s="33">
        <f t="shared" si="246"/>
        <v>3451.3614593261764</v>
      </c>
      <c r="BX90" s="33">
        <f t="shared" si="246"/>
        <v>3532.4292971123687</v>
      </c>
      <c r="BY90" s="33">
        <f t="shared" si="246"/>
        <v>3615.4395137065112</v>
      </c>
      <c r="BZ90" s="33">
        <f t="shared" si="246"/>
        <v>3700.4422704985009</v>
      </c>
      <c r="CA90" s="33">
        <f t="shared" si="246"/>
        <v>3787.4833045774112</v>
      </c>
      <c r="CB90" s="33">
        <f t="shared" si="246"/>
        <v>3876.6140471416784</v>
      </c>
      <c r="CC90" s="33">
        <f t="shared" si="246"/>
        <v>3960.2495541685544</v>
      </c>
      <c r="CD90" s="33">
        <f t="shared" si="246"/>
        <v>3969.4555447465282</v>
      </c>
      <c r="CE90" s="33">
        <f t="shared" si="246"/>
        <v>4062.9711663830699</v>
      </c>
      <c r="CF90" s="33">
        <f t="shared" si="246"/>
        <v>4158.7293896184174</v>
      </c>
      <c r="CG90" s="33">
        <f t="shared" si="246"/>
        <v>4256.7851261586911</v>
      </c>
      <c r="CH90" s="33">
        <f t="shared" si="246"/>
        <v>3533.8963275339238</v>
      </c>
      <c r="CI90" s="33">
        <f t="shared" si="246"/>
        <v>3617.1601255963433</v>
      </c>
      <c r="CJ90" s="33">
        <f t="shared" si="246"/>
        <v>3702.4276427614259</v>
      </c>
      <c r="CK90" s="33">
        <f t="shared" si="246"/>
        <v>3789.7456039613335</v>
      </c>
      <c r="CL90" s="33">
        <f t="shared" si="246"/>
        <v>3879.1624464021224</v>
      </c>
      <c r="CM90" s="33">
        <f t="shared" si="246"/>
        <v>3970.7297873836715</v>
      </c>
      <c r="CN90" s="33">
        <f t="shared" si="246"/>
        <v>4064.4999940604034</v>
      </c>
      <c r="CO90" s="33">
        <f t="shared" si="246"/>
        <v>4160.5272032971116</v>
      </c>
      <c r="CP90" s="33">
        <f t="shared" si="246"/>
        <v>4209.3032907006173</v>
      </c>
      <c r="CQ90" s="362" t="s">
        <v>77</v>
      </c>
      <c r="DB90" s="1" t="s">
        <v>12</v>
      </c>
      <c r="DD90" s="3">
        <f t="shared" ref="DD90:DI90" si="247">SUM(DD87:DD89)</f>
        <v>530.452</v>
      </c>
      <c r="DE90" s="3">
        <f t="shared" si="247"/>
        <v>530.21</v>
      </c>
      <c r="DF90" s="3">
        <f t="shared" si="247"/>
        <v>624.68799999999999</v>
      </c>
      <c r="DG90" s="3">
        <f t="shared" si="247"/>
        <v>647.57899999999995</v>
      </c>
      <c r="DH90" s="3">
        <f t="shared" si="247"/>
        <v>711.40499999999997</v>
      </c>
      <c r="DI90" s="3">
        <f t="shared" si="247"/>
        <v>684.58730000000014</v>
      </c>
      <c r="DJ90" s="3">
        <f t="shared" ref="DJ90:DO90" si="248">SUM(DJ87:DJ89)</f>
        <v>740.10099999999989</v>
      </c>
      <c r="DK90" s="3">
        <f t="shared" si="248"/>
        <v>813.51400000000012</v>
      </c>
      <c r="DL90" s="3">
        <f t="shared" si="248"/>
        <v>1049.0809999999999</v>
      </c>
      <c r="DM90" s="3">
        <f t="shared" si="248"/>
        <v>1045.223</v>
      </c>
      <c r="DN90" s="21">
        <f t="shared" si="248"/>
        <v>1179.085</v>
      </c>
      <c r="DO90" s="3">
        <f t="shared" si="248"/>
        <v>1147.3350000000003</v>
      </c>
      <c r="DP90" s="3">
        <f t="shared" ref="DP90" si="249">SUM(DP87:DP89)</f>
        <v>1188.6490000000001</v>
      </c>
      <c r="DQ90" s="3">
        <f>X90-DP90</f>
        <v>1179.4556537922301</v>
      </c>
      <c r="DR90" s="3"/>
      <c r="DS90" s="3"/>
      <c r="DU90" s="420">
        <f t="shared" si="227"/>
        <v>0.50011407969739652</v>
      </c>
      <c r="DV90" s="420">
        <f t="shared" si="228"/>
        <v>0.49100385375082439</v>
      </c>
      <c r="DW90" s="420">
        <f t="shared" si="229"/>
        <v>0.50960524638996929</v>
      </c>
      <c r="DX90" s="420">
        <f t="shared" si="230"/>
        <v>0.47637349021475711</v>
      </c>
      <c r="DY90" s="420">
        <f t="shared" si="231"/>
        <v>0.50092106972053718</v>
      </c>
      <c r="DZ90" s="420">
        <f t="shared" si="232"/>
        <v>0.50682378934156347</v>
      </c>
      <c r="EA90" s="751">
        <f>AVERAGE(DU90:DZ90)</f>
        <v>0.49747358818584136</v>
      </c>
      <c r="EH90" s="411" t="b">
        <f t="shared" si="238"/>
        <v>1</v>
      </c>
      <c r="EI90" s="411" t="b">
        <f t="shared" si="239"/>
        <v>1</v>
      </c>
      <c r="EJ90" s="411" t="b">
        <f t="shared" si="233"/>
        <v>1</v>
      </c>
    </row>
    <row r="91" spans="1:140" ht="11.25" customHeight="1" outlineLevel="1" x14ac:dyDescent="0.2">
      <c r="B91" s="7" t="s">
        <v>256</v>
      </c>
      <c r="D91" s="52"/>
      <c r="E91" s="52"/>
      <c r="F91" s="52"/>
      <c r="G91" s="52"/>
      <c r="H91" s="52"/>
      <c r="I91" s="52"/>
      <c r="J91" s="52"/>
      <c r="K91" s="52">
        <v>-98.409000000000006</v>
      </c>
      <c r="L91" s="52">
        <v>-79.197000000000003</v>
      </c>
      <c r="M91" s="52">
        <v>-102.527</v>
      </c>
      <c r="N91" s="52">
        <v>-99.025000000000006</v>
      </c>
      <c r="O91" s="52">
        <v>-111.182</v>
      </c>
      <c r="P91" s="52">
        <v>-75.959000000000003</v>
      </c>
      <c r="Q91" s="52">
        <v>-82.19</v>
      </c>
      <c r="R91" s="52">
        <v>-75.522000000000006</v>
      </c>
      <c r="S91" s="52">
        <v>-96.903000000000006</v>
      </c>
      <c r="T91" s="52">
        <v>-65.569999999999993</v>
      </c>
      <c r="U91" s="52">
        <v>-55.052999999999997</v>
      </c>
      <c r="V91" s="52">
        <v>-129.53399999999999</v>
      </c>
      <c r="W91" s="52">
        <v>-207.32900000000001</v>
      </c>
      <c r="X91" s="150">
        <f t="shared" ref="X91:BD91" si="250">+W91*1.03</f>
        <v>-213.54887000000002</v>
      </c>
      <c r="Y91" s="150">
        <f t="shared" si="250"/>
        <v>-219.95533610000004</v>
      </c>
      <c r="Z91" s="150">
        <f t="shared" si="250"/>
        <v>-226.55399618300004</v>
      </c>
      <c r="AA91" s="150">
        <f t="shared" si="250"/>
        <v>-233.35061606849004</v>
      </c>
      <c r="AB91" s="150">
        <f t="shared" si="250"/>
        <v>-240.35113455054474</v>
      </c>
      <c r="AC91" s="150">
        <f t="shared" si="250"/>
        <v>-247.56166858706109</v>
      </c>
      <c r="AD91" s="150">
        <f t="shared" si="250"/>
        <v>-254.98851864467292</v>
      </c>
      <c r="AE91" s="150">
        <f t="shared" si="250"/>
        <v>-262.63817420401313</v>
      </c>
      <c r="AF91" s="150">
        <f t="shared" si="250"/>
        <v>-270.51731943013351</v>
      </c>
      <c r="AG91" s="150">
        <f t="shared" si="250"/>
        <v>-278.63283901303754</v>
      </c>
      <c r="AH91" s="150">
        <f t="shared" si="250"/>
        <v>-286.99182418342866</v>
      </c>
      <c r="AI91" s="150">
        <f t="shared" si="250"/>
        <v>-295.60157890893151</v>
      </c>
      <c r="AJ91" s="150">
        <f t="shared" si="250"/>
        <v>-304.46962627619945</v>
      </c>
      <c r="AK91" s="150">
        <f t="shared" si="250"/>
        <v>-313.60371506448541</v>
      </c>
      <c r="AL91" s="150">
        <f t="shared" si="250"/>
        <v>-323.01182651642</v>
      </c>
      <c r="AM91" s="150">
        <f t="shared" si="250"/>
        <v>-332.70218131191263</v>
      </c>
      <c r="AN91" s="150">
        <f t="shared" si="250"/>
        <v>-342.68324675127002</v>
      </c>
      <c r="AO91" s="150">
        <f t="shared" si="250"/>
        <v>-352.96374415380814</v>
      </c>
      <c r="AP91" s="150">
        <f t="shared" si="250"/>
        <v>-363.55265647842236</v>
      </c>
      <c r="AQ91" s="150">
        <f t="shared" si="250"/>
        <v>-374.45923617277504</v>
      </c>
      <c r="AR91" s="150">
        <f t="shared" si="250"/>
        <v>-385.69301325795828</v>
      </c>
      <c r="AS91" s="150">
        <f t="shared" si="250"/>
        <v>-397.26380365569702</v>
      </c>
      <c r="AT91" s="150">
        <f t="shared" si="250"/>
        <v>-409.18171776536792</v>
      </c>
      <c r="AU91" s="150">
        <f t="shared" si="250"/>
        <v>-421.45716929832895</v>
      </c>
      <c r="AV91" s="150">
        <f t="shared" si="250"/>
        <v>-434.10088437727882</v>
      </c>
      <c r="AW91" s="150">
        <f t="shared" si="250"/>
        <v>-447.12391090859717</v>
      </c>
      <c r="AX91" s="150">
        <f t="shared" si="250"/>
        <v>-460.5376282358551</v>
      </c>
      <c r="AY91" s="150">
        <f t="shared" si="250"/>
        <v>-474.35375708293077</v>
      </c>
      <c r="AZ91" s="150">
        <f t="shared" si="250"/>
        <v>-488.5843697954187</v>
      </c>
      <c r="BA91" s="150">
        <f t="shared" si="250"/>
        <v>-503.24190088928128</v>
      </c>
      <c r="BB91" s="150">
        <f t="shared" si="250"/>
        <v>-518.33915791595973</v>
      </c>
      <c r="BC91" s="150">
        <f t="shared" si="250"/>
        <v>-533.88933265343849</v>
      </c>
      <c r="BD91" s="150">
        <f t="shared" si="250"/>
        <v>-549.90601263304166</v>
      </c>
      <c r="BE91" s="150">
        <f t="shared" ref="BE91:CP91" si="251">+BD91*1.03</f>
        <v>-566.40319301203294</v>
      </c>
      <c r="BF91" s="150">
        <f t="shared" si="251"/>
        <v>-583.39528880239391</v>
      </c>
      <c r="BG91" s="150">
        <f t="shared" si="251"/>
        <v>-600.89714746646575</v>
      </c>
      <c r="BH91" s="150">
        <f t="shared" si="251"/>
        <v>-618.92406189045971</v>
      </c>
      <c r="BI91" s="150">
        <f t="shared" si="251"/>
        <v>-637.49178374717349</v>
      </c>
      <c r="BJ91" s="150">
        <f t="shared" si="251"/>
        <v>-656.61653725958865</v>
      </c>
      <c r="BK91" s="150">
        <f t="shared" si="251"/>
        <v>-676.31503337737638</v>
      </c>
      <c r="BL91" s="150">
        <f t="shared" si="251"/>
        <v>-696.60448437869763</v>
      </c>
      <c r="BM91" s="150">
        <f t="shared" si="251"/>
        <v>-717.50261891005857</v>
      </c>
      <c r="BN91" s="150">
        <f t="shared" si="251"/>
        <v>-739.02769747736033</v>
      </c>
      <c r="BO91" s="150">
        <f t="shared" si="251"/>
        <v>-761.19852840168119</v>
      </c>
      <c r="BP91" s="150">
        <f t="shared" si="251"/>
        <v>-784.03448425373165</v>
      </c>
      <c r="BQ91" s="150">
        <f t="shared" si="251"/>
        <v>-807.55551878134361</v>
      </c>
      <c r="BR91" s="150">
        <f t="shared" si="251"/>
        <v>-831.7821843447839</v>
      </c>
      <c r="BS91" s="150">
        <f t="shared" si="251"/>
        <v>-856.73564987512748</v>
      </c>
      <c r="BT91" s="150">
        <f t="shared" si="251"/>
        <v>-882.43771937138138</v>
      </c>
      <c r="BU91" s="150">
        <f t="shared" si="251"/>
        <v>-908.91085095252288</v>
      </c>
      <c r="BV91" s="150">
        <f t="shared" si="251"/>
        <v>-936.1781764810986</v>
      </c>
      <c r="BW91" s="150">
        <f t="shared" si="251"/>
        <v>-964.26352177553156</v>
      </c>
      <c r="BX91" s="150">
        <f t="shared" si="251"/>
        <v>-993.19142742879751</v>
      </c>
      <c r="BY91" s="150">
        <f t="shared" si="251"/>
        <v>-1022.9871702516615</v>
      </c>
      <c r="BZ91" s="150">
        <f t="shared" si="251"/>
        <v>-1053.6767853592114</v>
      </c>
      <c r="CA91" s="150">
        <f t="shared" si="251"/>
        <v>-1085.2870889199878</v>
      </c>
      <c r="CB91" s="150">
        <f t="shared" si="251"/>
        <v>-1117.8457015875874</v>
      </c>
      <c r="CC91" s="150">
        <f t="shared" si="251"/>
        <v>-1151.3810726352151</v>
      </c>
      <c r="CD91" s="150">
        <f t="shared" si="251"/>
        <v>-1185.9225048142716</v>
      </c>
      <c r="CE91" s="150">
        <f t="shared" si="251"/>
        <v>-1221.5001799586998</v>
      </c>
      <c r="CF91" s="150">
        <f t="shared" si="251"/>
        <v>-1258.1451853574608</v>
      </c>
      <c r="CG91" s="150">
        <f t="shared" si="251"/>
        <v>-1295.8895409181846</v>
      </c>
      <c r="CH91" s="150">
        <f t="shared" si="251"/>
        <v>-1334.7662271457302</v>
      </c>
      <c r="CI91" s="150">
        <f t="shared" si="251"/>
        <v>-1374.8092139601022</v>
      </c>
      <c r="CJ91" s="150">
        <f t="shared" si="251"/>
        <v>-1416.0534903789053</v>
      </c>
      <c r="CK91" s="150">
        <f t="shared" si="251"/>
        <v>-1458.5350950902725</v>
      </c>
      <c r="CL91" s="150">
        <f t="shared" si="251"/>
        <v>-1502.2911479429808</v>
      </c>
      <c r="CM91" s="150">
        <f t="shared" si="251"/>
        <v>-1547.3598823812704</v>
      </c>
      <c r="CN91" s="150">
        <f t="shared" si="251"/>
        <v>-1593.7806788527084</v>
      </c>
      <c r="CO91" s="150">
        <f t="shared" si="251"/>
        <v>-1641.5940992182898</v>
      </c>
      <c r="CP91" s="150">
        <f t="shared" si="251"/>
        <v>-1690.8419221948386</v>
      </c>
      <c r="CQ91" s="362" t="s">
        <v>77</v>
      </c>
      <c r="DB91" s="7" t="s">
        <v>256</v>
      </c>
      <c r="DD91" s="52">
        <v>-50.323</v>
      </c>
      <c r="DE91" s="6">
        <f>+R91-DD91</f>
        <v>-25.199000000000005</v>
      </c>
      <c r="DF91" s="52">
        <v>-73.525000000000006</v>
      </c>
      <c r="DG91" s="6">
        <f t="shared" ref="DG91:DG96" si="252">+S91-DF91</f>
        <v>-23.378</v>
      </c>
      <c r="DH91" s="52">
        <v>-23.475000000000001</v>
      </c>
      <c r="DI91" s="42">
        <f>+T91-DH91</f>
        <v>-42.094999999999992</v>
      </c>
      <c r="DJ91" s="144">
        <v>-11.192</v>
      </c>
      <c r="DK91" s="42">
        <f>+U91-DJ91</f>
        <v>-43.860999999999997</v>
      </c>
      <c r="DL91" s="191">
        <v>-41.82</v>
      </c>
      <c r="DM91" s="8">
        <f>V91-DL91</f>
        <v>-87.713999999999999</v>
      </c>
      <c r="DN91" s="191">
        <v>-98.372</v>
      </c>
      <c r="DO91" s="8">
        <f>W91-DN91</f>
        <v>-108.95700000000001</v>
      </c>
      <c r="DP91" s="191">
        <v>-97.334000000000003</v>
      </c>
      <c r="DU91" s="413">
        <f t="shared" si="227"/>
        <v>0.66633563729774103</v>
      </c>
      <c r="DV91" s="413">
        <f t="shared" si="228"/>
        <v>0.75874843916081036</v>
      </c>
      <c r="DW91" s="413">
        <f>+(DH91/(DH91+DI91))</f>
        <v>0.35801433582430997</v>
      </c>
      <c r="DX91" s="413">
        <f>+(DJ91/(DJ91+DK91))</f>
        <v>0.20329500662997477</v>
      </c>
      <c r="DY91" s="413">
        <f t="shared" si="231"/>
        <v>0.32284959933299368</v>
      </c>
      <c r="DZ91" s="413">
        <f t="shared" si="232"/>
        <v>0.47447293914503036</v>
      </c>
      <c r="EH91" s="411" t="b">
        <f t="shared" si="238"/>
        <v>1</v>
      </c>
      <c r="EI91" s="411" t="b">
        <f t="shared" si="239"/>
        <v>1</v>
      </c>
      <c r="EJ91" s="411" t="b">
        <f t="shared" si="233"/>
        <v>1</v>
      </c>
    </row>
    <row r="92" spans="1:140" ht="11.25" customHeight="1" outlineLevel="1" x14ac:dyDescent="0.2">
      <c r="B92" s="7" t="s">
        <v>254</v>
      </c>
      <c r="D92" s="52"/>
      <c r="E92" s="52"/>
      <c r="F92" s="52"/>
      <c r="G92" s="52"/>
      <c r="H92" s="52"/>
      <c r="I92" s="52"/>
      <c r="J92" s="52"/>
      <c r="K92" s="52">
        <v>-5.5670000000000002</v>
      </c>
      <c r="L92" s="52">
        <v>-6.4269999999999996</v>
      </c>
      <c r="M92" s="52">
        <v>-20.323</v>
      </c>
      <c r="N92" s="52">
        <v>-59.811999999999998</v>
      </c>
      <c r="O92" s="52">
        <v>-90.811000000000007</v>
      </c>
      <c r="P92" s="52">
        <v>-97.858999999999995</v>
      </c>
      <c r="Q92" s="52">
        <v>-114.923</v>
      </c>
      <c r="R92" s="52">
        <v>-132.91300000000001</v>
      </c>
      <c r="S92" s="52">
        <v>-169.32300000000001</v>
      </c>
      <c r="T92" s="438">
        <v>-168.61500000000001</v>
      </c>
      <c r="U92" s="438">
        <v>-176.17400000000001</v>
      </c>
      <c r="V92" s="438">
        <v>-180.10300000000001</v>
      </c>
      <c r="W92" s="438">
        <v>-197.74700000000001</v>
      </c>
      <c r="X92" s="150">
        <f t="shared" ref="X92:BD92" si="253">+W92*1.03</f>
        <v>-203.67941000000002</v>
      </c>
      <c r="Y92" s="150">
        <f t="shared" si="253"/>
        <v>-209.78979230000002</v>
      </c>
      <c r="Z92" s="150">
        <f t="shared" si="253"/>
        <v>-216.08348606900003</v>
      </c>
      <c r="AA92" s="150">
        <f t="shared" si="253"/>
        <v>-222.56599065107002</v>
      </c>
      <c r="AB92" s="150">
        <f t="shared" si="253"/>
        <v>-229.24297037060214</v>
      </c>
      <c r="AC92" s="150">
        <f t="shared" si="253"/>
        <v>-236.12025948172021</v>
      </c>
      <c r="AD92" s="150">
        <f t="shared" si="253"/>
        <v>-243.20386726617181</v>
      </c>
      <c r="AE92" s="150">
        <f t="shared" si="253"/>
        <v>-250.49998328415697</v>
      </c>
      <c r="AF92" s="150">
        <f t="shared" si="253"/>
        <v>-258.01498278268167</v>
      </c>
      <c r="AG92" s="150">
        <f t="shared" si="253"/>
        <v>-265.75543226616213</v>
      </c>
      <c r="AH92" s="150">
        <f t="shared" si="253"/>
        <v>-273.72809523414702</v>
      </c>
      <c r="AI92" s="150">
        <f t="shared" si="253"/>
        <v>-281.93993809117143</v>
      </c>
      <c r="AJ92" s="150">
        <f t="shared" si="253"/>
        <v>-290.3981362339066</v>
      </c>
      <c r="AK92" s="150">
        <f t="shared" si="253"/>
        <v>-299.11008032092383</v>
      </c>
      <c r="AL92" s="150">
        <f t="shared" si="253"/>
        <v>-308.08338273055153</v>
      </c>
      <c r="AM92" s="150">
        <f t="shared" si="253"/>
        <v>-317.32588421246811</v>
      </c>
      <c r="AN92" s="150">
        <f t="shared" si="253"/>
        <v>-326.84566073884218</v>
      </c>
      <c r="AO92" s="150">
        <f t="shared" si="253"/>
        <v>-336.65103056100747</v>
      </c>
      <c r="AP92" s="150">
        <f t="shared" si="253"/>
        <v>-346.75056147783772</v>
      </c>
      <c r="AQ92" s="150">
        <f t="shared" si="253"/>
        <v>-357.15307832217286</v>
      </c>
      <c r="AR92" s="150">
        <f t="shared" si="253"/>
        <v>-367.86767067183803</v>
      </c>
      <c r="AS92" s="150">
        <f t="shared" si="253"/>
        <v>-378.90370079199317</v>
      </c>
      <c r="AT92" s="150">
        <f t="shared" si="253"/>
        <v>-390.27081181575301</v>
      </c>
      <c r="AU92" s="150">
        <f t="shared" si="253"/>
        <v>-401.97893617022561</v>
      </c>
      <c r="AV92" s="150">
        <f t="shared" si="253"/>
        <v>-414.03830425533238</v>
      </c>
      <c r="AW92" s="150">
        <f t="shared" si="253"/>
        <v>-426.45945338299236</v>
      </c>
      <c r="AX92" s="150">
        <f t="shared" si="253"/>
        <v>-439.25323698448216</v>
      </c>
      <c r="AY92" s="150">
        <f t="shared" si="253"/>
        <v>-452.43083409401663</v>
      </c>
      <c r="AZ92" s="150">
        <f t="shared" si="253"/>
        <v>-466.00375911683716</v>
      </c>
      <c r="BA92" s="150">
        <f t="shared" si="253"/>
        <v>-479.9838718903423</v>
      </c>
      <c r="BB92" s="150">
        <f t="shared" si="253"/>
        <v>-494.38338804705256</v>
      </c>
      <c r="BC92" s="150">
        <f t="shared" si="253"/>
        <v>-509.21488968846415</v>
      </c>
      <c r="BD92" s="150">
        <f t="shared" si="253"/>
        <v>-524.49133637911814</v>
      </c>
      <c r="BE92" s="150">
        <f t="shared" ref="BE92:CP92" si="254">+BD92*1.03</f>
        <v>-540.22607647049165</v>
      </c>
      <c r="BF92" s="150">
        <f t="shared" si="254"/>
        <v>-556.43285876460641</v>
      </c>
      <c r="BG92" s="150">
        <f t="shared" si="254"/>
        <v>-573.12584452754459</v>
      </c>
      <c r="BH92" s="150">
        <f t="shared" si="254"/>
        <v>-590.31961986337092</v>
      </c>
      <c r="BI92" s="150">
        <f t="shared" si="254"/>
        <v>-608.02920845927201</v>
      </c>
      <c r="BJ92" s="150">
        <f t="shared" si="254"/>
        <v>-626.27008471305021</v>
      </c>
      <c r="BK92" s="150">
        <f t="shared" si="254"/>
        <v>-645.05818725444169</v>
      </c>
      <c r="BL92" s="150">
        <f t="shared" si="254"/>
        <v>-664.40993287207493</v>
      </c>
      <c r="BM92" s="150">
        <f t="shared" si="254"/>
        <v>-684.34223085823714</v>
      </c>
      <c r="BN92" s="150">
        <f t="shared" si="254"/>
        <v>-704.87249778398427</v>
      </c>
      <c r="BO92" s="150">
        <f t="shared" si="254"/>
        <v>-726.01867271750382</v>
      </c>
      <c r="BP92" s="150">
        <f t="shared" si="254"/>
        <v>-747.79923289902899</v>
      </c>
      <c r="BQ92" s="150">
        <f t="shared" si="254"/>
        <v>-770.23320988599983</v>
      </c>
      <c r="BR92" s="150">
        <f t="shared" si="254"/>
        <v>-793.34020618257989</v>
      </c>
      <c r="BS92" s="150">
        <f t="shared" si="254"/>
        <v>-817.14041236805735</v>
      </c>
      <c r="BT92" s="150">
        <f t="shared" si="254"/>
        <v>-841.65462473909906</v>
      </c>
      <c r="BU92" s="150">
        <f t="shared" si="254"/>
        <v>-866.9042634812721</v>
      </c>
      <c r="BV92" s="150">
        <f t="shared" si="254"/>
        <v>-892.91139138571032</v>
      </c>
      <c r="BW92" s="150">
        <f t="shared" si="254"/>
        <v>-919.69873312728168</v>
      </c>
      <c r="BX92" s="150">
        <f t="shared" si="254"/>
        <v>-947.28969512110018</v>
      </c>
      <c r="BY92" s="150">
        <f t="shared" si="254"/>
        <v>-975.70838597473323</v>
      </c>
      <c r="BZ92" s="150">
        <f t="shared" si="254"/>
        <v>-1004.9796375539753</v>
      </c>
      <c r="CA92" s="150">
        <f t="shared" si="254"/>
        <v>-1035.1290266805945</v>
      </c>
      <c r="CB92" s="150">
        <f t="shared" si="254"/>
        <v>-1066.1828974810123</v>
      </c>
      <c r="CC92" s="150">
        <f t="shared" si="254"/>
        <v>-1098.1683844054428</v>
      </c>
      <c r="CD92" s="150">
        <f t="shared" si="254"/>
        <v>-1131.113435937606</v>
      </c>
      <c r="CE92" s="150">
        <f t="shared" si="254"/>
        <v>-1165.0468390157343</v>
      </c>
      <c r="CF92" s="150">
        <f t="shared" si="254"/>
        <v>-1199.9982441862064</v>
      </c>
      <c r="CG92" s="150">
        <f t="shared" si="254"/>
        <v>-1235.9981915117926</v>
      </c>
      <c r="CH92" s="150">
        <f t="shared" si="254"/>
        <v>-1273.0781372571464</v>
      </c>
      <c r="CI92" s="150">
        <f t="shared" si="254"/>
        <v>-1311.2704813748608</v>
      </c>
      <c r="CJ92" s="150">
        <f t="shared" si="254"/>
        <v>-1350.6085958161066</v>
      </c>
      <c r="CK92" s="150">
        <f t="shared" si="254"/>
        <v>-1391.1268536905898</v>
      </c>
      <c r="CL92" s="150">
        <f t="shared" si="254"/>
        <v>-1432.8606593013076</v>
      </c>
      <c r="CM92" s="150">
        <f t="shared" si="254"/>
        <v>-1475.8464790803469</v>
      </c>
      <c r="CN92" s="150">
        <f t="shared" si="254"/>
        <v>-1520.1218734527572</v>
      </c>
      <c r="CO92" s="150">
        <f t="shared" si="254"/>
        <v>-1565.7255296563399</v>
      </c>
      <c r="CP92" s="150">
        <f t="shared" si="254"/>
        <v>-1612.6972955460301</v>
      </c>
      <c r="CQ92" s="362" t="s">
        <v>77</v>
      </c>
      <c r="DB92" s="7" t="s">
        <v>254</v>
      </c>
      <c r="DD92" s="52">
        <v>-61.8</v>
      </c>
      <c r="DE92" s="6">
        <f>+R92-DD92</f>
        <v>-71.113000000000014</v>
      </c>
      <c r="DF92" s="52">
        <v>-82.593999999999994</v>
      </c>
      <c r="DG92" s="6">
        <f t="shared" si="252"/>
        <v>-86.729000000000013</v>
      </c>
      <c r="DH92" s="52">
        <v>-84.486000000000004</v>
      </c>
      <c r="DI92" s="42">
        <f>+T92-DH92</f>
        <v>-84.129000000000005</v>
      </c>
      <c r="DJ92" s="144">
        <v>-85.488</v>
      </c>
      <c r="DK92" s="42">
        <f>+U92-DJ92</f>
        <v>-90.686000000000007</v>
      </c>
      <c r="DL92" s="191">
        <v>-95.38</v>
      </c>
      <c r="DM92" s="8">
        <f>V92-DL92</f>
        <v>-84.723000000000013</v>
      </c>
      <c r="DN92" s="191">
        <v>-92.694999999999993</v>
      </c>
      <c r="DO92" s="8">
        <f>W92-DN92</f>
        <v>-105.05200000000002</v>
      </c>
      <c r="DP92" s="191">
        <v>-97.317999999999998</v>
      </c>
      <c r="DU92" s="413">
        <f t="shared" si="227"/>
        <v>0.46496580469931453</v>
      </c>
      <c r="DV92" s="413">
        <f t="shared" si="228"/>
        <v>0.48778960920843589</v>
      </c>
      <c r="DW92" s="413">
        <f t="shared" si="229"/>
        <v>0.50105862467751983</v>
      </c>
      <c r="DX92" s="413">
        <f t="shared" si="230"/>
        <v>0.48524753936449189</v>
      </c>
      <c r="DY92" s="413">
        <f t="shared" si="231"/>
        <v>0.52958584809803277</v>
      </c>
      <c r="DZ92" s="413">
        <f t="shared" si="232"/>
        <v>0.46875553105736112</v>
      </c>
      <c r="EH92" s="411" t="b">
        <f t="shared" si="238"/>
        <v>1</v>
      </c>
      <c r="EI92" s="411" t="b">
        <f t="shared" si="239"/>
        <v>1</v>
      </c>
      <c r="EJ92" s="411" t="b">
        <f t="shared" si="233"/>
        <v>1</v>
      </c>
    </row>
    <row r="93" spans="1:140" ht="11.25" customHeight="1" outlineLevel="1" x14ac:dyDescent="0.2">
      <c r="B93" s="7" t="s">
        <v>257</v>
      </c>
      <c r="D93" s="52"/>
      <c r="E93" s="52"/>
      <c r="F93" s="52"/>
      <c r="G93" s="52"/>
      <c r="H93" s="52"/>
      <c r="I93" s="52"/>
      <c r="J93" s="52"/>
      <c r="K93" s="52">
        <v>-89.304000000000002</v>
      </c>
      <c r="L93" s="52">
        <v>-85.727000000000004</v>
      </c>
      <c r="M93" s="52">
        <v>-95.911000000000001</v>
      </c>
      <c r="N93" s="52">
        <v>-282.87400000000002</v>
      </c>
      <c r="O93" s="52">
        <v>-271.387</v>
      </c>
      <c r="P93" s="52">
        <v>-329.94200000000001</v>
      </c>
      <c r="Q93" s="52">
        <v>-381.733</v>
      </c>
      <c r="R93" s="52">
        <v>-302.63299999999998</v>
      </c>
      <c r="S93" s="52">
        <v>-352.74299999999999</v>
      </c>
      <c r="T93" s="438">
        <v>-403.47699999999998</v>
      </c>
      <c r="U93" s="52">
        <v>-434.38200000000001</v>
      </c>
      <c r="V93" s="52">
        <f>-438.33</f>
        <v>-438.33</v>
      </c>
      <c r="W93" s="52">
        <f>-438.14</f>
        <v>-438.14</v>
      </c>
      <c r="X93" s="150">
        <f>+W93*1.02</f>
        <v>-446.90280000000001</v>
      </c>
      <c r="Y93" s="150">
        <f t="shared" ref="Y93:BD93" si="255">+X93*1.03</f>
        <v>-460.30988400000001</v>
      </c>
      <c r="Z93" s="150">
        <f t="shared" si="255"/>
        <v>-474.11918052000004</v>
      </c>
      <c r="AA93" s="150">
        <f t="shared" si="255"/>
        <v>-488.34275593560005</v>
      </c>
      <c r="AB93" s="150">
        <f t="shared" si="255"/>
        <v>-502.99303861366809</v>
      </c>
      <c r="AC93" s="150">
        <f t="shared" si="255"/>
        <v>-518.08282977207818</v>
      </c>
      <c r="AD93" s="150">
        <f t="shared" si="255"/>
        <v>-533.62531466524058</v>
      </c>
      <c r="AE93" s="150">
        <f t="shared" si="255"/>
        <v>-549.63407410519778</v>
      </c>
      <c r="AF93" s="150">
        <f t="shared" si="255"/>
        <v>-566.12309632835377</v>
      </c>
      <c r="AG93" s="150">
        <f t="shared" si="255"/>
        <v>-583.10678921820443</v>
      </c>
      <c r="AH93" s="150">
        <f t="shared" si="255"/>
        <v>-600.59999289475059</v>
      </c>
      <c r="AI93" s="150">
        <f t="shared" si="255"/>
        <v>-618.61799268159314</v>
      </c>
      <c r="AJ93" s="150">
        <f t="shared" si="255"/>
        <v>-637.176532462041</v>
      </c>
      <c r="AK93" s="150">
        <f t="shared" si="255"/>
        <v>-656.29182843590229</v>
      </c>
      <c r="AL93" s="150">
        <f t="shared" si="255"/>
        <v>-675.98058328897935</v>
      </c>
      <c r="AM93" s="150">
        <f t="shared" si="255"/>
        <v>-696.26000078764878</v>
      </c>
      <c r="AN93" s="150">
        <f t="shared" si="255"/>
        <v>-717.14780081127822</v>
      </c>
      <c r="AO93" s="150">
        <f t="shared" si="255"/>
        <v>-738.66223483561657</v>
      </c>
      <c r="AP93" s="150">
        <f t="shared" si="255"/>
        <v>-760.82210188068507</v>
      </c>
      <c r="AQ93" s="150">
        <f t="shared" si="255"/>
        <v>-783.64676493710567</v>
      </c>
      <c r="AR93" s="150">
        <f t="shared" si="255"/>
        <v>-807.15616788521891</v>
      </c>
      <c r="AS93" s="150">
        <f t="shared" si="255"/>
        <v>-831.37085292177551</v>
      </c>
      <c r="AT93" s="150">
        <f t="shared" si="255"/>
        <v>-856.31197850942874</v>
      </c>
      <c r="AU93" s="150">
        <f t="shared" si="255"/>
        <v>-882.00133786471167</v>
      </c>
      <c r="AV93" s="150">
        <f t="shared" si="255"/>
        <v>-908.4613780006531</v>
      </c>
      <c r="AW93" s="150">
        <f t="shared" si="255"/>
        <v>-935.71521934067266</v>
      </c>
      <c r="AX93" s="150">
        <f t="shared" si="255"/>
        <v>-963.78667592089289</v>
      </c>
      <c r="AY93" s="150">
        <f t="shared" si="255"/>
        <v>-992.70027619851965</v>
      </c>
      <c r="AZ93" s="150">
        <f t="shared" si="255"/>
        <v>-1022.4812844844753</v>
      </c>
      <c r="BA93" s="150">
        <f t="shared" si="255"/>
        <v>-1053.1557230190097</v>
      </c>
      <c r="BB93" s="150">
        <f t="shared" si="255"/>
        <v>-1084.75039470958</v>
      </c>
      <c r="BC93" s="150">
        <f t="shared" si="255"/>
        <v>-1117.2929065508674</v>
      </c>
      <c r="BD93" s="150">
        <f t="shared" si="255"/>
        <v>-1150.8116937473935</v>
      </c>
      <c r="BE93" s="150">
        <f t="shared" ref="BE93:CP93" si="256">+BD93*1.03</f>
        <v>-1185.3360445598153</v>
      </c>
      <c r="BF93" s="150">
        <f t="shared" si="256"/>
        <v>-1220.8961258966096</v>
      </c>
      <c r="BG93" s="150">
        <f t="shared" si="256"/>
        <v>-1257.5230096735079</v>
      </c>
      <c r="BH93" s="150">
        <f t="shared" si="256"/>
        <v>-1295.2486999637131</v>
      </c>
      <c r="BI93" s="150">
        <f t="shared" si="256"/>
        <v>-1334.1061609626245</v>
      </c>
      <c r="BJ93" s="150">
        <f t="shared" si="256"/>
        <v>-1374.1293457915033</v>
      </c>
      <c r="BK93" s="150">
        <f t="shared" si="256"/>
        <v>-1415.3532261652483</v>
      </c>
      <c r="BL93" s="150">
        <f t="shared" si="256"/>
        <v>-1457.8138229502058</v>
      </c>
      <c r="BM93" s="150">
        <f t="shared" si="256"/>
        <v>-1501.548237638712</v>
      </c>
      <c r="BN93" s="150">
        <f t="shared" si="256"/>
        <v>-1546.5946847678733</v>
      </c>
      <c r="BO93" s="150">
        <f t="shared" si="256"/>
        <v>-1592.9925253109095</v>
      </c>
      <c r="BP93" s="150">
        <f t="shared" si="256"/>
        <v>-1640.7823010702368</v>
      </c>
      <c r="BQ93" s="150">
        <f t="shared" si="256"/>
        <v>-1690.0057701023441</v>
      </c>
      <c r="BR93" s="150">
        <f t="shared" si="256"/>
        <v>-1740.7059432054143</v>
      </c>
      <c r="BS93" s="150">
        <f t="shared" si="256"/>
        <v>-1792.9271215015767</v>
      </c>
      <c r="BT93" s="150">
        <f t="shared" si="256"/>
        <v>-1846.7149351466242</v>
      </c>
      <c r="BU93" s="150">
        <f t="shared" si="256"/>
        <v>-1902.1163832010229</v>
      </c>
      <c r="BV93" s="150">
        <f t="shared" si="256"/>
        <v>-1959.1798746970537</v>
      </c>
      <c r="BW93" s="150">
        <f t="shared" si="256"/>
        <v>-2017.9552709379655</v>
      </c>
      <c r="BX93" s="150">
        <f t="shared" si="256"/>
        <v>-2078.4939290661046</v>
      </c>
      <c r="BY93" s="150">
        <f t="shared" si="256"/>
        <v>-2140.848746938088</v>
      </c>
      <c r="BZ93" s="150">
        <f t="shared" si="256"/>
        <v>-2205.0742093462309</v>
      </c>
      <c r="CA93" s="150">
        <f t="shared" si="256"/>
        <v>-2271.2264356266178</v>
      </c>
      <c r="CB93" s="150">
        <f t="shared" si="256"/>
        <v>-2339.3632286954162</v>
      </c>
      <c r="CC93" s="150">
        <f t="shared" si="256"/>
        <v>-2409.5441255562787</v>
      </c>
      <c r="CD93" s="150">
        <f t="shared" si="256"/>
        <v>-2481.8304493229671</v>
      </c>
      <c r="CE93" s="150">
        <f t="shared" si="256"/>
        <v>-2556.285362802656</v>
      </c>
      <c r="CF93" s="150">
        <f t="shared" si="256"/>
        <v>-2632.9739236867358</v>
      </c>
      <c r="CG93" s="150">
        <f t="shared" si="256"/>
        <v>-2711.9631413973379</v>
      </c>
      <c r="CH93" s="150">
        <f t="shared" si="256"/>
        <v>-2793.322035639258</v>
      </c>
      <c r="CI93" s="150">
        <f t="shared" si="256"/>
        <v>-2877.121696708436</v>
      </c>
      <c r="CJ93" s="150">
        <f t="shared" si="256"/>
        <v>-2963.4353476096894</v>
      </c>
      <c r="CK93" s="150">
        <f t="shared" si="256"/>
        <v>-3052.3384080379801</v>
      </c>
      <c r="CL93" s="150">
        <f t="shared" si="256"/>
        <v>-3143.9085602791197</v>
      </c>
      <c r="CM93" s="150">
        <f t="shared" si="256"/>
        <v>-3238.2258170874934</v>
      </c>
      <c r="CN93" s="150">
        <f t="shared" si="256"/>
        <v>-3335.3725916001181</v>
      </c>
      <c r="CO93" s="150">
        <f t="shared" si="256"/>
        <v>-3435.4337693481216</v>
      </c>
      <c r="CP93" s="150">
        <f t="shared" si="256"/>
        <v>-3538.4967824285654</v>
      </c>
      <c r="CQ93" s="362" t="s">
        <v>77</v>
      </c>
      <c r="DB93" s="7" t="s">
        <v>257</v>
      </c>
      <c r="DD93" s="52">
        <v>-130.87299999999999</v>
      </c>
      <c r="DE93" s="6">
        <f>+R93-DD93</f>
        <v>-171.76</v>
      </c>
      <c r="DF93" s="52">
        <v>-172.60900000000001</v>
      </c>
      <c r="DG93" s="6">
        <f t="shared" si="252"/>
        <v>-180.13399999999999</v>
      </c>
      <c r="DH93" s="52">
        <v>-201.77099999999999</v>
      </c>
      <c r="DI93" s="42">
        <f>+T93-DH93</f>
        <v>-201.70599999999999</v>
      </c>
      <c r="DJ93" s="144">
        <v>-217.429</v>
      </c>
      <c r="DK93" s="42">
        <f>+U93-DJ93</f>
        <v>-216.953</v>
      </c>
      <c r="DL93" s="191">
        <v>-236.58699999999999</v>
      </c>
      <c r="DM93" s="8">
        <f>V93-DL93</f>
        <v>-201.74299999999999</v>
      </c>
      <c r="DN93" s="191">
        <v>-224.78</v>
      </c>
      <c r="DO93" s="8">
        <f>W93-DN93</f>
        <v>-213.35999999999999</v>
      </c>
      <c r="DP93" s="191">
        <v>-233.935</v>
      </c>
      <c r="DU93" s="413">
        <f t="shared" si="227"/>
        <v>0.43244788241863907</v>
      </c>
      <c r="DV93" s="413">
        <f t="shared" si="228"/>
        <v>0.48933359414644662</v>
      </c>
      <c r="DW93" s="413">
        <f t="shared" si="229"/>
        <v>0.50008054982068373</v>
      </c>
      <c r="DX93" s="413">
        <f t="shared" si="230"/>
        <v>0.50054790483951916</v>
      </c>
      <c r="DY93" s="413">
        <f t="shared" si="231"/>
        <v>0.53974630985786964</v>
      </c>
      <c r="DZ93" s="413">
        <f t="shared" si="232"/>
        <v>0.51303236408453923</v>
      </c>
      <c r="EH93" s="411" t="b">
        <f t="shared" si="238"/>
        <v>1</v>
      </c>
      <c r="EI93" s="411" t="b">
        <f t="shared" si="239"/>
        <v>1</v>
      </c>
      <c r="EJ93" s="411" t="b">
        <f t="shared" si="233"/>
        <v>1</v>
      </c>
    </row>
    <row r="94" spans="1:140" ht="11.25" customHeight="1" outlineLevel="1" x14ac:dyDescent="0.2">
      <c r="B94" s="7" t="s">
        <v>281</v>
      </c>
      <c r="D94" s="52"/>
      <c r="E94" s="52"/>
      <c r="F94" s="52"/>
      <c r="G94" s="52"/>
      <c r="H94" s="52"/>
      <c r="I94" s="52"/>
      <c r="J94" s="52"/>
      <c r="K94" s="52">
        <f>-13.55+5.567</f>
        <v>-7.9830000000000005</v>
      </c>
      <c r="L94" s="52">
        <v>-9.6289999999999996</v>
      </c>
      <c r="M94" s="52">
        <v>-14.6</v>
      </c>
      <c r="N94" s="52">
        <v>-17.920000000000002</v>
      </c>
      <c r="O94" s="52">
        <v>-20.949000000000002</v>
      </c>
      <c r="P94" s="52">
        <v>-11.888999999999999</v>
      </c>
      <c r="Q94" s="52">
        <v>-18.102</v>
      </c>
      <c r="R94" s="52">
        <v>-17.451000000000001</v>
      </c>
      <c r="S94" s="52">
        <v>-15.132999999999999</v>
      </c>
      <c r="T94" s="438">
        <v>-9.8539999999999992</v>
      </c>
      <c r="U94" s="438">
        <v>-24.233000000000001</v>
      </c>
      <c r="V94" s="438">
        <v>-12.097</v>
      </c>
      <c r="W94" s="438">
        <f>-8.6</f>
        <v>-8.6</v>
      </c>
      <c r="X94" s="150">
        <f>+W94*1.02</f>
        <v>-8.7720000000000002</v>
      </c>
      <c r="Y94" s="150">
        <f>+X94*1.025</f>
        <v>-8.991299999999999</v>
      </c>
      <c r="Z94" s="150">
        <f>+Y94*1.025</f>
        <v>-9.2160824999999988</v>
      </c>
      <c r="AA94" s="150">
        <f>+Z94*1.025</f>
        <v>-9.4464845624999985</v>
      </c>
      <c r="AB94" s="150">
        <f t="shared" ref="AB94:BD94" si="257">+AA94*1.03</f>
        <v>-9.7298790993749993</v>
      </c>
      <c r="AC94" s="150">
        <f t="shared" si="257"/>
        <v>-10.02177547235625</v>
      </c>
      <c r="AD94" s="150">
        <f t="shared" si="257"/>
        <v>-10.322428736526938</v>
      </c>
      <c r="AE94" s="150">
        <f t="shared" si="257"/>
        <v>-10.632101598622747</v>
      </c>
      <c r="AF94" s="150">
        <f t="shared" si="257"/>
        <v>-10.951064646581429</v>
      </c>
      <c r="AG94" s="150">
        <f t="shared" si="257"/>
        <v>-11.279596585978872</v>
      </c>
      <c r="AH94" s="150">
        <f t="shared" si="257"/>
        <v>-11.617984483558239</v>
      </c>
      <c r="AI94" s="150">
        <f t="shared" si="257"/>
        <v>-11.966524018064986</v>
      </c>
      <c r="AJ94" s="150">
        <f t="shared" si="257"/>
        <v>-12.325519738606936</v>
      </c>
      <c r="AK94" s="150">
        <f t="shared" si="257"/>
        <v>-12.695285330765143</v>
      </c>
      <c r="AL94" s="150">
        <f t="shared" si="257"/>
        <v>-13.076143890688098</v>
      </c>
      <c r="AM94" s="150">
        <f t="shared" si="257"/>
        <v>-13.46842820740874</v>
      </c>
      <c r="AN94" s="150">
        <f t="shared" si="257"/>
        <v>-13.872481053631002</v>
      </c>
      <c r="AO94" s="150">
        <f t="shared" si="257"/>
        <v>-14.288655485239932</v>
      </c>
      <c r="AP94" s="150">
        <f t="shared" si="257"/>
        <v>-14.71731514979713</v>
      </c>
      <c r="AQ94" s="150">
        <f t="shared" si="257"/>
        <v>-15.158834604291044</v>
      </c>
      <c r="AR94" s="150">
        <f t="shared" si="257"/>
        <v>-15.613599642419777</v>
      </c>
      <c r="AS94" s="150">
        <f t="shared" si="257"/>
        <v>-16.08200763169237</v>
      </c>
      <c r="AT94" s="150">
        <f t="shared" si="257"/>
        <v>-16.564467860643141</v>
      </c>
      <c r="AU94" s="150">
        <f t="shared" si="257"/>
        <v>-17.061401896462435</v>
      </c>
      <c r="AV94" s="150">
        <f t="shared" si="257"/>
        <v>-17.573243953356307</v>
      </c>
      <c r="AW94" s="150">
        <f t="shared" si="257"/>
        <v>-18.100441271956996</v>
      </c>
      <c r="AX94" s="150">
        <f t="shared" si="257"/>
        <v>-18.643454510115706</v>
      </c>
      <c r="AY94" s="150">
        <f t="shared" si="257"/>
        <v>-19.202758145419178</v>
      </c>
      <c r="AZ94" s="150">
        <f t="shared" si="257"/>
        <v>-19.778840889781755</v>
      </c>
      <c r="BA94" s="150">
        <f t="shared" si="257"/>
        <v>-20.372206116475208</v>
      </c>
      <c r="BB94" s="150">
        <f t="shared" si="257"/>
        <v>-20.983372299969464</v>
      </c>
      <c r="BC94" s="150">
        <f t="shared" si="257"/>
        <v>-21.612873468968548</v>
      </c>
      <c r="BD94" s="150">
        <f t="shared" si="257"/>
        <v>-22.261259673037603</v>
      </c>
      <c r="BE94" s="150">
        <f t="shared" ref="BE94:CP94" si="258">+BD94*1.03</f>
        <v>-22.929097463228732</v>
      </c>
      <c r="BF94" s="150">
        <f t="shared" si="258"/>
        <v>-23.616970387125594</v>
      </c>
      <c r="BG94" s="150">
        <f t="shared" si="258"/>
        <v>-24.325479498739362</v>
      </c>
      <c r="BH94" s="150">
        <f t="shared" si="258"/>
        <v>-25.055243883701543</v>
      </c>
      <c r="BI94" s="150">
        <f t="shared" si="258"/>
        <v>-25.806901200212589</v>
      </c>
      <c r="BJ94" s="150">
        <f t="shared" si="258"/>
        <v>-26.581108236218967</v>
      </c>
      <c r="BK94" s="150">
        <f t="shared" si="258"/>
        <v>-27.378541483305536</v>
      </c>
      <c r="BL94" s="150">
        <f t="shared" si="258"/>
        <v>-28.199897727804704</v>
      </c>
      <c r="BM94" s="150">
        <f t="shared" si="258"/>
        <v>-29.045894659638847</v>
      </c>
      <c r="BN94" s="150">
        <f t="shared" si="258"/>
        <v>-29.917271499428015</v>
      </c>
      <c r="BO94" s="150">
        <f t="shared" si="258"/>
        <v>-30.814789644410855</v>
      </c>
      <c r="BP94" s="150">
        <f t="shared" si="258"/>
        <v>-31.739233333743183</v>
      </c>
      <c r="BQ94" s="150">
        <f t="shared" si="258"/>
        <v>-32.691410333755478</v>
      </c>
      <c r="BR94" s="150">
        <f t="shared" si="258"/>
        <v>-33.672152643768143</v>
      </c>
      <c r="BS94" s="150">
        <f t="shared" si="258"/>
        <v>-34.682317223081192</v>
      </c>
      <c r="BT94" s="150">
        <f t="shared" si="258"/>
        <v>-35.722786739773632</v>
      </c>
      <c r="BU94" s="150">
        <f t="shared" si="258"/>
        <v>-36.794470341966843</v>
      </c>
      <c r="BV94" s="150">
        <f t="shared" si="258"/>
        <v>-37.898304452225851</v>
      </c>
      <c r="BW94" s="150">
        <f t="shared" si="258"/>
        <v>-39.035253585792624</v>
      </c>
      <c r="BX94" s="150">
        <f t="shared" si="258"/>
        <v>-40.206311193366403</v>
      </c>
      <c r="BY94" s="150">
        <f t="shared" si="258"/>
        <v>-41.412500529167396</v>
      </c>
      <c r="BZ94" s="150">
        <f t="shared" si="258"/>
        <v>-42.654875545042415</v>
      </c>
      <c r="CA94" s="150">
        <f t="shared" si="258"/>
        <v>-43.934521811393687</v>
      </c>
      <c r="CB94" s="150">
        <f t="shared" si="258"/>
        <v>-45.252557465735499</v>
      </c>
      <c r="CC94" s="150">
        <f t="shared" si="258"/>
        <v>-46.610134189707566</v>
      </c>
      <c r="CD94" s="150">
        <f t="shared" si="258"/>
        <v>-48.00843821539879</v>
      </c>
      <c r="CE94" s="150">
        <f t="shared" si="258"/>
        <v>-49.448691361860753</v>
      </c>
      <c r="CF94" s="150">
        <f t="shared" si="258"/>
        <v>-50.932152102716579</v>
      </c>
      <c r="CG94" s="150">
        <f t="shared" si="258"/>
        <v>-52.460116665798076</v>
      </c>
      <c r="CH94" s="150">
        <f t="shared" si="258"/>
        <v>-54.033920165772017</v>
      </c>
      <c r="CI94" s="150">
        <f t="shared" si="258"/>
        <v>-55.654937770745178</v>
      </c>
      <c r="CJ94" s="150">
        <f t="shared" si="258"/>
        <v>-57.324585903867536</v>
      </c>
      <c r="CK94" s="150">
        <f t="shared" si="258"/>
        <v>-59.044323480983564</v>
      </c>
      <c r="CL94" s="150">
        <f t="shared" si="258"/>
        <v>-60.815653185413076</v>
      </c>
      <c r="CM94" s="150">
        <f t="shared" si="258"/>
        <v>-62.640122780975467</v>
      </c>
      <c r="CN94" s="150">
        <f t="shared" si="258"/>
        <v>-64.519326464404728</v>
      </c>
      <c r="CO94" s="150">
        <f t="shared" si="258"/>
        <v>-66.454906258336877</v>
      </c>
      <c r="CP94" s="150">
        <f t="shared" si="258"/>
        <v>-68.44855344608699</v>
      </c>
      <c r="CQ94" s="362" t="s">
        <v>77</v>
      </c>
      <c r="DB94" s="7" t="s">
        <v>281</v>
      </c>
      <c r="DD94" s="52">
        <v>-6.1180000000000003</v>
      </c>
      <c r="DE94" s="6">
        <f>+R94-DD94</f>
        <v>-11.333</v>
      </c>
      <c r="DF94" s="52">
        <v>-4.1120000000000001</v>
      </c>
      <c r="DG94" s="6">
        <f t="shared" si="252"/>
        <v>-11.020999999999999</v>
      </c>
      <c r="DH94" s="52">
        <v>-2.1259999999999999</v>
      </c>
      <c r="DI94" s="42">
        <f>+T94-DH94</f>
        <v>-7.7279999999999998</v>
      </c>
      <c r="DJ94" s="144">
        <v>-2.7010000000000001</v>
      </c>
      <c r="DK94" s="42">
        <f>+U94-DJ94</f>
        <v>-21.532</v>
      </c>
      <c r="DL94" s="191">
        <v>-5.5090000000000003</v>
      </c>
      <c r="DM94" s="8">
        <f>V94-DL94</f>
        <v>-6.5879999999999992</v>
      </c>
      <c r="DN94" s="191">
        <v>-2.802</v>
      </c>
      <c r="DO94" s="8">
        <f>W94-DN94</f>
        <v>-5.798</v>
      </c>
      <c r="DP94" s="191">
        <v>-1.131</v>
      </c>
      <c r="DU94" s="413">
        <f t="shared" si="227"/>
        <v>0.35058162855996794</v>
      </c>
      <c r="DV94" s="413">
        <f t="shared" si="228"/>
        <v>0.27172404678517148</v>
      </c>
      <c r="DW94" s="413">
        <f t="shared" si="229"/>
        <v>0.21574994925918409</v>
      </c>
      <c r="DX94" s="413">
        <f t="shared" si="230"/>
        <v>0.11145957991169067</v>
      </c>
      <c r="DY94" s="413">
        <f t="shared" si="231"/>
        <v>0.45540216582623794</v>
      </c>
      <c r="DZ94" s="413">
        <f t="shared" si="232"/>
        <v>0.32581395348837211</v>
      </c>
      <c r="EH94" s="411" t="b">
        <f t="shared" si="238"/>
        <v>1</v>
      </c>
      <c r="EI94" s="411" t="b">
        <f t="shared" si="239"/>
        <v>1</v>
      </c>
      <c r="EJ94" s="411" t="b">
        <f t="shared" si="233"/>
        <v>1</v>
      </c>
    </row>
    <row r="95" spans="1:140" ht="11.25" customHeight="1" outlineLevel="1" x14ac:dyDescent="0.2">
      <c r="B95" s="7" t="s">
        <v>13</v>
      </c>
      <c r="D95" s="66"/>
      <c r="E95" s="66"/>
      <c r="K95" s="9">
        <f t="shared" ref="K95:R95" si="259">K97-SUM(K90:K94)</f>
        <v>12.826999999999998</v>
      </c>
      <c r="L95" s="9">
        <f t="shared" si="259"/>
        <v>-0.90800000000001546</v>
      </c>
      <c r="M95" s="9">
        <f t="shared" si="259"/>
        <v>-2.4970000000000709</v>
      </c>
      <c r="N95" s="9">
        <f t="shared" si="259"/>
        <v>8.436999999999955</v>
      </c>
      <c r="O95" s="9">
        <f t="shared" si="259"/>
        <v>-26.8449999999998</v>
      </c>
      <c r="P95" s="9">
        <f t="shared" si="259"/>
        <v>-13.865999999999872</v>
      </c>
      <c r="Q95" s="9">
        <f t="shared" si="259"/>
        <v>-50.566000000000031</v>
      </c>
      <c r="R95" s="9">
        <f t="shared" si="259"/>
        <v>-16.810000000000059</v>
      </c>
      <c r="S95" s="9">
        <f t="shared" ref="S95:BD95" si="260">S97-SUM(S90:S94)</f>
        <v>8.3400000000003729</v>
      </c>
      <c r="T95" s="51">
        <f>T97-SUM(T90:T94)</f>
        <v>-51.25529999999992</v>
      </c>
      <c r="U95" s="51">
        <f>U97-SUM(U90:U94)</f>
        <v>-42.513999999999896</v>
      </c>
      <c r="V95" s="51">
        <f>V97-SUM(V90:V94)</f>
        <v>-3.7160000000001219</v>
      </c>
      <c r="W95" s="51">
        <f>W97-SUM(W90:W94)</f>
        <v>-4.4820000000001983</v>
      </c>
      <c r="X95" s="51">
        <f t="shared" si="260"/>
        <v>-10.117641170340676</v>
      </c>
      <c r="Y95" s="51">
        <f t="shared" si="260"/>
        <v>-22.114648389573176</v>
      </c>
      <c r="Z95" s="51">
        <f t="shared" si="260"/>
        <v>-30.018783795056834</v>
      </c>
      <c r="AA95" s="51">
        <f>AA97-SUM(AA90:AA94)</f>
        <v>-20.308038909950028</v>
      </c>
      <c r="AB95" s="51">
        <f t="shared" si="260"/>
        <v>-13.024434124788513</v>
      </c>
      <c r="AC95" s="51">
        <f t="shared" si="260"/>
        <v>-5.6884363248109366</v>
      </c>
      <c r="AD95" s="51">
        <f t="shared" si="260"/>
        <v>1.7555262032904011</v>
      </c>
      <c r="AE95" s="51">
        <f t="shared" si="260"/>
        <v>9.3289007378648421</v>
      </c>
      <c r="AF95" s="51">
        <f t="shared" si="260"/>
        <v>35.033673118325396</v>
      </c>
      <c r="AG95" s="51">
        <f>AG97-SUM(AG90:AG94)</f>
        <v>17.656452942420401</v>
      </c>
      <c r="AH95" s="51">
        <f t="shared" si="260"/>
        <v>26.253803721078839</v>
      </c>
      <c r="AI95" s="51">
        <f t="shared" si="260"/>
        <v>44.427585380175969</v>
      </c>
      <c r="AJ95" s="51">
        <f t="shared" si="260"/>
        <v>106.32679669196682</v>
      </c>
      <c r="AK95" s="51">
        <f t="shared" si="260"/>
        <v>125.35137078189064</v>
      </c>
      <c r="AL95" s="51">
        <f t="shared" si="260"/>
        <v>136.40149927316088</v>
      </c>
      <c r="AM95" s="51">
        <f t="shared" si="260"/>
        <v>148.12201062760209</v>
      </c>
      <c r="AN95" s="51">
        <f t="shared" si="260"/>
        <v>161.08782828545009</v>
      </c>
      <c r="AO95" s="51">
        <f t="shared" si="260"/>
        <v>177.3256768674496</v>
      </c>
      <c r="AP95" s="51">
        <f t="shared" si="260"/>
        <v>224.09914451981047</v>
      </c>
      <c r="AQ95" s="51">
        <f t="shared" si="260"/>
        <v>238.67237975506464</v>
      </c>
      <c r="AR95" s="51">
        <f t="shared" si="260"/>
        <v>291.98394950348938</v>
      </c>
      <c r="AS95" s="51">
        <f t="shared" si="260"/>
        <v>364.31302257254276</v>
      </c>
      <c r="AT95" s="51">
        <f t="shared" si="260"/>
        <v>393.24107141620323</v>
      </c>
      <c r="AU95" s="51">
        <f t="shared" si="260"/>
        <v>412.05351575990966</v>
      </c>
      <c r="AV95" s="51">
        <f t="shared" si="260"/>
        <v>431.59504160529963</v>
      </c>
      <c r="AW95" s="51">
        <f t="shared" si="260"/>
        <v>480.902172025781</v>
      </c>
      <c r="AX95" s="51">
        <f t="shared" si="260"/>
        <v>502.69234917953554</v>
      </c>
      <c r="AY95" s="51">
        <f t="shared" si="260"/>
        <v>525.31028114726087</v>
      </c>
      <c r="AZ95" s="51">
        <f t="shared" si="260"/>
        <v>548.78541621552131</v>
      </c>
      <c r="BA95" s="51">
        <f t="shared" si="260"/>
        <v>667.18027630640188</v>
      </c>
      <c r="BB95" s="51">
        <f t="shared" si="260"/>
        <v>694.79256175201465</v>
      </c>
      <c r="BC95" s="51">
        <f t="shared" si="260"/>
        <v>723.4136158955215</v>
      </c>
      <c r="BD95" s="51">
        <f t="shared" si="260"/>
        <v>753.07793997862666</v>
      </c>
      <c r="BE95" s="51">
        <f t="shared" ref="BE95:CP95" si="261">BE97-SUM(BE90:BE94)</f>
        <v>783.82119679723542</v>
      </c>
      <c r="BF95" s="51">
        <f t="shared" si="261"/>
        <v>815.68122694998931</v>
      </c>
      <c r="BG95" s="51">
        <f t="shared" si="261"/>
        <v>848.69535385475967</v>
      </c>
      <c r="BH95" s="51">
        <f t="shared" si="261"/>
        <v>882.90441168279006</v>
      </c>
      <c r="BI95" s="51">
        <f t="shared" si="261"/>
        <v>918.34805745746496</v>
      </c>
      <c r="BJ95" s="51">
        <f t="shared" si="261"/>
        <v>955.06965258231764</v>
      </c>
      <c r="BK95" s="51">
        <f t="shared" si="261"/>
        <v>993.11196899097206</v>
      </c>
      <c r="BL95" s="51">
        <f t="shared" si="261"/>
        <v>1032.5204594507106</v>
      </c>
      <c r="BM95" s="51">
        <f t="shared" si="261"/>
        <v>1073.3416824786887</v>
      </c>
      <c r="BN95" s="51">
        <f t="shared" si="261"/>
        <v>1115.6238645563271</v>
      </c>
      <c r="BO95" s="51">
        <f t="shared" si="261"/>
        <v>1159.4165555374889</v>
      </c>
      <c r="BP95" s="51">
        <f t="shared" si="261"/>
        <v>1204.771065957673</v>
      </c>
      <c r="BQ95" s="51">
        <f t="shared" si="261"/>
        <v>1251.7403915388004</v>
      </c>
      <c r="BR95" s="51">
        <f t="shared" si="261"/>
        <v>1300.3795158265877</v>
      </c>
      <c r="BS95" s="51">
        <f t="shared" si="261"/>
        <v>1372.4597022787543</v>
      </c>
      <c r="BT95" s="51">
        <f t="shared" si="261"/>
        <v>1442.7652727458299</v>
      </c>
      <c r="BU95" s="51">
        <f t="shared" si="261"/>
        <v>1497.7482142591152</v>
      </c>
      <c r="BV95" s="51">
        <f t="shared" si="261"/>
        <v>1554.6626939663156</v>
      </c>
      <c r="BW95" s="51">
        <f t="shared" si="261"/>
        <v>1613.5737486794094</v>
      </c>
      <c r="BX95" s="51">
        <f t="shared" si="261"/>
        <v>1674.548160927641</v>
      </c>
      <c r="BY95" s="51">
        <f t="shared" si="261"/>
        <v>1737.6558921070402</v>
      </c>
      <c r="BZ95" s="51">
        <f t="shared" si="261"/>
        <v>1802.9675444056413</v>
      </c>
      <c r="CA95" s="51">
        <f t="shared" si="261"/>
        <v>1870.557412230808</v>
      </c>
      <c r="CB95" s="51">
        <f t="shared" si="261"/>
        <v>1940.5010740947168</v>
      </c>
      <c r="CC95" s="51">
        <f t="shared" si="261"/>
        <v>2015.8391967204711</v>
      </c>
      <c r="CD95" s="51">
        <f t="shared" si="261"/>
        <v>2118.8410701582939</v>
      </c>
      <c r="CE95" s="51">
        <f t="shared" si="261"/>
        <v>2197.1005112417206</v>
      </c>
      <c r="CF95" s="51">
        <f t="shared" si="261"/>
        <v>2278.0639635618795</v>
      </c>
      <c r="CG95" s="51">
        <f t="shared" si="261"/>
        <v>2361.8210501956196</v>
      </c>
      <c r="CH95" s="51">
        <f t="shared" si="261"/>
        <v>2751.5990392154545</v>
      </c>
      <c r="CI95" s="51">
        <f t="shared" si="261"/>
        <v>2848.7440792781163</v>
      </c>
      <c r="CJ95" s="51">
        <f t="shared" si="261"/>
        <v>2949.1565447980988</v>
      </c>
      <c r="CK95" s="51">
        <f t="shared" si="261"/>
        <v>3052.9435285890231</v>
      </c>
      <c r="CL95" s="51">
        <f t="shared" si="261"/>
        <v>3160.2154040293021</v>
      </c>
      <c r="CM95" s="51">
        <f t="shared" si="261"/>
        <v>3271.0855786304019</v>
      </c>
      <c r="CN95" s="51">
        <f t="shared" si="261"/>
        <v>3385.6712100570594</v>
      </c>
      <c r="CO95" s="51">
        <f t="shared" si="261"/>
        <v>3504.0930770616251</v>
      </c>
      <c r="CP95" s="51">
        <f t="shared" si="261"/>
        <v>3645.2610322727587</v>
      </c>
      <c r="CQ95" s="362" t="s">
        <v>77</v>
      </c>
      <c r="DB95" s="7" t="s">
        <v>13</v>
      </c>
      <c r="DD95" s="9">
        <f>DD97-SUM(DD90:DD94)</f>
        <v>-11.353000000000009</v>
      </c>
      <c r="DE95" s="9">
        <f>+R95-DD95</f>
        <v>-5.4570000000000505</v>
      </c>
      <c r="DF95" s="9">
        <f>DF97-SUM(DF90:DF94)</f>
        <v>32.635999999999967</v>
      </c>
      <c r="DG95" s="9">
        <f t="shared" si="252"/>
        <v>-24.295999999999594</v>
      </c>
      <c r="DH95" s="9">
        <f>DH97-SUM(DH90:DH94)</f>
        <v>-0.65099999999995362</v>
      </c>
      <c r="DI95" s="42">
        <f>+T95-DH95</f>
        <v>-50.604299999999967</v>
      </c>
      <c r="DJ95" s="9">
        <f t="shared" ref="DJ95:DO95" si="262">DJ97-SUM(DJ90:DJ94)</f>
        <v>-21.959999999999866</v>
      </c>
      <c r="DK95" s="9">
        <f t="shared" si="262"/>
        <v>-20.554000000000144</v>
      </c>
      <c r="DL95" s="9">
        <f t="shared" si="262"/>
        <v>-2.2179999999998472</v>
      </c>
      <c r="DM95" s="9">
        <f t="shared" si="262"/>
        <v>-1.498000000000161</v>
      </c>
      <c r="DN95" s="465">
        <f t="shared" si="262"/>
        <v>-0.75399999999990541</v>
      </c>
      <c r="DO95" s="465">
        <f t="shared" si="262"/>
        <v>-3.7280000000002929</v>
      </c>
      <c r="DP95" s="465">
        <f t="shared" ref="DP95" si="263">DP97-SUM(DP90:DP94)</f>
        <v>-3.6750000000002956</v>
      </c>
      <c r="DQ95" s="9"/>
      <c r="DU95" s="413">
        <f t="shared" si="227"/>
        <v>0.67537180249851092</v>
      </c>
      <c r="DV95" s="413">
        <f t="shared" si="228"/>
        <v>3.9131894484410683</v>
      </c>
      <c r="DW95" s="413">
        <f t="shared" si="229"/>
        <v>1.2701125542138172E-2</v>
      </c>
      <c r="DX95" s="413">
        <f t="shared" si="230"/>
        <v>0.51653572940678039</v>
      </c>
      <c r="DY95" s="413">
        <f t="shared" si="231"/>
        <v>0.59687836383203507</v>
      </c>
      <c r="DZ95" s="413">
        <f t="shared" si="232"/>
        <v>0.16822846943326017</v>
      </c>
      <c r="EH95" s="411" t="b">
        <f t="shared" si="238"/>
        <v>1</v>
      </c>
      <c r="EI95" s="411" t="b">
        <f t="shared" si="239"/>
        <v>1</v>
      </c>
      <c r="EJ95" s="411" t="b">
        <f t="shared" si="233"/>
        <v>1</v>
      </c>
    </row>
    <row r="96" spans="1:140" ht="11.25" customHeight="1" outlineLevel="1" x14ac:dyDescent="0.2">
      <c r="A96" s="233"/>
      <c r="B96" s="74" t="s">
        <v>16</v>
      </c>
      <c r="C96" s="12"/>
      <c r="D96" s="390"/>
      <c r="E96" s="390"/>
      <c r="F96" s="255"/>
      <c r="G96" s="255"/>
      <c r="H96" s="255"/>
      <c r="I96" s="255"/>
      <c r="J96" s="255"/>
      <c r="K96" s="255">
        <f t="shared" ref="K96:BD96" si="264">SUM(K91:K95)</f>
        <v>-188.43600000000001</v>
      </c>
      <c r="L96" s="255">
        <f t="shared" si="264"/>
        <v>-181.88800000000001</v>
      </c>
      <c r="M96" s="255">
        <f t="shared" si="264"/>
        <v>-235.85800000000006</v>
      </c>
      <c r="N96" s="255">
        <f t="shared" si="264"/>
        <v>-451.19400000000007</v>
      </c>
      <c r="O96" s="255">
        <f t="shared" si="264"/>
        <v>-521.17399999999975</v>
      </c>
      <c r="P96" s="255">
        <f t="shared" si="264"/>
        <v>-529.51499999999987</v>
      </c>
      <c r="Q96" s="255">
        <f t="shared" si="264"/>
        <v>-647.51400000000001</v>
      </c>
      <c r="R96" s="255">
        <f t="shared" si="264"/>
        <v>-545.32900000000006</v>
      </c>
      <c r="S96" s="255">
        <f t="shared" si="264"/>
        <v>-625.76199999999972</v>
      </c>
      <c r="T96" s="255">
        <f>SUM(T91:T95)</f>
        <v>-698.7713</v>
      </c>
      <c r="U96" s="255">
        <f>SUM(U91:U95)</f>
        <v>-732.35599999999988</v>
      </c>
      <c r="V96" s="255">
        <f>SUM(V91:V95)</f>
        <v>-763.78000000000009</v>
      </c>
      <c r="W96" s="255">
        <f>SUM(W91:W95)</f>
        <v>-856.29800000000023</v>
      </c>
      <c r="X96" s="255">
        <f t="shared" si="264"/>
        <v>-883.02072117034083</v>
      </c>
      <c r="Y96" s="255">
        <f t="shared" si="264"/>
        <v>-921.16096078957332</v>
      </c>
      <c r="Z96" s="255">
        <f t="shared" si="264"/>
        <v>-955.99152906705683</v>
      </c>
      <c r="AA96" s="255">
        <f>SUM(AA91:AA95)</f>
        <v>-974.01388612761014</v>
      </c>
      <c r="AB96" s="255">
        <f t="shared" si="264"/>
        <v>-995.34145675897844</v>
      </c>
      <c r="AC96" s="255">
        <f t="shared" si="264"/>
        <v>-1017.4749696380267</v>
      </c>
      <c r="AD96" s="255">
        <f t="shared" si="264"/>
        <v>-1040.3846031093219</v>
      </c>
      <c r="AE96" s="255">
        <f t="shared" si="264"/>
        <v>-1064.0754324541258</v>
      </c>
      <c r="AF96" s="255">
        <f t="shared" si="264"/>
        <v>-1070.5727900694251</v>
      </c>
      <c r="AG96" s="255">
        <f t="shared" si="264"/>
        <v>-1121.1182041409627</v>
      </c>
      <c r="AH96" s="255">
        <f t="shared" si="264"/>
        <v>-1146.6840930748058</v>
      </c>
      <c r="AI96" s="255">
        <f t="shared" si="264"/>
        <v>-1163.6984483195849</v>
      </c>
      <c r="AJ96" s="255">
        <f t="shared" si="264"/>
        <v>-1138.0430180187873</v>
      </c>
      <c r="AK96" s="255">
        <f t="shared" si="264"/>
        <v>-1156.3495383701859</v>
      </c>
      <c r="AL96" s="255">
        <f t="shared" si="264"/>
        <v>-1183.7504371534781</v>
      </c>
      <c r="AM96" s="255">
        <f t="shared" si="264"/>
        <v>-1211.6344838918362</v>
      </c>
      <c r="AN96" s="255">
        <f t="shared" si="264"/>
        <v>-1239.4613610695715</v>
      </c>
      <c r="AO96" s="255">
        <f t="shared" si="264"/>
        <v>-1265.2399881682227</v>
      </c>
      <c r="AP96" s="255">
        <f t="shared" si="264"/>
        <v>-1261.7434904669317</v>
      </c>
      <c r="AQ96" s="255">
        <f t="shared" si="264"/>
        <v>-1291.74553428128</v>
      </c>
      <c r="AR96" s="255">
        <f t="shared" si="264"/>
        <v>-1284.3465019539456</v>
      </c>
      <c r="AS96" s="255">
        <f t="shared" si="264"/>
        <v>-1259.3073424286154</v>
      </c>
      <c r="AT96" s="255">
        <f t="shared" si="264"/>
        <v>-1279.0879045349893</v>
      </c>
      <c r="AU96" s="255">
        <f t="shared" si="264"/>
        <v>-1310.4453294698192</v>
      </c>
      <c r="AV96" s="255">
        <f t="shared" si="264"/>
        <v>-1342.578768981321</v>
      </c>
      <c r="AW96" s="255">
        <f t="shared" si="264"/>
        <v>-1346.4968528784382</v>
      </c>
      <c r="AX96" s="255">
        <f t="shared" si="264"/>
        <v>-1379.5286464718104</v>
      </c>
      <c r="AY96" s="255">
        <f t="shared" si="264"/>
        <v>-1413.3773443736254</v>
      </c>
      <c r="AZ96" s="255">
        <f t="shared" si="264"/>
        <v>-1448.0628380709916</v>
      </c>
      <c r="BA96" s="255">
        <f t="shared" si="264"/>
        <v>-1389.5734256087067</v>
      </c>
      <c r="BB96" s="255">
        <f t="shared" si="264"/>
        <v>-1423.6637512205475</v>
      </c>
      <c r="BC96" s="255">
        <f t="shared" si="264"/>
        <v>-1458.5963864662172</v>
      </c>
      <c r="BD96" s="255">
        <f t="shared" si="264"/>
        <v>-1494.3923624539643</v>
      </c>
      <c r="BE96" s="255">
        <f t="shared" ref="BE96:CP96" si="265">SUM(BE91:BE95)</f>
        <v>-1531.0732147083329</v>
      </c>
      <c r="BF96" s="255">
        <f t="shared" si="265"/>
        <v>-1568.6600169007465</v>
      </c>
      <c r="BG96" s="255">
        <f t="shared" si="265"/>
        <v>-1607.1761273114976</v>
      </c>
      <c r="BH96" s="255">
        <f t="shared" si="265"/>
        <v>-1646.6432139184553</v>
      </c>
      <c r="BI96" s="255">
        <f t="shared" si="265"/>
        <v>-1687.0859969118173</v>
      </c>
      <c r="BJ96" s="255">
        <f t="shared" si="265"/>
        <v>-1728.5274234180433</v>
      </c>
      <c r="BK96" s="255">
        <f t="shared" si="265"/>
        <v>-1770.9930192893999</v>
      </c>
      <c r="BL96" s="255">
        <f t="shared" si="265"/>
        <v>-1814.5076784780724</v>
      </c>
      <c r="BM96" s="255">
        <f t="shared" si="265"/>
        <v>-1859.0972995879574</v>
      </c>
      <c r="BN96" s="255">
        <f t="shared" si="265"/>
        <v>-1904.7882869723185</v>
      </c>
      <c r="BO96" s="255">
        <f t="shared" si="265"/>
        <v>-1951.6079605370164</v>
      </c>
      <c r="BP96" s="255">
        <f t="shared" si="265"/>
        <v>-1999.5841855990673</v>
      </c>
      <c r="BQ96" s="255">
        <f t="shared" si="265"/>
        <v>-2048.7455175646423</v>
      </c>
      <c r="BR96" s="255">
        <f t="shared" si="265"/>
        <v>-2099.1209705499587</v>
      </c>
      <c r="BS96" s="255">
        <f t="shared" si="265"/>
        <v>-2129.0257986890883</v>
      </c>
      <c r="BT96" s="255">
        <f t="shared" si="265"/>
        <v>-2163.7647932510486</v>
      </c>
      <c r="BU96" s="255">
        <f t="shared" si="265"/>
        <v>-2216.9777537176692</v>
      </c>
      <c r="BV96" s="255">
        <f t="shared" si="265"/>
        <v>-2271.5050530497733</v>
      </c>
      <c r="BW96" s="255">
        <f t="shared" si="265"/>
        <v>-2327.3790307471618</v>
      </c>
      <c r="BX96" s="255">
        <f t="shared" si="265"/>
        <v>-2384.6332018817275</v>
      </c>
      <c r="BY96" s="255">
        <f t="shared" si="265"/>
        <v>-2443.3009115866098</v>
      </c>
      <c r="BZ96" s="255">
        <f t="shared" si="265"/>
        <v>-2503.4179633988188</v>
      </c>
      <c r="CA96" s="255">
        <f t="shared" si="265"/>
        <v>-2565.0196608077858</v>
      </c>
      <c r="CB96" s="255">
        <f t="shared" si="265"/>
        <v>-2628.1433111350348</v>
      </c>
      <c r="CC96" s="255">
        <f t="shared" si="265"/>
        <v>-2689.8645200661736</v>
      </c>
      <c r="CD96" s="255">
        <f t="shared" si="265"/>
        <v>-2728.0337581319504</v>
      </c>
      <c r="CE96" s="255">
        <f t="shared" si="265"/>
        <v>-2795.1805618972312</v>
      </c>
      <c r="CF96" s="255">
        <f t="shared" si="265"/>
        <v>-2863.9855417712411</v>
      </c>
      <c r="CG96" s="255">
        <f t="shared" si="265"/>
        <v>-2934.4899402974947</v>
      </c>
      <c r="CH96" s="255">
        <f t="shared" si="265"/>
        <v>-2703.6012809924523</v>
      </c>
      <c r="CI96" s="255">
        <f t="shared" si="265"/>
        <v>-2770.1122505360272</v>
      </c>
      <c r="CJ96" s="255">
        <f t="shared" si="265"/>
        <v>-2838.2654749104709</v>
      </c>
      <c r="CK96" s="255">
        <f t="shared" si="265"/>
        <v>-2908.1011517108027</v>
      </c>
      <c r="CL96" s="255">
        <f t="shared" si="265"/>
        <v>-2979.6606166795195</v>
      </c>
      <c r="CM96" s="255">
        <f t="shared" si="265"/>
        <v>-3052.9867226996839</v>
      </c>
      <c r="CN96" s="255">
        <f t="shared" si="265"/>
        <v>-3128.1232603129292</v>
      </c>
      <c r="CO96" s="255">
        <f t="shared" si="265"/>
        <v>-3205.1152274194619</v>
      </c>
      <c r="CP96" s="255">
        <f t="shared" si="265"/>
        <v>-3265.2235213427621</v>
      </c>
      <c r="CQ96" s="362" t="s">
        <v>77</v>
      </c>
      <c r="DB96" s="74" t="s">
        <v>16</v>
      </c>
      <c r="DC96" s="12"/>
      <c r="DD96" s="255">
        <f>SUM(DD91:DD95)</f>
        <v>-260.46699999999998</v>
      </c>
      <c r="DE96" s="255">
        <f>SUM(DE91:DE95)</f>
        <v>-284.86200000000008</v>
      </c>
      <c r="DF96" s="255">
        <f>SUM(DF91:DF95)</f>
        <v>-300.20400000000006</v>
      </c>
      <c r="DG96" s="255">
        <f t="shared" si="252"/>
        <v>-325.55799999999965</v>
      </c>
      <c r="DH96" s="255">
        <f t="shared" ref="DH96:DM96" si="266">SUM(DH91:DH95)</f>
        <v>-312.5089999999999</v>
      </c>
      <c r="DI96" s="255">
        <f t="shared" si="266"/>
        <v>-386.26229999999993</v>
      </c>
      <c r="DJ96" s="255">
        <f t="shared" si="266"/>
        <v>-338.76999999999992</v>
      </c>
      <c r="DK96" s="255">
        <f t="shared" si="266"/>
        <v>-393.58600000000013</v>
      </c>
      <c r="DL96" s="255">
        <f t="shared" si="266"/>
        <v>-381.51399999999984</v>
      </c>
      <c r="DM96" s="255">
        <f t="shared" si="266"/>
        <v>-382.26600000000019</v>
      </c>
      <c r="DN96" s="255">
        <f>SUM(DN91:DN95)</f>
        <v>-419.40299999999991</v>
      </c>
      <c r="DO96" s="255">
        <f>SUM(DO91:DO95)</f>
        <v>-436.89500000000032</v>
      </c>
      <c r="DP96" s="255">
        <f>SUM(DP91:DP95)</f>
        <v>-433.39300000000026</v>
      </c>
      <c r="DQ96" s="255">
        <f>X96-DP96</f>
        <v>-449.62772117034058</v>
      </c>
      <c r="DR96" s="255"/>
      <c r="DS96" s="255"/>
      <c r="DU96" s="420">
        <f t="shared" si="227"/>
        <v>0.47763276847554403</v>
      </c>
      <c r="DV96" s="420">
        <f t="shared" si="228"/>
        <v>0.47974149916421932</v>
      </c>
      <c r="DW96" s="420">
        <f t="shared" si="229"/>
        <v>0.44722643875041801</v>
      </c>
      <c r="DX96" s="420">
        <f t="shared" si="230"/>
        <v>0.46257557799758575</v>
      </c>
      <c r="DY96" s="420">
        <f t="shared" si="231"/>
        <v>0.49950771164471425</v>
      </c>
      <c r="DZ96" s="420">
        <f t="shared" si="232"/>
        <v>0.48978626599618336</v>
      </c>
      <c r="EA96" s="751">
        <f>AVERAGE(DU96:DZ96)</f>
        <v>0.47607837700477745</v>
      </c>
      <c r="EH96" s="411" t="b">
        <f t="shared" si="238"/>
        <v>1</v>
      </c>
      <c r="EI96" s="411" t="b">
        <f t="shared" si="239"/>
        <v>1</v>
      </c>
      <c r="EJ96" s="411" t="b">
        <f t="shared" si="233"/>
        <v>1</v>
      </c>
    </row>
    <row r="97" spans="2:140" ht="11.25" customHeight="1" outlineLevel="1" x14ac:dyDescent="0.2">
      <c r="B97" s="1" t="s">
        <v>246</v>
      </c>
      <c r="D97" s="3"/>
      <c r="E97" s="3"/>
      <c r="F97" s="3"/>
      <c r="G97" s="3"/>
      <c r="H97" s="3"/>
      <c r="I97" s="3"/>
      <c r="J97" s="3"/>
      <c r="K97" s="3">
        <f t="shared" ref="K97:BD97" si="267">+K56</f>
        <v>178.876</v>
      </c>
      <c r="L97" s="3">
        <f t="shared" si="267"/>
        <v>200.40199999999999</v>
      </c>
      <c r="M97" s="3">
        <f t="shared" si="267"/>
        <v>296.84199999999998</v>
      </c>
      <c r="N97" s="3">
        <f t="shared" si="267"/>
        <v>430.53499999999997</v>
      </c>
      <c r="O97" s="3">
        <f t="shared" si="267"/>
        <v>423.24200000000008</v>
      </c>
      <c r="P97" s="3">
        <f t="shared" si="267"/>
        <v>459.97500000000002</v>
      </c>
      <c r="Q97" s="3">
        <f t="shared" si="267"/>
        <v>454.47500000000002</v>
      </c>
      <c r="R97" s="3">
        <f t="shared" si="267"/>
        <v>515.33299999999997</v>
      </c>
      <c r="S97" s="3">
        <f t="shared" si="267"/>
        <v>646.50500000000011</v>
      </c>
      <c r="T97" s="33">
        <f t="shared" si="267"/>
        <v>697.221</v>
      </c>
      <c r="U97" s="33">
        <f t="shared" si="267"/>
        <v>821.25900000000001</v>
      </c>
      <c r="V97" s="33">
        <f t="shared" si="267"/>
        <v>1330.5239999999999</v>
      </c>
      <c r="W97" s="33">
        <f t="shared" si="267"/>
        <v>1470.1219999999996</v>
      </c>
      <c r="X97" s="33">
        <f t="shared" si="267"/>
        <v>1485.0839326218895</v>
      </c>
      <c r="Y97" s="33">
        <f t="shared" si="267"/>
        <v>1553.6840226773406</v>
      </c>
      <c r="Z97" s="33">
        <f t="shared" si="267"/>
        <v>1620.0453242958517</v>
      </c>
      <c r="AA97" s="33">
        <f t="shared" si="267"/>
        <v>1578.6426092790687</v>
      </c>
      <c r="AB97" s="33">
        <f t="shared" si="267"/>
        <v>1609.52085369918</v>
      </c>
      <c r="AC97" s="33">
        <f t="shared" si="267"/>
        <v>1642.0028360563829</v>
      </c>
      <c r="AD97" s="33">
        <f t="shared" si="267"/>
        <v>1675.0805825732421</v>
      </c>
      <c r="AE97" s="33">
        <f t="shared" si="267"/>
        <v>1695.880589685326</v>
      </c>
      <c r="AF97" s="33">
        <f t="shared" si="267"/>
        <v>1696.1048642026351</v>
      </c>
      <c r="AG97" s="33">
        <f t="shared" si="267"/>
        <v>1685.2892255631889</v>
      </c>
      <c r="AH97" s="33">
        <f t="shared" si="267"/>
        <v>1719.0505866419901</v>
      </c>
      <c r="AI97" s="33">
        <f t="shared" si="267"/>
        <v>1602.291369542542</v>
      </c>
      <c r="AJ97" s="33">
        <f t="shared" si="267"/>
        <v>1526.4531424686459</v>
      </c>
      <c r="AK97" s="33">
        <f t="shared" si="267"/>
        <v>1521.3601547795251</v>
      </c>
      <c r="AL97" s="33">
        <f t="shared" si="267"/>
        <v>1549.9754956129416</v>
      </c>
      <c r="AM97" s="33">
        <f t="shared" si="267"/>
        <v>1579.3938340493312</v>
      </c>
      <c r="AN97" s="33">
        <f t="shared" si="267"/>
        <v>1597.2978949890553</v>
      </c>
      <c r="AO97" s="33">
        <f t="shared" si="267"/>
        <v>1570.7805226278924</v>
      </c>
      <c r="AP97" s="33">
        <f t="shared" si="267"/>
        <v>1053.3073565634118</v>
      </c>
      <c r="AQ97" s="33">
        <f t="shared" si="267"/>
        <v>1073.5327907288965</v>
      </c>
      <c r="AR97" s="33">
        <f t="shared" si="267"/>
        <v>982.47702193906559</v>
      </c>
      <c r="AS97" s="33">
        <f t="shared" si="267"/>
        <v>867.35365710100416</v>
      </c>
      <c r="AT97" s="33">
        <f t="shared" si="267"/>
        <v>851.68790877391143</v>
      </c>
      <c r="AU97" s="33">
        <f t="shared" si="267"/>
        <v>869.58545277490578</v>
      </c>
      <c r="AV97" s="33">
        <f t="shared" si="267"/>
        <v>887.89293474404894</v>
      </c>
      <c r="AW97" s="33">
        <f t="shared" si="267"/>
        <v>862.0174764376809</v>
      </c>
      <c r="AX97" s="33">
        <f t="shared" si="267"/>
        <v>880.12946297243002</v>
      </c>
      <c r="AY97" s="33">
        <f t="shared" si="267"/>
        <v>898.6535200972977</v>
      </c>
      <c r="AZ97" s="33">
        <f t="shared" si="267"/>
        <v>917.59799903988528</v>
      </c>
      <c r="BA97" s="33">
        <f t="shared" si="267"/>
        <v>763.33702235912574</v>
      </c>
      <c r="BB97" s="33">
        <f t="shared" si="267"/>
        <v>779.12615032909673</v>
      </c>
      <c r="BC97" s="33">
        <f t="shared" si="267"/>
        <v>795.27078587070991</v>
      </c>
      <c r="BD97" s="33">
        <f t="shared" si="267"/>
        <v>811.77952485394837</v>
      </c>
      <c r="BE97" s="33">
        <f t="shared" ref="BE97:CP97" si="268">+BE56</f>
        <v>828.66110747292066</v>
      </c>
      <c r="BF97" s="33">
        <f t="shared" si="268"/>
        <v>845.92142142331602</v>
      </c>
      <c r="BG97" s="33">
        <f t="shared" si="268"/>
        <v>863.57188387036922</v>
      </c>
      <c r="BH97" s="33">
        <f t="shared" si="268"/>
        <v>881.61722123009372</v>
      </c>
      <c r="BI97" s="33">
        <f t="shared" si="268"/>
        <v>900.06996728874105</v>
      </c>
      <c r="BJ97" s="33">
        <f t="shared" si="268"/>
        <v>918.9356347041246</v>
      </c>
      <c r="BK97" s="33">
        <f t="shared" si="268"/>
        <v>938.22601361201976</v>
      </c>
      <c r="BL97" s="33">
        <f t="shared" si="268"/>
        <v>957.94929012326952</v>
      </c>
      <c r="BM97" s="33">
        <f t="shared" si="268"/>
        <v>978.11502059392751</v>
      </c>
      <c r="BN97" s="33">
        <f t="shared" si="268"/>
        <v>998.73255959238656</v>
      </c>
      <c r="BO97" s="33">
        <f t="shared" si="268"/>
        <v>1019.8122720104545</v>
      </c>
      <c r="BP97" s="33">
        <f t="shared" si="268"/>
        <v>1041.3643535097035</v>
      </c>
      <c r="BQ97" s="33">
        <f t="shared" si="268"/>
        <v>1063.3992277801251</v>
      </c>
      <c r="BR97" s="33">
        <f t="shared" si="268"/>
        <v>1085.9267900098723</v>
      </c>
      <c r="BS97" s="33">
        <f t="shared" si="268"/>
        <v>1068.6891164573028</v>
      </c>
      <c r="BT97" s="33">
        <f t="shared" si="268"/>
        <v>1055.6131069273245</v>
      </c>
      <c r="BU97" s="33">
        <f t="shared" si="268"/>
        <v>1077.90219574867</v>
      </c>
      <c r="BV97" s="33">
        <f t="shared" si="268"/>
        <v>1100.6884463287852</v>
      </c>
      <c r="BW97" s="33">
        <f t="shared" si="268"/>
        <v>1123.9824285790146</v>
      </c>
      <c r="BX97" s="33">
        <f t="shared" si="268"/>
        <v>1147.7960952306412</v>
      </c>
      <c r="BY97" s="33">
        <f t="shared" si="268"/>
        <v>1172.1386021199014</v>
      </c>
      <c r="BZ97" s="33">
        <f t="shared" si="268"/>
        <v>1197.0243070996821</v>
      </c>
      <c r="CA97" s="33">
        <f t="shared" si="268"/>
        <v>1222.4636437696258</v>
      </c>
      <c r="CB97" s="33">
        <f t="shared" si="268"/>
        <v>1248.4707360066436</v>
      </c>
      <c r="CC97" s="33">
        <f t="shared" si="268"/>
        <v>1270.3850341023813</v>
      </c>
      <c r="CD97" s="33">
        <f t="shared" si="268"/>
        <v>1241.4217866145787</v>
      </c>
      <c r="CE97" s="33">
        <f t="shared" si="268"/>
        <v>1267.7906044858398</v>
      </c>
      <c r="CF97" s="33">
        <f t="shared" si="268"/>
        <v>1294.7438478471772</v>
      </c>
      <c r="CG97" s="33">
        <f t="shared" si="268"/>
        <v>1322.2951858611975</v>
      </c>
      <c r="CH97" s="33">
        <f t="shared" si="268"/>
        <v>830.29504654147138</v>
      </c>
      <c r="CI97" s="33">
        <f t="shared" si="268"/>
        <v>847.04787506031528</v>
      </c>
      <c r="CJ97" s="33">
        <f t="shared" si="268"/>
        <v>864.16216785095594</v>
      </c>
      <c r="CK97" s="33">
        <f t="shared" si="268"/>
        <v>881.64445225053066</v>
      </c>
      <c r="CL97" s="33">
        <f t="shared" si="268"/>
        <v>899.50182972260382</v>
      </c>
      <c r="CM97" s="33">
        <f t="shared" si="268"/>
        <v>917.74306468398709</v>
      </c>
      <c r="CN97" s="33">
        <f t="shared" si="268"/>
        <v>936.37673374747465</v>
      </c>
      <c r="CO97" s="33">
        <f t="shared" si="268"/>
        <v>955.41197587764862</v>
      </c>
      <c r="CP97" s="33">
        <f t="shared" si="268"/>
        <v>944.07976935785462</v>
      </c>
      <c r="CQ97" s="362" t="s">
        <v>77</v>
      </c>
      <c r="DB97" s="1" t="s">
        <v>246</v>
      </c>
      <c r="DD97" s="3">
        <f t="shared" ref="DD97:DP97" si="269">+DD56</f>
        <v>269.98500000000001</v>
      </c>
      <c r="DE97" s="3">
        <f t="shared" si="269"/>
        <v>245.34800000000001</v>
      </c>
      <c r="DF97" s="3">
        <f t="shared" si="269"/>
        <v>324.48399999999998</v>
      </c>
      <c r="DG97" s="3">
        <f t="shared" si="269"/>
        <v>322.02099999999996</v>
      </c>
      <c r="DH97" s="3">
        <f t="shared" si="269"/>
        <v>398.89600000000007</v>
      </c>
      <c r="DI97" s="3">
        <f t="shared" si="269"/>
        <v>370.86100000000005</v>
      </c>
      <c r="DJ97" s="3">
        <f t="shared" si="269"/>
        <v>401.33099999999996</v>
      </c>
      <c r="DK97" s="3">
        <f t="shared" si="269"/>
        <v>419.928</v>
      </c>
      <c r="DL97" s="3">
        <f t="shared" si="269"/>
        <v>667.56700000000001</v>
      </c>
      <c r="DM97" s="3">
        <f t="shared" si="269"/>
        <v>662.95699999999999</v>
      </c>
      <c r="DN97" s="3">
        <f t="shared" si="269"/>
        <v>759.68200000000013</v>
      </c>
      <c r="DO97" s="3">
        <f t="shared" si="269"/>
        <v>710.43999999999983</v>
      </c>
      <c r="DP97" s="3">
        <f t="shared" si="269"/>
        <v>755.25599999999986</v>
      </c>
      <c r="DQ97" s="3">
        <f t="shared" ref="DQ97" si="270">DQ90+DQ96</f>
        <v>729.82793262188954</v>
      </c>
      <c r="DR97" s="3"/>
      <c r="DS97" s="3"/>
      <c r="DU97" s="413">
        <f>+(DD97/(DD97+DE97))</f>
        <v>0.52390396112804727</v>
      </c>
      <c r="DV97" s="413">
        <f>+(DF97/(DF97+DG97))</f>
        <v>0.50190485765771342</v>
      </c>
      <c r="DW97" s="413">
        <f>+(DH97/(DH97+DI97))</f>
        <v>0.51821029233901095</v>
      </c>
      <c r="DX97" s="413">
        <f>+(DJ97/(DJ97+DK97))</f>
        <v>0.48867774965023208</v>
      </c>
      <c r="DY97" s="413">
        <f t="shared" si="231"/>
        <v>0.50173240016715226</v>
      </c>
      <c r="DZ97" s="413">
        <f t="shared" si="232"/>
        <v>0.51674758965582468</v>
      </c>
      <c r="EH97" s="411" t="b">
        <f t="shared" si="238"/>
        <v>1</v>
      </c>
      <c r="EI97" s="411" t="b">
        <f t="shared" si="239"/>
        <v>1</v>
      </c>
      <c r="EJ97" s="411" t="b">
        <f t="shared" si="233"/>
        <v>1</v>
      </c>
    </row>
    <row r="98" spans="2:140" s="98" customFormat="1" ht="11.25" customHeight="1" outlineLevel="1" x14ac:dyDescent="0.2">
      <c r="B98" s="103" t="s">
        <v>47</v>
      </c>
      <c r="D98" s="93"/>
      <c r="E98" s="93"/>
      <c r="F98" s="93"/>
      <c r="G98" s="93"/>
      <c r="H98" s="93"/>
      <c r="I98" s="93"/>
      <c r="J98" s="93"/>
      <c r="K98" s="93">
        <f t="shared" ref="K98:BD98" si="271">+K97/K$90</f>
        <v>0.48698654005314285</v>
      </c>
      <c r="L98" s="93">
        <f t="shared" si="271"/>
        <v>0.52421460148055132</v>
      </c>
      <c r="M98" s="93">
        <f t="shared" si="271"/>
        <v>0.55724047306176072</v>
      </c>
      <c r="N98" s="93">
        <f t="shared" si="271"/>
        <v>0.48828494923043242</v>
      </c>
      <c r="O98" s="93">
        <f t="shared" si="271"/>
        <v>0.44815208552163466</v>
      </c>
      <c r="P98" s="93">
        <f t="shared" si="271"/>
        <v>0.46486068580784046</v>
      </c>
      <c r="Q98" s="93">
        <f t="shared" si="271"/>
        <v>0.41241337254727589</v>
      </c>
      <c r="R98" s="93">
        <f t="shared" si="271"/>
        <v>0.48585977436732902</v>
      </c>
      <c r="S98" s="93">
        <f t="shared" si="271"/>
        <v>0.50815198382100624</v>
      </c>
      <c r="T98" s="93">
        <f t="shared" si="271"/>
        <v>0.49944473189429489</v>
      </c>
      <c r="U98" s="93">
        <f t="shared" si="271"/>
        <v>0.52861165732823134</v>
      </c>
      <c r="V98" s="93">
        <f t="shared" si="271"/>
        <v>0.63530604916955702</v>
      </c>
      <c r="W98" s="93">
        <f t="shared" si="271"/>
        <v>0.63192458799356932</v>
      </c>
      <c r="X98" s="93">
        <f t="shared" si="271"/>
        <v>0.6271192154636025</v>
      </c>
      <c r="Y98" s="93">
        <f t="shared" si="271"/>
        <v>0.62779044063634459</v>
      </c>
      <c r="Z98" s="93">
        <f t="shared" si="271"/>
        <v>0.62889058523403885</v>
      </c>
      <c r="AA98" s="93">
        <f t="shared" si="271"/>
        <v>0.61843127429002764</v>
      </c>
      <c r="AB98" s="93">
        <f t="shared" si="271"/>
        <v>0.61789095233063895</v>
      </c>
      <c r="AC98" s="93">
        <f t="shared" si="271"/>
        <v>0.61741550636014575</v>
      </c>
      <c r="AD98" s="93">
        <f t="shared" si="271"/>
        <v>0.61686689684154095</v>
      </c>
      <c r="AE98" s="93">
        <f t="shared" si="271"/>
        <v>0.6144592798151618</v>
      </c>
      <c r="AF98" s="93">
        <f t="shared" si="271"/>
        <v>0.61304751624521903</v>
      </c>
      <c r="AG98" s="93">
        <f t="shared" si="271"/>
        <v>0.60051481040329568</v>
      </c>
      <c r="AH98" s="93">
        <f t="shared" si="271"/>
        <v>0.59986383205994287</v>
      </c>
      <c r="AI98" s="93">
        <f t="shared" si="271"/>
        <v>0.57928317710908128</v>
      </c>
      <c r="AJ98" s="93">
        <f t="shared" si="271"/>
        <v>0.57288622333364592</v>
      </c>
      <c r="AK98" s="93">
        <f t="shared" si="271"/>
        <v>0.56815724224010034</v>
      </c>
      <c r="AL98" s="93">
        <f t="shared" si="271"/>
        <v>0.56698276774381307</v>
      </c>
      <c r="AM98" s="93">
        <f t="shared" si="271"/>
        <v>0.5658824111159102</v>
      </c>
      <c r="AN98" s="93">
        <f t="shared" si="271"/>
        <v>0.56307136094739674</v>
      </c>
      <c r="AO98" s="93">
        <f t="shared" si="271"/>
        <v>0.5538678287580332</v>
      </c>
      <c r="AP98" s="93">
        <f t="shared" si="271"/>
        <v>0.4549823853392046</v>
      </c>
      <c r="AQ98" s="93">
        <f t="shared" si="271"/>
        <v>0.45387165619262915</v>
      </c>
      <c r="AR98" s="93">
        <f t="shared" si="271"/>
        <v>0.43341575185869491</v>
      </c>
      <c r="AS98" s="93">
        <f t="shared" si="271"/>
        <v>0.40784763405773078</v>
      </c>
      <c r="AT98" s="93">
        <f t="shared" si="271"/>
        <v>0.39970789205238705</v>
      </c>
      <c r="AU98" s="93">
        <f t="shared" si="271"/>
        <v>0.39888677713051129</v>
      </c>
      <c r="AV98" s="93">
        <f t="shared" si="271"/>
        <v>0.39807406355394503</v>
      </c>
      <c r="AW98" s="93">
        <f t="shared" si="271"/>
        <v>0.39031554606422242</v>
      </c>
      <c r="AX98" s="93">
        <f t="shared" si="271"/>
        <v>0.38949673815429386</v>
      </c>
      <c r="AY98" s="93">
        <f t="shared" si="271"/>
        <v>0.38868578006762139</v>
      </c>
      <c r="AZ98" s="93">
        <f t="shared" si="271"/>
        <v>0.38788231374727622</v>
      </c>
      <c r="BA98" s="93">
        <f t="shared" si="271"/>
        <v>0.35456050811572409</v>
      </c>
      <c r="BB98" s="93">
        <f t="shared" si="271"/>
        <v>0.35369971043583787</v>
      </c>
      <c r="BC98" s="93">
        <f t="shared" si="271"/>
        <v>0.35284722881257091</v>
      </c>
      <c r="BD98" s="93">
        <f t="shared" si="271"/>
        <v>0.3520030442316992</v>
      </c>
      <c r="BE98" s="93">
        <f t="shared" ref="BE98:CP98" si="272">+BE97/BE$90</f>
        <v>0.35116712067269334</v>
      </c>
      <c r="BF98" s="93">
        <f t="shared" si="272"/>
        <v>0.35033874111550445</v>
      </c>
      <c r="BG98" s="93">
        <f t="shared" si="272"/>
        <v>0.34951839684261643</v>
      </c>
      <c r="BH98" s="93">
        <f t="shared" si="272"/>
        <v>0.34870506573358373</v>
      </c>
      <c r="BI98" s="93">
        <f t="shared" si="272"/>
        <v>0.3478993843986774</v>
      </c>
      <c r="BJ98" s="93">
        <f t="shared" si="272"/>
        <v>0.34710045599500106</v>
      </c>
      <c r="BK98" s="93">
        <f t="shared" si="272"/>
        <v>0.34630866025152385</v>
      </c>
      <c r="BL98" s="93">
        <f t="shared" si="272"/>
        <v>0.34552359187978265</v>
      </c>
      <c r="BM98" s="93">
        <f t="shared" si="272"/>
        <v>0.34474509138294712</v>
      </c>
      <c r="BN98" s="93">
        <f t="shared" si="272"/>
        <v>0.34397292541365249</v>
      </c>
      <c r="BO98" s="93">
        <f t="shared" si="272"/>
        <v>0.34320701624089855</v>
      </c>
      <c r="BP98" s="93">
        <f t="shared" si="272"/>
        <v>0.3424472134654743</v>
      </c>
      <c r="BQ98" s="93">
        <f t="shared" si="272"/>
        <v>0.3416933705833532</v>
      </c>
      <c r="BR98" s="93">
        <f t="shared" si="272"/>
        <v>0.34094521390128246</v>
      </c>
      <c r="BS98" s="93">
        <f t="shared" si="272"/>
        <v>0.33420400029887543</v>
      </c>
      <c r="BT98" s="93">
        <f t="shared" si="272"/>
        <v>0.32789350603072637</v>
      </c>
      <c r="BU98" s="93">
        <f t="shared" si="272"/>
        <v>0.32714460383397398</v>
      </c>
      <c r="BV98" s="93">
        <f t="shared" si="272"/>
        <v>0.32640133092351453</v>
      </c>
      <c r="BW98" s="93">
        <f t="shared" si="272"/>
        <v>0.32566349303745612</v>
      </c>
      <c r="BX98" s="93">
        <f t="shared" si="272"/>
        <v>0.32493108812366672</v>
      </c>
      <c r="BY98" s="93">
        <f t="shared" si="272"/>
        <v>0.32420362660644736</v>
      </c>
      <c r="BZ98" s="93">
        <f t="shared" si="272"/>
        <v>0.32348141643577821</v>
      </c>
      <c r="CA98" s="93">
        <f t="shared" si="272"/>
        <v>0.32276410097760744</v>
      </c>
      <c r="CB98" s="93">
        <f t="shared" si="272"/>
        <v>0.32205185267983316</v>
      </c>
      <c r="CC98" s="93">
        <f t="shared" si="272"/>
        <v>0.32078408613547482</v>
      </c>
      <c r="CD98" s="93">
        <f t="shared" si="272"/>
        <v>0.31274359231899407</v>
      </c>
      <c r="CE98" s="93">
        <f t="shared" si="272"/>
        <v>0.31203534373453351</v>
      </c>
      <c r="CF98" s="93">
        <f t="shared" si="272"/>
        <v>0.31133159351009754</v>
      </c>
      <c r="CG98" s="93">
        <f t="shared" si="272"/>
        <v>0.31063235438769549</v>
      </c>
      <c r="CH98" s="93">
        <f t="shared" si="272"/>
        <v>0.23495172738156703</v>
      </c>
      <c r="CI98" s="93">
        <f t="shared" si="272"/>
        <v>0.2341748348562995</v>
      </c>
      <c r="CJ98" s="93">
        <f t="shared" si="272"/>
        <v>0.2334042015758146</v>
      </c>
      <c r="CK98" s="93">
        <f t="shared" si="272"/>
        <v>0.23263948148101765</v>
      </c>
      <c r="CL98" s="93">
        <f t="shared" si="272"/>
        <v>0.23188042319725002</v>
      </c>
      <c r="CM98" s="93">
        <f t="shared" si="272"/>
        <v>0.23112705064947051</v>
      </c>
      <c r="CN98" s="93">
        <f t="shared" si="272"/>
        <v>0.23037931728769465</v>
      </c>
      <c r="CO98" s="93">
        <f t="shared" si="272"/>
        <v>0.22963723806937472</v>
      </c>
      <c r="CP98" s="93">
        <f t="shared" si="272"/>
        <v>0.22428409267717966</v>
      </c>
      <c r="CQ98" s="362" t="s">
        <v>77</v>
      </c>
      <c r="CR98" s="8"/>
      <c r="CS98" s="8"/>
      <c r="CT98" s="8"/>
      <c r="CU98"/>
      <c r="CV98"/>
      <c r="CW98"/>
      <c r="CX98"/>
      <c r="CY98"/>
      <c r="CZ98"/>
      <c r="DB98" s="103" t="s">
        <v>47</v>
      </c>
      <c r="DD98" s="93">
        <f t="shared" ref="DD98:DQ98" si="273">+DD97/DD$90</f>
        <v>0.50897159403678371</v>
      </c>
      <c r="DE98" s="93">
        <f t="shared" si="273"/>
        <v>0.46273740593349805</v>
      </c>
      <c r="DF98" s="93">
        <f t="shared" si="273"/>
        <v>0.51943370130369082</v>
      </c>
      <c r="DG98" s="93">
        <f t="shared" si="273"/>
        <v>0.49726905906460833</v>
      </c>
      <c r="DH98" s="93">
        <f t="shared" si="273"/>
        <v>0.56071576668704903</v>
      </c>
      <c r="DI98" s="93">
        <f t="shared" si="273"/>
        <v>0.54172930172674827</v>
      </c>
      <c r="DJ98" s="93">
        <f t="shared" si="273"/>
        <v>0.54226517732039281</v>
      </c>
      <c r="DK98" s="93">
        <f t="shared" si="273"/>
        <v>0.51619025609885005</v>
      </c>
      <c r="DL98" s="93">
        <f t="shared" si="273"/>
        <v>0.6363350399063562</v>
      </c>
      <c r="DM98" s="93">
        <f t="shared" si="273"/>
        <v>0.63427326034731346</v>
      </c>
      <c r="DN98" s="93">
        <f t="shared" si="273"/>
        <v>0.64429790897178751</v>
      </c>
      <c r="DO98" s="93">
        <f t="shared" si="273"/>
        <v>0.61920886227649263</v>
      </c>
      <c r="DP98" s="93">
        <f t="shared" si="273"/>
        <v>0.63539026239032703</v>
      </c>
      <c r="DQ98" s="93">
        <f t="shared" si="273"/>
        <v>0.61878369930681099</v>
      </c>
      <c r="DR98" s="93"/>
      <c r="DS98" s="93"/>
      <c r="DU98" s="413">
        <f t="shared" si="227"/>
        <v>0.52379014092938303</v>
      </c>
      <c r="DV98" s="413">
        <f t="shared" si="228"/>
        <v>0.51090025674320649</v>
      </c>
      <c r="DW98" s="413">
        <f t="shared" si="229"/>
        <v>0.50861107074823175</v>
      </c>
      <c r="DX98" s="413">
        <f t="shared" si="230"/>
        <v>0.51231743935467844</v>
      </c>
      <c r="DY98" s="413">
        <f t="shared" ref="DY98:DY113" si="274">+(DL98/(DL98+DM98))</f>
        <v>0.50081133562508251</v>
      </c>
      <c r="DZ98" s="413">
        <f t="shared" si="232"/>
        <v>0.50992833883688182</v>
      </c>
      <c r="EH98" s="411"/>
      <c r="EI98" s="411"/>
    </row>
    <row r="99" spans="2:140" s="98" customFormat="1" ht="11.25" customHeight="1" outlineLevel="1" x14ac:dyDescent="0.2">
      <c r="B99" s="11" t="s">
        <v>277</v>
      </c>
      <c r="D99" s="93"/>
      <c r="E99" s="93"/>
      <c r="F99" s="93"/>
      <c r="G99" s="93"/>
      <c r="H99" s="93"/>
      <c r="I99" s="93"/>
      <c r="J99" s="93"/>
      <c r="K99" s="23">
        <f t="shared" ref="K99:BD99" si="275">+K57</f>
        <v>0</v>
      </c>
      <c r="L99" s="23">
        <f t="shared" si="275"/>
        <v>0</v>
      </c>
      <c r="M99" s="23">
        <f t="shared" si="275"/>
        <v>0</v>
      </c>
      <c r="N99" s="23">
        <f t="shared" si="275"/>
        <v>0</v>
      </c>
      <c r="O99" s="23">
        <f t="shared" si="275"/>
        <v>21.132999999999999</v>
      </c>
      <c r="P99" s="23">
        <f t="shared" si="275"/>
        <v>0</v>
      </c>
      <c r="Q99" s="23">
        <f t="shared" si="275"/>
        <v>35.113999999999997</v>
      </c>
      <c r="R99" s="23">
        <f t="shared" si="275"/>
        <v>20.155000000000001</v>
      </c>
      <c r="S99" s="23">
        <f t="shared" si="275"/>
        <v>20.611000000000001</v>
      </c>
      <c r="T99" s="51">
        <f t="shared" si="275"/>
        <v>50.113</v>
      </c>
      <c r="U99" s="51">
        <f t="shared" si="275"/>
        <v>0.99099999999999999</v>
      </c>
      <c r="V99" s="51">
        <f t="shared" si="275"/>
        <v>0</v>
      </c>
      <c r="W99" s="51">
        <f t="shared" si="275"/>
        <v>0</v>
      </c>
      <c r="X99" s="51">
        <f t="shared" si="275"/>
        <v>0</v>
      </c>
      <c r="Y99" s="51">
        <f t="shared" si="275"/>
        <v>0</v>
      </c>
      <c r="Z99" s="51">
        <f t="shared" si="275"/>
        <v>0</v>
      </c>
      <c r="AA99" s="51">
        <f t="shared" si="275"/>
        <v>0</v>
      </c>
      <c r="AB99" s="51">
        <f t="shared" si="275"/>
        <v>0</v>
      </c>
      <c r="AC99" s="51">
        <f t="shared" si="275"/>
        <v>0</v>
      </c>
      <c r="AD99" s="51">
        <f t="shared" si="275"/>
        <v>0</v>
      </c>
      <c r="AE99" s="51">
        <f t="shared" si="275"/>
        <v>0</v>
      </c>
      <c r="AF99" s="51">
        <f t="shared" si="275"/>
        <v>0</v>
      </c>
      <c r="AG99" s="51">
        <f t="shared" si="275"/>
        <v>0</v>
      </c>
      <c r="AH99" s="51">
        <f t="shared" si="275"/>
        <v>0</v>
      </c>
      <c r="AI99" s="51">
        <f t="shared" si="275"/>
        <v>0</v>
      </c>
      <c r="AJ99" s="51">
        <f t="shared" si="275"/>
        <v>0</v>
      </c>
      <c r="AK99" s="51">
        <f t="shared" si="275"/>
        <v>0</v>
      </c>
      <c r="AL99" s="51">
        <f t="shared" si="275"/>
        <v>0</v>
      </c>
      <c r="AM99" s="51">
        <f t="shared" si="275"/>
        <v>0</v>
      </c>
      <c r="AN99" s="51">
        <f t="shared" si="275"/>
        <v>0</v>
      </c>
      <c r="AO99" s="51">
        <f t="shared" si="275"/>
        <v>0</v>
      </c>
      <c r="AP99" s="51">
        <f t="shared" si="275"/>
        <v>0</v>
      </c>
      <c r="AQ99" s="51">
        <f t="shared" si="275"/>
        <v>0</v>
      </c>
      <c r="AR99" s="51">
        <f t="shared" si="275"/>
        <v>0</v>
      </c>
      <c r="AS99" s="51">
        <f t="shared" si="275"/>
        <v>0</v>
      </c>
      <c r="AT99" s="51">
        <f t="shared" si="275"/>
        <v>0</v>
      </c>
      <c r="AU99" s="51">
        <f t="shared" si="275"/>
        <v>0</v>
      </c>
      <c r="AV99" s="51">
        <f t="shared" si="275"/>
        <v>0</v>
      </c>
      <c r="AW99" s="51">
        <f t="shared" si="275"/>
        <v>0</v>
      </c>
      <c r="AX99" s="51">
        <f t="shared" si="275"/>
        <v>0</v>
      </c>
      <c r="AY99" s="51">
        <f t="shared" si="275"/>
        <v>0</v>
      </c>
      <c r="AZ99" s="51">
        <f t="shared" si="275"/>
        <v>0</v>
      </c>
      <c r="BA99" s="51">
        <f t="shared" si="275"/>
        <v>0</v>
      </c>
      <c r="BB99" s="51">
        <f t="shared" si="275"/>
        <v>0</v>
      </c>
      <c r="BC99" s="51">
        <f t="shared" si="275"/>
        <v>0</v>
      </c>
      <c r="BD99" s="51">
        <f t="shared" si="275"/>
        <v>0</v>
      </c>
      <c r="BE99" s="51">
        <f t="shared" ref="BE99:CP99" si="276">+BE57</f>
        <v>0</v>
      </c>
      <c r="BF99" s="51">
        <f t="shared" si="276"/>
        <v>0</v>
      </c>
      <c r="BG99" s="51">
        <f t="shared" si="276"/>
        <v>0</v>
      </c>
      <c r="BH99" s="51">
        <f t="shared" si="276"/>
        <v>0</v>
      </c>
      <c r="BI99" s="51">
        <f t="shared" si="276"/>
        <v>0</v>
      </c>
      <c r="BJ99" s="51">
        <f t="shared" si="276"/>
        <v>0</v>
      </c>
      <c r="BK99" s="51">
        <f t="shared" si="276"/>
        <v>0</v>
      </c>
      <c r="BL99" s="51">
        <f t="shared" si="276"/>
        <v>0</v>
      </c>
      <c r="BM99" s="51">
        <f t="shared" si="276"/>
        <v>0</v>
      </c>
      <c r="BN99" s="51">
        <f t="shared" si="276"/>
        <v>0</v>
      </c>
      <c r="BO99" s="51">
        <f t="shared" si="276"/>
        <v>0</v>
      </c>
      <c r="BP99" s="51">
        <f t="shared" si="276"/>
        <v>0</v>
      </c>
      <c r="BQ99" s="51">
        <f t="shared" si="276"/>
        <v>0</v>
      </c>
      <c r="BR99" s="51">
        <f t="shared" si="276"/>
        <v>0</v>
      </c>
      <c r="BS99" s="51">
        <f t="shared" si="276"/>
        <v>0</v>
      </c>
      <c r="BT99" s="51">
        <f t="shared" si="276"/>
        <v>0</v>
      </c>
      <c r="BU99" s="51">
        <f t="shared" si="276"/>
        <v>0</v>
      </c>
      <c r="BV99" s="51">
        <f t="shared" si="276"/>
        <v>0</v>
      </c>
      <c r="BW99" s="51">
        <f t="shared" si="276"/>
        <v>0</v>
      </c>
      <c r="BX99" s="51">
        <f t="shared" si="276"/>
        <v>0</v>
      </c>
      <c r="BY99" s="51">
        <f t="shared" si="276"/>
        <v>0</v>
      </c>
      <c r="BZ99" s="51">
        <f t="shared" si="276"/>
        <v>0</v>
      </c>
      <c r="CA99" s="51">
        <f t="shared" si="276"/>
        <v>0</v>
      </c>
      <c r="CB99" s="51">
        <f t="shared" si="276"/>
        <v>0</v>
      </c>
      <c r="CC99" s="51">
        <f t="shared" si="276"/>
        <v>0</v>
      </c>
      <c r="CD99" s="51">
        <f t="shared" si="276"/>
        <v>0</v>
      </c>
      <c r="CE99" s="51">
        <f t="shared" si="276"/>
        <v>0</v>
      </c>
      <c r="CF99" s="51">
        <f t="shared" si="276"/>
        <v>0</v>
      </c>
      <c r="CG99" s="51">
        <f t="shared" si="276"/>
        <v>0</v>
      </c>
      <c r="CH99" s="51">
        <f t="shared" si="276"/>
        <v>0</v>
      </c>
      <c r="CI99" s="51">
        <f t="shared" si="276"/>
        <v>0</v>
      </c>
      <c r="CJ99" s="51">
        <f t="shared" si="276"/>
        <v>0</v>
      </c>
      <c r="CK99" s="51">
        <f t="shared" si="276"/>
        <v>0</v>
      </c>
      <c r="CL99" s="51">
        <f t="shared" si="276"/>
        <v>0</v>
      </c>
      <c r="CM99" s="51">
        <f t="shared" si="276"/>
        <v>0</v>
      </c>
      <c r="CN99" s="51">
        <f t="shared" si="276"/>
        <v>0</v>
      </c>
      <c r="CO99" s="51">
        <f t="shared" si="276"/>
        <v>0</v>
      </c>
      <c r="CP99" s="51">
        <f t="shared" si="276"/>
        <v>0</v>
      </c>
      <c r="CQ99" s="362" t="s">
        <v>77</v>
      </c>
      <c r="CR99" s="8"/>
      <c r="CS99" s="8"/>
      <c r="CT99" s="8"/>
      <c r="CU99"/>
      <c r="CV99"/>
      <c r="CW99"/>
      <c r="CX99"/>
      <c r="CY99"/>
      <c r="CZ99"/>
      <c r="DB99" s="11" t="s">
        <v>277</v>
      </c>
      <c r="DD99" s="23">
        <f>+DD57</f>
        <v>-10.435</v>
      </c>
      <c r="DE99" s="23">
        <f>+R99-DD99</f>
        <v>30.590000000000003</v>
      </c>
      <c r="DF99" s="23">
        <f>+DF57</f>
        <v>18.588000000000001</v>
      </c>
      <c r="DG99" s="23">
        <f>+S99-DF99</f>
        <v>2.0229999999999997</v>
      </c>
      <c r="DH99" s="23">
        <f>+DH57</f>
        <v>0</v>
      </c>
      <c r="DI99" s="51">
        <v>0</v>
      </c>
      <c r="DJ99" s="23">
        <f>+DJ57</f>
        <v>0.99199999999999999</v>
      </c>
      <c r="DK99" s="51">
        <v>0</v>
      </c>
      <c r="DL99" s="23">
        <f>+DL57</f>
        <v>0</v>
      </c>
      <c r="DM99" s="8">
        <f>V99-DL99</f>
        <v>0</v>
      </c>
      <c r="DN99" s="23">
        <f>W99*DZ99</f>
        <v>0</v>
      </c>
      <c r="DO99" s="8">
        <f>W99-DN99</f>
        <v>0</v>
      </c>
      <c r="DP99" s="23">
        <f>$X$99/2</f>
        <v>0</v>
      </c>
      <c r="DQ99" s="8">
        <f>$X$99/2</f>
        <v>0</v>
      </c>
      <c r="DR99" s="8"/>
      <c r="DS99" s="8"/>
      <c r="DU99" s="413">
        <f t="shared" si="227"/>
        <v>-0.51773753411064249</v>
      </c>
      <c r="DV99" s="413">
        <f t="shared" si="228"/>
        <v>0.9018485274853234</v>
      </c>
      <c r="DW99" s="413"/>
      <c r="DX99" s="413">
        <f t="shared" si="230"/>
        <v>1</v>
      </c>
      <c r="DY99" s="413"/>
      <c r="DZ99" s="413"/>
      <c r="EH99" s="411" t="b">
        <f t="shared" si="238"/>
        <v>1</v>
      </c>
      <c r="EI99" s="411" t="b">
        <f t="shared" si="239"/>
        <v>1</v>
      </c>
      <c r="EJ99" s="411" t="b">
        <f t="shared" si="233"/>
        <v>1</v>
      </c>
    </row>
    <row r="100" spans="2:140" s="98" customFormat="1" ht="11.25" customHeight="1" outlineLevel="1" x14ac:dyDescent="0.2">
      <c r="B100" s="11" t="s">
        <v>249</v>
      </c>
      <c r="C100" s="12"/>
      <c r="D100" s="23"/>
      <c r="E100" s="23"/>
      <c r="F100" s="23"/>
      <c r="G100" s="23"/>
      <c r="H100" s="23"/>
      <c r="I100" s="23"/>
      <c r="J100" s="23"/>
      <c r="K100" s="23">
        <f t="shared" ref="K100:BD100" si="277">+K58</f>
        <v>-21.53</v>
      </c>
      <c r="L100" s="23">
        <f t="shared" si="277"/>
        <v>-8.0380000000000003</v>
      </c>
      <c r="M100" s="23">
        <f t="shared" si="277"/>
        <v>-11.1</v>
      </c>
      <c r="N100" s="23">
        <f t="shared" si="277"/>
        <v>-6.0289999999999999</v>
      </c>
      <c r="O100" s="23">
        <f t="shared" si="277"/>
        <v>0</v>
      </c>
      <c r="P100" s="23">
        <f t="shared" si="277"/>
        <v>0</v>
      </c>
      <c r="Q100" s="23">
        <f t="shared" si="277"/>
        <v>2.52</v>
      </c>
      <c r="R100" s="23">
        <f t="shared" si="277"/>
        <v>-9.6630000000000003</v>
      </c>
      <c r="S100" s="23">
        <f t="shared" si="277"/>
        <v>101.685</v>
      </c>
      <c r="T100" s="51">
        <f t="shared" si="277"/>
        <v>0</v>
      </c>
      <c r="U100" s="51">
        <f t="shared" si="277"/>
        <v>447.24</v>
      </c>
      <c r="V100" s="51">
        <f t="shared" si="277"/>
        <v>0</v>
      </c>
      <c r="W100" s="51">
        <f t="shared" si="277"/>
        <v>0</v>
      </c>
      <c r="X100" s="51">
        <f t="shared" si="277"/>
        <v>0</v>
      </c>
      <c r="Y100" s="51">
        <f t="shared" si="277"/>
        <v>0</v>
      </c>
      <c r="Z100" s="51">
        <f t="shared" si="277"/>
        <v>0</v>
      </c>
      <c r="AA100" s="51">
        <f t="shared" si="277"/>
        <v>0</v>
      </c>
      <c r="AB100" s="51">
        <f t="shared" si="277"/>
        <v>0</v>
      </c>
      <c r="AC100" s="51">
        <f t="shared" si="277"/>
        <v>0</v>
      </c>
      <c r="AD100" s="51">
        <f t="shared" si="277"/>
        <v>0</v>
      </c>
      <c r="AE100" s="51">
        <f t="shared" si="277"/>
        <v>0</v>
      </c>
      <c r="AF100" s="51">
        <f t="shared" si="277"/>
        <v>0</v>
      </c>
      <c r="AG100" s="51">
        <f t="shared" si="277"/>
        <v>0</v>
      </c>
      <c r="AH100" s="51">
        <f t="shared" si="277"/>
        <v>0</v>
      </c>
      <c r="AI100" s="51">
        <f t="shared" si="277"/>
        <v>0</v>
      </c>
      <c r="AJ100" s="51">
        <f t="shared" si="277"/>
        <v>0</v>
      </c>
      <c r="AK100" s="51">
        <f t="shared" si="277"/>
        <v>0</v>
      </c>
      <c r="AL100" s="51">
        <f t="shared" si="277"/>
        <v>0</v>
      </c>
      <c r="AM100" s="51">
        <f t="shared" si="277"/>
        <v>0</v>
      </c>
      <c r="AN100" s="51">
        <f t="shared" si="277"/>
        <v>0</v>
      </c>
      <c r="AO100" s="51">
        <f t="shared" si="277"/>
        <v>0</v>
      </c>
      <c r="AP100" s="51">
        <f t="shared" si="277"/>
        <v>0</v>
      </c>
      <c r="AQ100" s="51">
        <f t="shared" si="277"/>
        <v>0</v>
      </c>
      <c r="AR100" s="51">
        <f t="shared" si="277"/>
        <v>0</v>
      </c>
      <c r="AS100" s="51">
        <f t="shared" si="277"/>
        <v>0</v>
      </c>
      <c r="AT100" s="51">
        <f t="shared" si="277"/>
        <v>0</v>
      </c>
      <c r="AU100" s="51">
        <f t="shared" si="277"/>
        <v>0</v>
      </c>
      <c r="AV100" s="51">
        <f t="shared" si="277"/>
        <v>0</v>
      </c>
      <c r="AW100" s="51">
        <f t="shared" si="277"/>
        <v>0</v>
      </c>
      <c r="AX100" s="51">
        <f t="shared" si="277"/>
        <v>0</v>
      </c>
      <c r="AY100" s="51">
        <f t="shared" si="277"/>
        <v>0</v>
      </c>
      <c r="AZ100" s="51">
        <f t="shared" si="277"/>
        <v>0</v>
      </c>
      <c r="BA100" s="51">
        <f t="shared" si="277"/>
        <v>0</v>
      </c>
      <c r="BB100" s="51">
        <f t="shared" si="277"/>
        <v>0</v>
      </c>
      <c r="BC100" s="51">
        <f t="shared" si="277"/>
        <v>0</v>
      </c>
      <c r="BD100" s="51">
        <f t="shared" si="277"/>
        <v>0</v>
      </c>
      <c r="BE100" s="51">
        <f t="shared" ref="BE100:CP100" si="278">+BE58</f>
        <v>0</v>
      </c>
      <c r="BF100" s="51">
        <f t="shared" si="278"/>
        <v>0</v>
      </c>
      <c r="BG100" s="51">
        <f t="shared" si="278"/>
        <v>0</v>
      </c>
      <c r="BH100" s="51">
        <f t="shared" si="278"/>
        <v>0</v>
      </c>
      <c r="BI100" s="51">
        <f t="shared" si="278"/>
        <v>0</v>
      </c>
      <c r="BJ100" s="51">
        <f t="shared" si="278"/>
        <v>0</v>
      </c>
      <c r="BK100" s="51">
        <f t="shared" si="278"/>
        <v>0</v>
      </c>
      <c r="BL100" s="51">
        <f t="shared" si="278"/>
        <v>0</v>
      </c>
      <c r="BM100" s="51">
        <f t="shared" si="278"/>
        <v>0</v>
      </c>
      <c r="BN100" s="51">
        <f t="shared" si="278"/>
        <v>0</v>
      </c>
      <c r="BO100" s="51">
        <f t="shared" si="278"/>
        <v>0</v>
      </c>
      <c r="BP100" s="51">
        <f t="shared" si="278"/>
        <v>0</v>
      </c>
      <c r="BQ100" s="51">
        <f t="shared" si="278"/>
        <v>0</v>
      </c>
      <c r="BR100" s="51">
        <f t="shared" si="278"/>
        <v>0</v>
      </c>
      <c r="BS100" s="51">
        <f t="shared" si="278"/>
        <v>0</v>
      </c>
      <c r="BT100" s="51">
        <f t="shared" si="278"/>
        <v>0</v>
      </c>
      <c r="BU100" s="51">
        <f t="shared" si="278"/>
        <v>0</v>
      </c>
      <c r="BV100" s="51">
        <f t="shared" si="278"/>
        <v>0</v>
      </c>
      <c r="BW100" s="51">
        <f t="shared" si="278"/>
        <v>0</v>
      </c>
      <c r="BX100" s="51">
        <f t="shared" si="278"/>
        <v>0</v>
      </c>
      <c r="BY100" s="51">
        <f t="shared" si="278"/>
        <v>0</v>
      </c>
      <c r="BZ100" s="51">
        <f t="shared" si="278"/>
        <v>0</v>
      </c>
      <c r="CA100" s="51">
        <f t="shared" si="278"/>
        <v>0</v>
      </c>
      <c r="CB100" s="51">
        <f t="shared" si="278"/>
        <v>0</v>
      </c>
      <c r="CC100" s="51">
        <f t="shared" si="278"/>
        <v>0</v>
      </c>
      <c r="CD100" s="51">
        <f t="shared" si="278"/>
        <v>0</v>
      </c>
      <c r="CE100" s="51">
        <f t="shared" si="278"/>
        <v>0</v>
      </c>
      <c r="CF100" s="51">
        <f t="shared" si="278"/>
        <v>0</v>
      </c>
      <c r="CG100" s="51">
        <f t="shared" si="278"/>
        <v>0</v>
      </c>
      <c r="CH100" s="51">
        <f t="shared" si="278"/>
        <v>0</v>
      </c>
      <c r="CI100" s="51">
        <f t="shared" si="278"/>
        <v>0</v>
      </c>
      <c r="CJ100" s="51">
        <f t="shared" si="278"/>
        <v>0</v>
      </c>
      <c r="CK100" s="51">
        <f t="shared" si="278"/>
        <v>0</v>
      </c>
      <c r="CL100" s="51">
        <f t="shared" si="278"/>
        <v>0</v>
      </c>
      <c r="CM100" s="51">
        <f t="shared" si="278"/>
        <v>0</v>
      </c>
      <c r="CN100" s="51">
        <f t="shared" si="278"/>
        <v>0</v>
      </c>
      <c r="CO100" s="51">
        <f t="shared" si="278"/>
        <v>0</v>
      </c>
      <c r="CP100" s="51">
        <f t="shared" si="278"/>
        <v>0</v>
      </c>
      <c r="CQ100" s="362" t="s">
        <v>77</v>
      </c>
      <c r="CR100" s="8"/>
      <c r="CS100" s="8"/>
      <c r="CT100" s="8"/>
      <c r="CU100"/>
      <c r="CV100"/>
      <c r="CW100"/>
      <c r="CX100"/>
      <c r="CY100"/>
      <c r="CZ100"/>
      <c r="DB100" s="11" t="s">
        <v>249</v>
      </c>
      <c r="DC100" s="12"/>
      <c r="DD100" s="23">
        <f>+DD58</f>
        <v>19.341999999999999</v>
      </c>
      <c r="DE100" s="23">
        <f>+R100-DD100</f>
        <v>-29.004999999999999</v>
      </c>
      <c r="DF100" s="23">
        <f>+DF58</f>
        <v>80.602999999999994</v>
      </c>
      <c r="DG100" s="23">
        <f>+S100-DF100</f>
        <v>21.082000000000008</v>
      </c>
      <c r="DH100" s="23">
        <f>+DH58</f>
        <v>0</v>
      </c>
      <c r="DI100" s="51">
        <v>0</v>
      </c>
      <c r="DJ100" s="23">
        <f>+DJ58</f>
        <v>447.24</v>
      </c>
      <c r="DK100" s="51">
        <v>0</v>
      </c>
      <c r="DL100" s="23">
        <f>+DL58</f>
        <v>0</v>
      </c>
      <c r="DM100" s="8">
        <f>V100-DL100</f>
        <v>0</v>
      </c>
      <c r="DN100" s="23">
        <f>+DN99/DN$90</f>
        <v>0</v>
      </c>
      <c r="DO100" s="93">
        <f>+DO99/DO$90</f>
        <v>0</v>
      </c>
      <c r="DP100" s="23"/>
      <c r="DQ100" s="93"/>
      <c r="DR100" s="93"/>
      <c r="DS100" s="93"/>
      <c r="DU100" s="413">
        <f t="shared" si="227"/>
        <v>-2.0016558004760423</v>
      </c>
      <c r="DV100" s="413">
        <f t="shared" si="228"/>
        <v>0.79267345232826858</v>
      </c>
      <c r="DW100" s="413"/>
      <c r="DX100" s="413">
        <f t="shared" si="230"/>
        <v>1</v>
      </c>
      <c r="DY100" s="413"/>
      <c r="DZ100" s="413"/>
      <c r="EH100" s="411" t="b">
        <f t="shared" si="238"/>
        <v>1</v>
      </c>
      <c r="EI100" s="411" t="b">
        <f t="shared" si="239"/>
        <v>1</v>
      </c>
      <c r="EJ100" s="411" t="b">
        <f t="shared" si="233"/>
        <v>1</v>
      </c>
    </row>
    <row r="101" spans="2:140" ht="11.25" customHeight="1" outlineLevel="1" x14ac:dyDescent="0.2">
      <c r="B101" s="1" t="s">
        <v>248</v>
      </c>
      <c r="D101" s="3"/>
      <c r="E101" s="3"/>
      <c r="F101" s="3"/>
      <c r="G101" s="3"/>
      <c r="H101" s="3"/>
      <c r="I101" s="3"/>
      <c r="J101" s="3"/>
      <c r="K101" s="3">
        <f t="shared" ref="K101:BD101" si="279">+K59</f>
        <v>157.346</v>
      </c>
      <c r="L101" s="3">
        <f t="shared" si="279"/>
        <v>192.36399999999998</v>
      </c>
      <c r="M101" s="3">
        <f t="shared" si="279"/>
        <v>285.74199999999996</v>
      </c>
      <c r="N101" s="3">
        <f t="shared" si="279"/>
        <v>424.50599999999997</v>
      </c>
      <c r="O101" s="3">
        <f t="shared" si="279"/>
        <v>444.37500000000006</v>
      </c>
      <c r="P101" s="3">
        <f t="shared" si="279"/>
        <v>459.97500000000002</v>
      </c>
      <c r="Q101" s="3">
        <f t="shared" si="279"/>
        <v>492.10899999999998</v>
      </c>
      <c r="R101" s="3">
        <f t="shared" si="279"/>
        <v>525.82499999999993</v>
      </c>
      <c r="S101" s="3">
        <f t="shared" si="279"/>
        <v>768.80100000000016</v>
      </c>
      <c r="T101" s="33">
        <f t="shared" si="279"/>
        <v>747.33400000000006</v>
      </c>
      <c r="U101" s="33">
        <f t="shared" si="279"/>
        <v>1269.49</v>
      </c>
      <c r="V101" s="33">
        <f t="shared" si="279"/>
        <v>1330.5239999999999</v>
      </c>
      <c r="W101" s="33">
        <f t="shared" si="279"/>
        <v>1470.1219999999996</v>
      </c>
      <c r="X101" s="33">
        <f t="shared" si="279"/>
        <v>1485.0839326218895</v>
      </c>
      <c r="Y101" s="33">
        <f t="shared" si="279"/>
        <v>1553.6840226773406</v>
      </c>
      <c r="Z101" s="33">
        <f t="shared" si="279"/>
        <v>1620.0453242958517</v>
      </c>
      <c r="AA101" s="33">
        <f t="shared" si="279"/>
        <v>1578.6426092790687</v>
      </c>
      <c r="AB101" s="33">
        <f t="shared" si="279"/>
        <v>1609.52085369918</v>
      </c>
      <c r="AC101" s="33">
        <f t="shared" si="279"/>
        <v>1642.0028360563829</v>
      </c>
      <c r="AD101" s="33">
        <f t="shared" si="279"/>
        <v>1675.0805825732421</v>
      </c>
      <c r="AE101" s="33">
        <f t="shared" si="279"/>
        <v>1695.880589685326</v>
      </c>
      <c r="AF101" s="33">
        <f t="shared" si="279"/>
        <v>1696.1048642026351</v>
      </c>
      <c r="AG101" s="33">
        <f t="shared" si="279"/>
        <v>1685.2892255631889</v>
      </c>
      <c r="AH101" s="33">
        <f t="shared" si="279"/>
        <v>1719.0505866419901</v>
      </c>
      <c r="AI101" s="33">
        <f t="shared" si="279"/>
        <v>1602.291369542542</v>
      </c>
      <c r="AJ101" s="33">
        <f t="shared" si="279"/>
        <v>1526.4531424686459</v>
      </c>
      <c r="AK101" s="33">
        <f t="shared" si="279"/>
        <v>1521.3601547795251</v>
      </c>
      <c r="AL101" s="33">
        <f t="shared" si="279"/>
        <v>1549.9754956129416</v>
      </c>
      <c r="AM101" s="33">
        <f t="shared" si="279"/>
        <v>1579.3938340493312</v>
      </c>
      <c r="AN101" s="33">
        <f t="shared" si="279"/>
        <v>1597.2978949890553</v>
      </c>
      <c r="AO101" s="33">
        <f t="shared" si="279"/>
        <v>1570.7805226278924</v>
      </c>
      <c r="AP101" s="33">
        <f t="shared" si="279"/>
        <v>1053.3073565634118</v>
      </c>
      <c r="AQ101" s="33">
        <f t="shared" si="279"/>
        <v>1073.5327907288965</v>
      </c>
      <c r="AR101" s="33">
        <f t="shared" si="279"/>
        <v>982.47702193906559</v>
      </c>
      <c r="AS101" s="33">
        <f t="shared" si="279"/>
        <v>867.35365710100416</v>
      </c>
      <c r="AT101" s="33">
        <f t="shared" si="279"/>
        <v>851.68790877391143</v>
      </c>
      <c r="AU101" s="33">
        <f t="shared" si="279"/>
        <v>869.58545277490578</v>
      </c>
      <c r="AV101" s="33">
        <f t="shared" si="279"/>
        <v>887.89293474404894</v>
      </c>
      <c r="AW101" s="33">
        <f t="shared" si="279"/>
        <v>862.0174764376809</v>
      </c>
      <c r="AX101" s="33">
        <f t="shared" si="279"/>
        <v>880.12946297243002</v>
      </c>
      <c r="AY101" s="33">
        <f t="shared" si="279"/>
        <v>898.6535200972977</v>
      </c>
      <c r="AZ101" s="33">
        <f t="shared" si="279"/>
        <v>917.59799903988528</v>
      </c>
      <c r="BA101" s="33">
        <f t="shared" si="279"/>
        <v>763.33702235912574</v>
      </c>
      <c r="BB101" s="33">
        <f t="shared" si="279"/>
        <v>779.12615032909673</v>
      </c>
      <c r="BC101" s="33">
        <f t="shared" si="279"/>
        <v>795.27078587070991</v>
      </c>
      <c r="BD101" s="33">
        <f t="shared" si="279"/>
        <v>811.77952485394837</v>
      </c>
      <c r="BE101" s="33">
        <f t="shared" ref="BE101:CP101" si="280">+BE59</f>
        <v>828.66110747292066</v>
      </c>
      <c r="BF101" s="33">
        <f t="shared" si="280"/>
        <v>845.92142142331602</v>
      </c>
      <c r="BG101" s="33">
        <f t="shared" si="280"/>
        <v>863.57188387036922</v>
      </c>
      <c r="BH101" s="33">
        <f t="shared" si="280"/>
        <v>881.61722123009372</v>
      </c>
      <c r="BI101" s="33">
        <f t="shared" si="280"/>
        <v>900.06996728874105</v>
      </c>
      <c r="BJ101" s="33">
        <f t="shared" si="280"/>
        <v>918.9356347041246</v>
      </c>
      <c r="BK101" s="33">
        <f t="shared" si="280"/>
        <v>938.22601361201976</v>
      </c>
      <c r="BL101" s="33">
        <f t="shared" si="280"/>
        <v>957.94929012326952</v>
      </c>
      <c r="BM101" s="33">
        <f t="shared" si="280"/>
        <v>978.11502059392751</v>
      </c>
      <c r="BN101" s="33">
        <f t="shared" si="280"/>
        <v>998.73255959238656</v>
      </c>
      <c r="BO101" s="33">
        <f t="shared" si="280"/>
        <v>1019.8122720104545</v>
      </c>
      <c r="BP101" s="33">
        <f t="shared" si="280"/>
        <v>1041.3643535097035</v>
      </c>
      <c r="BQ101" s="33">
        <f t="shared" si="280"/>
        <v>1063.3992277801251</v>
      </c>
      <c r="BR101" s="33">
        <f t="shared" si="280"/>
        <v>1085.9267900098723</v>
      </c>
      <c r="BS101" s="33">
        <f t="shared" si="280"/>
        <v>1068.6891164573028</v>
      </c>
      <c r="BT101" s="33">
        <f t="shared" si="280"/>
        <v>1055.6131069273245</v>
      </c>
      <c r="BU101" s="33">
        <f t="shared" si="280"/>
        <v>1077.90219574867</v>
      </c>
      <c r="BV101" s="33">
        <f t="shared" si="280"/>
        <v>1100.6884463287852</v>
      </c>
      <c r="BW101" s="33">
        <f t="shared" si="280"/>
        <v>1123.9824285790146</v>
      </c>
      <c r="BX101" s="33">
        <f t="shared" si="280"/>
        <v>1147.7960952306412</v>
      </c>
      <c r="BY101" s="33">
        <f t="shared" si="280"/>
        <v>1172.1386021199014</v>
      </c>
      <c r="BZ101" s="33">
        <f t="shared" si="280"/>
        <v>1197.0243070996821</v>
      </c>
      <c r="CA101" s="33">
        <f t="shared" si="280"/>
        <v>1222.4636437696258</v>
      </c>
      <c r="CB101" s="33">
        <f t="shared" si="280"/>
        <v>1248.4707360066436</v>
      </c>
      <c r="CC101" s="33">
        <f t="shared" si="280"/>
        <v>1270.3850341023813</v>
      </c>
      <c r="CD101" s="33">
        <f t="shared" si="280"/>
        <v>1241.4217866145787</v>
      </c>
      <c r="CE101" s="33">
        <f t="shared" si="280"/>
        <v>1267.7906044858398</v>
      </c>
      <c r="CF101" s="33">
        <f t="shared" si="280"/>
        <v>1294.7438478471772</v>
      </c>
      <c r="CG101" s="33">
        <f t="shared" si="280"/>
        <v>1322.2951858611975</v>
      </c>
      <c r="CH101" s="33">
        <f t="shared" si="280"/>
        <v>830.29504654147138</v>
      </c>
      <c r="CI101" s="33">
        <f t="shared" si="280"/>
        <v>847.04787506031528</v>
      </c>
      <c r="CJ101" s="33">
        <f t="shared" si="280"/>
        <v>864.16216785095594</v>
      </c>
      <c r="CK101" s="33">
        <f t="shared" si="280"/>
        <v>881.64445225053066</v>
      </c>
      <c r="CL101" s="33">
        <f t="shared" si="280"/>
        <v>899.50182972260382</v>
      </c>
      <c r="CM101" s="33">
        <f t="shared" si="280"/>
        <v>917.74306468398709</v>
      </c>
      <c r="CN101" s="33">
        <f t="shared" si="280"/>
        <v>936.37673374747465</v>
      </c>
      <c r="CO101" s="33">
        <f t="shared" si="280"/>
        <v>955.41197587764862</v>
      </c>
      <c r="CP101" s="33">
        <f t="shared" si="280"/>
        <v>944.07976935785462</v>
      </c>
      <c r="CQ101" s="362" t="s">
        <v>77</v>
      </c>
      <c r="DB101" s="1" t="s">
        <v>248</v>
      </c>
      <c r="DD101" s="3">
        <f>+DD59</f>
        <v>278.892</v>
      </c>
      <c r="DE101" s="3">
        <f>+DE59</f>
        <v>246.93299999999999</v>
      </c>
      <c r="DF101" s="3">
        <f>+DF59</f>
        <v>423.67500000000001</v>
      </c>
      <c r="DG101" s="3">
        <f>+DG59</f>
        <v>345.12599999999998</v>
      </c>
      <c r="DH101" s="3">
        <f>+DH59</f>
        <v>398.89600000000007</v>
      </c>
      <c r="DI101" s="3">
        <f>+DI59</f>
        <v>420.97400000000005</v>
      </c>
      <c r="DJ101" s="3">
        <f>+DJ59</f>
        <v>849.56299999999999</v>
      </c>
      <c r="DK101" s="3">
        <f>+DK59</f>
        <v>419.92700000000002</v>
      </c>
      <c r="DL101" s="3">
        <f>+DL59</f>
        <v>667.56700000000001</v>
      </c>
      <c r="DM101" s="3">
        <f>+DM59</f>
        <v>662.95699999999999</v>
      </c>
      <c r="DN101" s="3">
        <f>+DN59</f>
        <v>759.68200000000013</v>
      </c>
      <c r="DO101" s="3">
        <f>+DO59</f>
        <v>710.43999999999983</v>
      </c>
      <c r="DP101" s="3">
        <f>+DP59</f>
        <v>755.25599999999986</v>
      </c>
      <c r="DQ101" s="3">
        <f t="shared" ref="DQ101" si="281">+DQ97+DQ99</f>
        <v>729.82793262188954</v>
      </c>
      <c r="DR101" s="3"/>
      <c r="DS101" s="3"/>
      <c r="DU101" s="413">
        <f t="shared" si="227"/>
        <v>0.53038938810440728</v>
      </c>
      <c r="DV101" s="413">
        <f t="shared" si="228"/>
        <v>0.5510853914081798</v>
      </c>
      <c r="DW101" s="413">
        <f t="shared" si="229"/>
        <v>0.4865356702891922</v>
      </c>
      <c r="DX101" s="413">
        <f t="shared" si="230"/>
        <v>0.66921598437167684</v>
      </c>
      <c r="DY101" s="413">
        <f t="shared" si="274"/>
        <v>0.50173240016715226</v>
      </c>
      <c r="DZ101" s="413">
        <f t="shared" si="232"/>
        <v>0.51674758965582468</v>
      </c>
      <c r="EH101" s="411" t="b">
        <f t="shared" si="238"/>
        <v>1</v>
      </c>
      <c r="EI101" s="411" t="b">
        <f t="shared" si="239"/>
        <v>1</v>
      </c>
      <c r="EJ101" s="411" t="b">
        <f t="shared" si="233"/>
        <v>1</v>
      </c>
    </row>
    <row r="102" spans="2:140" s="98" customFormat="1" ht="11.25" customHeight="1" outlineLevel="1" x14ac:dyDescent="0.2">
      <c r="B102" s="103" t="s">
        <v>47</v>
      </c>
      <c r="D102" s="93"/>
      <c r="E102" s="93"/>
      <c r="F102" s="93"/>
      <c r="G102" s="93"/>
      <c r="H102" s="93"/>
      <c r="I102" s="93"/>
      <c r="J102" s="93"/>
      <c r="K102" s="93">
        <f t="shared" ref="K102:BD102" si="282">+K97/K$90</f>
        <v>0.48698654005314285</v>
      </c>
      <c r="L102" s="93">
        <f t="shared" si="282"/>
        <v>0.52421460148055132</v>
      </c>
      <c r="M102" s="93">
        <f t="shared" si="282"/>
        <v>0.55724047306176072</v>
      </c>
      <c r="N102" s="93">
        <f t="shared" si="282"/>
        <v>0.48828494923043242</v>
      </c>
      <c r="O102" s="93">
        <f t="shared" si="282"/>
        <v>0.44815208552163466</v>
      </c>
      <c r="P102" s="93">
        <f t="shared" si="282"/>
        <v>0.46486068580784046</v>
      </c>
      <c r="Q102" s="93">
        <f t="shared" si="282"/>
        <v>0.41241337254727589</v>
      </c>
      <c r="R102" s="93">
        <f t="shared" si="282"/>
        <v>0.48585977436732902</v>
      </c>
      <c r="S102" s="93">
        <f t="shared" si="282"/>
        <v>0.50815198382100624</v>
      </c>
      <c r="T102" s="93">
        <f t="shared" si="282"/>
        <v>0.49944473189429489</v>
      </c>
      <c r="U102" s="93">
        <f t="shared" si="282"/>
        <v>0.52861165732823134</v>
      </c>
      <c r="V102" s="93">
        <f t="shared" si="282"/>
        <v>0.63530604916955702</v>
      </c>
      <c r="W102" s="93">
        <f t="shared" si="282"/>
        <v>0.63192458799356932</v>
      </c>
      <c r="X102" s="93">
        <f t="shared" si="282"/>
        <v>0.6271192154636025</v>
      </c>
      <c r="Y102" s="93">
        <f t="shared" si="282"/>
        <v>0.62779044063634459</v>
      </c>
      <c r="Z102" s="93">
        <f t="shared" si="282"/>
        <v>0.62889058523403885</v>
      </c>
      <c r="AA102" s="93">
        <f t="shared" si="282"/>
        <v>0.61843127429002764</v>
      </c>
      <c r="AB102" s="93">
        <f t="shared" si="282"/>
        <v>0.61789095233063895</v>
      </c>
      <c r="AC102" s="93">
        <f t="shared" si="282"/>
        <v>0.61741550636014575</v>
      </c>
      <c r="AD102" s="93">
        <f t="shared" si="282"/>
        <v>0.61686689684154095</v>
      </c>
      <c r="AE102" s="93">
        <f t="shared" si="282"/>
        <v>0.6144592798151618</v>
      </c>
      <c r="AF102" s="93">
        <f t="shared" si="282"/>
        <v>0.61304751624521903</v>
      </c>
      <c r="AG102" s="93">
        <f t="shared" si="282"/>
        <v>0.60051481040329568</v>
      </c>
      <c r="AH102" s="93">
        <f t="shared" si="282"/>
        <v>0.59986383205994287</v>
      </c>
      <c r="AI102" s="93">
        <f t="shared" si="282"/>
        <v>0.57928317710908128</v>
      </c>
      <c r="AJ102" s="93">
        <f t="shared" si="282"/>
        <v>0.57288622333364592</v>
      </c>
      <c r="AK102" s="93">
        <f t="shared" si="282"/>
        <v>0.56815724224010034</v>
      </c>
      <c r="AL102" s="93">
        <f t="shared" si="282"/>
        <v>0.56698276774381307</v>
      </c>
      <c r="AM102" s="93">
        <f t="shared" si="282"/>
        <v>0.5658824111159102</v>
      </c>
      <c r="AN102" s="93">
        <f t="shared" si="282"/>
        <v>0.56307136094739674</v>
      </c>
      <c r="AO102" s="93">
        <f t="shared" si="282"/>
        <v>0.5538678287580332</v>
      </c>
      <c r="AP102" s="93">
        <f t="shared" si="282"/>
        <v>0.4549823853392046</v>
      </c>
      <c r="AQ102" s="93">
        <f t="shared" si="282"/>
        <v>0.45387165619262915</v>
      </c>
      <c r="AR102" s="93">
        <f t="shared" si="282"/>
        <v>0.43341575185869491</v>
      </c>
      <c r="AS102" s="93">
        <f t="shared" si="282"/>
        <v>0.40784763405773078</v>
      </c>
      <c r="AT102" s="93">
        <f t="shared" si="282"/>
        <v>0.39970789205238705</v>
      </c>
      <c r="AU102" s="93">
        <f t="shared" si="282"/>
        <v>0.39888677713051129</v>
      </c>
      <c r="AV102" s="93">
        <f t="shared" si="282"/>
        <v>0.39807406355394503</v>
      </c>
      <c r="AW102" s="93">
        <f t="shared" si="282"/>
        <v>0.39031554606422242</v>
      </c>
      <c r="AX102" s="93">
        <f t="shared" si="282"/>
        <v>0.38949673815429386</v>
      </c>
      <c r="AY102" s="93">
        <f t="shared" si="282"/>
        <v>0.38868578006762139</v>
      </c>
      <c r="AZ102" s="93">
        <f t="shared" si="282"/>
        <v>0.38788231374727622</v>
      </c>
      <c r="BA102" s="93">
        <f t="shared" si="282"/>
        <v>0.35456050811572409</v>
      </c>
      <c r="BB102" s="93">
        <f t="shared" si="282"/>
        <v>0.35369971043583787</v>
      </c>
      <c r="BC102" s="93">
        <f t="shared" si="282"/>
        <v>0.35284722881257091</v>
      </c>
      <c r="BD102" s="93">
        <f t="shared" si="282"/>
        <v>0.3520030442316992</v>
      </c>
      <c r="BE102" s="93">
        <f t="shared" ref="BE102:CP102" si="283">+BE97/BE$90</f>
        <v>0.35116712067269334</v>
      </c>
      <c r="BF102" s="93">
        <f t="shared" si="283"/>
        <v>0.35033874111550445</v>
      </c>
      <c r="BG102" s="93">
        <f t="shared" si="283"/>
        <v>0.34951839684261643</v>
      </c>
      <c r="BH102" s="93">
        <f t="shared" si="283"/>
        <v>0.34870506573358373</v>
      </c>
      <c r="BI102" s="93">
        <f t="shared" si="283"/>
        <v>0.3478993843986774</v>
      </c>
      <c r="BJ102" s="93">
        <f t="shared" si="283"/>
        <v>0.34710045599500106</v>
      </c>
      <c r="BK102" s="93">
        <f t="shared" si="283"/>
        <v>0.34630866025152385</v>
      </c>
      <c r="BL102" s="93">
        <f t="shared" si="283"/>
        <v>0.34552359187978265</v>
      </c>
      <c r="BM102" s="93">
        <f t="shared" si="283"/>
        <v>0.34474509138294712</v>
      </c>
      <c r="BN102" s="93">
        <f t="shared" si="283"/>
        <v>0.34397292541365249</v>
      </c>
      <c r="BO102" s="93">
        <f t="shared" si="283"/>
        <v>0.34320701624089855</v>
      </c>
      <c r="BP102" s="93">
        <f t="shared" si="283"/>
        <v>0.3424472134654743</v>
      </c>
      <c r="BQ102" s="93">
        <f t="shared" si="283"/>
        <v>0.3416933705833532</v>
      </c>
      <c r="BR102" s="93">
        <f t="shared" si="283"/>
        <v>0.34094521390128246</v>
      </c>
      <c r="BS102" s="93">
        <f t="shared" si="283"/>
        <v>0.33420400029887543</v>
      </c>
      <c r="BT102" s="93">
        <f t="shared" si="283"/>
        <v>0.32789350603072637</v>
      </c>
      <c r="BU102" s="93">
        <f t="shared" si="283"/>
        <v>0.32714460383397398</v>
      </c>
      <c r="BV102" s="93">
        <f t="shared" si="283"/>
        <v>0.32640133092351453</v>
      </c>
      <c r="BW102" s="93">
        <f t="shared" si="283"/>
        <v>0.32566349303745612</v>
      </c>
      <c r="BX102" s="93">
        <f t="shared" si="283"/>
        <v>0.32493108812366672</v>
      </c>
      <c r="BY102" s="93">
        <f t="shared" si="283"/>
        <v>0.32420362660644736</v>
      </c>
      <c r="BZ102" s="93">
        <f t="shared" si="283"/>
        <v>0.32348141643577821</v>
      </c>
      <c r="CA102" s="93">
        <f t="shared" si="283"/>
        <v>0.32276410097760744</v>
      </c>
      <c r="CB102" s="93">
        <f t="shared" si="283"/>
        <v>0.32205185267983316</v>
      </c>
      <c r="CC102" s="93">
        <f t="shared" si="283"/>
        <v>0.32078408613547482</v>
      </c>
      <c r="CD102" s="93">
        <f t="shared" si="283"/>
        <v>0.31274359231899407</v>
      </c>
      <c r="CE102" s="93">
        <f t="shared" si="283"/>
        <v>0.31203534373453351</v>
      </c>
      <c r="CF102" s="93">
        <f t="shared" si="283"/>
        <v>0.31133159351009754</v>
      </c>
      <c r="CG102" s="93">
        <f t="shared" si="283"/>
        <v>0.31063235438769549</v>
      </c>
      <c r="CH102" s="93">
        <f t="shared" si="283"/>
        <v>0.23495172738156703</v>
      </c>
      <c r="CI102" s="93">
        <f t="shared" si="283"/>
        <v>0.2341748348562995</v>
      </c>
      <c r="CJ102" s="93">
        <f t="shared" si="283"/>
        <v>0.2334042015758146</v>
      </c>
      <c r="CK102" s="93">
        <f t="shared" si="283"/>
        <v>0.23263948148101765</v>
      </c>
      <c r="CL102" s="93">
        <f t="shared" si="283"/>
        <v>0.23188042319725002</v>
      </c>
      <c r="CM102" s="93">
        <f t="shared" si="283"/>
        <v>0.23112705064947051</v>
      </c>
      <c r="CN102" s="93">
        <f t="shared" si="283"/>
        <v>0.23037931728769465</v>
      </c>
      <c r="CO102" s="93">
        <f t="shared" si="283"/>
        <v>0.22963723806937472</v>
      </c>
      <c r="CP102" s="93">
        <f t="shared" si="283"/>
        <v>0.22428409267717966</v>
      </c>
      <c r="CQ102" s="362" t="s">
        <v>77</v>
      </c>
      <c r="CR102" s="8"/>
      <c r="CS102" s="8"/>
      <c r="CT102" s="8"/>
      <c r="CU102"/>
      <c r="CV102"/>
      <c r="CW102"/>
      <c r="CX102"/>
      <c r="CY102"/>
      <c r="CZ102"/>
      <c r="DB102" s="103" t="s">
        <v>47</v>
      </c>
      <c r="DD102" s="93">
        <f t="shared" ref="DD102:DM102" si="284">+DD97/DD$90</f>
        <v>0.50897159403678371</v>
      </c>
      <c r="DE102" s="93">
        <f t="shared" si="284"/>
        <v>0.46273740593349805</v>
      </c>
      <c r="DF102" s="93">
        <f t="shared" si="284"/>
        <v>0.51943370130369082</v>
      </c>
      <c r="DG102" s="93">
        <f t="shared" si="284"/>
        <v>0.49726905906460833</v>
      </c>
      <c r="DH102" s="93">
        <f t="shared" si="284"/>
        <v>0.56071576668704903</v>
      </c>
      <c r="DI102" s="93">
        <f t="shared" si="284"/>
        <v>0.54172930172674827</v>
      </c>
      <c r="DJ102" s="93">
        <f t="shared" si="284"/>
        <v>0.54226517732039281</v>
      </c>
      <c r="DK102" s="93">
        <f t="shared" si="284"/>
        <v>0.51619025609885005</v>
      </c>
      <c r="DL102" s="93">
        <f t="shared" si="284"/>
        <v>0.6363350399063562</v>
      </c>
      <c r="DM102" s="93">
        <f t="shared" si="284"/>
        <v>0.63427326034731346</v>
      </c>
      <c r="DN102" s="93"/>
      <c r="DO102" s="8"/>
      <c r="DP102" s="93"/>
      <c r="DQ102" s="8"/>
      <c r="DR102" s="8"/>
      <c r="DS102" s="8"/>
      <c r="DU102" s="413">
        <f t="shared" si="227"/>
        <v>0.52379014092938303</v>
      </c>
      <c r="DV102" s="413">
        <f t="shared" si="228"/>
        <v>0.51090025674320649</v>
      </c>
      <c r="DW102" s="413">
        <f t="shared" si="229"/>
        <v>0.50861107074823175</v>
      </c>
      <c r="DX102" s="413">
        <f t="shared" si="230"/>
        <v>0.51231743935467844</v>
      </c>
      <c r="DY102" s="413">
        <f t="shared" si="274"/>
        <v>0.50081133562508251</v>
      </c>
      <c r="DZ102" s="413"/>
      <c r="EH102" s="411"/>
      <c r="EI102" s="411"/>
    </row>
    <row r="103" spans="2:140" ht="11.25" customHeight="1" outlineLevel="1" x14ac:dyDescent="0.2">
      <c r="B103" s="7" t="s">
        <v>14</v>
      </c>
      <c r="D103" s="52"/>
      <c r="E103" s="52"/>
      <c r="F103" s="52"/>
      <c r="G103" s="52"/>
      <c r="H103" s="52"/>
      <c r="I103" s="52"/>
      <c r="J103" s="52"/>
      <c r="K103" s="52">
        <v>-35.389000000000003</v>
      </c>
      <c r="L103" s="52">
        <v>-37.924999999999997</v>
      </c>
      <c r="M103" s="52">
        <v>-69.082999999999998</v>
      </c>
      <c r="N103" s="52">
        <v>-89.873999999999995</v>
      </c>
      <c r="O103" s="52">
        <v>-90.518000000000001</v>
      </c>
      <c r="P103" s="52">
        <v>-86.387</v>
      </c>
      <c r="Q103" s="52">
        <v>-94.457999999999998</v>
      </c>
      <c r="R103" s="52">
        <v>-104.459</v>
      </c>
      <c r="S103" s="52">
        <v>-124.78700000000001</v>
      </c>
      <c r="T103" s="186">
        <v>-151.13200000000001</v>
      </c>
      <c r="U103" s="186">
        <v>-182.084</v>
      </c>
      <c r="V103" s="186">
        <v>-337.42599999999999</v>
      </c>
      <c r="W103" s="186">
        <f>-387.14</f>
        <v>-387.14</v>
      </c>
      <c r="X103" s="272">
        <f>-X106*W265</f>
        <v>-387.14</v>
      </c>
      <c r="Y103" s="272">
        <f t="shared" ref="Y103:CJ103" si="285">-Y106*X265</f>
        <v>-404.04946255067529</v>
      </c>
      <c r="Z103" s="272">
        <f t="shared" si="285"/>
        <v>-410.46051385719613</v>
      </c>
      <c r="AA103" s="272">
        <f t="shared" si="285"/>
        <v>-401.00419565689765</v>
      </c>
      <c r="AB103" s="272">
        <f t="shared" si="285"/>
        <v>-392.40623602885665</v>
      </c>
      <c r="AC103" s="272">
        <f t="shared" si="285"/>
        <v>-384.53125585692101</v>
      </c>
      <c r="AD103" s="272">
        <f t="shared" si="285"/>
        <v>-375.81328406616603</v>
      </c>
      <c r="AE103" s="272">
        <f t="shared" si="285"/>
        <v>-366.28747613258406</v>
      </c>
      <c r="AF103" s="272">
        <f t="shared" si="285"/>
        <v>-357.20053832206548</v>
      </c>
      <c r="AG103" s="272">
        <f t="shared" si="285"/>
        <v>-348.5243652096251</v>
      </c>
      <c r="AH103" s="272">
        <f t="shared" si="285"/>
        <v>-340.24161979483296</v>
      </c>
      <c r="AI103" s="272">
        <f t="shared" si="285"/>
        <v>-332.33569866139618</v>
      </c>
      <c r="AJ103" s="272">
        <f t="shared" si="285"/>
        <v>-324.79070093958387</v>
      </c>
      <c r="AK103" s="272">
        <f t="shared" si="285"/>
        <v>-317.59139858183937</v>
      </c>
      <c r="AL103" s="272">
        <f t="shared" si="285"/>
        <v>-310.72320789602065</v>
      </c>
      <c r="AM103" s="272">
        <f t="shared" si="285"/>
        <v>-304.17216228305887</v>
      </c>
      <c r="AN103" s="272">
        <f t="shared" si="285"/>
        <v>-297.9248861280758</v>
      </c>
      <c r="AO103" s="272">
        <f t="shared" si="285"/>
        <v>-291.96856979615842</v>
      </c>
      <c r="AP103" s="272">
        <f t="shared" si="285"/>
        <v>-286.29094568605331</v>
      </c>
      <c r="AQ103" s="272">
        <f t="shared" si="285"/>
        <v>-280.8802652970196</v>
      </c>
      <c r="AR103" s="272">
        <f t="shared" si="285"/>
        <v>-275.72527726597548</v>
      </c>
      <c r="AS103" s="272">
        <f t="shared" si="285"/>
        <v>-270.81520633388408</v>
      </c>
      <c r="AT103" s="272">
        <f t="shared" si="285"/>
        <v>-266.13973320206435</v>
      </c>
      <c r="AU103" s="272">
        <f t="shared" si="285"/>
        <v>-261.68897524077357</v>
      </c>
      <c r="AV103" s="272">
        <f t="shared" si="285"/>
        <v>-257.45346801400251</v>
      </c>
      <c r="AW103" s="272">
        <f t="shared" si="285"/>
        <v>-253.4241475859497</v>
      </c>
      <c r="AX103" s="272">
        <f t="shared" si="285"/>
        <v>-249.59233357610211</v>
      </c>
      <c r="AY103" s="272">
        <f t="shared" si="285"/>
        <v>-245.94971293124934</v>
      </c>
      <c r="AZ103" s="272">
        <f t="shared" si="285"/>
        <v>-242.48832438409718</v>
      </c>
      <c r="BA103" s="272">
        <f t="shared" si="285"/>
        <v>-239.20054356943234</v>
      </c>
      <c r="BB103" s="272">
        <f t="shared" si="285"/>
        <v>-236.07906877001588</v>
      </c>
      <c r="BC103" s="272">
        <f t="shared" si="285"/>
        <v>-233.11690726556324</v>
      </c>
      <c r="BD103" s="272">
        <f t="shared" si="285"/>
        <v>-230.30736225929346</v>
      </c>
      <c r="BE103" s="272">
        <f t="shared" si="285"/>
        <v>-227.64402035761145</v>
      </c>
      <c r="BF103" s="272">
        <f t="shared" si="285"/>
        <v>-225.1207395795202</v>
      </c>
      <c r="BG103" s="272">
        <f t="shared" si="285"/>
        <v>-222.73163787335054</v>
      </c>
      <c r="BH103" s="272">
        <f t="shared" si="285"/>
        <v>-220.47108211934335</v>
      </c>
      <c r="BI103" s="272">
        <f t="shared" si="285"/>
        <v>-218.33367759752903</v>
      </c>
      <c r="BJ103" s="272">
        <f t="shared" si="285"/>
        <v>-216.31425790121673</v>
      </c>
      <c r="BK103" s="272">
        <f t="shared" si="285"/>
        <v>-214.40787527724044</v>
      </c>
      <c r="BL103" s="272">
        <f t="shared" si="285"/>
        <v>-212.60979137490529</v>
      </c>
      <c r="BM103" s="272">
        <f t="shared" si="285"/>
        <v>-210.91546838634306</v>
      </c>
      <c r="BN103" s="272">
        <f t="shared" si="285"/>
        <v>-209.32056056171575</v>
      </c>
      <c r="BO103" s="272">
        <f t="shared" si="285"/>
        <v>-207.82090608340786</v>
      </c>
      <c r="BP103" s="272">
        <f t="shared" si="285"/>
        <v>-206.4125192840184</v>
      </c>
      <c r="BQ103" s="272">
        <f t="shared" si="285"/>
        <v>-205.09158319360725</v>
      </c>
      <c r="BR103" s="272">
        <f t="shared" si="285"/>
        <v>-203.85444240226454</v>
      </c>
      <c r="BS103" s="272">
        <f t="shared" si="285"/>
        <v>-202.69759622466225</v>
      </c>
      <c r="BT103" s="272">
        <f t="shared" si="285"/>
        <v>-201.61769215381113</v>
      </c>
      <c r="BU103" s="272">
        <f t="shared" si="285"/>
        <v>-200.61151959178687</v>
      </c>
      <c r="BV103" s="272">
        <f t="shared" si="285"/>
        <v>-199.67600384570682</v>
      </c>
      <c r="BW103" s="272">
        <f t="shared" si="285"/>
        <v>-198.80820037773501</v>
      </c>
      <c r="BX103" s="272">
        <f t="shared" si="285"/>
        <v>-198.00528929836733</v>
      </c>
      <c r="BY103" s="272">
        <f t="shared" si="285"/>
        <v>-197.26457009270385</v>
      </c>
      <c r="BZ103" s="272">
        <f t="shared" si="285"/>
        <v>-196.58345656985063</v>
      </c>
      <c r="CA103" s="272">
        <f t="shared" si="285"/>
        <v>-195.9594720260107</v>
      </c>
      <c r="CB103" s="272">
        <f t="shared" si="285"/>
        <v>-195.39024461222269</v>
      </c>
      <c r="CC103" s="272">
        <f t="shared" si="285"/>
        <v>-194.87350289808921</v>
      </c>
      <c r="CD103" s="272">
        <f t="shared" si="285"/>
        <v>-194.40707162320209</v>
      </c>
      <c r="CE103" s="272">
        <f t="shared" si="285"/>
        <v>-193.98886762832319</v>
      </c>
      <c r="CF103" s="272">
        <f t="shared" si="285"/>
        <v>-193.61689595871593</v>
      </c>
      <c r="CG103" s="272">
        <f t="shared" si="285"/>
        <v>-193.28924613234327</v>
      </c>
      <c r="CH103" s="272">
        <f t="shared" si="285"/>
        <v>-193.00408856595686</v>
      </c>
      <c r="CI103" s="272">
        <f t="shared" si="285"/>
        <v>-192.75967115239746</v>
      </c>
      <c r="CJ103" s="272">
        <f t="shared" si="285"/>
        <v>-192.5543159827084</v>
      </c>
      <c r="CK103" s="272">
        <f t="shared" ref="CK103:CP103" si="286">-CK106*CJ265</f>
        <v>-192.38641620693528</v>
      </c>
      <c r="CL103" s="272">
        <f t="shared" si="286"/>
        <v>-192.2544330277442</v>
      </c>
      <c r="CM103" s="272">
        <f t="shared" si="286"/>
        <v>-192.15689282123921</v>
      </c>
      <c r="CN103" s="272">
        <f t="shared" si="286"/>
        <v>-192.09238437959681</v>
      </c>
      <c r="CO103" s="272">
        <f t="shared" si="286"/>
        <v>-192.0595562703636</v>
      </c>
      <c r="CP103" s="272">
        <f t="shared" si="286"/>
        <v>-192.05711430748158</v>
      </c>
      <c r="CQ103" s="362" t="s">
        <v>77</v>
      </c>
      <c r="DB103" s="7" t="s">
        <v>14</v>
      </c>
      <c r="DD103" s="52">
        <v>-60.878</v>
      </c>
      <c r="DE103" s="9">
        <f>+R103-DD103</f>
        <v>-43.581000000000003</v>
      </c>
      <c r="DF103" s="52">
        <v>-60.878</v>
      </c>
      <c r="DG103" s="9">
        <f>+S103-DF103</f>
        <v>-63.909000000000006</v>
      </c>
      <c r="DH103" s="52">
        <v>-72.037999999999997</v>
      </c>
      <c r="DI103" s="42">
        <f>+T103-DH103</f>
        <v>-79.094000000000008</v>
      </c>
      <c r="DJ103" s="144">
        <v>-82.06</v>
      </c>
      <c r="DK103" s="42">
        <f>+U103-DJ103</f>
        <v>-100.024</v>
      </c>
      <c r="DL103" s="191">
        <v>-158.637</v>
      </c>
      <c r="DM103" s="8">
        <f>V103-DL103</f>
        <v>-178.78899999999999</v>
      </c>
      <c r="DN103" s="191">
        <v>-190.58699999999999</v>
      </c>
      <c r="DO103" s="8">
        <f>W103-DN103</f>
        <v>-196.553</v>
      </c>
      <c r="DP103" s="191">
        <v>-197.59399999999999</v>
      </c>
      <c r="DQ103" s="8">
        <f>X103-DP103</f>
        <v>-189.54599999999999</v>
      </c>
      <c r="DU103" s="413">
        <f t="shared" si="227"/>
        <v>0.58279324902593366</v>
      </c>
      <c r="DV103" s="413">
        <f t="shared" si="228"/>
        <v>0.48785530544047057</v>
      </c>
      <c r="DW103" s="413">
        <f t="shared" si="229"/>
        <v>0.4766561681179366</v>
      </c>
      <c r="DX103" s="413">
        <f t="shared" si="230"/>
        <v>0.4506711188242789</v>
      </c>
      <c r="DY103" s="413">
        <f t="shared" si="274"/>
        <v>0.47013863780502985</v>
      </c>
      <c r="DZ103" s="413">
        <f t="shared" si="232"/>
        <v>0.49229477708322572</v>
      </c>
      <c r="EA103" s="751">
        <f t="shared" ref="EA103" si="287">AVERAGE(DU103:DZ103)</f>
        <v>0.49340154271614584</v>
      </c>
      <c r="EH103" s="411" t="b">
        <f t="shared" si="238"/>
        <v>1</v>
      </c>
      <c r="EI103" s="411" t="b">
        <f t="shared" si="239"/>
        <v>1</v>
      </c>
      <c r="EJ103" s="411" t="b">
        <f t="shared" si="233"/>
        <v>1</v>
      </c>
    </row>
    <row r="104" spans="2:140" ht="11.25" customHeight="1" outlineLevel="1" x14ac:dyDescent="0.2">
      <c r="B104" s="7" t="s">
        <v>15</v>
      </c>
      <c r="D104" s="52"/>
      <c r="E104" s="52"/>
      <c r="F104" s="52"/>
      <c r="G104" s="52"/>
      <c r="H104" s="52"/>
      <c r="I104" s="52"/>
      <c r="J104" s="52"/>
      <c r="K104" s="52">
        <f>-0.284-0.7</f>
        <v>-0.98399999999999999</v>
      </c>
      <c r="L104" s="52">
        <v>-0.92300000000000004</v>
      </c>
      <c r="M104" s="52">
        <v>-0.7</v>
      </c>
      <c r="N104" s="52">
        <v>-4.585</v>
      </c>
      <c r="O104" s="52">
        <v>-5.1219999999999999</v>
      </c>
      <c r="P104" s="52">
        <v>-5.0389999999999997</v>
      </c>
      <c r="Q104" s="52">
        <v>-5.8920000000000003</v>
      </c>
      <c r="R104" s="52">
        <v>-5.59</v>
      </c>
      <c r="S104" s="52">
        <v>-5.6740000000000004</v>
      </c>
      <c r="T104" s="186">
        <v>-5.0960000000000001</v>
      </c>
      <c r="U104" s="186">
        <v>-26.116</v>
      </c>
      <c r="V104" s="186">
        <v>-183.464</v>
      </c>
      <c r="W104" s="186">
        <f>-182.881</f>
        <v>-182.881</v>
      </c>
      <c r="X104" s="272">
        <f t="shared" ref="X104:BD104" si="288">+W104*X103/W103</f>
        <v>-182.881</v>
      </c>
      <c r="Y104" s="272">
        <f t="shared" si="288"/>
        <v>-190.86885819272112</v>
      </c>
      <c r="Z104" s="272">
        <f t="shared" si="288"/>
        <v>-193.89737364963037</v>
      </c>
      <c r="AA104" s="272">
        <f t="shared" si="288"/>
        <v>-189.43030507291709</v>
      </c>
      <c r="AB104" s="272">
        <f t="shared" si="288"/>
        <v>-185.36871635892274</v>
      </c>
      <c r="AC104" s="272">
        <f t="shared" si="288"/>
        <v>-181.64865578955826</v>
      </c>
      <c r="AD104" s="272">
        <f t="shared" si="288"/>
        <v>-177.53037455004525</v>
      </c>
      <c r="AE104" s="272">
        <f t="shared" si="288"/>
        <v>-173.03047972982154</v>
      </c>
      <c r="AF104" s="272">
        <f t="shared" si="288"/>
        <v>-168.73790269379981</v>
      </c>
      <c r="AG104" s="272">
        <f t="shared" si="288"/>
        <v>-164.63936672496112</v>
      </c>
      <c r="AH104" s="272">
        <f t="shared" si="288"/>
        <v>-160.72668200056529</v>
      </c>
      <c r="AI104" s="272">
        <f t="shared" si="288"/>
        <v>-156.99200523556024</v>
      </c>
      <c r="AJ104" s="272">
        <f t="shared" si="288"/>
        <v>-153.42782502074712</v>
      </c>
      <c r="AK104" s="272">
        <f t="shared" si="288"/>
        <v>-150.02694778128165</v>
      </c>
      <c r="AL104" s="272">
        <f t="shared" si="288"/>
        <v>-146.78248432926631</v>
      </c>
      <c r="AM104" s="272">
        <f t="shared" si="288"/>
        <v>-143.68783698529757</v>
      </c>
      <c r="AN104" s="272">
        <f t="shared" si="288"/>
        <v>-140.73668724489499</v>
      </c>
      <c r="AO104" s="272">
        <f t="shared" si="288"/>
        <v>-137.92298396675949</v>
      </c>
      <c r="AP104" s="272">
        <f t="shared" si="288"/>
        <v>-135.24093206078197</v>
      </c>
      <c r="AQ104" s="272">
        <f t="shared" si="288"/>
        <v>-132.68498165465789</v>
      </c>
      <c r="AR104" s="272">
        <f t="shared" si="288"/>
        <v>-130.24981771885848</v>
      </c>
      <c r="AS104" s="272">
        <f t="shared" si="288"/>
        <v>-127.93035013056534</v>
      </c>
      <c r="AT104" s="272">
        <f t="shared" si="288"/>
        <v>-125.72170415799644</v>
      </c>
      <c r="AU104" s="272">
        <f t="shared" si="288"/>
        <v>-123.61921134733669</v>
      </c>
      <c r="AV104" s="272">
        <f t="shared" si="288"/>
        <v>-121.61840079523895</v>
      </c>
      <c r="AW104" s="272">
        <f t="shared" si="288"/>
        <v>-119.71499079058243</v>
      </c>
      <c r="AX104" s="272">
        <f t="shared" si="288"/>
        <v>-117.90488080986502</v>
      </c>
      <c r="AY104" s="272">
        <f t="shared" si="288"/>
        <v>-116.18414385126782</v>
      </c>
      <c r="AZ104" s="272">
        <f t="shared" si="288"/>
        <v>-114.54901909306218</v>
      </c>
      <c r="BA104" s="272">
        <f t="shared" si="288"/>
        <v>-112.99590486263722</v>
      </c>
      <c r="BB104" s="272">
        <f t="shared" si="288"/>
        <v>-111.52135190300484</v>
      </c>
      <c r="BC104" s="272">
        <f t="shared" si="288"/>
        <v>-110.12205692419666</v>
      </c>
      <c r="BD104" s="272">
        <f t="shared" si="288"/>
        <v>-108.79485642749876</v>
      </c>
      <c r="BE104" s="272">
        <f t="shared" ref="BE104:CP104" si="289">+BD104*BE103/BD103</f>
        <v>-107.53672079098095</v>
      </c>
      <c r="BF104" s="272">
        <f t="shared" si="289"/>
        <v>-106.34474860526493</v>
      </c>
      <c r="BG104" s="272">
        <f t="shared" si="289"/>
        <v>-105.21616124894418</v>
      </c>
      <c r="BH104" s="272">
        <f t="shared" si="289"/>
        <v>-104.14829769351567</v>
      </c>
      <c r="BI104" s="272">
        <f t="shared" si="289"/>
        <v>-103.13860952811318</v>
      </c>
      <c r="BJ104" s="272">
        <f t="shared" si="289"/>
        <v>-102.18465619474208</v>
      </c>
      <c r="BK104" s="272">
        <f t="shared" si="289"/>
        <v>-101.28410042510987</v>
      </c>
      <c r="BL104" s="272">
        <f t="shared" si="289"/>
        <v>-100.4347038705225</v>
      </c>
      <c r="BM104" s="272">
        <f t="shared" si="289"/>
        <v>-99.634322916678286</v>
      </c>
      <c r="BN104" s="272">
        <f t="shared" si="289"/>
        <v>-98.880904675536399</v>
      </c>
      <c r="BO104" s="272">
        <f t="shared" si="289"/>
        <v>-98.172483146767931</v>
      </c>
      <c r="BP104" s="272">
        <f t="shared" si="289"/>
        <v>-97.507175541614387</v>
      </c>
      <c r="BQ104" s="272">
        <f t="shared" si="289"/>
        <v>-96.883178762282668</v>
      </c>
      <c r="BR104" s="272">
        <f t="shared" si="289"/>
        <v>-96.298766030295411</v>
      </c>
      <c r="BS104" s="272">
        <f t="shared" si="289"/>
        <v>-95.752283657494644</v>
      </c>
      <c r="BT104" s="272">
        <f t="shared" si="289"/>
        <v>-95.242147953663164</v>
      </c>
      <c r="BU104" s="272">
        <f t="shared" si="289"/>
        <v>-94.766842264983197</v>
      </c>
      <c r="BV104" s="272">
        <f t="shared" si="289"/>
        <v>-94.324914137796981</v>
      </c>
      <c r="BW104" s="272">
        <f t="shared" si="289"/>
        <v>-93.914972602367556</v>
      </c>
      <c r="BX104" s="272">
        <f t="shared" si="289"/>
        <v>-93.535685571562581</v>
      </c>
      <c r="BY104" s="272">
        <f t="shared" si="289"/>
        <v>-93.185777349599107</v>
      </c>
      <c r="BZ104" s="272">
        <f t="shared" si="289"/>
        <v>-92.864026246192282</v>
      </c>
      <c r="CA104" s="272">
        <f t="shared" si="289"/>
        <v>-92.569262291648727</v>
      </c>
      <c r="CB104" s="272">
        <f t="shared" si="289"/>
        <v>-92.300365048633367</v>
      </c>
      <c r="CC104" s="272">
        <f t="shared" si="289"/>
        <v>-92.056261516519797</v>
      </c>
      <c r="CD104" s="272">
        <f t="shared" si="289"/>
        <v>-91.835924124406773</v>
      </c>
      <c r="CE104" s="272">
        <f t="shared" si="289"/>
        <v>-91.638368809049425</v>
      </c>
      <c r="CF104" s="272">
        <f t="shared" si="289"/>
        <v>-91.462653174112589</v>
      </c>
      <c r="CG104" s="272">
        <f t="shared" si="289"/>
        <v>-91.307874727305602</v>
      </c>
      <c r="CH104" s="272">
        <f t="shared" si="289"/>
        <v>-91.173169192103046</v>
      </c>
      <c r="CI104" s="272">
        <f t="shared" si="289"/>
        <v>-91.057708890896365</v>
      </c>
      <c r="CJ104" s="272">
        <f t="shared" si="289"/>
        <v>-90.960701196553472</v>
      </c>
      <c r="CK104" s="272">
        <f t="shared" si="289"/>
        <v>-90.881387049492545</v>
      </c>
      <c r="CL104" s="272">
        <f t="shared" si="289"/>
        <v>-90.819039537497801</v>
      </c>
      <c r="CM104" s="272">
        <f t="shared" si="289"/>
        <v>-90.772962535622923</v>
      </c>
      <c r="CN104" s="272">
        <f t="shared" si="289"/>
        <v>-90.742489403639652</v>
      </c>
      <c r="CO104" s="272">
        <f t="shared" si="289"/>
        <v>-90.72698173859682</v>
      </c>
      <c r="CP104" s="272">
        <f t="shared" si="289"/>
        <v>-90.725828180158459</v>
      </c>
      <c r="CQ104" s="362" t="s">
        <v>77</v>
      </c>
      <c r="DB104" s="7" t="s">
        <v>15</v>
      </c>
      <c r="DD104" s="52">
        <v>-2.9049999999999998</v>
      </c>
      <c r="DE104" s="9">
        <f>+R104-DD104</f>
        <v>-2.6850000000000001</v>
      </c>
      <c r="DF104" s="52">
        <v>-2.9049999999999998</v>
      </c>
      <c r="DG104" s="9">
        <f>+S104-DF104</f>
        <v>-2.7690000000000006</v>
      </c>
      <c r="DH104" s="9">
        <v>2.613</v>
      </c>
      <c r="DI104" s="42">
        <f>+T104-DH104</f>
        <v>-7.7089999999999996</v>
      </c>
      <c r="DJ104" s="144">
        <v>-6.4169999999999998</v>
      </c>
      <c r="DK104" s="42">
        <f>+U104-DJ104</f>
        <v>-19.698999999999998</v>
      </c>
      <c r="DL104" s="191">
        <v>-91.843999999999994</v>
      </c>
      <c r="DM104" s="8">
        <f>V104-DL104</f>
        <v>-91.62</v>
      </c>
      <c r="DN104" s="191">
        <v>-91.396000000000001</v>
      </c>
      <c r="DO104" s="8">
        <f>W104-DN104</f>
        <v>-91.484999999999999</v>
      </c>
      <c r="DP104" s="191">
        <v>-91.525999999999996</v>
      </c>
      <c r="DQ104" s="8">
        <f t="shared" ref="DQ104" si="290">X104-DP104</f>
        <v>-91.355000000000004</v>
      </c>
      <c r="DU104" s="413">
        <f t="shared" si="227"/>
        <v>0.51967799642218249</v>
      </c>
      <c r="DV104" s="413">
        <f t="shared" si="228"/>
        <v>0.51198449065914686</v>
      </c>
      <c r="DW104" s="413">
        <f t="shared" si="229"/>
        <v>-0.51275510204081631</v>
      </c>
      <c r="DX104" s="413">
        <f t="shared" si="230"/>
        <v>0.24571144126206157</v>
      </c>
      <c r="DY104" s="413">
        <f t="shared" si="274"/>
        <v>0.50061047398944747</v>
      </c>
      <c r="DZ104" s="413">
        <f t="shared" si="232"/>
        <v>0.4997566723716515</v>
      </c>
      <c r="EA104" s="751">
        <f>DZ104</f>
        <v>0.4997566723716515</v>
      </c>
      <c r="EH104" s="411" t="b">
        <f t="shared" si="238"/>
        <v>1</v>
      </c>
      <c r="EI104" s="411" t="b">
        <f t="shared" si="239"/>
        <v>1</v>
      </c>
      <c r="EJ104" s="411" t="b">
        <f t="shared" si="233"/>
        <v>1</v>
      </c>
    </row>
    <row r="105" spans="2:140" ht="11.25" customHeight="1" outlineLevel="1" x14ac:dyDescent="0.2">
      <c r="B105" s="74" t="s">
        <v>87</v>
      </c>
      <c r="C105" s="12"/>
      <c r="D105" s="255"/>
      <c r="E105" s="255"/>
      <c r="F105" s="255"/>
      <c r="G105" s="255"/>
      <c r="H105" s="255"/>
      <c r="I105" s="255"/>
      <c r="J105" s="255"/>
      <c r="K105" s="255">
        <f t="shared" ref="K105:BD105" si="291">SUM(K103:K104)</f>
        <v>-36.373000000000005</v>
      </c>
      <c r="L105" s="255">
        <f t="shared" si="291"/>
        <v>-38.847999999999999</v>
      </c>
      <c r="M105" s="255">
        <f t="shared" si="291"/>
        <v>-69.783000000000001</v>
      </c>
      <c r="N105" s="255">
        <f t="shared" si="291"/>
        <v>-94.458999999999989</v>
      </c>
      <c r="O105" s="255">
        <f t="shared" si="291"/>
        <v>-95.64</v>
      </c>
      <c r="P105" s="255">
        <f t="shared" si="291"/>
        <v>-91.426000000000002</v>
      </c>
      <c r="Q105" s="255">
        <f t="shared" si="291"/>
        <v>-100.35</v>
      </c>
      <c r="R105" s="255">
        <f t="shared" si="291"/>
        <v>-110.04900000000001</v>
      </c>
      <c r="S105" s="255">
        <f t="shared" si="291"/>
        <v>-130.46100000000001</v>
      </c>
      <c r="T105" s="255">
        <f t="shared" si="291"/>
        <v>-156.22800000000001</v>
      </c>
      <c r="U105" s="255">
        <f t="shared" si="291"/>
        <v>-208.2</v>
      </c>
      <c r="V105" s="255">
        <f t="shared" si="291"/>
        <v>-520.89</v>
      </c>
      <c r="W105" s="255">
        <f t="shared" si="291"/>
        <v>-570.02099999999996</v>
      </c>
      <c r="X105" s="255">
        <f t="shared" si="291"/>
        <v>-570.02099999999996</v>
      </c>
      <c r="Y105" s="255">
        <f t="shared" si="291"/>
        <v>-594.91832074339641</v>
      </c>
      <c r="Z105" s="255">
        <f t="shared" si="291"/>
        <v>-604.3578875068265</v>
      </c>
      <c r="AA105" s="255">
        <f t="shared" si="291"/>
        <v>-590.43450072981477</v>
      </c>
      <c r="AB105" s="255">
        <f t="shared" si="291"/>
        <v>-577.77495238777942</v>
      </c>
      <c r="AC105" s="255">
        <f t="shared" si="291"/>
        <v>-566.17991164647924</v>
      </c>
      <c r="AD105" s="255">
        <f t="shared" si="291"/>
        <v>-553.34365861621131</v>
      </c>
      <c r="AE105" s="255">
        <f t="shared" si="291"/>
        <v>-539.3179558624056</v>
      </c>
      <c r="AF105" s="255">
        <f t="shared" si="291"/>
        <v>-525.93844101586524</v>
      </c>
      <c r="AG105" s="255">
        <f t="shared" si="291"/>
        <v>-513.16373193458617</v>
      </c>
      <c r="AH105" s="255">
        <f t="shared" si="291"/>
        <v>-500.96830179539825</v>
      </c>
      <c r="AI105" s="255">
        <f t="shared" si="291"/>
        <v>-489.32770389695645</v>
      </c>
      <c r="AJ105" s="255">
        <f t="shared" si="291"/>
        <v>-478.21852596033102</v>
      </c>
      <c r="AK105" s="255">
        <f t="shared" si="291"/>
        <v>-467.61834636312102</v>
      </c>
      <c r="AL105" s="255">
        <f t="shared" si="291"/>
        <v>-457.50569222528696</v>
      </c>
      <c r="AM105" s="255">
        <f t="shared" si="291"/>
        <v>-447.85999926835643</v>
      </c>
      <c r="AN105" s="255">
        <f t="shared" si="291"/>
        <v>-438.66157337297079</v>
      </c>
      <c r="AO105" s="255">
        <f t="shared" si="291"/>
        <v>-429.89155376291791</v>
      </c>
      <c r="AP105" s="255">
        <f t="shared" si="291"/>
        <v>-421.53187774683528</v>
      </c>
      <c r="AQ105" s="255">
        <f t="shared" si="291"/>
        <v>-413.56524695167752</v>
      </c>
      <c r="AR105" s="255">
        <f t="shared" si="291"/>
        <v>-405.97509498483396</v>
      </c>
      <c r="AS105" s="255">
        <f t="shared" si="291"/>
        <v>-398.74555646444941</v>
      </c>
      <c r="AT105" s="255">
        <f t="shared" si="291"/>
        <v>-391.86143736006079</v>
      </c>
      <c r="AU105" s="255">
        <f t="shared" si="291"/>
        <v>-385.30818658811029</v>
      </c>
      <c r="AV105" s="255">
        <f t="shared" si="291"/>
        <v>-379.07186880924144</v>
      </c>
      <c r="AW105" s="255">
        <f t="shared" si="291"/>
        <v>-373.13913837653212</v>
      </c>
      <c r="AX105" s="255">
        <f t="shared" si="291"/>
        <v>-367.49721438596714</v>
      </c>
      <c r="AY105" s="255">
        <f t="shared" si="291"/>
        <v>-362.13385678251717</v>
      </c>
      <c r="AZ105" s="255">
        <f t="shared" si="291"/>
        <v>-357.03734347715937</v>
      </c>
      <c r="BA105" s="255">
        <f t="shared" si="291"/>
        <v>-352.19644843206959</v>
      </c>
      <c r="BB105" s="255">
        <f t="shared" si="291"/>
        <v>-347.60042067302072</v>
      </c>
      <c r="BC105" s="255">
        <f t="shared" si="291"/>
        <v>-343.23896418975988</v>
      </c>
      <c r="BD105" s="255">
        <f t="shared" si="291"/>
        <v>-339.10221868679218</v>
      </c>
      <c r="BE105" s="255">
        <f t="shared" ref="BE105:CP105" si="292">SUM(BE103:BE104)</f>
        <v>-335.1807411485924</v>
      </c>
      <c r="BF105" s="255">
        <f t="shared" si="292"/>
        <v>-331.46548818478516</v>
      </c>
      <c r="BG105" s="255">
        <f t="shared" si="292"/>
        <v>-327.94779912229473</v>
      </c>
      <c r="BH105" s="255">
        <f t="shared" si="292"/>
        <v>-324.61937981285905</v>
      </c>
      <c r="BI105" s="255">
        <f t="shared" si="292"/>
        <v>-321.4722871256422</v>
      </c>
      <c r="BJ105" s="255">
        <f t="shared" si="292"/>
        <v>-318.49891409595881</v>
      </c>
      <c r="BK105" s="255">
        <f t="shared" si="292"/>
        <v>-315.69197570235031</v>
      </c>
      <c r="BL105" s="255">
        <f t="shared" si="292"/>
        <v>-313.04449524542781</v>
      </c>
      <c r="BM105" s="255">
        <f t="shared" si="292"/>
        <v>-310.54979130302138</v>
      </c>
      <c r="BN105" s="255">
        <f t="shared" si="292"/>
        <v>-308.20146523725214</v>
      </c>
      <c r="BO105" s="255">
        <f t="shared" si="292"/>
        <v>-305.99338923017581</v>
      </c>
      <c r="BP105" s="255">
        <f t="shared" si="292"/>
        <v>-303.9196948256328</v>
      </c>
      <c r="BQ105" s="255">
        <f t="shared" si="292"/>
        <v>-301.9747619558899</v>
      </c>
      <c r="BR105" s="255">
        <f t="shared" si="292"/>
        <v>-300.15320843255995</v>
      </c>
      <c r="BS105" s="255">
        <f t="shared" si="292"/>
        <v>-298.44987988215689</v>
      </c>
      <c r="BT105" s="255">
        <f t="shared" si="292"/>
        <v>-296.85984010747427</v>
      </c>
      <c r="BU105" s="255">
        <f t="shared" si="292"/>
        <v>-295.37836185677008</v>
      </c>
      <c r="BV105" s="255">
        <f t="shared" si="292"/>
        <v>-294.00091798350377</v>
      </c>
      <c r="BW105" s="255">
        <f t="shared" si="292"/>
        <v>-292.72317298010256</v>
      </c>
      <c r="BX105" s="255">
        <f t="shared" si="292"/>
        <v>-291.54097486992993</v>
      </c>
      <c r="BY105" s="255">
        <f t="shared" si="292"/>
        <v>-290.45034744230293</v>
      </c>
      <c r="BZ105" s="255">
        <f t="shared" si="292"/>
        <v>-289.44748281604291</v>
      </c>
      <c r="CA105" s="255">
        <f t="shared" si="292"/>
        <v>-288.52873431765943</v>
      </c>
      <c r="CB105" s="255">
        <f t="shared" si="292"/>
        <v>-287.69060966085607</v>
      </c>
      <c r="CC105" s="255">
        <f t="shared" si="292"/>
        <v>-286.929764414609</v>
      </c>
      <c r="CD105" s="255">
        <f t="shared" si="292"/>
        <v>-286.24299574760886</v>
      </c>
      <c r="CE105" s="255">
        <f t="shared" si="292"/>
        <v>-285.62723643737263</v>
      </c>
      <c r="CF105" s="255">
        <f t="shared" si="292"/>
        <v>-285.0795491328285</v>
      </c>
      <c r="CG105" s="255">
        <f t="shared" si="292"/>
        <v>-284.59712085964884</v>
      </c>
      <c r="CH105" s="255">
        <f t="shared" si="292"/>
        <v>-284.17725775805991</v>
      </c>
      <c r="CI105" s="255">
        <f t="shared" si="292"/>
        <v>-283.81738004329384</v>
      </c>
      <c r="CJ105" s="255">
        <f t="shared" si="292"/>
        <v>-283.51501717926186</v>
      </c>
      <c r="CK105" s="255">
        <f t="shared" si="292"/>
        <v>-283.26780325642784</v>
      </c>
      <c r="CL105" s="255">
        <f t="shared" si="292"/>
        <v>-283.07347256524201</v>
      </c>
      <c r="CM105" s="255">
        <f t="shared" si="292"/>
        <v>-282.92985535686216</v>
      </c>
      <c r="CN105" s="255">
        <f t="shared" si="292"/>
        <v>-282.83487378323645</v>
      </c>
      <c r="CO105" s="255">
        <f t="shared" si="292"/>
        <v>-282.78653800896041</v>
      </c>
      <c r="CP105" s="255">
        <f t="shared" si="292"/>
        <v>-282.78294248764007</v>
      </c>
      <c r="CQ105" s="362" t="s">
        <v>77</v>
      </c>
      <c r="CR105" s="358" t="s">
        <v>417</v>
      </c>
      <c r="CS105" s="416"/>
      <c r="CT105" s="416"/>
      <c r="DB105" s="74" t="s">
        <v>87</v>
      </c>
      <c r="DC105" s="12"/>
      <c r="DD105" s="255">
        <f t="shared" ref="DD105:DQ105" si="293">SUM(DD103:DD104)</f>
        <v>-63.783000000000001</v>
      </c>
      <c r="DE105" s="255">
        <f t="shared" si="293"/>
        <v>-46.266000000000005</v>
      </c>
      <c r="DF105" s="255">
        <f t="shared" si="293"/>
        <v>-63.783000000000001</v>
      </c>
      <c r="DG105" s="255">
        <f t="shared" si="293"/>
        <v>-66.678000000000011</v>
      </c>
      <c r="DH105" s="255">
        <f t="shared" si="293"/>
        <v>-69.424999999999997</v>
      </c>
      <c r="DI105" s="255">
        <f t="shared" si="293"/>
        <v>-86.803000000000011</v>
      </c>
      <c r="DJ105" s="255">
        <f t="shared" si="293"/>
        <v>-88.477000000000004</v>
      </c>
      <c r="DK105" s="255">
        <f t="shared" si="293"/>
        <v>-119.723</v>
      </c>
      <c r="DL105" s="255">
        <f t="shared" si="293"/>
        <v>-250.48099999999999</v>
      </c>
      <c r="DM105" s="255">
        <f t="shared" si="293"/>
        <v>-270.40899999999999</v>
      </c>
      <c r="DN105" s="255">
        <f t="shared" si="293"/>
        <v>-281.983</v>
      </c>
      <c r="DO105" s="255">
        <f t="shared" si="293"/>
        <v>-288.03800000000001</v>
      </c>
      <c r="DP105" s="255">
        <f t="shared" ref="DP105" si="294">SUM(DP103:DP104)</f>
        <v>-289.12</v>
      </c>
      <c r="DQ105" s="255">
        <f t="shared" si="293"/>
        <v>-280.90100000000001</v>
      </c>
      <c r="DR105" s="255"/>
      <c r="DS105" s="255"/>
      <c r="DU105" s="413">
        <f t="shared" si="227"/>
        <v>0.57958727475942529</v>
      </c>
      <c r="DV105" s="413">
        <f t="shared" si="228"/>
        <v>0.48890473014923996</v>
      </c>
      <c r="DW105" s="413">
        <f t="shared" si="229"/>
        <v>0.44438256906572443</v>
      </c>
      <c r="DX105" s="413">
        <f t="shared" si="230"/>
        <v>0.42496157540826135</v>
      </c>
      <c r="DY105" s="413">
        <f t="shared" si="274"/>
        <v>0.48087120121330801</v>
      </c>
      <c r="DZ105" s="413">
        <f t="shared" si="232"/>
        <v>0.49468879216730616</v>
      </c>
      <c r="EH105" s="411" t="b">
        <f t="shared" si="238"/>
        <v>1</v>
      </c>
      <c r="EI105" s="411" t="b">
        <f t="shared" si="239"/>
        <v>1</v>
      </c>
      <c r="EJ105" s="411" t="b">
        <f t="shared" si="233"/>
        <v>1</v>
      </c>
    </row>
    <row r="106" spans="2:140" ht="11.25" customHeight="1" outlineLevel="1" x14ac:dyDescent="0.2">
      <c r="B106" s="103" t="s">
        <v>526</v>
      </c>
      <c r="C106" s="12"/>
      <c r="D106" s="390"/>
      <c r="E106" s="390"/>
      <c r="F106" s="255"/>
      <c r="G106" s="255"/>
      <c r="H106" s="255"/>
      <c r="I106" s="255"/>
      <c r="J106" s="255"/>
      <c r="K106" s="255"/>
      <c r="L106" s="255"/>
      <c r="M106" s="255"/>
      <c r="N106" s="255"/>
      <c r="O106" s="217">
        <f t="shared" ref="O106:W106" si="295">-O103/O265</f>
        <v>2.6920291633022994E-2</v>
      </c>
      <c r="P106" s="217">
        <f t="shared" si="295"/>
        <v>2.4800133665276426E-2</v>
      </c>
      <c r="Q106" s="217">
        <f t="shared" si="295"/>
        <v>2.506619622104363E-2</v>
      </c>
      <c r="R106" s="217">
        <f t="shared" si="295"/>
        <v>3.0084401868787438E-2</v>
      </c>
      <c r="S106" s="217">
        <f t="shared" si="295"/>
        <v>2.363206197396377E-2</v>
      </c>
      <c r="T106" s="217">
        <f t="shared" si="295"/>
        <v>2.7111402837322437E-2</v>
      </c>
      <c r="U106" s="217">
        <f t="shared" si="295"/>
        <v>2.1792913700497407E-2</v>
      </c>
      <c r="V106" s="217">
        <f t="shared" si="295"/>
        <v>3.6720296586592337E-2</v>
      </c>
      <c r="W106" s="217">
        <f t="shared" si="295"/>
        <v>4.2309619553308593E-2</v>
      </c>
      <c r="X106" s="273">
        <f t="shared" ref="X106:BD106" si="296">W106</f>
        <v>4.2309619553308593E-2</v>
      </c>
      <c r="Y106" s="273">
        <f t="shared" si="296"/>
        <v>4.2309619553308593E-2</v>
      </c>
      <c r="Z106" s="273">
        <f t="shared" si="296"/>
        <v>4.2309619553308593E-2</v>
      </c>
      <c r="AA106" s="273">
        <f t="shared" si="296"/>
        <v>4.2309619553308593E-2</v>
      </c>
      <c r="AB106" s="273">
        <f t="shared" si="296"/>
        <v>4.2309619553308593E-2</v>
      </c>
      <c r="AC106" s="273">
        <f t="shared" si="296"/>
        <v>4.2309619553308593E-2</v>
      </c>
      <c r="AD106" s="273">
        <f t="shared" si="296"/>
        <v>4.2309619553308593E-2</v>
      </c>
      <c r="AE106" s="273">
        <f t="shared" si="296"/>
        <v>4.2309619553308593E-2</v>
      </c>
      <c r="AF106" s="273">
        <f t="shared" si="296"/>
        <v>4.2309619553308593E-2</v>
      </c>
      <c r="AG106" s="273">
        <f t="shared" si="296"/>
        <v>4.2309619553308593E-2</v>
      </c>
      <c r="AH106" s="273">
        <f t="shared" si="296"/>
        <v>4.2309619553308593E-2</v>
      </c>
      <c r="AI106" s="273">
        <f t="shared" si="296"/>
        <v>4.2309619553308593E-2</v>
      </c>
      <c r="AJ106" s="273">
        <f t="shared" si="296"/>
        <v>4.2309619553308593E-2</v>
      </c>
      <c r="AK106" s="273">
        <f t="shared" si="296"/>
        <v>4.2309619553308593E-2</v>
      </c>
      <c r="AL106" s="273">
        <f t="shared" si="296"/>
        <v>4.2309619553308593E-2</v>
      </c>
      <c r="AM106" s="273">
        <f t="shared" si="296"/>
        <v>4.2309619553308593E-2</v>
      </c>
      <c r="AN106" s="273">
        <f t="shared" si="296"/>
        <v>4.2309619553308593E-2</v>
      </c>
      <c r="AO106" s="273">
        <f t="shared" si="296"/>
        <v>4.2309619553308593E-2</v>
      </c>
      <c r="AP106" s="273">
        <f t="shared" si="296"/>
        <v>4.2309619553308593E-2</v>
      </c>
      <c r="AQ106" s="273">
        <f t="shared" si="296"/>
        <v>4.2309619553308593E-2</v>
      </c>
      <c r="AR106" s="273">
        <f t="shared" si="296"/>
        <v>4.2309619553308593E-2</v>
      </c>
      <c r="AS106" s="273">
        <f t="shared" si="296"/>
        <v>4.2309619553308593E-2</v>
      </c>
      <c r="AT106" s="273">
        <f t="shared" si="296"/>
        <v>4.2309619553308593E-2</v>
      </c>
      <c r="AU106" s="273">
        <f t="shared" si="296"/>
        <v>4.2309619553308593E-2</v>
      </c>
      <c r="AV106" s="273">
        <f t="shared" si="296"/>
        <v>4.2309619553308593E-2</v>
      </c>
      <c r="AW106" s="273">
        <f t="shared" si="296"/>
        <v>4.2309619553308593E-2</v>
      </c>
      <c r="AX106" s="273">
        <f t="shared" si="296"/>
        <v>4.2309619553308593E-2</v>
      </c>
      <c r="AY106" s="273">
        <f t="shared" si="296"/>
        <v>4.2309619553308593E-2</v>
      </c>
      <c r="AZ106" s="273">
        <f t="shared" si="296"/>
        <v>4.2309619553308593E-2</v>
      </c>
      <c r="BA106" s="273">
        <f t="shared" si="296"/>
        <v>4.2309619553308593E-2</v>
      </c>
      <c r="BB106" s="273">
        <f t="shared" si="296"/>
        <v>4.2309619553308593E-2</v>
      </c>
      <c r="BC106" s="273">
        <f t="shared" si="296"/>
        <v>4.2309619553308593E-2</v>
      </c>
      <c r="BD106" s="273">
        <f t="shared" si="296"/>
        <v>4.2309619553308593E-2</v>
      </c>
      <c r="BE106" s="273">
        <f t="shared" ref="BE106:CP106" si="297">BD106</f>
        <v>4.2309619553308593E-2</v>
      </c>
      <c r="BF106" s="273">
        <f t="shared" si="297"/>
        <v>4.2309619553308593E-2</v>
      </c>
      <c r="BG106" s="273">
        <f t="shared" si="297"/>
        <v>4.2309619553308593E-2</v>
      </c>
      <c r="BH106" s="273">
        <f t="shared" si="297"/>
        <v>4.2309619553308593E-2</v>
      </c>
      <c r="BI106" s="273">
        <f t="shared" si="297"/>
        <v>4.2309619553308593E-2</v>
      </c>
      <c r="BJ106" s="273">
        <f t="shared" si="297"/>
        <v>4.2309619553308593E-2</v>
      </c>
      <c r="BK106" s="273">
        <f t="shared" si="297"/>
        <v>4.2309619553308593E-2</v>
      </c>
      <c r="BL106" s="273">
        <f t="shared" si="297"/>
        <v>4.2309619553308593E-2</v>
      </c>
      <c r="BM106" s="273">
        <f t="shared" si="297"/>
        <v>4.2309619553308593E-2</v>
      </c>
      <c r="BN106" s="273">
        <f t="shared" si="297"/>
        <v>4.2309619553308593E-2</v>
      </c>
      <c r="BO106" s="273">
        <f t="shared" si="297"/>
        <v>4.2309619553308593E-2</v>
      </c>
      <c r="BP106" s="273">
        <f t="shared" si="297"/>
        <v>4.2309619553308593E-2</v>
      </c>
      <c r="BQ106" s="273">
        <f t="shared" si="297"/>
        <v>4.2309619553308593E-2</v>
      </c>
      <c r="BR106" s="273">
        <f t="shared" si="297"/>
        <v>4.2309619553308593E-2</v>
      </c>
      <c r="BS106" s="273">
        <f t="shared" si="297"/>
        <v>4.2309619553308593E-2</v>
      </c>
      <c r="BT106" s="273">
        <f t="shared" si="297"/>
        <v>4.2309619553308593E-2</v>
      </c>
      <c r="BU106" s="273">
        <f t="shared" si="297"/>
        <v>4.2309619553308593E-2</v>
      </c>
      <c r="BV106" s="273">
        <f t="shared" si="297"/>
        <v>4.2309619553308593E-2</v>
      </c>
      <c r="BW106" s="273">
        <f t="shared" si="297"/>
        <v>4.2309619553308593E-2</v>
      </c>
      <c r="BX106" s="273">
        <f t="shared" si="297"/>
        <v>4.2309619553308593E-2</v>
      </c>
      <c r="BY106" s="273">
        <f t="shared" si="297"/>
        <v>4.2309619553308593E-2</v>
      </c>
      <c r="BZ106" s="273">
        <f t="shared" si="297"/>
        <v>4.2309619553308593E-2</v>
      </c>
      <c r="CA106" s="273">
        <f t="shared" si="297"/>
        <v>4.2309619553308593E-2</v>
      </c>
      <c r="CB106" s="273">
        <f t="shared" si="297"/>
        <v>4.2309619553308593E-2</v>
      </c>
      <c r="CC106" s="273">
        <f t="shared" si="297"/>
        <v>4.2309619553308593E-2</v>
      </c>
      <c r="CD106" s="273">
        <f t="shared" si="297"/>
        <v>4.2309619553308593E-2</v>
      </c>
      <c r="CE106" s="273">
        <f t="shared" si="297"/>
        <v>4.2309619553308593E-2</v>
      </c>
      <c r="CF106" s="273">
        <f t="shared" si="297"/>
        <v>4.2309619553308593E-2</v>
      </c>
      <c r="CG106" s="273">
        <f t="shared" si="297"/>
        <v>4.2309619553308593E-2</v>
      </c>
      <c r="CH106" s="273">
        <f t="shared" si="297"/>
        <v>4.2309619553308593E-2</v>
      </c>
      <c r="CI106" s="273">
        <f t="shared" si="297"/>
        <v>4.2309619553308593E-2</v>
      </c>
      <c r="CJ106" s="273">
        <f t="shared" si="297"/>
        <v>4.2309619553308593E-2</v>
      </c>
      <c r="CK106" s="273">
        <f t="shared" si="297"/>
        <v>4.2309619553308593E-2</v>
      </c>
      <c r="CL106" s="273">
        <f t="shared" si="297"/>
        <v>4.2309619553308593E-2</v>
      </c>
      <c r="CM106" s="273">
        <f t="shared" si="297"/>
        <v>4.2309619553308593E-2</v>
      </c>
      <c r="CN106" s="273">
        <f t="shared" si="297"/>
        <v>4.2309619553308593E-2</v>
      </c>
      <c r="CO106" s="273">
        <f t="shared" si="297"/>
        <v>4.2309619553308593E-2</v>
      </c>
      <c r="CP106" s="273">
        <f t="shared" si="297"/>
        <v>4.2309619553308593E-2</v>
      </c>
      <c r="CQ106" s="362" t="s">
        <v>77</v>
      </c>
      <c r="CR106" s="418">
        <v>859</v>
      </c>
      <c r="CS106" s="418">
        <v>850</v>
      </c>
      <c r="CT106" s="418">
        <v>911</v>
      </c>
      <c r="DB106" s="74"/>
      <c r="DC106" s="12"/>
      <c r="DD106" s="255"/>
      <c r="DE106" s="255"/>
      <c r="DF106" s="255"/>
      <c r="DG106" s="255"/>
      <c r="DH106" s="255"/>
      <c r="DI106" s="255"/>
      <c r="DJ106" s="255"/>
      <c r="DK106" s="255"/>
      <c r="DL106" s="255"/>
      <c r="DM106" s="255"/>
      <c r="DN106" s="255"/>
      <c r="DO106" s="390"/>
      <c r="DP106" s="255"/>
      <c r="DQ106" s="390"/>
      <c r="DR106" s="390"/>
      <c r="DS106" s="390"/>
      <c r="DU106" s="413"/>
      <c r="DV106" s="413"/>
      <c r="DW106" s="413"/>
      <c r="DX106" s="413"/>
      <c r="DY106" s="413"/>
      <c r="DZ106" s="413"/>
      <c r="EH106" s="411" t="b">
        <f t="shared" si="238"/>
        <v>1</v>
      </c>
      <c r="EI106" s="411" t="b">
        <f t="shared" si="239"/>
        <v>1</v>
      </c>
      <c r="EJ106" s="411" t="b">
        <f t="shared" si="233"/>
        <v>1</v>
      </c>
    </row>
    <row r="107" spans="2:140" ht="11.25" customHeight="1" outlineLevel="1" x14ac:dyDescent="0.2">
      <c r="B107" s="1" t="s">
        <v>250</v>
      </c>
      <c r="D107" s="3"/>
      <c r="E107" s="3"/>
      <c r="F107" s="3"/>
      <c r="G107" s="3"/>
      <c r="H107" s="3"/>
      <c r="I107" s="3"/>
      <c r="J107" s="3"/>
      <c r="K107" s="3">
        <f t="shared" ref="K107:BD107" si="298">SUM(K105,K97)</f>
        <v>142.50299999999999</v>
      </c>
      <c r="L107" s="3">
        <f t="shared" si="298"/>
        <v>161.55399999999997</v>
      </c>
      <c r="M107" s="3">
        <f t="shared" si="298"/>
        <v>227.05899999999997</v>
      </c>
      <c r="N107" s="3">
        <f t="shared" si="298"/>
        <v>336.07599999999996</v>
      </c>
      <c r="O107" s="3">
        <f t="shared" si="298"/>
        <v>327.60200000000009</v>
      </c>
      <c r="P107" s="3">
        <f t="shared" si="298"/>
        <v>368.54900000000004</v>
      </c>
      <c r="Q107" s="3">
        <f t="shared" si="298"/>
        <v>354.125</v>
      </c>
      <c r="R107" s="3">
        <f t="shared" si="298"/>
        <v>405.28399999999999</v>
      </c>
      <c r="S107" s="3">
        <f t="shared" si="298"/>
        <v>516.0440000000001</v>
      </c>
      <c r="T107" s="33">
        <f t="shared" si="298"/>
        <v>540.99299999999994</v>
      </c>
      <c r="U107" s="33">
        <f t="shared" si="298"/>
        <v>613.05899999999997</v>
      </c>
      <c r="V107" s="33">
        <f t="shared" si="298"/>
        <v>809.6339999999999</v>
      </c>
      <c r="W107" s="33">
        <f t="shared" si="298"/>
        <v>900.10099999999966</v>
      </c>
      <c r="X107" s="33">
        <f t="shared" si="298"/>
        <v>915.06293262188956</v>
      </c>
      <c r="Y107" s="33">
        <f t="shared" si="298"/>
        <v>958.76570193394423</v>
      </c>
      <c r="Z107" s="33">
        <f t="shared" si="298"/>
        <v>1015.6874367890252</v>
      </c>
      <c r="AA107" s="33">
        <f t="shared" si="298"/>
        <v>988.20810854925389</v>
      </c>
      <c r="AB107" s="33">
        <f t="shared" si="298"/>
        <v>1031.7459013114005</v>
      </c>
      <c r="AC107" s="33">
        <f t="shared" si="298"/>
        <v>1075.8229244099036</v>
      </c>
      <c r="AD107" s="33">
        <f t="shared" si="298"/>
        <v>1121.7369239570307</v>
      </c>
      <c r="AE107" s="33">
        <f t="shared" si="298"/>
        <v>1156.5626338229204</v>
      </c>
      <c r="AF107" s="33">
        <f t="shared" si="298"/>
        <v>1170.1664231867699</v>
      </c>
      <c r="AG107" s="33">
        <f t="shared" si="298"/>
        <v>1172.1254936286027</v>
      </c>
      <c r="AH107" s="33">
        <f t="shared" si="298"/>
        <v>1218.0822848465918</v>
      </c>
      <c r="AI107" s="33">
        <f t="shared" si="298"/>
        <v>1112.9636656455855</v>
      </c>
      <c r="AJ107" s="33">
        <f t="shared" si="298"/>
        <v>1048.234616508315</v>
      </c>
      <c r="AK107" s="33">
        <f t="shared" si="298"/>
        <v>1053.7418084164042</v>
      </c>
      <c r="AL107" s="33">
        <f t="shared" si="298"/>
        <v>1092.4698033876546</v>
      </c>
      <c r="AM107" s="33">
        <f t="shared" si="298"/>
        <v>1131.5338347809748</v>
      </c>
      <c r="AN107" s="33">
        <f t="shared" si="298"/>
        <v>1158.6363216160844</v>
      </c>
      <c r="AO107" s="33">
        <f t="shared" si="298"/>
        <v>1140.8889688649745</v>
      </c>
      <c r="AP107" s="33">
        <f t="shared" si="298"/>
        <v>631.77547881657642</v>
      </c>
      <c r="AQ107" s="33">
        <f t="shared" si="298"/>
        <v>659.96754377721902</v>
      </c>
      <c r="AR107" s="33">
        <f t="shared" si="298"/>
        <v>576.50192695423164</v>
      </c>
      <c r="AS107" s="33">
        <f t="shared" si="298"/>
        <v>468.60810063655475</v>
      </c>
      <c r="AT107" s="33">
        <f t="shared" si="298"/>
        <v>459.82647141385064</v>
      </c>
      <c r="AU107" s="33">
        <f t="shared" si="298"/>
        <v>484.27726618679549</v>
      </c>
      <c r="AV107" s="33">
        <f t="shared" si="298"/>
        <v>508.82106593480751</v>
      </c>
      <c r="AW107" s="33">
        <f t="shared" si="298"/>
        <v>488.87833806114878</v>
      </c>
      <c r="AX107" s="33">
        <f t="shared" si="298"/>
        <v>512.63224858646288</v>
      </c>
      <c r="AY107" s="33">
        <f t="shared" si="298"/>
        <v>536.51966331478047</v>
      </c>
      <c r="AZ107" s="33">
        <f t="shared" si="298"/>
        <v>560.56065556272597</v>
      </c>
      <c r="BA107" s="33">
        <f t="shared" si="298"/>
        <v>411.14057392705615</v>
      </c>
      <c r="BB107" s="33">
        <f t="shared" si="298"/>
        <v>431.52572965607601</v>
      </c>
      <c r="BC107" s="33">
        <f t="shared" si="298"/>
        <v>452.03182168095003</v>
      </c>
      <c r="BD107" s="33">
        <f t="shared" si="298"/>
        <v>472.67730616715619</v>
      </c>
      <c r="BE107" s="33">
        <f t="shared" ref="BE107:CP107" si="299">SUM(BE105,BE97)</f>
        <v>493.48036632432826</v>
      </c>
      <c r="BF107" s="33">
        <f t="shared" si="299"/>
        <v>514.45593323853086</v>
      </c>
      <c r="BG107" s="33">
        <f t="shared" si="299"/>
        <v>535.62408474807444</v>
      </c>
      <c r="BH107" s="33">
        <f t="shared" si="299"/>
        <v>556.99784141723467</v>
      </c>
      <c r="BI107" s="33">
        <f t="shared" si="299"/>
        <v>578.59768016309886</v>
      </c>
      <c r="BJ107" s="33">
        <f t="shared" si="299"/>
        <v>600.43672060816584</v>
      </c>
      <c r="BK107" s="33">
        <f t="shared" si="299"/>
        <v>622.53403790966945</v>
      </c>
      <c r="BL107" s="33">
        <f t="shared" si="299"/>
        <v>644.90479487784171</v>
      </c>
      <c r="BM107" s="33">
        <f t="shared" si="299"/>
        <v>667.56522929090613</v>
      </c>
      <c r="BN107" s="33">
        <f t="shared" si="299"/>
        <v>690.53109435513443</v>
      </c>
      <c r="BO107" s="33">
        <f t="shared" si="299"/>
        <v>713.81888278027873</v>
      </c>
      <c r="BP107" s="33">
        <f t="shared" si="299"/>
        <v>737.44465868407065</v>
      </c>
      <c r="BQ107" s="33">
        <f t="shared" si="299"/>
        <v>761.4244658242352</v>
      </c>
      <c r="BR107" s="33">
        <f t="shared" si="299"/>
        <v>785.77358157731237</v>
      </c>
      <c r="BS107" s="33">
        <f t="shared" si="299"/>
        <v>770.23923657514592</v>
      </c>
      <c r="BT107" s="33">
        <f t="shared" si="299"/>
        <v>758.75326681985018</v>
      </c>
      <c r="BU107" s="33">
        <f t="shared" si="299"/>
        <v>782.52383389189993</v>
      </c>
      <c r="BV107" s="33">
        <f t="shared" si="299"/>
        <v>806.68752834528141</v>
      </c>
      <c r="BW107" s="33">
        <f t="shared" si="299"/>
        <v>831.25925559891198</v>
      </c>
      <c r="BX107" s="33">
        <f t="shared" si="299"/>
        <v>856.25512036071132</v>
      </c>
      <c r="BY107" s="33">
        <f t="shared" si="299"/>
        <v>881.68825467759848</v>
      </c>
      <c r="BZ107" s="33">
        <f t="shared" si="299"/>
        <v>907.57682428363921</v>
      </c>
      <c r="CA107" s="33">
        <f t="shared" si="299"/>
        <v>933.9349094519664</v>
      </c>
      <c r="CB107" s="33">
        <f t="shared" si="299"/>
        <v>960.78012634578749</v>
      </c>
      <c r="CC107" s="33">
        <f t="shared" si="299"/>
        <v>983.45526968777222</v>
      </c>
      <c r="CD107" s="33">
        <f t="shared" si="299"/>
        <v>955.17879086696985</v>
      </c>
      <c r="CE107" s="33">
        <f t="shared" si="299"/>
        <v>982.16336804846719</v>
      </c>
      <c r="CF107" s="33">
        <f t="shared" si="299"/>
        <v>1009.6642987143487</v>
      </c>
      <c r="CG107" s="33">
        <f t="shared" si="299"/>
        <v>1037.6980650015487</v>
      </c>
      <c r="CH107" s="33">
        <f t="shared" si="299"/>
        <v>546.11778878341147</v>
      </c>
      <c r="CI107" s="33">
        <f t="shared" si="299"/>
        <v>563.23049501702144</v>
      </c>
      <c r="CJ107" s="33">
        <f t="shared" si="299"/>
        <v>580.64715067169413</v>
      </c>
      <c r="CK107" s="33">
        <f t="shared" si="299"/>
        <v>598.37664899410288</v>
      </c>
      <c r="CL107" s="33">
        <f t="shared" si="299"/>
        <v>616.4283571573618</v>
      </c>
      <c r="CM107" s="33">
        <f t="shared" si="299"/>
        <v>634.81320932712492</v>
      </c>
      <c r="CN107" s="33">
        <f t="shared" si="299"/>
        <v>653.54185996423826</v>
      </c>
      <c r="CO107" s="33">
        <f t="shared" si="299"/>
        <v>672.62543786868821</v>
      </c>
      <c r="CP107" s="33">
        <f t="shared" si="299"/>
        <v>661.29682687021455</v>
      </c>
      <c r="CQ107" s="362" t="s">
        <v>77</v>
      </c>
      <c r="CR107" s="41">
        <v>899</v>
      </c>
      <c r="CS107" s="41">
        <v>941</v>
      </c>
      <c r="CT107" s="41">
        <v>1013</v>
      </c>
      <c r="DB107" s="1" t="s">
        <v>250</v>
      </c>
      <c r="DD107" s="3">
        <f t="shared" ref="DD107:DQ107" si="300">SUM(DD105,DD97)</f>
        <v>206.202</v>
      </c>
      <c r="DE107" s="3">
        <f t="shared" si="300"/>
        <v>199.08199999999999</v>
      </c>
      <c r="DF107" s="3">
        <f t="shared" si="300"/>
        <v>260.70099999999996</v>
      </c>
      <c r="DG107" s="3">
        <f t="shared" si="300"/>
        <v>255.34299999999996</v>
      </c>
      <c r="DH107" s="3">
        <f t="shared" si="300"/>
        <v>329.47100000000006</v>
      </c>
      <c r="DI107" s="3">
        <f t="shared" si="300"/>
        <v>284.05800000000005</v>
      </c>
      <c r="DJ107" s="3">
        <f t="shared" si="300"/>
        <v>312.85399999999993</v>
      </c>
      <c r="DK107" s="3">
        <f t="shared" si="300"/>
        <v>300.20499999999998</v>
      </c>
      <c r="DL107" s="3">
        <f t="shared" si="300"/>
        <v>417.08600000000001</v>
      </c>
      <c r="DM107" s="3">
        <f t="shared" si="300"/>
        <v>392.548</v>
      </c>
      <c r="DN107" s="3">
        <f t="shared" si="300"/>
        <v>477.69900000000013</v>
      </c>
      <c r="DO107" s="3">
        <f t="shared" si="300"/>
        <v>422.40199999999982</v>
      </c>
      <c r="DP107" s="3">
        <f t="shared" ref="DP107" si="301">SUM(DP105,DP97)</f>
        <v>466.13599999999985</v>
      </c>
      <c r="DQ107" s="3">
        <f t="shared" si="300"/>
        <v>448.92693262188953</v>
      </c>
      <c r="DR107" s="3"/>
      <c r="DS107" s="3"/>
      <c r="DU107" s="413">
        <f t="shared" si="227"/>
        <v>0.50878396383770397</v>
      </c>
      <c r="DV107" s="413">
        <f t="shared" si="228"/>
        <v>0.50519141778608034</v>
      </c>
      <c r="DW107" s="413">
        <f t="shared" si="229"/>
        <v>0.53700966050504539</v>
      </c>
      <c r="DX107" s="413">
        <f t="shared" ref="DX107:DX123" si="302">+(DJ107/(DJ107+DK107))</f>
        <v>0.51031629908377485</v>
      </c>
      <c r="DY107" s="413">
        <f t="shared" si="274"/>
        <v>0.51515376083514275</v>
      </c>
      <c r="DZ107" s="413">
        <f t="shared" si="232"/>
        <v>0.53071710841338937</v>
      </c>
      <c r="EH107" s="411" t="b">
        <f t="shared" si="238"/>
        <v>1</v>
      </c>
      <c r="EI107" s="411" t="b">
        <f t="shared" si="239"/>
        <v>1</v>
      </c>
      <c r="EJ107" s="411" t="b">
        <f t="shared" si="233"/>
        <v>1</v>
      </c>
    </row>
    <row r="108" spans="2:140" s="98" customFormat="1" ht="11.25" customHeight="1" outlineLevel="1" x14ac:dyDescent="0.2">
      <c r="B108" s="103" t="s">
        <v>85</v>
      </c>
      <c r="D108" s="93"/>
      <c r="E108" s="93"/>
      <c r="F108" s="93"/>
      <c r="G108" s="93"/>
      <c r="H108" s="93"/>
      <c r="I108" s="93"/>
      <c r="J108" s="93"/>
      <c r="K108" s="93">
        <f t="shared" ref="K108:T108" si="303">+K107/K$90</f>
        <v>0.38796173280480895</v>
      </c>
      <c r="L108" s="93">
        <f t="shared" si="303"/>
        <v>0.42259541186010613</v>
      </c>
      <c r="M108" s="93">
        <f t="shared" si="303"/>
        <v>0.4262417871222075</v>
      </c>
      <c r="N108" s="93">
        <f t="shared" si="303"/>
        <v>0.38115566120656114</v>
      </c>
      <c r="O108" s="93">
        <f t="shared" si="303"/>
        <v>0.34688315318673141</v>
      </c>
      <c r="P108" s="93">
        <f t="shared" si="303"/>
        <v>0.37246359235565801</v>
      </c>
      <c r="Q108" s="93">
        <f t="shared" si="303"/>
        <v>0.32135075758469456</v>
      </c>
      <c r="R108" s="93">
        <f t="shared" si="303"/>
        <v>0.38210476098889185</v>
      </c>
      <c r="S108" s="93">
        <f t="shared" si="303"/>
        <v>0.40560982875449897</v>
      </c>
      <c r="T108" s="93">
        <f t="shared" si="303"/>
        <v>0.38753293983068532</v>
      </c>
      <c r="U108" s="93">
        <f t="shared" ref="U108:BD108" si="304">+U107/U$90</f>
        <v>0.39460162266713444</v>
      </c>
      <c r="V108" s="93">
        <f t="shared" si="304"/>
        <v>0.38658857548856318</v>
      </c>
      <c r="W108" s="93">
        <f t="shared" si="304"/>
        <v>0.38690391244917066</v>
      </c>
      <c r="X108" s="93">
        <f t="shared" si="304"/>
        <v>0.38641152584051897</v>
      </c>
      <c r="Y108" s="93">
        <f t="shared" si="304"/>
        <v>0.38740434586365358</v>
      </c>
      <c r="Z108" s="93">
        <f t="shared" si="304"/>
        <v>0.39428296045651967</v>
      </c>
      <c r="AA108" s="93">
        <f t="shared" si="304"/>
        <v>0.38712929464950063</v>
      </c>
      <c r="AB108" s="93">
        <f t="shared" si="304"/>
        <v>0.39608462112146381</v>
      </c>
      <c r="AC108" s="93">
        <f t="shared" si="304"/>
        <v>0.40452412203116633</v>
      </c>
      <c r="AD108" s="93">
        <f t="shared" si="304"/>
        <v>0.41309199244072392</v>
      </c>
      <c r="AE108" s="93">
        <f t="shared" si="304"/>
        <v>0.41905110970803838</v>
      </c>
      <c r="AF108" s="93">
        <f t="shared" si="304"/>
        <v>0.42295003951034987</v>
      </c>
      <c r="AG108" s="93">
        <f t="shared" si="304"/>
        <v>0.41766048693513008</v>
      </c>
      <c r="AH108" s="93">
        <f t="shared" si="304"/>
        <v>0.42505061388550042</v>
      </c>
      <c r="AI108" s="93">
        <f t="shared" si="304"/>
        <v>0.40237446228410595</v>
      </c>
      <c r="AJ108" s="93">
        <f t="shared" si="304"/>
        <v>0.39340819178232733</v>
      </c>
      <c r="AK108" s="93">
        <f t="shared" si="304"/>
        <v>0.39352354406161133</v>
      </c>
      <c r="AL108" s="93">
        <f t="shared" si="304"/>
        <v>0.3996266744567622</v>
      </c>
      <c r="AM108" s="93">
        <f t="shared" si="304"/>
        <v>0.40541825660001291</v>
      </c>
      <c r="AN108" s="93">
        <f t="shared" si="304"/>
        <v>0.40843660565891154</v>
      </c>
      <c r="AO108" s="93">
        <f t="shared" si="304"/>
        <v>0.40228516138083542</v>
      </c>
      <c r="AP108" s="93">
        <f t="shared" si="304"/>
        <v>0.27289918043354999</v>
      </c>
      <c r="AQ108" s="93">
        <f t="shared" si="304"/>
        <v>0.27902320703605971</v>
      </c>
      <c r="AR108" s="93">
        <f t="shared" si="304"/>
        <v>0.25432148593735932</v>
      </c>
      <c r="AS108" s="93">
        <f t="shared" si="304"/>
        <v>0.22034922384912439</v>
      </c>
      <c r="AT108" s="93">
        <f t="shared" si="304"/>
        <v>0.21580237045200076</v>
      </c>
      <c r="AU108" s="93">
        <f t="shared" si="304"/>
        <v>0.22214239823171072</v>
      </c>
      <c r="AV108" s="93">
        <f t="shared" si="304"/>
        <v>0.22812262764193167</v>
      </c>
      <c r="AW108" s="93">
        <f t="shared" si="304"/>
        <v>0.22136072724170786</v>
      </c>
      <c r="AX108" s="93">
        <f t="shared" si="304"/>
        <v>0.22686274814934018</v>
      </c>
      <c r="AY108" s="93">
        <f t="shared" si="304"/>
        <v>0.23205558003550084</v>
      </c>
      <c r="AZ108" s="93">
        <f t="shared" si="304"/>
        <v>0.23695732150992738</v>
      </c>
      <c r="BA108" s="93">
        <f t="shared" si="304"/>
        <v>0.19096965891690412</v>
      </c>
      <c r="BB108" s="93">
        <f t="shared" si="304"/>
        <v>0.19589963135045307</v>
      </c>
      <c r="BC108" s="93">
        <f t="shared" si="304"/>
        <v>0.20055832359111911</v>
      </c>
      <c r="BD108" s="93">
        <f t="shared" si="304"/>
        <v>0.20496187156237147</v>
      </c>
      <c r="BE108" s="93">
        <f t="shared" ref="BE108:CP108" si="305">+BE107/BE$90</f>
        <v>0.20912539250103915</v>
      </c>
      <c r="BF108" s="93">
        <f t="shared" si="305"/>
        <v>0.21306215854769833</v>
      </c>
      <c r="BG108" s="93">
        <f t="shared" si="305"/>
        <v>0.21678620495655562</v>
      </c>
      <c r="BH108" s="93">
        <f t="shared" si="305"/>
        <v>0.22030872835476226</v>
      </c>
      <c r="BI108" s="93">
        <f t="shared" si="305"/>
        <v>0.22364236565919127</v>
      </c>
      <c r="BJ108" s="93">
        <f t="shared" si="305"/>
        <v>0.22679701564336557</v>
      </c>
      <c r="BK108" s="93">
        <f t="shared" si="305"/>
        <v>0.22978357613373579</v>
      </c>
      <c r="BL108" s="93">
        <f t="shared" si="305"/>
        <v>0.2326112910611505</v>
      </c>
      <c r="BM108" s="93">
        <f t="shared" si="305"/>
        <v>0.23528913382418642</v>
      </c>
      <c r="BN108" s="93">
        <f t="shared" si="305"/>
        <v>0.23782543017458779</v>
      </c>
      <c r="BO108" s="93">
        <f t="shared" si="305"/>
        <v>0.24022818279335212</v>
      </c>
      <c r="BP108" s="93">
        <f t="shared" si="305"/>
        <v>0.24250481361325435</v>
      </c>
      <c r="BQ108" s="93">
        <f t="shared" si="305"/>
        <v>0.24466229180477386</v>
      </c>
      <c r="BR108" s="93">
        <f t="shared" si="305"/>
        <v>0.24670700116572133</v>
      </c>
      <c r="BS108" s="93">
        <f t="shared" si="305"/>
        <v>0.24087176531178811</v>
      </c>
      <c r="BT108" s="93">
        <f t="shared" si="305"/>
        <v>0.23568319419034675</v>
      </c>
      <c r="BU108" s="93">
        <f t="shared" si="305"/>
        <v>0.23749691821659316</v>
      </c>
      <c r="BV108" s="93">
        <f t="shared" si="305"/>
        <v>0.23921744956033547</v>
      </c>
      <c r="BW108" s="93">
        <f t="shared" si="305"/>
        <v>0.24084966625350279</v>
      </c>
      <c r="BX108" s="93">
        <f t="shared" si="305"/>
        <v>0.24239837469943656</v>
      </c>
      <c r="BY108" s="93">
        <f t="shared" si="305"/>
        <v>0.24386751633792397</v>
      </c>
      <c r="BZ108" s="93">
        <f t="shared" si="305"/>
        <v>0.2452617168275337</v>
      </c>
      <c r="CA108" s="93">
        <f t="shared" si="305"/>
        <v>0.24658456139549115</v>
      </c>
      <c r="CB108" s="93">
        <f t="shared" si="305"/>
        <v>0.24784002602843427</v>
      </c>
      <c r="CC108" s="93">
        <f t="shared" si="305"/>
        <v>0.24833164078071501</v>
      </c>
      <c r="CD108" s="93">
        <f t="shared" si="305"/>
        <v>0.24063219252603152</v>
      </c>
      <c r="CE108" s="93">
        <f t="shared" si="305"/>
        <v>0.24173525428259604</v>
      </c>
      <c r="CF108" s="93">
        <f t="shared" si="305"/>
        <v>0.24278191825484227</v>
      </c>
      <c r="CG108" s="93">
        <f t="shared" si="305"/>
        <v>0.24377506363304835</v>
      </c>
      <c r="CH108" s="93">
        <f t="shared" si="305"/>
        <v>0.15453701471896644</v>
      </c>
      <c r="CI108" s="93">
        <f t="shared" si="305"/>
        <v>0.15571068889966944</v>
      </c>
      <c r="CJ108" s="93">
        <f t="shared" si="305"/>
        <v>0.15682876390762443</v>
      </c>
      <c r="CK108" s="93">
        <f t="shared" si="305"/>
        <v>0.15789361913069669</v>
      </c>
      <c r="CL108" s="93">
        <f t="shared" si="305"/>
        <v>0.15890759040758703</v>
      </c>
      <c r="CM108" s="93">
        <f t="shared" si="305"/>
        <v>0.159873182845163</v>
      </c>
      <c r="CN108" s="93">
        <f t="shared" si="305"/>
        <v>0.16079268321301068</v>
      </c>
      <c r="CO108" s="93">
        <f t="shared" si="305"/>
        <v>0.1616683187014496</v>
      </c>
      <c r="CP108" s="93">
        <f t="shared" si="305"/>
        <v>0.15710363003093203</v>
      </c>
      <c r="CQ108" s="362" t="s">
        <v>77</v>
      </c>
      <c r="CR108" s="418">
        <v>952</v>
      </c>
      <c r="CS108" s="418">
        <v>1087</v>
      </c>
      <c r="CT108" s="418">
        <v>1197</v>
      </c>
      <c r="CU108"/>
      <c r="CV108"/>
      <c r="CW108"/>
      <c r="CX108"/>
      <c r="CY108"/>
      <c r="CZ108"/>
      <c r="DB108" s="103" t="s">
        <v>85</v>
      </c>
      <c r="DD108" s="93">
        <f t="shared" ref="DD108:DO108" si="306">+DD107/DD$90</f>
        <v>0.38872885765347287</v>
      </c>
      <c r="DE108" s="93">
        <f t="shared" si="306"/>
        <v>0.37547764093472397</v>
      </c>
      <c r="DF108" s="93">
        <f t="shared" si="306"/>
        <v>0.41732993110160588</v>
      </c>
      <c r="DG108" s="93">
        <f t="shared" si="306"/>
        <v>0.39430401541742394</v>
      </c>
      <c r="DH108" s="93">
        <f t="shared" si="306"/>
        <v>0.46312719196519575</v>
      </c>
      <c r="DI108" s="93">
        <f t="shared" si="306"/>
        <v>0.4149332013608783</v>
      </c>
      <c r="DJ108" s="93">
        <f t="shared" si="306"/>
        <v>0.42271798038375841</v>
      </c>
      <c r="DK108" s="93">
        <f t="shared" si="306"/>
        <v>0.36902253679715402</v>
      </c>
      <c r="DL108" s="93">
        <f t="shared" si="306"/>
        <v>0.3975727327060542</v>
      </c>
      <c r="DM108" s="93">
        <f t="shared" si="306"/>
        <v>0.3755638748860291</v>
      </c>
      <c r="DN108" s="93">
        <f t="shared" si="306"/>
        <v>0.40514381914789865</v>
      </c>
      <c r="DO108" s="93">
        <f t="shared" si="306"/>
        <v>0.36815925601502586</v>
      </c>
      <c r="DP108" s="93">
        <f t="shared" ref="DP108" si="307">+DP107/DP$90</f>
        <v>0.39215613692519813</v>
      </c>
      <c r="DQ108" s="93">
        <f t="shared" ref="DQ108" si="308">+DQ107/DQ$90</f>
        <v>0.38062213799940914</v>
      </c>
      <c r="DR108" s="93"/>
      <c r="DS108" s="93"/>
      <c r="DU108" s="413">
        <f t="shared" si="227"/>
        <v>0.50866991889183699</v>
      </c>
      <c r="DV108" s="413">
        <f t="shared" si="228"/>
        <v>0.51418491413705425</v>
      </c>
      <c r="DW108" s="413">
        <f t="shared" si="229"/>
        <v>0.52744343724567722</v>
      </c>
      <c r="DX108" s="413">
        <f t="shared" si="302"/>
        <v>0.53390974847276573</v>
      </c>
      <c r="DY108" s="413">
        <f t="shared" si="274"/>
        <v>0.5142334857798101</v>
      </c>
      <c r="DZ108" s="413">
        <f t="shared" si="232"/>
        <v>0.52391336871709748</v>
      </c>
      <c r="EH108" s="411"/>
      <c r="EI108" s="411"/>
    </row>
    <row r="109" spans="2:140" ht="11.25" customHeight="1" outlineLevel="1" x14ac:dyDescent="0.2">
      <c r="B109" s="1" t="s">
        <v>251</v>
      </c>
      <c r="D109" s="3"/>
      <c r="E109" s="3"/>
      <c r="F109" s="3"/>
      <c r="G109" s="3"/>
      <c r="H109" s="3"/>
      <c r="I109" s="3"/>
      <c r="J109" s="3"/>
      <c r="K109" s="3">
        <f t="shared" ref="K109:BD109" si="309">SUM(K105,K101,)</f>
        <v>120.973</v>
      </c>
      <c r="L109" s="3">
        <f t="shared" si="309"/>
        <v>153.51599999999996</v>
      </c>
      <c r="M109" s="3">
        <f t="shared" si="309"/>
        <v>215.95899999999995</v>
      </c>
      <c r="N109" s="3">
        <f t="shared" si="309"/>
        <v>330.04699999999997</v>
      </c>
      <c r="O109" s="3">
        <f t="shared" si="309"/>
        <v>348.73500000000007</v>
      </c>
      <c r="P109" s="3">
        <f t="shared" si="309"/>
        <v>368.54900000000004</v>
      </c>
      <c r="Q109" s="3">
        <f t="shared" si="309"/>
        <v>391.75900000000001</v>
      </c>
      <c r="R109" s="3">
        <f t="shared" si="309"/>
        <v>415.77599999999995</v>
      </c>
      <c r="S109" s="3">
        <f t="shared" si="309"/>
        <v>638.34000000000015</v>
      </c>
      <c r="T109" s="33">
        <f t="shared" si="309"/>
        <v>591.10599999999999</v>
      </c>
      <c r="U109" s="33">
        <f t="shared" si="309"/>
        <v>1061.29</v>
      </c>
      <c r="V109" s="33">
        <f t="shared" si="309"/>
        <v>809.6339999999999</v>
      </c>
      <c r="W109" s="33">
        <f t="shared" si="309"/>
        <v>900.10099999999966</v>
      </c>
      <c r="X109" s="33">
        <f t="shared" si="309"/>
        <v>915.06293262188956</v>
      </c>
      <c r="Y109" s="33">
        <f t="shared" si="309"/>
        <v>958.76570193394423</v>
      </c>
      <c r="Z109" s="33">
        <f t="shared" si="309"/>
        <v>1015.6874367890252</v>
      </c>
      <c r="AA109" s="33">
        <f t="shared" si="309"/>
        <v>988.20810854925389</v>
      </c>
      <c r="AB109" s="33">
        <f t="shared" si="309"/>
        <v>1031.7459013114005</v>
      </c>
      <c r="AC109" s="33">
        <f t="shared" si="309"/>
        <v>1075.8229244099036</v>
      </c>
      <c r="AD109" s="33">
        <f t="shared" si="309"/>
        <v>1121.7369239570307</v>
      </c>
      <c r="AE109" s="33">
        <f t="shared" si="309"/>
        <v>1156.5626338229204</v>
      </c>
      <c r="AF109" s="33">
        <f t="shared" si="309"/>
        <v>1170.1664231867699</v>
      </c>
      <c r="AG109" s="33">
        <f t="shared" si="309"/>
        <v>1172.1254936286027</v>
      </c>
      <c r="AH109" s="33">
        <f t="shared" si="309"/>
        <v>1218.0822848465918</v>
      </c>
      <c r="AI109" s="33">
        <f t="shared" si="309"/>
        <v>1112.9636656455855</v>
      </c>
      <c r="AJ109" s="33">
        <f t="shared" si="309"/>
        <v>1048.234616508315</v>
      </c>
      <c r="AK109" s="33">
        <f t="shared" si="309"/>
        <v>1053.7418084164042</v>
      </c>
      <c r="AL109" s="33">
        <f t="shared" si="309"/>
        <v>1092.4698033876546</v>
      </c>
      <c r="AM109" s="33">
        <f t="shared" si="309"/>
        <v>1131.5338347809748</v>
      </c>
      <c r="AN109" s="33">
        <f t="shared" si="309"/>
        <v>1158.6363216160844</v>
      </c>
      <c r="AO109" s="33">
        <f t="shared" si="309"/>
        <v>1140.8889688649745</v>
      </c>
      <c r="AP109" s="33">
        <f t="shared" si="309"/>
        <v>631.77547881657642</v>
      </c>
      <c r="AQ109" s="33">
        <f t="shared" si="309"/>
        <v>659.96754377721902</v>
      </c>
      <c r="AR109" s="33">
        <f t="shared" si="309"/>
        <v>576.50192695423164</v>
      </c>
      <c r="AS109" s="33">
        <f t="shared" si="309"/>
        <v>468.60810063655475</v>
      </c>
      <c r="AT109" s="33">
        <f t="shared" si="309"/>
        <v>459.82647141385064</v>
      </c>
      <c r="AU109" s="33">
        <f t="shared" si="309"/>
        <v>484.27726618679549</v>
      </c>
      <c r="AV109" s="33">
        <f t="shared" si="309"/>
        <v>508.82106593480751</v>
      </c>
      <c r="AW109" s="33">
        <f t="shared" si="309"/>
        <v>488.87833806114878</v>
      </c>
      <c r="AX109" s="33">
        <f t="shared" si="309"/>
        <v>512.63224858646288</v>
      </c>
      <c r="AY109" s="33">
        <f t="shared" si="309"/>
        <v>536.51966331478047</v>
      </c>
      <c r="AZ109" s="33">
        <f t="shared" si="309"/>
        <v>560.56065556272597</v>
      </c>
      <c r="BA109" s="33">
        <f t="shared" si="309"/>
        <v>411.14057392705615</v>
      </c>
      <c r="BB109" s="33">
        <f t="shared" si="309"/>
        <v>431.52572965607601</v>
      </c>
      <c r="BC109" s="33">
        <f t="shared" si="309"/>
        <v>452.03182168095003</v>
      </c>
      <c r="BD109" s="33">
        <f t="shared" si="309"/>
        <v>472.67730616715619</v>
      </c>
      <c r="BE109" s="33">
        <f t="shared" ref="BE109:CP109" si="310">SUM(BE105,BE101,)</f>
        <v>493.48036632432826</v>
      </c>
      <c r="BF109" s="33">
        <f t="shared" si="310"/>
        <v>514.45593323853086</v>
      </c>
      <c r="BG109" s="33">
        <f t="shared" si="310"/>
        <v>535.62408474807444</v>
      </c>
      <c r="BH109" s="33">
        <f t="shared" si="310"/>
        <v>556.99784141723467</v>
      </c>
      <c r="BI109" s="33">
        <f t="shared" si="310"/>
        <v>578.59768016309886</v>
      </c>
      <c r="BJ109" s="33">
        <f t="shared" si="310"/>
        <v>600.43672060816584</v>
      </c>
      <c r="BK109" s="33">
        <f t="shared" si="310"/>
        <v>622.53403790966945</v>
      </c>
      <c r="BL109" s="33">
        <f t="shared" si="310"/>
        <v>644.90479487784171</v>
      </c>
      <c r="BM109" s="33">
        <f t="shared" si="310"/>
        <v>667.56522929090613</v>
      </c>
      <c r="BN109" s="33">
        <f t="shared" si="310"/>
        <v>690.53109435513443</v>
      </c>
      <c r="BO109" s="33">
        <f t="shared" si="310"/>
        <v>713.81888278027873</v>
      </c>
      <c r="BP109" s="33">
        <f t="shared" si="310"/>
        <v>737.44465868407065</v>
      </c>
      <c r="BQ109" s="33">
        <f t="shared" si="310"/>
        <v>761.4244658242352</v>
      </c>
      <c r="BR109" s="33">
        <f t="shared" si="310"/>
        <v>785.77358157731237</v>
      </c>
      <c r="BS109" s="33">
        <f t="shared" si="310"/>
        <v>770.23923657514592</v>
      </c>
      <c r="BT109" s="33">
        <f t="shared" si="310"/>
        <v>758.75326681985018</v>
      </c>
      <c r="BU109" s="33">
        <f t="shared" si="310"/>
        <v>782.52383389189993</v>
      </c>
      <c r="BV109" s="33">
        <f t="shared" si="310"/>
        <v>806.68752834528141</v>
      </c>
      <c r="BW109" s="33">
        <f t="shared" si="310"/>
        <v>831.25925559891198</v>
      </c>
      <c r="BX109" s="33">
        <f t="shared" si="310"/>
        <v>856.25512036071132</v>
      </c>
      <c r="BY109" s="33">
        <f t="shared" si="310"/>
        <v>881.68825467759848</v>
      </c>
      <c r="BZ109" s="33">
        <f t="shared" si="310"/>
        <v>907.57682428363921</v>
      </c>
      <c r="CA109" s="33">
        <f t="shared" si="310"/>
        <v>933.9349094519664</v>
      </c>
      <c r="CB109" s="33">
        <f t="shared" si="310"/>
        <v>960.78012634578749</v>
      </c>
      <c r="CC109" s="33">
        <f t="shared" si="310"/>
        <v>983.45526968777222</v>
      </c>
      <c r="CD109" s="33">
        <f t="shared" si="310"/>
        <v>955.17879086696985</v>
      </c>
      <c r="CE109" s="33">
        <f t="shared" si="310"/>
        <v>982.16336804846719</v>
      </c>
      <c r="CF109" s="33">
        <f t="shared" si="310"/>
        <v>1009.6642987143487</v>
      </c>
      <c r="CG109" s="33">
        <f t="shared" si="310"/>
        <v>1037.6980650015487</v>
      </c>
      <c r="CH109" s="33">
        <f t="shared" si="310"/>
        <v>546.11778878341147</v>
      </c>
      <c r="CI109" s="33">
        <f t="shared" si="310"/>
        <v>563.23049501702144</v>
      </c>
      <c r="CJ109" s="33">
        <f t="shared" si="310"/>
        <v>580.64715067169413</v>
      </c>
      <c r="CK109" s="33">
        <f t="shared" si="310"/>
        <v>598.37664899410288</v>
      </c>
      <c r="CL109" s="33">
        <f t="shared" si="310"/>
        <v>616.4283571573618</v>
      </c>
      <c r="CM109" s="33">
        <f t="shared" si="310"/>
        <v>634.81320932712492</v>
      </c>
      <c r="CN109" s="33">
        <f t="shared" si="310"/>
        <v>653.54185996423826</v>
      </c>
      <c r="CO109" s="33">
        <f t="shared" si="310"/>
        <v>672.62543786868821</v>
      </c>
      <c r="CP109" s="33">
        <f t="shared" si="310"/>
        <v>661.29682687021455</v>
      </c>
      <c r="CQ109" s="362" t="s">
        <v>77</v>
      </c>
      <c r="CR109" s="422">
        <f>+W107/CR107-1</f>
        <v>1.2246941045601645E-3</v>
      </c>
      <c r="CS109" s="423">
        <f>+X107/CS107-1</f>
        <v>-2.7563302208406415E-2</v>
      </c>
      <c r="CT109" s="424">
        <f>+Y107/CT107-1</f>
        <v>-5.3538300163924801E-2</v>
      </c>
      <c r="DB109" s="1" t="s">
        <v>251</v>
      </c>
      <c r="DD109" s="3">
        <f t="shared" ref="DD109:DO109" si="311">SUM(DD105,DD101,)</f>
        <v>215.10899999999998</v>
      </c>
      <c r="DE109" s="3">
        <f t="shared" si="311"/>
        <v>200.66699999999997</v>
      </c>
      <c r="DF109" s="3">
        <f t="shared" si="311"/>
        <v>359.892</v>
      </c>
      <c r="DG109" s="3">
        <f t="shared" si="311"/>
        <v>278.44799999999998</v>
      </c>
      <c r="DH109" s="3">
        <f t="shared" si="311"/>
        <v>329.47100000000006</v>
      </c>
      <c r="DI109" s="3">
        <f t="shared" si="311"/>
        <v>334.17100000000005</v>
      </c>
      <c r="DJ109" s="3">
        <f t="shared" si="311"/>
        <v>761.08600000000001</v>
      </c>
      <c r="DK109" s="3">
        <f t="shared" si="311"/>
        <v>300.20400000000001</v>
      </c>
      <c r="DL109" s="3">
        <f t="shared" si="311"/>
        <v>417.08600000000001</v>
      </c>
      <c r="DM109" s="3">
        <f t="shared" si="311"/>
        <v>392.548</v>
      </c>
      <c r="DN109" s="3">
        <f t="shared" si="311"/>
        <v>477.69900000000013</v>
      </c>
      <c r="DO109" s="3">
        <f t="shared" si="311"/>
        <v>422.40199999999982</v>
      </c>
      <c r="DP109" s="3">
        <f t="shared" ref="DP109" si="312">SUM(DP105,DP101,)</f>
        <v>466.13599999999985</v>
      </c>
      <c r="DQ109" s="3">
        <f t="shared" ref="DQ109" si="313">SUM(DQ105,DQ101,)</f>
        <v>448.92693262188953</v>
      </c>
      <c r="DR109" s="3"/>
      <c r="DS109" s="3"/>
      <c r="DU109" s="413">
        <f t="shared" si="227"/>
        <v>0.51736752482105752</v>
      </c>
      <c r="DV109" s="413">
        <f t="shared" si="228"/>
        <v>0.5637935896230849</v>
      </c>
      <c r="DW109" s="413">
        <f t="shared" si="229"/>
        <v>0.49645893418439463</v>
      </c>
      <c r="DX109" s="413">
        <f t="shared" si="302"/>
        <v>0.7171329231407062</v>
      </c>
      <c r="DY109" s="413">
        <f t="shared" si="274"/>
        <v>0.51515376083514275</v>
      </c>
      <c r="DZ109" s="413">
        <f t="shared" si="232"/>
        <v>0.53071710841338937</v>
      </c>
      <c r="EH109" s="411" t="b">
        <f t="shared" si="238"/>
        <v>1</v>
      </c>
      <c r="EI109" s="411" t="b">
        <f t="shared" si="239"/>
        <v>1</v>
      </c>
      <c r="EJ109" s="411" t="b">
        <f t="shared" si="233"/>
        <v>1</v>
      </c>
    </row>
    <row r="110" spans="2:140" s="98" customFormat="1" ht="11.25" customHeight="1" outlineLevel="1" x14ac:dyDescent="0.2">
      <c r="B110" s="103" t="s">
        <v>85</v>
      </c>
      <c r="D110" s="93"/>
      <c r="E110" s="93"/>
      <c r="F110" s="93"/>
      <c r="G110" s="93"/>
      <c r="H110" s="93"/>
      <c r="I110" s="93"/>
      <c r="J110" s="93"/>
      <c r="K110" s="93">
        <f t="shared" ref="K110:BD110" si="314">+K109/K$90</f>
        <v>0.32934671342074312</v>
      </c>
      <c r="L110" s="93">
        <f t="shared" si="314"/>
        <v>0.40156948913128765</v>
      </c>
      <c r="M110" s="93">
        <f t="shared" si="314"/>
        <v>0.4054045428946873</v>
      </c>
      <c r="N110" s="93">
        <f t="shared" si="314"/>
        <v>0.37431795937300461</v>
      </c>
      <c r="O110" s="93">
        <f t="shared" si="314"/>
        <v>0.36925994477010143</v>
      </c>
      <c r="P110" s="93">
        <f t="shared" si="314"/>
        <v>0.37246359235565801</v>
      </c>
      <c r="Q110" s="93">
        <f t="shared" si="314"/>
        <v>0.35550173368336707</v>
      </c>
      <c r="R110" s="93">
        <f t="shared" si="314"/>
        <v>0.39199669640281254</v>
      </c>
      <c r="S110" s="93">
        <f t="shared" si="314"/>
        <v>0.50173430577072287</v>
      </c>
      <c r="T110" s="93">
        <f t="shared" si="314"/>
        <v>0.42343070230401703</v>
      </c>
      <c r="U110" s="93">
        <f t="shared" si="314"/>
        <v>0.68311003691390726</v>
      </c>
      <c r="V110" s="93">
        <f t="shared" si="314"/>
        <v>0.38658857548856318</v>
      </c>
      <c r="W110" s="93">
        <f t="shared" si="314"/>
        <v>0.38690391244917066</v>
      </c>
      <c r="X110" s="93">
        <f t="shared" si="314"/>
        <v>0.38641152584051897</v>
      </c>
      <c r="Y110" s="93">
        <f t="shared" si="314"/>
        <v>0.38740434586365358</v>
      </c>
      <c r="Z110" s="93">
        <f t="shared" si="314"/>
        <v>0.39428296045651967</v>
      </c>
      <c r="AA110" s="93">
        <f t="shared" si="314"/>
        <v>0.38712929464950063</v>
      </c>
      <c r="AB110" s="93">
        <f t="shared" si="314"/>
        <v>0.39608462112146381</v>
      </c>
      <c r="AC110" s="93">
        <f t="shared" si="314"/>
        <v>0.40452412203116633</v>
      </c>
      <c r="AD110" s="93">
        <f t="shared" si="314"/>
        <v>0.41309199244072392</v>
      </c>
      <c r="AE110" s="93">
        <f t="shared" si="314"/>
        <v>0.41905110970803838</v>
      </c>
      <c r="AF110" s="93">
        <f t="shared" si="314"/>
        <v>0.42295003951034987</v>
      </c>
      <c r="AG110" s="93">
        <f t="shared" si="314"/>
        <v>0.41766048693513008</v>
      </c>
      <c r="AH110" s="93">
        <f t="shared" si="314"/>
        <v>0.42505061388550042</v>
      </c>
      <c r="AI110" s="93">
        <f t="shared" si="314"/>
        <v>0.40237446228410595</v>
      </c>
      <c r="AJ110" s="93">
        <f t="shared" si="314"/>
        <v>0.39340819178232733</v>
      </c>
      <c r="AK110" s="93">
        <f t="shared" si="314"/>
        <v>0.39352354406161133</v>
      </c>
      <c r="AL110" s="93">
        <f t="shared" si="314"/>
        <v>0.3996266744567622</v>
      </c>
      <c r="AM110" s="93">
        <f t="shared" si="314"/>
        <v>0.40541825660001291</v>
      </c>
      <c r="AN110" s="93">
        <f t="shared" si="314"/>
        <v>0.40843660565891154</v>
      </c>
      <c r="AO110" s="93">
        <f t="shared" si="314"/>
        <v>0.40228516138083542</v>
      </c>
      <c r="AP110" s="93">
        <f t="shared" si="314"/>
        <v>0.27289918043354999</v>
      </c>
      <c r="AQ110" s="93">
        <f t="shared" si="314"/>
        <v>0.27902320703605971</v>
      </c>
      <c r="AR110" s="93">
        <f t="shared" si="314"/>
        <v>0.25432148593735932</v>
      </c>
      <c r="AS110" s="93">
        <f t="shared" si="314"/>
        <v>0.22034922384912439</v>
      </c>
      <c r="AT110" s="93">
        <f t="shared" si="314"/>
        <v>0.21580237045200076</v>
      </c>
      <c r="AU110" s="93">
        <f t="shared" si="314"/>
        <v>0.22214239823171072</v>
      </c>
      <c r="AV110" s="93">
        <f t="shared" si="314"/>
        <v>0.22812262764193167</v>
      </c>
      <c r="AW110" s="93">
        <f t="shared" si="314"/>
        <v>0.22136072724170786</v>
      </c>
      <c r="AX110" s="93">
        <f t="shared" si="314"/>
        <v>0.22686274814934018</v>
      </c>
      <c r="AY110" s="93">
        <f t="shared" si="314"/>
        <v>0.23205558003550084</v>
      </c>
      <c r="AZ110" s="93">
        <f t="shared" si="314"/>
        <v>0.23695732150992738</v>
      </c>
      <c r="BA110" s="93">
        <f t="shared" si="314"/>
        <v>0.19096965891690412</v>
      </c>
      <c r="BB110" s="93">
        <f t="shared" si="314"/>
        <v>0.19589963135045307</v>
      </c>
      <c r="BC110" s="93">
        <f t="shared" si="314"/>
        <v>0.20055832359111911</v>
      </c>
      <c r="BD110" s="93">
        <f t="shared" si="314"/>
        <v>0.20496187156237147</v>
      </c>
      <c r="BE110" s="93">
        <f t="shared" ref="BE110:CP110" si="315">+BE109/BE$90</f>
        <v>0.20912539250103915</v>
      </c>
      <c r="BF110" s="93">
        <f t="shared" si="315"/>
        <v>0.21306215854769833</v>
      </c>
      <c r="BG110" s="93">
        <f t="shared" si="315"/>
        <v>0.21678620495655562</v>
      </c>
      <c r="BH110" s="93">
        <f t="shared" si="315"/>
        <v>0.22030872835476226</v>
      </c>
      <c r="BI110" s="93">
        <f t="shared" si="315"/>
        <v>0.22364236565919127</v>
      </c>
      <c r="BJ110" s="93">
        <f t="shared" si="315"/>
        <v>0.22679701564336557</v>
      </c>
      <c r="BK110" s="93">
        <f t="shared" si="315"/>
        <v>0.22978357613373579</v>
      </c>
      <c r="BL110" s="93">
        <f t="shared" si="315"/>
        <v>0.2326112910611505</v>
      </c>
      <c r="BM110" s="93">
        <f t="shared" si="315"/>
        <v>0.23528913382418642</v>
      </c>
      <c r="BN110" s="93">
        <f t="shared" si="315"/>
        <v>0.23782543017458779</v>
      </c>
      <c r="BO110" s="93">
        <f t="shared" si="315"/>
        <v>0.24022818279335212</v>
      </c>
      <c r="BP110" s="93">
        <f t="shared" si="315"/>
        <v>0.24250481361325435</v>
      </c>
      <c r="BQ110" s="93">
        <f t="shared" si="315"/>
        <v>0.24466229180477386</v>
      </c>
      <c r="BR110" s="93">
        <f t="shared" si="315"/>
        <v>0.24670700116572133</v>
      </c>
      <c r="BS110" s="93">
        <f t="shared" si="315"/>
        <v>0.24087176531178811</v>
      </c>
      <c r="BT110" s="93">
        <f t="shared" si="315"/>
        <v>0.23568319419034675</v>
      </c>
      <c r="BU110" s="93">
        <f t="shared" si="315"/>
        <v>0.23749691821659316</v>
      </c>
      <c r="BV110" s="93">
        <f t="shared" si="315"/>
        <v>0.23921744956033547</v>
      </c>
      <c r="BW110" s="93">
        <f t="shared" si="315"/>
        <v>0.24084966625350279</v>
      </c>
      <c r="BX110" s="93">
        <f t="shared" si="315"/>
        <v>0.24239837469943656</v>
      </c>
      <c r="BY110" s="93">
        <f t="shared" si="315"/>
        <v>0.24386751633792397</v>
      </c>
      <c r="BZ110" s="93">
        <f t="shared" si="315"/>
        <v>0.2452617168275337</v>
      </c>
      <c r="CA110" s="93">
        <f t="shared" si="315"/>
        <v>0.24658456139549115</v>
      </c>
      <c r="CB110" s="93">
        <f t="shared" si="315"/>
        <v>0.24784002602843427</v>
      </c>
      <c r="CC110" s="93">
        <f t="shared" si="315"/>
        <v>0.24833164078071501</v>
      </c>
      <c r="CD110" s="93">
        <f t="shared" si="315"/>
        <v>0.24063219252603152</v>
      </c>
      <c r="CE110" s="93">
        <f t="shared" si="315"/>
        <v>0.24173525428259604</v>
      </c>
      <c r="CF110" s="93">
        <f t="shared" si="315"/>
        <v>0.24278191825484227</v>
      </c>
      <c r="CG110" s="93">
        <f t="shared" si="315"/>
        <v>0.24377506363304835</v>
      </c>
      <c r="CH110" s="93">
        <f t="shared" si="315"/>
        <v>0.15453701471896644</v>
      </c>
      <c r="CI110" s="93">
        <f t="shared" si="315"/>
        <v>0.15571068889966944</v>
      </c>
      <c r="CJ110" s="93">
        <f t="shared" si="315"/>
        <v>0.15682876390762443</v>
      </c>
      <c r="CK110" s="93">
        <f t="shared" si="315"/>
        <v>0.15789361913069669</v>
      </c>
      <c r="CL110" s="93">
        <f t="shared" si="315"/>
        <v>0.15890759040758703</v>
      </c>
      <c r="CM110" s="93">
        <f t="shared" si="315"/>
        <v>0.159873182845163</v>
      </c>
      <c r="CN110" s="93">
        <f t="shared" si="315"/>
        <v>0.16079268321301068</v>
      </c>
      <c r="CO110" s="93">
        <f t="shared" si="315"/>
        <v>0.1616683187014496</v>
      </c>
      <c r="CP110" s="93">
        <f t="shared" si="315"/>
        <v>0.15710363003093203</v>
      </c>
      <c r="CQ110" s="362" t="s">
        <v>77</v>
      </c>
      <c r="CU110"/>
      <c r="CV110"/>
      <c r="CW110"/>
      <c r="CX110"/>
      <c r="CY110"/>
      <c r="CZ110"/>
      <c r="DB110" s="103" t="s">
        <v>85</v>
      </c>
      <c r="DD110" s="93">
        <f t="shared" ref="DD110:DI110" si="316">+DD109/DD$90</f>
        <v>0.40552019786898719</v>
      </c>
      <c r="DE110" s="93">
        <f t="shared" si="316"/>
        <v>0.37846702250051861</v>
      </c>
      <c r="DF110" s="93">
        <f t="shared" si="316"/>
        <v>0.57611479650641606</v>
      </c>
      <c r="DG110" s="93">
        <f t="shared" si="316"/>
        <v>0.42998305998187092</v>
      </c>
      <c r="DH110" s="93">
        <f t="shared" si="316"/>
        <v>0.46312719196519575</v>
      </c>
      <c r="DI110" s="93">
        <f t="shared" si="316"/>
        <v>0.48813496832325109</v>
      </c>
      <c r="DJ110" s="93">
        <f t="shared" ref="DJ110:DQ110" si="317">+DJ109/DJ$90</f>
        <v>1.0283542381377679</v>
      </c>
      <c r="DK110" s="93">
        <f t="shared" si="317"/>
        <v>0.36902130756200874</v>
      </c>
      <c r="DL110" s="93">
        <f t="shared" si="317"/>
        <v>0.3975727327060542</v>
      </c>
      <c r="DM110" s="93">
        <f t="shared" si="317"/>
        <v>0.3755638748860291</v>
      </c>
      <c r="DN110" s="93">
        <f t="shared" si="317"/>
        <v>0.40514381914789865</v>
      </c>
      <c r="DO110" s="93">
        <f t="shared" si="317"/>
        <v>0.36815925601502586</v>
      </c>
      <c r="DP110" s="93">
        <f t="shared" ref="DP110" si="318">+DP109/DP$90</f>
        <v>0.39215613692519813</v>
      </c>
      <c r="DQ110" s="93">
        <f t="shared" si="317"/>
        <v>0.38062213799940914</v>
      </c>
      <c r="DR110" s="93"/>
      <c r="DS110" s="93"/>
      <c r="DU110" s="413">
        <f t="shared" si="227"/>
        <v>0.51725358186050407</v>
      </c>
      <c r="DV110" s="413">
        <f t="shared" si="228"/>
        <v>0.57262302348730154</v>
      </c>
      <c r="DW110" s="413">
        <f t="shared" si="229"/>
        <v>0.4868554761231792</v>
      </c>
      <c r="DX110" s="413">
        <f t="shared" si="302"/>
        <v>0.73591830149195103</v>
      </c>
      <c r="DY110" s="413">
        <f t="shared" si="274"/>
        <v>0.5142334857798101</v>
      </c>
      <c r="DZ110" s="413">
        <f t="shared" si="232"/>
        <v>0.52391336871709748</v>
      </c>
      <c r="EH110" s="411"/>
      <c r="EI110" s="411"/>
      <c r="EJ110" s="411"/>
    </row>
    <row r="111" spans="2:140" s="233" customFormat="1" ht="11.25" customHeight="1" outlineLevel="1" x14ac:dyDescent="0.2">
      <c r="B111" s="439" t="s">
        <v>549</v>
      </c>
      <c r="D111" s="440"/>
      <c r="E111" s="440"/>
      <c r="F111" s="440"/>
      <c r="G111" s="440"/>
      <c r="H111" s="440"/>
      <c r="I111" s="440"/>
      <c r="J111" s="440"/>
      <c r="K111" s="440"/>
      <c r="L111" s="440"/>
      <c r="M111" s="440"/>
      <c r="N111" s="440"/>
      <c r="O111" s="441"/>
      <c r="P111" s="441"/>
      <c r="Q111" s="441"/>
      <c r="R111" s="441"/>
      <c r="S111" s="441">
        <v>11.696999999999999</v>
      </c>
      <c r="T111" s="442">
        <v>1.1419999999999999</v>
      </c>
      <c r="U111" s="442">
        <v>24.321999999999999</v>
      </c>
      <c r="V111" s="442">
        <v>3.6970000000000001</v>
      </c>
      <c r="W111" s="442">
        <f>4.482</f>
        <v>4.4820000000000002</v>
      </c>
      <c r="X111" s="42">
        <f>AVERAGE(W255:W255)*1.5%</f>
        <v>5.9175150000000167</v>
      </c>
      <c r="Y111" s="42">
        <f t="shared" ref="Y111:CJ111" si="319">AVERAGE(X255:X255)*1.5%</f>
        <v>11.14534131597742</v>
      </c>
      <c r="Z111" s="42">
        <f t="shared" si="319"/>
        <v>11.006611584326535</v>
      </c>
      <c r="AA111" s="42">
        <f t="shared" si="319"/>
        <v>16.889320908340864</v>
      </c>
      <c r="AB111" s="42">
        <f t="shared" si="319"/>
        <v>18.15836542286991</v>
      </c>
      <c r="AC111" s="42">
        <f t="shared" si="319"/>
        <v>18.834277973881346</v>
      </c>
      <c r="AD111" s="42">
        <f t="shared" si="319"/>
        <v>19.610656289723433</v>
      </c>
      <c r="AE111" s="42">
        <f t="shared" si="319"/>
        <v>21.25547995020256</v>
      </c>
      <c r="AF111" s="42">
        <f t="shared" si="319"/>
        <v>23.184665347662069</v>
      </c>
      <c r="AG111" s="42">
        <f t="shared" si="319"/>
        <v>25.156677285375167</v>
      </c>
      <c r="AH111" s="42">
        <f t="shared" si="319"/>
        <v>27.040214368383051</v>
      </c>
      <c r="AI111" s="42">
        <f t="shared" si="319"/>
        <v>32.935618787129229</v>
      </c>
      <c r="AJ111" s="42">
        <f t="shared" si="319"/>
        <v>33.723833326874988</v>
      </c>
      <c r="AK111" s="42">
        <f t="shared" si="319"/>
        <v>33.655284615512755</v>
      </c>
      <c r="AL111" s="42">
        <f t="shared" si="319"/>
        <v>37.142607141689574</v>
      </c>
      <c r="AM111" s="42">
        <f t="shared" si="319"/>
        <v>39.394430539927647</v>
      </c>
      <c r="AN111" s="42">
        <f t="shared" si="319"/>
        <v>41.923384290298287</v>
      </c>
      <c r="AO111" s="42">
        <f t="shared" si="319"/>
        <v>44.591311321343497</v>
      </c>
      <c r="AP111" s="42">
        <f t="shared" si="319"/>
        <v>43.298230526362616</v>
      </c>
      <c r="AQ111" s="42">
        <f t="shared" si="319"/>
        <v>36.702286648569476</v>
      </c>
      <c r="AR111" s="42">
        <f t="shared" si="319"/>
        <v>30.474406273802238</v>
      </c>
      <c r="AS111" s="42">
        <f t="shared" si="319"/>
        <v>23.295918415038905</v>
      </c>
      <c r="AT111" s="42">
        <f t="shared" si="319"/>
        <v>15.600187142340403</v>
      </c>
      <c r="AU111" s="42">
        <f t="shared" si="319"/>
        <v>7.8184873141226756</v>
      </c>
      <c r="AV111" s="42">
        <f t="shared" si="319"/>
        <v>0.34984167302988906</v>
      </c>
      <c r="AW111" s="42">
        <f t="shared" si="319"/>
        <v>-3.760417561646912</v>
      </c>
      <c r="AX111" s="42">
        <f t="shared" si="319"/>
        <v>-8.2369993099112886</v>
      </c>
      <c r="AY111" s="42">
        <f t="shared" si="319"/>
        <v>-12.556610535003886</v>
      </c>
      <c r="AZ111" s="42">
        <f t="shared" si="319"/>
        <v>-16.714013355361409</v>
      </c>
      <c r="BA111" s="42">
        <f t="shared" si="319"/>
        <v>-20.703924392422962</v>
      </c>
      <c r="BB111" s="42">
        <f t="shared" si="319"/>
        <v>-26.865948236521209</v>
      </c>
      <c r="BC111" s="42">
        <f t="shared" si="319"/>
        <v>-32.857121139166658</v>
      </c>
      <c r="BD111" s="42">
        <f t="shared" si="319"/>
        <v>-38.672142359014124</v>
      </c>
      <c r="BE111" s="42">
        <f t="shared" si="319"/>
        <v>-44.305582263148942</v>
      </c>
      <c r="BF111" s="42">
        <f t="shared" si="319"/>
        <v>-49.751880162292466</v>
      </c>
      <c r="BG111" s="42">
        <f t="shared" si="319"/>
        <v>-55.005387098345722</v>
      </c>
      <c r="BH111" s="42">
        <f t="shared" si="319"/>
        <v>-60.060282902413817</v>
      </c>
      <c r="BI111" s="42">
        <f t="shared" si="319"/>
        <v>-64.910676556111795</v>
      </c>
      <c r="BJ111" s="42">
        <f t="shared" si="319"/>
        <v>-69.550489081078837</v>
      </c>
      <c r="BK111" s="42">
        <f t="shared" si="319"/>
        <v>-73.973558855972641</v>
      </c>
      <c r="BL111" s="42">
        <f t="shared" si="319"/>
        <v>-78.173547454367863</v>
      </c>
      <c r="BM111" s="42">
        <f t="shared" si="319"/>
        <v>-82.143993705198199</v>
      </c>
      <c r="BN111" s="42">
        <f t="shared" si="319"/>
        <v>-85.878293139146209</v>
      </c>
      <c r="BO111" s="42">
        <f t="shared" si="319"/>
        <v>-89.369701015526573</v>
      </c>
      <c r="BP111" s="42">
        <f t="shared" si="319"/>
        <v>-92.611317167503074</v>
      </c>
      <c r="BQ111" s="42">
        <f t="shared" si="319"/>
        <v>-95.596088540610566</v>
      </c>
      <c r="BR111" s="42">
        <f t="shared" si="319"/>
        <v>-98.706297494974663</v>
      </c>
      <c r="BS111" s="42">
        <f t="shared" si="319"/>
        <v>-101.60005278490112</v>
      </c>
      <c r="BT111" s="42">
        <f t="shared" si="319"/>
        <v>-104.74891089095568</v>
      </c>
      <c r="BU111" s="42">
        <f t="shared" si="319"/>
        <v>-108.10242471947403</v>
      </c>
      <c r="BV111" s="42">
        <f t="shared" si="319"/>
        <v>-111.2405603215965</v>
      </c>
      <c r="BW111" s="42">
        <f t="shared" si="319"/>
        <v>-114.1578062070092</v>
      </c>
      <c r="BX111" s="42">
        <f t="shared" si="319"/>
        <v>-116.84855669252721</v>
      </c>
      <c r="BY111" s="42">
        <f t="shared" si="319"/>
        <v>-119.30709523432496</v>
      </c>
      <c r="BZ111" s="42">
        <f t="shared" si="319"/>
        <v>-121.52762736675263</v>
      </c>
      <c r="CA111" s="42">
        <f t="shared" si="319"/>
        <v>-123.50421877371632</v>
      </c>
      <c r="CB111" s="42">
        <f t="shared" si="319"/>
        <v>-125.23084172386564</v>
      </c>
      <c r="CC111" s="42">
        <f t="shared" si="319"/>
        <v>-126.70133114880838</v>
      </c>
      <c r="CD111" s="42">
        <f t="shared" si="319"/>
        <v>-127.96477949202568</v>
      </c>
      <c r="CE111" s="42">
        <f t="shared" si="319"/>
        <v>-129.62453399227928</v>
      </c>
      <c r="CF111" s="42">
        <f t="shared" si="319"/>
        <v>-131.02346715964035</v>
      </c>
      <c r="CG111" s="42">
        <f t="shared" si="319"/>
        <v>-132.15529028396946</v>
      </c>
      <c r="CH111" s="42">
        <f t="shared" si="319"/>
        <v>-133.01358138901179</v>
      </c>
      <c r="CI111" s="42">
        <f t="shared" si="319"/>
        <v>-140.36585705941408</v>
      </c>
      <c r="CJ111" s="42">
        <f t="shared" si="319"/>
        <v>-147.53390297664274</v>
      </c>
      <c r="CK111" s="42">
        <f t="shared" ref="CK111:CP111" si="320">AVERAGE(CJ255:CJ255)*1.5%</f>
        <v>-154.51233061878497</v>
      </c>
      <c r="CL111" s="42">
        <f t="shared" si="320"/>
        <v>-161.29565360262507</v>
      </c>
      <c r="CM111" s="42">
        <f t="shared" si="320"/>
        <v>-167.87827907181872</v>
      </c>
      <c r="CN111" s="42">
        <f t="shared" si="320"/>
        <v>-174.25448275266513</v>
      </c>
      <c r="CO111" s="42">
        <f t="shared" si="320"/>
        <v>-180.4184117712378</v>
      </c>
      <c r="CP111" s="42">
        <f t="shared" si="320"/>
        <v>-186.36407621817892</v>
      </c>
      <c r="CQ111" s="362" t="s">
        <v>77</v>
      </c>
      <c r="CU111"/>
      <c r="CV111"/>
      <c r="CW111"/>
      <c r="CX111"/>
      <c r="CY111"/>
      <c r="CZ111"/>
      <c r="DB111" s="439" t="s">
        <v>549</v>
      </c>
      <c r="DD111" s="52"/>
      <c r="DE111" s="23"/>
      <c r="DF111" s="52"/>
      <c r="DG111" s="23"/>
      <c r="DH111" s="52"/>
      <c r="DI111" s="42"/>
      <c r="DJ111" s="254">
        <v>3.7669999999999999</v>
      </c>
      <c r="DK111" s="42">
        <f>U111-DJ111</f>
        <v>20.555</v>
      </c>
      <c r="DL111" s="191">
        <v>2.218</v>
      </c>
      <c r="DM111" s="12">
        <f>V111-DL111</f>
        <v>1.4790000000000001</v>
      </c>
      <c r="DN111" s="972">
        <v>0.754</v>
      </c>
      <c r="DO111" s="8">
        <f>W111-DN111</f>
        <v>3.7280000000000002</v>
      </c>
      <c r="DP111" s="191">
        <v>3.6749999999999998</v>
      </c>
      <c r="DQ111" s="8">
        <f t="shared" ref="DQ111:DQ112" si="321">X111-DP111</f>
        <v>2.2425150000000169</v>
      </c>
      <c r="DR111" s="8"/>
      <c r="DS111" s="8"/>
      <c r="DU111" s="443" t="e">
        <f>+(DD111/(DD111+DE111))</f>
        <v>#DIV/0!</v>
      </c>
      <c r="DV111" s="443" t="e">
        <f>+(DF111/(DF111+DG111))</f>
        <v>#DIV/0!</v>
      </c>
      <c r="DW111" s="443"/>
      <c r="DX111" s="923">
        <f t="shared" si="302"/>
        <v>0.15488035523394458</v>
      </c>
      <c r="DY111" s="924">
        <f>+(DL111/(DL111+DM111))</f>
        <v>0.59994590208276977</v>
      </c>
      <c r="DZ111" s="420">
        <f t="shared" si="232"/>
        <v>0.1682284694332887</v>
      </c>
      <c r="EA111" s="751">
        <f t="shared" ref="EA111:EA112" si="322">DZ111</f>
        <v>0.1682284694332887</v>
      </c>
      <c r="EH111" s="411" t="b">
        <f>ROUND(U111,1)=ROUND(SUM(DJ111:DK111),1)</f>
        <v>1</v>
      </c>
      <c r="EI111" s="411" t="b">
        <f>ROUND(V111,1)=ROUND(SUM(DL111:DM111),1)</f>
        <v>1</v>
      </c>
      <c r="EJ111" s="411" t="b">
        <f>ROUND(W111,1)=ROUND(SUM(DN111:DO111),1)</f>
        <v>1</v>
      </c>
    </row>
    <row r="112" spans="2:140" s="233" customFormat="1" ht="11.25" customHeight="1" outlineLevel="1" x14ac:dyDescent="0.2">
      <c r="B112" s="439" t="s">
        <v>550</v>
      </c>
      <c r="D112" s="440"/>
      <c r="E112" s="440"/>
      <c r="F112" s="440"/>
      <c r="G112" s="440"/>
      <c r="H112" s="440"/>
      <c r="I112" s="440"/>
      <c r="J112" s="440"/>
      <c r="K112" s="440"/>
      <c r="L112" s="440"/>
      <c r="M112" s="440"/>
      <c r="N112" s="440"/>
      <c r="O112" s="441"/>
      <c r="P112" s="441"/>
      <c r="Q112" s="441"/>
      <c r="R112" s="441"/>
      <c r="S112" s="441">
        <v>-302.613</v>
      </c>
      <c r="T112" s="442">
        <v>-326.226</v>
      </c>
      <c r="U112" s="442">
        <v>-348.48399999999998</v>
      </c>
      <c r="V112" s="442">
        <v>-511.35500000000002</v>
      </c>
      <c r="W112" s="442">
        <f>-518.249</f>
        <v>-518.24900000000002</v>
      </c>
      <c r="X112" s="42">
        <f t="shared" ref="X112:BD112" si="323">-X161</f>
        <v>-517.49812264339607</v>
      </c>
      <c r="Y112" s="42">
        <f t="shared" si="323"/>
        <v>-523.69025890406624</v>
      </c>
      <c r="Z112" s="42">
        <f t="shared" si="323"/>
        <v>-523.67755413584632</v>
      </c>
      <c r="AA112" s="42">
        <f t="shared" si="323"/>
        <v>-506.32344270618557</v>
      </c>
      <c r="AB112" s="42">
        <f t="shared" si="323"/>
        <v>-568.25395073250138</v>
      </c>
      <c r="AC112" s="42">
        <f t="shared" si="323"/>
        <v>-559.44244548742984</v>
      </c>
      <c r="AD112" s="42">
        <f t="shared" si="323"/>
        <v>-550.81943499728698</v>
      </c>
      <c r="AE112" s="42">
        <f t="shared" si="323"/>
        <v>-542.38491926207269</v>
      </c>
      <c r="AF112" s="42">
        <f t="shared" si="323"/>
        <v>-534.13889828178685</v>
      </c>
      <c r="AG112" s="42">
        <f t="shared" si="323"/>
        <v>-526.0813720564297</v>
      </c>
      <c r="AH112" s="42">
        <f t="shared" si="323"/>
        <v>-533.21234058600112</v>
      </c>
      <c r="AI112" s="42">
        <f t="shared" si="323"/>
        <v>-525.53180387050088</v>
      </c>
      <c r="AJ112" s="42">
        <f t="shared" si="323"/>
        <v>-518.03976190992944</v>
      </c>
      <c r="AK112" s="42">
        <f t="shared" si="323"/>
        <v>-525.73621470428645</v>
      </c>
      <c r="AL112" s="42">
        <f t="shared" si="323"/>
        <v>-527.62116225357204</v>
      </c>
      <c r="AM112" s="42">
        <f t="shared" si="323"/>
        <v>-529.69460455778619</v>
      </c>
      <c r="AN112" s="42">
        <f t="shared" si="323"/>
        <v>-531.9565416169288</v>
      </c>
      <c r="AO112" s="42">
        <f t="shared" si="323"/>
        <v>-519.4069734310001</v>
      </c>
      <c r="AP112" s="42">
        <f t="shared" si="323"/>
        <v>-510.04589999999996</v>
      </c>
      <c r="AQ112" s="42">
        <f t="shared" si="323"/>
        <v>-498.04589999999996</v>
      </c>
      <c r="AR112" s="42">
        <f t="shared" si="323"/>
        <v>-486.04589999999996</v>
      </c>
      <c r="AS112" s="42">
        <f t="shared" si="323"/>
        <v>-477.04589999999996</v>
      </c>
      <c r="AT112" s="42">
        <f t="shared" si="323"/>
        <v>-468.04589999999996</v>
      </c>
      <c r="AU112" s="42">
        <f t="shared" si="323"/>
        <v>-459.04589999999996</v>
      </c>
      <c r="AV112" s="42">
        <f t="shared" si="323"/>
        <v>-462.81296935246894</v>
      </c>
      <c r="AW112" s="42">
        <f t="shared" si="323"/>
        <v>-466.58114821630369</v>
      </c>
      <c r="AX112" s="42">
        <f t="shared" si="323"/>
        <v>-470.35043819633364</v>
      </c>
      <c r="AY112" s="42">
        <f t="shared" si="323"/>
        <v>-474.12084089970949</v>
      </c>
      <c r="AZ112" s="42">
        <f t="shared" si="323"/>
        <v>-477.8923579359066</v>
      </c>
      <c r="BA112" s="42">
        <f t="shared" si="323"/>
        <v>-481.66499091672824</v>
      </c>
      <c r="BB112" s="42">
        <f t="shared" si="323"/>
        <v>-485.43874145630912</v>
      </c>
      <c r="BC112" s="42">
        <f t="shared" si="323"/>
        <v>-489.2136111711186</v>
      </c>
      <c r="BD112" s="42">
        <f t="shared" si="323"/>
        <v>-492.98960167996421</v>
      </c>
      <c r="BE112" s="42">
        <f t="shared" ref="BE112:CP112" si="324">-BE161</f>
        <v>-496.76671460399513</v>
      </c>
      <c r="BF112" s="42">
        <f t="shared" si="324"/>
        <v>-500.54495156670509</v>
      </c>
      <c r="BG112" s="42">
        <f t="shared" si="324"/>
        <v>-504.32431419393623</v>
      </c>
      <c r="BH112" s="42">
        <f t="shared" si="324"/>
        <v>-508.10480411388249</v>
      </c>
      <c r="BI112" s="42">
        <f t="shared" si="324"/>
        <v>-511.88642295709269</v>
      </c>
      <c r="BJ112" s="42">
        <f t="shared" si="324"/>
        <v>-515.66917235647406</v>
      </c>
      <c r="BK112" s="42">
        <f t="shared" si="324"/>
        <v>-519.4530539472961</v>
      </c>
      <c r="BL112" s="42">
        <f t="shared" si="324"/>
        <v>-523.23806936719313</v>
      </c>
      <c r="BM112" s="42">
        <f t="shared" si="324"/>
        <v>-527.02422025616852</v>
      </c>
      <c r="BN112" s="42">
        <f t="shared" si="324"/>
        <v>-530.81150825659779</v>
      </c>
      <c r="BO112" s="42">
        <f t="shared" si="324"/>
        <v>-534.59993501323174</v>
      </c>
      <c r="BP112" s="42">
        <f t="shared" si="324"/>
        <v>-538.38950217320053</v>
      </c>
      <c r="BQ112" s="42">
        <f t="shared" si="324"/>
        <v>-542.18021138601659</v>
      </c>
      <c r="BR112" s="42">
        <f t="shared" si="324"/>
        <v>-545.97206430357824</v>
      </c>
      <c r="BS112" s="42">
        <f t="shared" si="324"/>
        <v>-549.76506258017321</v>
      </c>
      <c r="BT112" s="42">
        <f t="shared" si="324"/>
        <v>-553.55920787248215</v>
      </c>
      <c r="BU112" s="42">
        <f t="shared" si="324"/>
        <v>-557.35450183958176</v>
      </c>
      <c r="BV112" s="42">
        <f t="shared" si="324"/>
        <v>-561.15094614294856</v>
      </c>
      <c r="BW112" s="42">
        <f t="shared" si="324"/>
        <v>-564.9485424464624</v>
      </c>
      <c r="BX112" s="42">
        <f t="shared" si="324"/>
        <v>-568.74729241640955</v>
      </c>
      <c r="BY112" s="42">
        <f t="shared" si="324"/>
        <v>-572.54719772148678</v>
      </c>
      <c r="BZ112" s="42">
        <f t="shared" si="324"/>
        <v>-576.34826003280421</v>
      </c>
      <c r="CA112" s="42">
        <f t="shared" si="324"/>
        <v>-580.15048102388937</v>
      </c>
      <c r="CB112" s="42">
        <f t="shared" si="324"/>
        <v>-583.95386237069022</v>
      </c>
      <c r="CC112" s="42">
        <f t="shared" si="324"/>
        <v>-587.75840575157895</v>
      </c>
      <c r="CD112" s="42">
        <f t="shared" si="324"/>
        <v>-591.56411284735543</v>
      </c>
      <c r="CE112" s="42">
        <f t="shared" si="324"/>
        <v>-595.3709853412505</v>
      </c>
      <c r="CF112" s="42">
        <f t="shared" si="324"/>
        <v>-599.17902491892983</v>
      </c>
      <c r="CG112" s="42">
        <f t="shared" si="324"/>
        <v>-602.98823326849731</v>
      </c>
      <c r="CH112" s="42">
        <f t="shared" si="324"/>
        <v>-606.79861208049863</v>
      </c>
      <c r="CI112" s="42">
        <f t="shared" si="324"/>
        <v>-610.61016304792452</v>
      </c>
      <c r="CJ112" s="42">
        <f t="shared" si="324"/>
        <v>-614.42288786621452</v>
      </c>
      <c r="CK112" s="42">
        <f t="shared" si="324"/>
        <v>-618.23678823326054</v>
      </c>
      <c r="CL112" s="42">
        <f t="shared" si="324"/>
        <v>-622.05186584941055</v>
      </c>
      <c r="CM112" s="42">
        <f t="shared" si="324"/>
        <v>-625.8681224174718</v>
      </c>
      <c r="CN112" s="42">
        <f t="shared" si="324"/>
        <v>-629.68555964271445</v>
      </c>
      <c r="CO112" s="42">
        <f t="shared" si="324"/>
        <v>-633.50417923287534</v>
      </c>
      <c r="CP112" s="42">
        <f t="shared" si="324"/>
        <v>-637.32398289816138</v>
      </c>
      <c r="CQ112" s="362" t="s">
        <v>77</v>
      </c>
      <c r="CU112"/>
      <c r="CV112"/>
      <c r="CW112"/>
      <c r="CX112"/>
      <c r="CY112"/>
      <c r="CZ112"/>
      <c r="DB112" s="439" t="s">
        <v>550</v>
      </c>
      <c r="DD112" s="52"/>
      <c r="DE112" s="23"/>
      <c r="DF112" s="52"/>
      <c r="DG112" s="23"/>
      <c r="DH112" s="52"/>
      <c r="DI112" s="42"/>
      <c r="DJ112" s="254">
        <f>-151.294-3.767</f>
        <v>-155.06100000000001</v>
      </c>
      <c r="DK112" s="42">
        <f>U112-DJ112</f>
        <v>-193.42299999999997</v>
      </c>
      <c r="DL112" s="191">
        <f>-253.307-2.218</f>
        <v>-255.52499999999998</v>
      </c>
      <c r="DM112" s="12">
        <f>V112-DL112</f>
        <v>-255.83000000000004</v>
      </c>
      <c r="DN112" s="972">
        <v>-255.49299999999999</v>
      </c>
      <c r="DO112" s="8">
        <f>W112-DN112</f>
        <v>-262.75600000000003</v>
      </c>
      <c r="DP112" s="191">
        <v>-266.32799999999997</v>
      </c>
      <c r="DQ112" s="8">
        <f t="shared" si="321"/>
        <v>-251.1701226433961</v>
      </c>
      <c r="DR112" s="8"/>
      <c r="DS112" s="8"/>
      <c r="DU112" s="443" t="e">
        <f>+(DD112/(DD112+DE112))</f>
        <v>#DIV/0!</v>
      </c>
      <c r="DV112" s="443" t="e">
        <f>+(DF112/(DF112+DG112))</f>
        <v>#DIV/0!</v>
      </c>
      <c r="DW112" s="443"/>
      <c r="DX112" s="923">
        <f t="shared" si="302"/>
        <v>0.44495873555170401</v>
      </c>
      <c r="DY112" s="924">
        <f>+(DL112/(DL112+DM112))</f>
        <v>0.49970177274105065</v>
      </c>
      <c r="DZ112" s="420">
        <f t="shared" si="232"/>
        <v>0.49299275058900255</v>
      </c>
      <c r="EA112" s="751">
        <f t="shared" si="322"/>
        <v>0.49299275058900255</v>
      </c>
      <c r="EH112" s="411" t="b">
        <f>ROUND(U112,1)=ROUND(SUM(DJ112:DK112),1)</f>
        <v>1</v>
      </c>
      <c r="EI112" s="411" t="b">
        <f>ROUND(V112,1)=ROUND(SUM(DL112:DM112),1)</f>
        <v>1</v>
      </c>
      <c r="EJ112" s="411" t="b">
        <f>ROUND(W112,1)=ROUND(SUM(DN112:DO112),1)</f>
        <v>1</v>
      </c>
    </row>
    <row r="113" spans="1:140" ht="11.25" customHeight="1" outlineLevel="1" x14ac:dyDescent="0.2">
      <c r="A113" s="233"/>
      <c r="B113" s="74" t="s">
        <v>551</v>
      </c>
      <c r="C113" s="12"/>
      <c r="D113" s="255"/>
      <c r="E113" s="255"/>
      <c r="F113" s="255"/>
      <c r="G113" s="255"/>
      <c r="H113" s="255"/>
      <c r="I113" s="255"/>
      <c r="J113" s="255"/>
      <c r="K113" s="444">
        <v>-64.460999999999984</v>
      </c>
      <c r="L113" s="444">
        <v>-79.896999999999991</v>
      </c>
      <c r="M113" s="444">
        <v>-152.22499999999999</v>
      </c>
      <c r="N113" s="444">
        <v>-244.44699999999997</v>
      </c>
      <c r="O113" s="444">
        <v>-238.96600000000001</v>
      </c>
      <c r="P113" s="444">
        <v>-245.30600000000001</v>
      </c>
      <c r="Q113" s="444">
        <v>-263.59500000000003</v>
      </c>
      <c r="R113" s="190">
        <v>-250.59100000000001</v>
      </c>
      <c r="S113" s="255">
        <f t="shared" ref="S113:BD113" si="325">SUM(S111:S112)</f>
        <v>-290.916</v>
      </c>
      <c r="T113" s="255">
        <f t="shared" si="325"/>
        <v>-325.084</v>
      </c>
      <c r="U113" s="255">
        <f t="shared" si="325"/>
        <v>-324.16199999999998</v>
      </c>
      <c r="V113" s="255">
        <f t="shared" si="325"/>
        <v>-507.65800000000002</v>
      </c>
      <c r="W113" s="255">
        <f t="shared" si="325"/>
        <v>-513.76700000000005</v>
      </c>
      <c r="X113" s="255">
        <f t="shared" si="325"/>
        <v>-511.58060764339604</v>
      </c>
      <c r="Y113" s="255">
        <f t="shared" si="325"/>
        <v>-512.54491758808877</v>
      </c>
      <c r="Z113" s="255">
        <f t="shared" si="325"/>
        <v>-512.67094255151983</v>
      </c>
      <c r="AA113" s="255">
        <f t="shared" si="325"/>
        <v>-489.43412179784468</v>
      </c>
      <c r="AB113" s="255">
        <f t="shared" si="325"/>
        <v>-550.09558530963147</v>
      </c>
      <c r="AC113" s="255">
        <f t="shared" si="325"/>
        <v>-540.60816751354844</v>
      </c>
      <c r="AD113" s="255">
        <f t="shared" si="325"/>
        <v>-531.20877870756351</v>
      </c>
      <c r="AE113" s="255">
        <f t="shared" si="325"/>
        <v>-521.1294393118701</v>
      </c>
      <c r="AF113" s="255">
        <f t="shared" si="325"/>
        <v>-510.95423293412478</v>
      </c>
      <c r="AG113" s="255">
        <f t="shared" si="325"/>
        <v>-500.92469477105453</v>
      </c>
      <c r="AH113" s="255">
        <f t="shared" si="325"/>
        <v>-506.17212621761809</v>
      </c>
      <c r="AI113" s="255">
        <f t="shared" si="325"/>
        <v>-492.59618508337167</v>
      </c>
      <c r="AJ113" s="255">
        <f t="shared" si="325"/>
        <v>-484.31592858305447</v>
      </c>
      <c r="AK113" s="255">
        <f t="shared" si="325"/>
        <v>-492.0809300887737</v>
      </c>
      <c r="AL113" s="255">
        <f t="shared" si="325"/>
        <v>-490.47855511188249</v>
      </c>
      <c r="AM113" s="255">
        <f t="shared" si="325"/>
        <v>-490.30017401785852</v>
      </c>
      <c r="AN113" s="255">
        <f t="shared" si="325"/>
        <v>-490.03315732663054</v>
      </c>
      <c r="AO113" s="255">
        <f t="shared" si="325"/>
        <v>-474.81566210965661</v>
      </c>
      <c r="AP113" s="255">
        <f t="shared" si="325"/>
        <v>-466.74766947363736</v>
      </c>
      <c r="AQ113" s="255">
        <f t="shared" si="325"/>
        <v>-461.34361335143046</v>
      </c>
      <c r="AR113" s="255">
        <f t="shared" si="325"/>
        <v>-455.57149372619773</v>
      </c>
      <c r="AS113" s="255">
        <f t="shared" si="325"/>
        <v>-453.74998158496106</v>
      </c>
      <c r="AT113" s="255">
        <f t="shared" si="325"/>
        <v>-452.44571285765954</v>
      </c>
      <c r="AU113" s="255">
        <f t="shared" si="325"/>
        <v>-451.22741268587731</v>
      </c>
      <c r="AV113" s="255">
        <f t="shared" si="325"/>
        <v>-462.46312767943903</v>
      </c>
      <c r="AW113" s="255">
        <f t="shared" si="325"/>
        <v>-470.34156577795062</v>
      </c>
      <c r="AX113" s="255">
        <f t="shared" si="325"/>
        <v>-478.58743750624495</v>
      </c>
      <c r="AY113" s="255">
        <f t="shared" si="325"/>
        <v>-486.67745143471336</v>
      </c>
      <c r="AZ113" s="255">
        <f t="shared" si="325"/>
        <v>-494.60637129126803</v>
      </c>
      <c r="BA113" s="255">
        <f t="shared" si="325"/>
        <v>-502.36891530915119</v>
      </c>
      <c r="BB113" s="255">
        <f t="shared" si="325"/>
        <v>-512.30468969283038</v>
      </c>
      <c r="BC113" s="255">
        <f t="shared" si="325"/>
        <v>-522.07073231028528</v>
      </c>
      <c r="BD113" s="255">
        <f t="shared" si="325"/>
        <v>-531.66174403897833</v>
      </c>
      <c r="BE113" s="255">
        <f t="shared" ref="BE113:CP113" si="326">SUM(BE111:BE112)</f>
        <v>-541.07229686714402</v>
      </c>
      <c r="BF113" s="255">
        <f t="shared" si="326"/>
        <v>-550.29683172899752</v>
      </c>
      <c r="BG113" s="255">
        <f t="shared" si="326"/>
        <v>-559.32970129228192</v>
      </c>
      <c r="BH113" s="255">
        <f t="shared" si="326"/>
        <v>-568.1650870162963</v>
      </c>
      <c r="BI113" s="255">
        <f t="shared" si="326"/>
        <v>-576.79709951320444</v>
      </c>
      <c r="BJ113" s="255">
        <f t="shared" si="326"/>
        <v>-585.21966143755287</v>
      </c>
      <c r="BK113" s="255">
        <f t="shared" si="326"/>
        <v>-593.42661280326877</v>
      </c>
      <c r="BL113" s="255">
        <f t="shared" si="326"/>
        <v>-601.41161682156098</v>
      </c>
      <c r="BM113" s="255">
        <f t="shared" si="326"/>
        <v>-609.16821396136675</v>
      </c>
      <c r="BN113" s="255">
        <f t="shared" si="326"/>
        <v>-616.68980139574398</v>
      </c>
      <c r="BO113" s="255">
        <f t="shared" si="326"/>
        <v>-623.96963602875826</v>
      </c>
      <c r="BP113" s="255">
        <f t="shared" si="326"/>
        <v>-631.00081934070363</v>
      </c>
      <c r="BQ113" s="255">
        <f t="shared" si="326"/>
        <v>-637.77629992662719</v>
      </c>
      <c r="BR113" s="255">
        <f t="shared" si="326"/>
        <v>-644.67836179855294</v>
      </c>
      <c r="BS113" s="255">
        <f t="shared" si="326"/>
        <v>-651.3651153650743</v>
      </c>
      <c r="BT113" s="255">
        <f t="shared" si="326"/>
        <v>-658.30811876343785</v>
      </c>
      <c r="BU113" s="255">
        <f t="shared" si="326"/>
        <v>-665.45692655905577</v>
      </c>
      <c r="BV113" s="255">
        <f t="shared" si="326"/>
        <v>-672.39150646454505</v>
      </c>
      <c r="BW113" s="255">
        <f t="shared" si="326"/>
        <v>-679.10634865347163</v>
      </c>
      <c r="BX113" s="255">
        <f t="shared" si="326"/>
        <v>-685.59584910893682</v>
      </c>
      <c r="BY113" s="255">
        <f t="shared" si="326"/>
        <v>-691.85429295581173</v>
      </c>
      <c r="BZ113" s="255">
        <f t="shared" si="326"/>
        <v>-697.87588739955686</v>
      </c>
      <c r="CA113" s="255">
        <f t="shared" si="326"/>
        <v>-703.65469979760564</v>
      </c>
      <c r="CB113" s="255">
        <f t="shared" si="326"/>
        <v>-709.18470409455585</v>
      </c>
      <c r="CC113" s="255">
        <f t="shared" si="326"/>
        <v>-714.45973690038727</v>
      </c>
      <c r="CD113" s="255">
        <f t="shared" si="326"/>
        <v>-719.52889233938117</v>
      </c>
      <c r="CE113" s="255">
        <f t="shared" si="326"/>
        <v>-724.99551933352973</v>
      </c>
      <c r="CF113" s="255">
        <f t="shared" si="326"/>
        <v>-730.20249207857023</v>
      </c>
      <c r="CG113" s="255">
        <f t="shared" si="326"/>
        <v>-735.14352355246683</v>
      </c>
      <c r="CH113" s="255">
        <f t="shared" si="326"/>
        <v>-739.81219346951048</v>
      </c>
      <c r="CI113" s="255">
        <f t="shared" si="326"/>
        <v>-750.97602010733863</v>
      </c>
      <c r="CJ113" s="255">
        <f t="shared" si="326"/>
        <v>-761.95679084285723</v>
      </c>
      <c r="CK113" s="255">
        <f t="shared" si="326"/>
        <v>-772.74911885204551</v>
      </c>
      <c r="CL113" s="255">
        <f t="shared" si="326"/>
        <v>-783.34751945203561</v>
      </c>
      <c r="CM113" s="255">
        <f t="shared" si="326"/>
        <v>-793.74640148929052</v>
      </c>
      <c r="CN113" s="255">
        <f t="shared" si="326"/>
        <v>-803.94004239537958</v>
      </c>
      <c r="CO113" s="255">
        <f t="shared" si="326"/>
        <v>-813.9225910041132</v>
      </c>
      <c r="CP113" s="255">
        <f t="shared" si="326"/>
        <v>-823.68805911634036</v>
      </c>
      <c r="CQ113" s="362" t="s">
        <v>77</v>
      </c>
      <c r="CR113" s="23"/>
      <c r="CS113" s="23"/>
      <c r="CT113" s="23"/>
      <c r="DB113" s="74" t="s">
        <v>551</v>
      </c>
      <c r="DC113" s="12"/>
      <c r="DD113" s="255">
        <f t="shared" ref="DD113:DI113" si="327">SUM(DD111:DD112)</f>
        <v>0</v>
      </c>
      <c r="DE113" s="255">
        <f t="shared" si="327"/>
        <v>0</v>
      </c>
      <c r="DF113" s="255">
        <f t="shared" si="327"/>
        <v>0</v>
      </c>
      <c r="DG113" s="255">
        <f t="shared" si="327"/>
        <v>0</v>
      </c>
      <c r="DH113" s="255">
        <f t="shared" si="327"/>
        <v>0</v>
      </c>
      <c r="DI113" s="255">
        <f t="shared" si="327"/>
        <v>0</v>
      </c>
      <c r="DJ113" s="255">
        <f t="shared" ref="DJ113:DQ113" si="328">SUM(DJ111:DJ112)</f>
        <v>-151.29400000000001</v>
      </c>
      <c r="DK113" s="255">
        <f t="shared" si="328"/>
        <v>-172.86799999999997</v>
      </c>
      <c r="DL113" s="255">
        <f t="shared" si="328"/>
        <v>-253.30699999999999</v>
      </c>
      <c r="DM113" s="255">
        <f t="shared" si="328"/>
        <v>-254.35100000000003</v>
      </c>
      <c r="DN113" s="255">
        <f t="shared" si="328"/>
        <v>-254.739</v>
      </c>
      <c r="DO113" s="255">
        <f t="shared" si="328"/>
        <v>-259.02800000000002</v>
      </c>
      <c r="DP113" s="255">
        <f t="shared" ref="DP113" si="329">SUM(DP111:DP112)</f>
        <v>-262.65299999999996</v>
      </c>
      <c r="DQ113" s="255">
        <f t="shared" si="328"/>
        <v>-248.92760764339607</v>
      </c>
      <c r="DR113" s="255"/>
      <c r="DS113" s="255"/>
      <c r="DU113" s="413" t="e">
        <f t="shared" si="227"/>
        <v>#DIV/0!</v>
      </c>
      <c r="DV113" s="413" t="e">
        <f t="shared" si="228"/>
        <v>#DIV/0!</v>
      </c>
      <c r="DW113" s="413"/>
      <c r="DX113" s="413">
        <f t="shared" si="302"/>
        <v>0.46672342840925224</v>
      </c>
      <c r="DY113" s="413">
        <f t="shared" si="274"/>
        <v>0.49897174869695737</v>
      </c>
      <c r="DZ113" s="413">
        <f t="shared" si="232"/>
        <v>0.49582592887437299</v>
      </c>
      <c r="EH113" s="411" t="b">
        <f t="shared" si="238"/>
        <v>1</v>
      </c>
      <c r="EI113" s="411" t="b">
        <f t="shared" si="239"/>
        <v>1</v>
      </c>
      <c r="EJ113" s="411" t="b">
        <f t="shared" si="233"/>
        <v>1</v>
      </c>
    </row>
    <row r="114" spans="1:140" ht="11.25" customHeight="1" outlineLevel="1" x14ac:dyDescent="0.2">
      <c r="A114" s="233"/>
      <c r="B114" s="1" t="s">
        <v>252</v>
      </c>
      <c r="D114" s="3"/>
      <c r="E114" s="3"/>
      <c r="F114" s="3"/>
      <c r="G114" s="3"/>
      <c r="H114" s="3"/>
      <c r="I114" s="3"/>
      <c r="J114" s="3"/>
      <c r="K114" s="3">
        <f t="shared" ref="K114:BD114" si="330">SUM(K107,K113)</f>
        <v>78.042000000000002</v>
      </c>
      <c r="L114" s="3">
        <f t="shared" si="330"/>
        <v>81.656999999999982</v>
      </c>
      <c r="M114" s="3">
        <f t="shared" si="330"/>
        <v>74.833999999999975</v>
      </c>
      <c r="N114" s="3">
        <f t="shared" si="330"/>
        <v>91.628999999999991</v>
      </c>
      <c r="O114" s="3">
        <f t="shared" si="330"/>
        <v>88.636000000000081</v>
      </c>
      <c r="P114" s="3">
        <f t="shared" si="330"/>
        <v>123.24300000000002</v>
      </c>
      <c r="Q114" s="3">
        <f t="shared" si="330"/>
        <v>90.529999999999973</v>
      </c>
      <c r="R114" s="3">
        <f t="shared" si="330"/>
        <v>154.69299999999998</v>
      </c>
      <c r="S114" s="3">
        <f t="shared" si="330"/>
        <v>225.1280000000001</v>
      </c>
      <c r="T114" s="33">
        <f t="shared" si="330"/>
        <v>215.90899999999993</v>
      </c>
      <c r="U114" s="33">
        <f t="shared" si="330"/>
        <v>288.89699999999999</v>
      </c>
      <c r="V114" s="33">
        <f t="shared" si="330"/>
        <v>301.97599999999989</v>
      </c>
      <c r="W114" s="33">
        <f t="shared" si="330"/>
        <v>386.33399999999961</v>
      </c>
      <c r="X114" s="33">
        <f t="shared" si="330"/>
        <v>403.48232497849352</v>
      </c>
      <c r="Y114" s="33">
        <f t="shared" si="330"/>
        <v>446.22078434585546</v>
      </c>
      <c r="Z114" s="33">
        <f t="shared" si="330"/>
        <v>503.01649423750541</v>
      </c>
      <c r="AA114" s="33">
        <f t="shared" si="330"/>
        <v>498.77398675140921</v>
      </c>
      <c r="AB114" s="33">
        <f t="shared" si="330"/>
        <v>481.65031600176906</v>
      </c>
      <c r="AC114" s="33">
        <f t="shared" si="330"/>
        <v>535.2147568963552</v>
      </c>
      <c r="AD114" s="33">
        <f t="shared" si="330"/>
        <v>590.52814524946723</v>
      </c>
      <c r="AE114" s="33">
        <f t="shared" si="330"/>
        <v>635.43319451105026</v>
      </c>
      <c r="AF114" s="33">
        <f t="shared" si="330"/>
        <v>659.21219025264509</v>
      </c>
      <c r="AG114" s="33">
        <f t="shared" si="330"/>
        <v>671.20079885754819</v>
      </c>
      <c r="AH114" s="33">
        <f t="shared" si="330"/>
        <v>711.9101586289737</v>
      </c>
      <c r="AI114" s="33">
        <f t="shared" si="330"/>
        <v>620.36748056221381</v>
      </c>
      <c r="AJ114" s="33">
        <f t="shared" si="330"/>
        <v>563.91868792526043</v>
      </c>
      <c r="AK114" s="33">
        <f t="shared" si="330"/>
        <v>561.66087832763048</v>
      </c>
      <c r="AL114" s="33">
        <f t="shared" si="330"/>
        <v>601.99124827577202</v>
      </c>
      <c r="AM114" s="33">
        <f t="shared" si="330"/>
        <v>641.23366076311618</v>
      </c>
      <c r="AN114" s="33">
        <f t="shared" si="330"/>
        <v>668.60316428945384</v>
      </c>
      <c r="AO114" s="33">
        <f t="shared" si="330"/>
        <v>666.07330675531784</v>
      </c>
      <c r="AP114" s="33">
        <f t="shared" si="330"/>
        <v>165.02780934293907</v>
      </c>
      <c r="AQ114" s="33">
        <f t="shared" si="330"/>
        <v>198.62393042578856</v>
      </c>
      <c r="AR114" s="33">
        <f t="shared" si="330"/>
        <v>120.93043322803391</v>
      </c>
      <c r="AS114" s="33">
        <f t="shared" si="330"/>
        <v>14.85811905159369</v>
      </c>
      <c r="AT114" s="33">
        <f t="shared" si="330"/>
        <v>7.3807585561910969</v>
      </c>
      <c r="AU114" s="33">
        <f t="shared" si="330"/>
        <v>33.049853500918175</v>
      </c>
      <c r="AV114" s="33">
        <f t="shared" si="330"/>
        <v>46.357938255368481</v>
      </c>
      <c r="AW114" s="33">
        <f t="shared" si="330"/>
        <v>18.536772283198161</v>
      </c>
      <c r="AX114" s="33">
        <f t="shared" si="330"/>
        <v>34.044811080217926</v>
      </c>
      <c r="AY114" s="33">
        <f t="shared" si="330"/>
        <v>49.842211880067111</v>
      </c>
      <c r="AZ114" s="33">
        <f t="shared" si="330"/>
        <v>65.954284271457936</v>
      </c>
      <c r="BA114" s="33">
        <f t="shared" si="330"/>
        <v>-91.228341382095039</v>
      </c>
      <c r="BB114" s="33">
        <f t="shared" si="330"/>
        <v>-80.77896003675437</v>
      </c>
      <c r="BC114" s="33">
        <f t="shared" si="330"/>
        <v>-70.038910629335248</v>
      </c>
      <c r="BD114" s="33">
        <f t="shared" si="330"/>
        <v>-58.984437871822138</v>
      </c>
      <c r="BE114" s="33">
        <f t="shared" ref="BE114:CP114" si="331">SUM(BE107,BE113)</f>
        <v>-47.59193054281576</v>
      </c>
      <c r="BF114" s="33">
        <f t="shared" si="331"/>
        <v>-35.840898490466657</v>
      </c>
      <c r="BG114" s="33">
        <f t="shared" si="331"/>
        <v>-23.705616544207487</v>
      </c>
      <c r="BH114" s="33">
        <f t="shared" si="331"/>
        <v>-11.16724559906163</v>
      </c>
      <c r="BI114" s="33">
        <f t="shared" si="331"/>
        <v>1.8005806498944139</v>
      </c>
      <c r="BJ114" s="33">
        <f t="shared" si="331"/>
        <v>15.21705917061297</v>
      </c>
      <c r="BK114" s="33">
        <f t="shared" si="331"/>
        <v>29.107425106400683</v>
      </c>
      <c r="BL114" s="33">
        <f t="shared" si="331"/>
        <v>43.493178056280726</v>
      </c>
      <c r="BM114" s="33">
        <f t="shared" si="331"/>
        <v>58.397015329539386</v>
      </c>
      <c r="BN114" s="33">
        <f t="shared" si="331"/>
        <v>73.841292959390444</v>
      </c>
      <c r="BO114" s="33">
        <f t="shared" si="331"/>
        <v>89.849246751520468</v>
      </c>
      <c r="BP114" s="33">
        <f t="shared" si="331"/>
        <v>106.44383934336702</v>
      </c>
      <c r="BQ114" s="33">
        <f t="shared" si="331"/>
        <v>123.64816589760801</v>
      </c>
      <c r="BR114" s="33">
        <f t="shared" si="331"/>
        <v>141.09521977875943</v>
      </c>
      <c r="BS114" s="33">
        <f t="shared" si="331"/>
        <v>118.87412121007162</v>
      </c>
      <c r="BT114" s="33">
        <f t="shared" si="331"/>
        <v>100.44514805641234</v>
      </c>
      <c r="BU114" s="33">
        <f t="shared" si="331"/>
        <v>117.06690733284415</v>
      </c>
      <c r="BV114" s="33">
        <f t="shared" si="331"/>
        <v>134.29602188073636</v>
      </c>
      <c r="BW114" s="33">
        <f t="shared" si="331"/>
        <v>152.15290694544035</v>
      </c>
      <c r="BX114" s="33">
        <f t="shared" si="331"/>
        <v>170.6592712517745</v>
      </c>
      <c r="BY114" s="33">
        <f t="shared" si="331"/>
        <v>189.83396172178675</v>
      </c>
      <c r="BZ114" s="33">
        <f t="shared" si="331"/>
        <v>209.70093688408235</v>
      </c>
      <c r="CA114" s="33">
        <f t="shared" si="331"/>
        <v>230.28020965436076</v>
      </c>
      <c r="CB114" s="33">
        <f t="shared" si="331"/>
        <v>251.59542225123164</v>
      </c>
      <c r="CC114" s="33">
        <f t="shared" si="331"/>
        <v>268.99553278738495</v>
      </c>
      <c r="CD114" s="33">
        <f t="shared" si="331"/>
        <v>235.64989852758868</v>
      </c>
      <c r="CE114" s="33">
        <f t="shared" si="331"/>
        <v>257.16784871493746</v>
      </c>
      <c r="CF114" s="33">
        <f t="shared" si="331"/>
        <v>279.46180663577843</v>
      </c>
      <c r="CG114" s="33">
        <f t="shared" si="331"/>
        <v>302.55454144908185</v>
      </c>
      <c r="CH114" s="33">
        <f t="shared" si="331"/>
        <v>-193.69440468609901</v>
      </c>
      <c r="CI114" s="33">
        <f t="shared" si="331"/>
        <v>-187.74552509031719</v>
      </c>
      <c r="CJ114" s="33">
        <f t="shared" si="331"/>
        <v>-181.3096401711631</v>
      </c>
      <c r="CK114" s="33">
        <f t="shared" si="331"/>
        <v>-174.37246985794263</v>
      </c>
      <c r="CL114" s="33">
        <f t="shared" si="331"/>
        <v>-166.91916229467381</v>
      </c>
      <c r="CM114" s="33">
        <f t="shared" si="331"/>
        <v>-158.9331921621656</v>
      </c>
      <c r="CN114" s="33">
        <f t="shared" si="331"/>
        <v>-150.39818243114132</v>
      </c>
      <c r="CO114" s="33">
        <f t="shared" si="331"/>
        <v>-141.29715313542499</v>
      </c>
      <c r="CP114" s="33">
        <f t="shared" si="331"/>
        <v>-162.39123224612581</v>
      </c>
      <c r="CQ114" s="362" t="s">
        <v>77</v>
      </c>
      <c r="CR114" s="358" t="s">
        <v>417</v>
      </c>
      <c r="CS114" s="416"/>
      <c r="CT114" s="416"/>
      <c r="DB114" s="1" t="s">
        <v>252</v>
      </c>
      <c r="DD114" s="3">
        <f t="shared" ref="DD114:DI114" si="332">SUM(DD107,DD113)</f>
        <v>206.202</v>
      </c>
      <c r="DE114" s="3">
        <f t="shared" si="332"/>
        <v>199.08199999999999</v>
      </c>
      <c r="DF114" s="3">
        <f t="shared" si="332"/>
        <v>260.70099999999996</v>
      </c>
      <c r="DG114" s="3">
        <f t="shared" si="332"/>
        <v>255.34299999999996</v>
      </c>
      <c r="DH114" s="3">
        <f t="shared" si="332"/>
        <v>329.47100000000006</v>
      </c>
      <c r="DI114" s="3">
        <f t="shared" si="332"/>
        <v>284.05800000000005</v>
      </c>
      <c r="DJ114" s="3">
        <f t="shared" ref="DJ114:DQ114" si="333">SUM(DJ107,DJ113)</f>
        <v>161.55999999999992</v>
      </c>
      <c r="DK114" s="3">
        <f t="shared" si="333"/>
        <v>127.33700000000002</v>
      </c>
      <c r="DL114" s="3">
        <f t="shared" si="333"/>
        <v>163.77900000000002</v>
      </c>
      <c r="DM114" s="3">
        <f t="shared" si="333"/>
        <v>138.19699999999997</v>
      </c>
      <c r="DN114" s="3">
        <f t="shared" si="333"/>
        <v>222.96000000000012</v>
      </c>
      <c r="DO114" s="3">
        <f t="shared" si="333"/>
        <v>163.3739999999998</v>
      </c>
      <c r="DP114" s="3">
        <f t="shared" ref="DP114" si="334">SUM(DP107,DP113)</f>
        <v>203.48299999999989</v>
      </c>
      <c r="DQ114" s="3">
        <f t="shared" si="333"/>
        <v>199.99932497849346</v>
      </c>
      <c r="DR114" s="3"/>
      <c r="DS114" s="3"/>
      <c r="DU114" s="413">
        <f t="shared" si="227"/>
        <v>0.50878396383770397</v>
      </c>
      <c r="DV114" s="413">
        <f t="shared" si="228"/>
        <v>0.50519141778608034</v>
      </c>
      <c r="DW114" s="413">
        <f>+(DH114/(DH114+DI114))</f>
        <v>0.53700966050504539</v>
      </c>
      <c r="DX114" s="413">
        <f>+(DJ114/(DJ114+DK114))</f>
        <v>0.55923045237576008</v>
      </c>
      <c r="DY114" s="413">
        <f>+(DL114/(DL114+DM114))</f>
        <v>0.54235767080827624</v>
      </c>
      <c r="DZ114" s="413">
        <f t="shared" si="232"/>
        <v>0.57711720946124379</v>
      </c>
      <c r="EH114" s="411" t="b">
        <f t="shared" si="238"/>
        <v>1</v>
      </c>
      <c r="EI114" s="411" t="b">
        <f t="shared" si="239"/>
        <v>1</v>
      </c>
      <c r="EJ114" s="411" t="b">
        <f t="shared" si="233"/>
        <v>1</v>
      </c>
    </row>
    <row r="115" spans="1:140" s="98" customFormat="1" ht="11.25" customHeight="1" outlineLevel="1" x14ac:dyDescent="0.2">
      <c r="B115" s="11" t="s">
        <v>249</v>
      </c>
      <c r="C115" s="12"/>
      <c r="D115" s="52"/>
      <c r="E115" s="52"/>
      <c r="F115" s="52"/>
      <c r="G115" s="52"/>
      <c r="H115" s="52"/>
      <c r="I115" s="52"/>
      <c r="J115" s="52"/>
      <c r="K115" s="52">
        <v>0</v>
      </c>
      <c r="L115" s="52">
        <v>0</v>
      </c>
      <c r="M115" s="52">
        <v>0</v>
      </c>
      <c r="N115" s="52">
        <v>0</v>
      </c>
      <c r="O115" s="52">
        <v>0</v>
      </c>
      <c r="P115" s="52">
        <v>0</v>
      </c>
      <c r="Q115" s="52">
        <v>0</v>
      </c>
      <c r="R115" s="52">
        <v>0</v>
      </c>
      <c r="S115" s="52">
        <v>8.7129999999999992</v>
      </c>
      <c r="T115" s="438">
        <v>0</v>
      </c>
      <c r="U115" s="438">
        <v>0</v>
      </c>
      <c r="V115" s="438">
        <v>0</v>
      </c>
      <c r="W115" s="438">
        <v>0</v>
      </c>
      <c r="X115" s="150">
        <v>0</v>
      </c>
      <c r="Y115" s="150">
        <v>0</v>
      </c>
      <c r="Z115" s="150">
        <v>0</v>
      </c>
      <c r="AA115" s="150">
        <v>0</v>
      </c>
      <c r="AB115" s="150">
        <v>0</v>
      </c>
      <c r="AC115" s="150">
        <v>0</v>
      </c>
      <c r="AD115" s="150">
        <v>0</v>
      </c>
      <c r="AE115" s="150">
        <v>0</v>
      </c>
      <c r="AF115" s="150">
        <v>0</v>
      </c>
      <c r="AG115" s="150">
        <v>0</v>
      </c>
      <c r="AH115" s="150">
        <v>0</v>
      </c>
      <c r="AI115" s="150">
        <v>0</v>
      </c>
      <c r="AJ115" s="150">
        <v>0</v>
      </c>
      <c r="AK115" s="150">
        <v>0</v>
      </c>
      <c r="AL115" s="150">
        <v>0</v>
      </c>
      <c r="AM115" s="150">
        <v>0</v>
      </c>
      <c r="AN115" s="150">
        <v>0</v>
      </c>
      <c r="AO115" s="150">
        <v>0</v>
      </c>
      <c r="AP115" s="150">
        <v>0</v>
      </c>
      <c r="AQ115" s="150">
        <v>0</v>
      </c>
      <c r="AR115" s="150">
        <v>0</v>
      </c>
      <c r="AS115" s="150">
        <v>0</v>
      </c>
      <c r="AT115" s="150">
        <v>0</v>
      </c>
      <c r="AU115" s="150">
        <v>0</v>
      </c>
      <c r="AV115" s="150">
        <v>0</v>
      </c>
      <c r="AW115" s="150">
        <v>0</v>
      </c>
      <c r="AX115" s="150">
        <v>0</v>
      </c>
      <c r="AY115" s="150">
        <v>0</v>
      </c>
      <c r="AZ115" s="150">
        <v>0</v>
      </c>
      <c r="BA115" s="150">
        <v>0</v>
      </c>
      <c r="BB115" s="150">
        <v>0</v>
      </c>
      <c r="BC115" s="150">
        <v>0</v>
      </c>
      <c r="BD115" s="150">
        <v>0</v>
      </c>
      <c r="BE115" s="150">
        <v>0</v>
      </c>
      <c r="BF115" s="150">
        <v>0</v>
      </c>
      <c r="BG115" s="150">
        <v>0</v>
      </c>
      <c r="BH115" s="150">
        <v>0</v>
      </c>
      <c r="BI115" s="150">
        <v>0</v>
      </c>
      <c r="BJ115" s="150">
        <v>0</v>
      </c>
      <c r="BK115" s="150">
        <v>0</v>
      </c>
      <c r="BL115" s="150">
        <v>0</v>
      </c>
      <c r="BM115" s="150">
        <v>0</v>
      </c>
      <c r="BN115" s="150">
        <v>0</v>
      </c>
      <c r="BO115" s="150">
        <v>0</v>
      </c>
      <c r="BP115" s="150">
        <v>0</v>
      </c>
      <c r="BQ115" s="150">
        <v>0</v>
      </c>
      <c r="BR115" s="150">
        <v>0</v>
      </c>
      <c r="BS115" s="150">
        <v>0</v>
      </c>
      <c r="BT115" s="150">
        <v>0</v>
      </c>
      <c r="BU115" s="150">
        <v>0</v>
      </c>
      <c r="BV115" s="150">
        <v>0</v>
      </c>
      <c r="BW115" s="150">
        <v>0</v>
      </c>
      <c r="BX115" s="150">
        <v>0</v>
      </c>
      <c r="BY115" s="150">
        <v>0</v>
      </c>
      <c r="BZ115" s="150">
        <v>0</v>
      </c>
      <c r="CA115" s="150">
        <v>0</v>
      </c>
      <c r="CB115" s="150">
        <v>0</v>
      </c>
      <c r="CC115" s="150">
        <v>0</v>
      </c>
      <c r="CD115" s="150">
        <v>0</v>
      </c>
      <c r="CE115" s="150">
        <v>0</v>
      </c>
      <c r="CF115" s="150">
        <v>0</v>
      </c>
      <c r="CG115" s="150">
        <v>0</v>
      </c>
      <c r="CH115" s="150">
        <v>0</v>
      </c>
      <c r="CI115" s="150">
        <v>0</v>
      </c>
      <c r="CJ115" s="150">
        <v>0</v>
      </c>
      <c r="CK115" s="150">
        <v>0</v>
      </c>
      <c r="CL115" s="150">
        <v>0</v>
      </c>
      <c r="CM115" s="150">
        <v>0</v>
      </c>
      <c r="CN115" s="150">
        <v>0</v>
      </c>
      <c r="CO115" s="150">
        <v>0</v>
      </c>
      <c r="CP115" s="150">
        <v>0</v>
      </c>
      <c r="CQ115" s="362" t="s">
        <v>77</v>
      </c>
      <c r="CR115" s="418">
        <v>346</v>
      </c>
      <c r="CS115" s="418">
        <v>350</v>
      </c>
      <c r="CT115" s="418">
        <v>397</v>
      </c>
      <c r="CU115"/>
      <c r="CV115"/>
      <c r="CW115"/>
      <c r="CX115"/>
      <c r="CY115"/>
      <c r="CZ115"/>
      <c r="DB115" s="11" t="s">
        <v>249</v>
      </c>
      <c r="DC115" s="12"/>
      <c r="DD115" s="52">
        <v>0</v>
      </c>
      <c r="DE115" s="23">
        <f>+R115-DD115</f>
        <v>0</v>
      </c>
      <c r="DF115" s="52">
        <v>8.7129999999999992</v>
      </c>
      <c r="DG115" s="23">
        <f>+S115-DF115</f>
        <v>0</v>
      </c>
      <c r="DH115" s="52">
        <v>0</v>
      </c>
      <c r="DI115" s="23">
        <f>+U115-DH115</f>
        <v>0</v>
      </c>
      <c r="DJ115" s="52">
        <v>0</v>
      </c>
      <c r="DK115" s="23">
        <f>+W115-DJ115</f>
        <v>0</v>
      </c>
      <c r="DL115" s="52">
        <v>0</v>
      </c>
      <c r="DM115" s="23">
        <f>+Y115-DL115</f>
        <v>0</v>
      </c>
      <c r="DN115" s="52">
        <v>0</v>
      </c>
      <c r="DO115" s="23">
        <f>W115-DN115</f>
        <v>0</v>
      </c>
      <c r="DP115" s="52">
        <v>0</v>
      </c>
      <c r="DQ115" s="23">
        <f t="shared" ref="DQ115" si="335">Y115-DP115</f>
        <v>0</v>
      </c>
      <c r="DR115" s="23"/>
      <c r="DS115" s="23"/>
      <c r="DU115" s="413"/>
      <c r="DV115" s="413"/>
      <c r="DW115" s="413"/>
      <c r="DX115" s="413"/>
      <c r="DY115" s="431"/>
      <c r="DZ115" s="413"/>
      <c r="EH115" s="411" t="b">
        <f t="shared" si="238"/>
        <v>1</v>
      </c>
      <c r="EI115" s="411" t="b">
        <f t="shared" si="239"/>
        <v>1</v>
      </c>
      <c r="EJ115" s="411" t="b">
        <f t="shared" si="233"/>
        <v>1</v>
      </c>
    </row>
    <row r="116" spans="1:140" ht="11.25" customHeight="1" outlineLevel="1" x14ac:dyDescent="0.2">
      <c r="B116" s="1" t="s">
        <v>253</v>
      </c>
      <c r="D116" s="3"/>
      <c r="E116" s="3"/>
      <c r="F116" s="3"/>
      <c r="G116" s="3"/>
      <c r="H116" s="3"/>
      <c r="I116" s="3"/>
      <c r="J116" s="3"/>
      <c r="K116" s="3">
        <f t="shared" ref="K116:BD116" si="336">SUM(K113,K109,K115)</f>
        <v>56.512000000000015</v>
      </c>
      <c r="L116" s="3">
        <f t="shared" si="336"/>
        <v>73.618999999999971</v>
      </c>
      <c r="M116" s="3">
        <f t="shared" si="336"/>
        <v>63.733999999999952</v>
      </c>
      <c r="N116" s="3">
        <f t="shared" si="336"/>
        <v>85.6</v>
      </c>
      <c r="O116" s="3">
        <f t="shared" si="336"/>
        <v>109.76900000000006</v>
      </c>
      <c r="P116" s="3">
        <f t="shared" si="336"/>
        <v>123.24300000000002</v>
      </c>
      <c r="Q116" s="3">
        <f t="shared" si="336"/>
        <v>128.16399999999999</v>
      </c>
      <c r="R116" s="3">
        <f t="shared" si="336"/>
        <v>165.18499999999995</v>
      </c>
      <c r="S116" s="3">
        <f t="shared" si="336"/>
        <v>356.13700000000017</v>
      </c>
      <c r="T116" s="33">
        <f t="shared" si="336"/>
        <v>266.02199999999999</v>
      </c>
      <c r="U116" s="33">
        <f t="shared" si="336"/>
        <v>737.12799999999993</v>
      </c>
      <c r="V116" s="33">
        <f t="shared" si="336"/>
        <v>301.97599999999989</v>
      </c>
      <c r="W116" s="33">
        <f t="shared" si="336"/>
        <v>386.33399999999961</v>
      </c>
      <c r="X116" s="33">
        <f t="shared" si="336"/>
        <v>403.48232497849352</v>
      </c>
      <c r="Y116" s="33">
        <f t="shared" si="336"/>
        <v>446.22078434585546</v>
      </c>
      <c r="Z116" s="33">
        <f t="shared" si="336"/>
        <v>503.01649423750541</v>
      </c>
      <c r="AA116" s="33">
        <f t="shared" si="336"/>
        <v>498.77398675140921</v>
      </c>
      <c r="AB116" s="33">
        <f t="shared" si="336"/>
        <v>481.65031600176906</v>
      </c>
      <c r="AC116" s="33">
        <f t="shared" si="336"/>
        <v>535.2147568963552</v>
      </c>
      <c r="AD116" s="33">
        <f t="shared" si="336"/>
        <v>590.52814524946723</v>
      </c>
      <c r="AE116" s="33">
        <f t="shared" si="336"/>
        <v>635.43319451105026</v>
      </c>
      <c r="AF116" s="33">
        <f t="shared" si="336"/>
        <v>659.21219025264509</v>
      </c>
      <c r="AG116" s="33">
        <f t="shared" si="336"/>
        <v>671.20079885754819</v>
      </c>
      <c r="AH116" s="33">
        <f t="shared" si="336"/>
        <v>711.9101586289737</v>
      </c>
      <c r="AI116" s="33">
        <f t="shared" si="336"/>
        <v>620.36748056221381</v>
      </c>
      <c r="AJ116" s="33">
        <f t="shared" si="336"/>
        <v>563.91868792526043</v>
      </c>
      <c r="AK116" s="33">
        <f t="shared" si="336"/>
        <v>561.66087832763048</v>
      </c>
      <c r="AL116" s="33">
        <f t="shared" si="336"/>
        <v>601.99124827577202</v>
      </c>
      <c r="AM116" s="33">
        <f t="shared" si="336"/>
        <v>641.23366076311618</v>
      </c>
      <c r="AN116" s="33">
        <f t="shared" si="336"/>
        <v>668.60316428945384</v>
      </c>
      <c r="AO116" s="33">
        <f t="shared" si="336"/>
        <v>666.07330675531784</v>
      </c>
      <c r="AP116" s="33">
        <f>SUM(AP113,AP109,AP115)</f>
        <v>165.02780934293907</v>
      </c>
      <c r="AQ116" s="33">
        <f t="shared" si="336"/>
        <v>198.62393042578856</v>
      </c>
      <c r="AR116" s="33">
        <f t="shared" si="336"/>
        <v>120.93043322803391</v>
      </c>
      <c r="AS116" s="33">
        <f t="shared" si="336"/>
        <v>14.85811905159369</v>
      </c>
      <c r="AT116" s="33">
        <f t="shared" si="336"/>
        <v>7.3807585561910969</v>
      </c>
      <c r="AU116" s="33">
        <f t="shared" si="336"/>
        <v>33.049853500918175</v>
      </c>
      <c r="AV116" s="33">
        <f t="shared" si="336"/>
        <v>46.357938255368481</v>
      </c>
      <c r="AW116" s="33">
        <f t="shared" si="336"/>
        <v>18.536772283198161</v>
      </c>
      <c r="AX116" s="33">
        <f t="shared" si="336"/>
        <v>34.044811080217926</v>
      </c>
      <c r="AY116" s="33">
        <f t="shared" si="336"/>
        <v>49.842211880067111</v>
      </c>
      <c r="AZ116" s="33">
        <f t="shared" si="336"/>
        <v>65.954284271457936</v>
      </c>
      <c r="BA116" s="33">
        <f t="shared" si="336"/>
        <v>-91.228341382095039</v>
      </c>
      <c r="BB116" s="33">
        <f t="shared" si="336"/>
        <v>-80.77896003675437</v>
      </c>
      <c r="BC116" s="33">
        <f t="shared" si="336"/>
        <v>-70.038910629335248</v>
      </c>
      <c r="BD116" s="33">
        <f t="shared" si="336"/>
        <v>-58.984437871822138</v>
      </c>
      <c r="BE116" s="33">
        <f t="shared" ref="BE116:CP116" si="337">SUM(BE113,BE109,BE115)</f>
        <v>-47.59193054281576</v>
      </c>
      <c r="BF116" s="33">
        <f t="shared" si="337"/>
        <v>-35.840898490466657</v>
      </c>
      <c r="BG116" s="33">
        <f t="shared" si="337"/>
        <v>-23.705616544207487</v>
      </c>
      <c r="BH116" s="33">
        <f t="shared" si="337"/>
        <v>-11.16724559906163</v>
      </c>
      <c r="BI116" s="33">
        <f t="shared" si="337"/>
        <v>1.8005806498944139</v>
      </c>
      <c r="BJ116" s="33">
        <f t="shared" si="337"/>
        <v>15.21705917061297</v>
      </c>
      <c r="BK116" s="33">
        <f t="shared" si="337"/>
        <v>29.107425106400683</v>
      </c>
      <c r="BL116" s="33">
        <f t="shared" si="337"/>
        <v>43.493178056280726</v>
      </c>
      <c r="BM116" s="33">
        <f t="shared" si="337"/>
        <v>58.397015329539386</v>
      </c>
      <c r="BN116" s="33">
        <f t="shared" si="337"/>
        <v>73.841292959390444</v>
      </c>
      <c r="BO116" s="33">
        <f t="shared" si="337"/>
        <v>89.849246751520468</v>
      </c>
      <c r="BP116" s="33">
        <f t="shared" si="337"/>
        <v>106.44383934336702</v>
      </c>
      <c r="BQ116" s="33">
        <f t="shared" si="337"/>
        <v>123.64816589760801</v>
      </c>
      <c r="BR116" s="33">
        <f t="shared" si="337"/>
        <v>141.09521977875943</v>
      </c>
      <c r="BS116" s="33">
        <f t="shared" si="337"/>
        <v>118.87412121007162</v>
      </c>
      <c r="BT116" s="33">
        <f t="shared" si="337"/>
        <v>100.44514805641234</v>
      </c>
      <c r="BU116" s="33">
        <f t="shared" si="337"/>
        <v>117.06690733284415</v>
      </c>
      <c r="BV116" s="33">
        <f t="shared" si="337"/>
        <v>134.29602188073636</v>
      </c>
      <c r="BW116" s="33">
        <f t="shared" si="337"/>
        <v>152.15290694544035</v>
      </c>
      <c r="BX116" s="33">
        <f t="shared" si="337"/>
        <v>170.6592712517745</v>
      </c>
      <c r="BY116" s="33">
        <f t="shared" si="337"/>
        <v>189.83396172178675</v>
      </c>
      <c r="BZ116" s="33">
        <f t="shared" si="337"/>
        <v>209.70093688408235</v>
      </c>
      <c r="CA116" s="33">
        <f t="shared" si="337"/>
        <v>230.28020965436076</v>
      </c>
      <c r="CB116" s="33">
        <f t="shared" si="337"/>
        <v>251.59542225123164</v>
      </c>
      <c r="CC116" s="33">
        <f t="shared" si="337"/>
        <v>268.99553278738495</v>
      </c>
      <c r="CD116" s="33">
        <f t="shared" si="337"/>
        <v>235.64989852758868</v>
      </c>
      <c r="CE116" s="33">
        <f t="shared" si="337"/>
        <v>257.16784871493746</v>
      </c>
      <c r="CF116" s="33">
        <f t="shared" si="337"/>
        <v>279.46180663577843</v>
      </c>
      <c r="CG116" s="33">
        <f t="shared" si="337"/>
        <v>302.55454144908185</v>
      </c>
      <c r="CH116" s="33">
        <f t="shared" si="337"/>
        <v>-193.69440468609901</v>
      </c>
      <c r="CI116" s="33">
        <f t="shared" si="337"/>
        <v>-187.74552509031719</v>
      </c>
      <c r="CJ116" s="33">
        <f t="shared" si="337"/>
        <v>-181.3096401711631</v>
      </c>
      <c r="CK116" s="33">
        <f t="shared" si="337"/>
        <v>-174.37246985794263</v>
      </c>
      <c r="CL116" s="33">
        <f t="shared" si="337"/>
        <v>-166.91916229467381</v>
      </c>
      <c r="CM116" s="33">
        <f t="shared" si="337"/>
        <v>-158.9331921621656</v>
      </c>
      <c r="CN116" s="33">
        <f t="shared" si="337"/>
        <v>-150.39818243114132</v>
      </c>
      <c r="CO116" s="33">
        <f t="shared" si="337"/>
        <v>-141.29715313542499</v>
      </c>
      <c r="CP116" s="33">
        <f t="shared" si="337"/>
        <v>-162.39123224612581</v>
      </c>
      <c r="CQ116" s="362" t="s">
        <v>77</v>
      </c>
      <c r="CR116" s="41">
        <v>387</v>
      </c>
      <c r="CS116" s="41">
        <v>427</v>
      </c>
      <c r="CT116" s="41">
        <v>496</v>
      </c>
      <c r="DB116" s="1" t="s">
        <v>253</v>
      </c>
      <c r="DD116" s="3">
        <f t="shared" ref="DD116:DI116" si="338">SUM(DD113,DD109,DD115)</f>
        <v>215.10899999999998</v>
      </c>
      <c r="DE116" s="3">
        <f t="shared" si="338"/>
        <v>200.66699999999997</v>
      </c>
      <c r="DF116" s="3">
        <f t="shared" si="338"/>
        <v>368.60500000000002</v>
      </c>
      <c r="DG116" s="3">
        <f t="shared" si="338"/>
        <v>278.44799999999998</v>
      </c>
      <c r="DH116" s="3">
        <f t="shared" si="338"/>
        <v>329.47100000000006</v>
      </c>
      <c r="DI116" s="3">
        <f t="shared" si="338"/>
        <v>334.17100000000005</v>
      </c>
      <c r="DJ116" s="3">
        <f t="shared" ref="DJ116:DO116" si="339">SUM(DJ113,DJ109,DJ115)</f>
        <v>609.79200000000003</v>
      </c>
      <c r="DK116" s="3">
        <f t="shared" si="339"/>
        <v>127.33600000000004</v>
      </c>
      <c r="DL116" s="3">
        <f t="shared" si="339"/>
        <v>163.77900000000002</v>
      </c>
      <c r="DM116" s="3">
        <f t="shared" si="339"/>
        <v>138.19699999999997</v>
      </c>
      <c r="DN116" s="3">
        <f t="shared" si="339"/>
        <v>222.96000000000012</v>
      </c>
      <c r="DO116" s="3">
        <f t="shared" si="339"/>
        <v>163.3739999999998</v>
      </c>
      <c r="DP116" s="3">
        <f t="shared" ref="DP116" si="340">SUM(DP113,DP109,DP115)</f>
        <v>203.48299999999989</v>
      </c>
      <c r="DQ116" s="3">
        <f t="shared" ref="DQ116" si="341">SUM(DQ113,DQ109,DQ115)</f>
        <v>199.99932497849346</v>
      </c>
      <c r="DR116" s="3"/>
      <c r="DS116" s="3"/>
      <c r="DU116" s="413">
        <f t="shared" si="227"/>
        <v>0.51736752482105752</v>
      </c>
      <c r="DV116" s="413">
        <f t="shared" si="228"/>
        <v>0.56966739973387037</v>
      </c>
      <c r="DW116" s="413">
        <f t="shared" si="229"/>
        <v>0.49645893418439463</v>
      </c>
      <c r="DX116" s="413">
        <f t="shared" si="302"/>
        <v>0.82725388263639421</v>
      </c>
      <c r="DY116" s="413">
        <f>+(DL116/(DL116+DM116))</f>
        <v>0.54235767080827624</v>
      </c>
      <c r="DZ116" s="413">
        <f t="shared" si="232"/>
        <v>0.57711720946124379</v>
      </c>
      <c r="EH116" s="411" t="b">
        <f t="shared" si="238"/>
        <v>1</v>
      </c>
      <c r="EI116" s="411" t="b">
        <f t="shared" si="239"/>
        <v>1</v>
      </c>
      <c r="EJ116" s="411" t="b">
        <f t="shared" si="233"/>
        <v>1</v>
      </c>
    </row>
    <row r="117" spans="1:140" ht="11.25" customHeight="1" outlineLevel="1" x14ac:dyDescent="0.2">
      <c r="B117" s="8" t="s">
        <v>375</v>
      </c>
      <c r="D117" s="52"/>
      <c r="E117" s="52"/>
      <c r="F117" s="52"/>
      <c r="G117" s="52"/>
      <c r="H117" s="52"/>
      <c r="I117" s="52"/>
      <c r="J117" s="52"/>
      <c r="K117" s="52">
        <f>53.306</f>
        <v>53.305999999999997</v>
      </c>
      <c r="L117" s="55">
        <f>-19.514</f>
        <v>-19.513999999999999</v>
      </c>
      <c r="M117" s="55">
        <f>-22.47</f>
        <v>-22.47</v>
      </c>
      <c r="N117" s="55">
        <f>-22.958</f>
        <v>-22.957999999999998</v>
      </c>
      <c r="O117" s="55">
        <f>-35.882</f>
        <v>-35.881999999999998</v>
      </c>
      <c r="P117" s="55">
        <f>-38.672</f>
        <v>-38.671999999999997</v>
      </c>
      <c r="Q117" s="55">
        <f>-35.862</f>
        <v>-35.862000000000002</v>
      </c>
      <c r="R117" s="55">
        <f>-50.435</f>
        <v>-50.435000000000002</v>
      </c>
      <c r="S117" s="55">
        <v>-51.420999999999999</v>
      </c>
      <c r="T117" s="438">
        <v>77.683999999999997</v>
      </c>
      <c r="U117" s="438">
        <v>-177.19800000000001</v>
      </c>
      <c r="V117" s="438">
        <v>-122.524</v>
      </c>
      <c r="W117" s="438">
        <v>-149.488</v>
      </c>
      <c r="X117" s="274">
        <f>-X116*X120</f>
        <v>-121.04469749354806</v>
      </c>
      <c r="Y117" s="274">
        <f>-Y116*Y120</f>
        <v>-133.86623530375664</v>
      </c>
      <c r="Z117" s="274">
        <f t="shared" ref="Z117:BD117" si="342">-Z116*Z120</f>
        <v>-150.90494827125161</v>
      </c>
      <c r="AA117" s="274">
        <f t="shared" si="342"/>
        <v>-149.63219602542276</v>
      </c>
      <c r="AB117" s="274">
        <f>-AB116*AB120</f>
        <v>-144.49509480053072</v>
      </c>
      <c r="AC117" s="274">
        <f t="shared" si="342"/>
        <v>-160.56442706890655</v>
      </c>
      <c r="AD117" s="274">
        <f t="shared" si="342"/>
        <v>-177.15844357484016</v>
      </c>
      <c r="AE117" s="274">
        <f t="shared" si="342"/>
        <v>-190.62995835331506</v>
      </c>
      <c r="AF117" s="274">
        <f t="shared" si="342"/>
        <v>-197.76365707579353</v>
      </c>
      <c r="AG117" s="274">
        <f t="shared" si="342"/>
        <v>-201.36023965726446</v>
      </c>
      <c r="AH117" s="274">
        <f t="shared" si="342"/>
        <v>-213.57304758869211</v>
      </c>
      <c r="AI117" s="274">
        <f t="shared" si="342"/>
        <v>-186.11024416866414</v>
      </c>
      <c r="AJ117" s="274">
        <f t="shared" si="342"/>
        <v>-169.17560637757813</v>
      </c>
      <c r="AK117" s="274">
        <f t="shared" si="342"/>
        <v>-168.49826349828913</v>
      </c>
      <c r="AL117" s="274">
        <f t="shared" si="342"/>
        <v>-180.5973744827316</v>
      </c>
      <c r="AM117" s="274">
        <f t="shared" si="342"/>
        <v>-192.37009822893484</v>
      </c>
      <c r="AN117" s="274">
        <f t="shared" si="342"/>
        <v>-200.58094928683616</v>
      </c>
      <c r="AO117" s="274">
        <f t="shared" si="342"/>
        <v>-199.82199202659535</v>
      </c>
      <c r="AP117" s="274">
        <f>-AP116*AP120</f>
        <v>-49.508342802881721</v>
      </c>
      <c r="AQ117" s="274">
        <f t="shared" si="342"/>
        <v>-59.587179127736562</v>
      </c>
      <c r="AR117" s="274">
        <f t="shared" si="342"/>
        <v>-36.279129968410167</v>
      </c>
      <c r="AS117" s="274">
        <f t="shared" si="342"/>
        <v>-4.4574357154781064</v>
      </c>
      <c r="AT117" s="274">
        <f t="shared" si="342"/>
        <v>-2.2142275668573288</v>
      </c>
      <c r="AU117" s="274">
        <f t="shared" si="342"/>
        <v>-9.9149560502754515</v>
      </c>
      <c r="AV117" s="274">
        <f t="shared" si="342"/>
        <v>-13.907381476610544</v>
      </c>
      <c r="AW117" s="274">
        <f t="shared" si="342"/>
        <v>-5.5610316849594481</v>
      </c>
      <c r="AX117" s="274">
        <f t="shared" si="342"/>
        <v>-10.213443324065377</v>
      </c>
      <c r="AY117" s="274">
        <f t="shared" si="342"/>
        <v>-14.952663564020133</v>
      </c>
      <c r="AZ117" s="274">
        <f t="shared" si="342"/>
        <v>-19.78628528143738</v>
      </c>
      <c r="BA117" s="274">
        <f t="shared" si="342"/>
        <v>27.368502414628512</v>
      </c>
      <c r="BB117" s="274">
        <f t="shared" si="342"/>
        <v>24.23368801102631</v>
      </c>
      <c r="BC117" s="274">
        <f t="shared" si="342"/>
        <v>21.011673188800575</v>
      </c>
      <c r="BD117" s="274">
        <f t="shared" si="342"/>
        <v>17.695331361546639</v>
      </c>
      <c r="BE117" s="274">
        <f t="shared" ref="BE117:CP117" si="343">-BE116*BE120</f>
        <v>14.277579162844727</v>
      </c>
      <c r="BF117" s="274">
        <f t="shared" si="343"/>
        <v>10.752269547139997</v>
      </c>
      <c r="BG117" s="274">
        <f t="shared" si="343"/>
        <v>7.1116849632622463</v>
      </c>
      <c r="BH117" s="274">
        <f t="shared" si="343"/>
        <v>3.3501736797184889</v>
      </c>
      <c r="BI117" s="274">
        <f t="shared" si="343"/>
        <v>-0.5401741949683242</v>
      </c>
      <c r="BJ117" s="274">
        <f t="shared" si="343"/>
        <v>-4.565117751183891</v>
      </c>
      <c r="BK117" s="274">
        <f t="shared" si="343"/>
        <v>-8.7322275319202038</v>
      </c>
      <c r="BL117" s="274">
        <f t="shared" si="343"/>
        <v>-13.047953416884218</v>
      </c>
      <c r="BM117" s="274">
        <f t="shared" si="343"/>
        <v>-17.519104598861816</v>
      </c>
      <c r="BN117" s="274">
        <f t="shared" si="343"/>
        <v>-22.152387887817131</v>
      </c>
      <c r="BO117" s="274">
        <f t="shared" si="343"/>
        <v>-26.954774025456139</v>
      </c>
      <c r="BP117" s="274">
        <f t="shared" si="343"/>
        <v>-31.933151803010105</v>
      </c>
      <c r="BQ117" s="274">
        <f t="shared" si="343"/>
        <v>-37.094449769282399</v>
      </c>
      <c r="BR117" s="274">
        <f t="shared" si="343"/>
        <v>-42.328565933627829</v>
      </c>
      <c r="BS117" s="274">
        <f t="shared" si="343"/>
        <v>-35.662236363021485</v>
      </c>
      <c r="BT117" s="274">
        <f t="shared" si="343"/>
        <v>-30.133544416923698</v>
      </c>
      <c r="BU117" s="274">
        <f t="shared" si="343"/>
        <v>-35.120072199853247</v>
      </c>
      <c r="BV117" s="274">
        <f t="shared" si="343"/>
        <v>-40.288806564220906</v>
      </c>
      <c r="BW117" s="274">
        <f t="shared" si="343"/>
        <v>-45.645872083632106</v>
      </c>
      <c r="BX117" s="274">
        <f t="shared" si="343"/>
        <v>-51.197781375532351</v>
      </c>
      <c r="BY117" s="274">
        <f t="shared" si="343"/>
        <v>-56.950188516536024</v>
      </c>
      <c r="BZ117" s="274">
        <f t="shared" si="343"/>
        <v>-62.910281065224702</v>
      </c>
      <c r="CA117" s="274">
        <f t="shared" si="343"/>
        <v>-69.084062896308225</v>
      </c>
      <c r="CB117" s="274">
        <f t="shared" si="343"/>
        <v>-75.478626675369483</v>
      </c>
      <c r="CC117" s="274">
        <f t="shared" si="343"/>
        <v>-80.698659836215484</v>
      </c>
      <c r="CD117" s="274">
        <f t="shared" si="343"/>
        <v>-70.694969558276597</v>
      </c>
      <c r="CE117" s="274">
        <f t="shared" si="343"/>
        <v>-77.15035461448123</v>
      </c>
      <c r="CF117" s="274">
        <f t="shared" si="343"/>
        <v>-83.838541990733532</v>
      </c>
      <c r="CG117" s="274">
        <f t="shared" si="343"/>
        <v>-90.766362434724556</v>
      </c>
      <c r="CH117" s="274">
        <f t="shared" si="343"/>
        <v>58.108321405829699</v>
      </c>
      <c r="CI117" s="274">
        <f t="shared" si="343"/>
        <v>56.323657527095158</v>
      </c>
      <c r="CJ117" s="274">
        <f t="shared" si="343"/>
        <v>54.39289205134893</v>
      </c>
      <c r="CK117" s="274">
        <f t="shared" si="343"/>
        <v>52.311740957382789</v>
      </c>
      <c r="CL117" s="274">
        <f t="shared" si="343"/>
        <v>50.075748688402143</v>
      </c>
      <c r="CM117" s="274">
        <f t="shared" si="343"/>
        <v>47.679957648649676</v>
      </c>
      <c r="CN117" s="274">
        <f t="shared" si="343"/>
        <v>45.119454729342394</v>
      </c>
      <c r="CO117" s="274">
        <f t="shared" si="343"/>
        <v>42.389145940627493</v>
      </c>
      <c r="CP117" s="274">
        <f t="shared" si="343"/>
        <v>48.717369673837744</v>
      </c>
      <c r="CQ117" s="362" t="s">
        <v>77</v>
      </c>
      <c r="CR117" s="418">
        <v>442</v>
      </c>
      <c r="CS117" s="418">
        <v>577</v>
      </c>
      <c r="CT117" s="418">
        <v>680</v>
      </c>
      <c r="DB117" s="8" t="s">
        <v>375</v>
      </c>
      <c r="DD117" s="55">
        <v>-24.905999999999999</v>
      </c>
      <c r="DE117" s="8">
        <f>+R117-DD117</f>
        <v>-25.529000000000003</v>
      </c>
      <c r="DF117" s="55">
        <v>-19.23</v>
      </c>
      <c r="DG117" s="8">
        <f>+S117-DF117</f>
        <v>-32.191000000000003</v>
      </c>
      <c r="DH117" s="55">
        <v>-39.494999999999997</v>
      </c>
      <c r="DI117" s="42">
        <f>+T117-DH117</f>
        <v>117.179</v>
      </c>
      <c r="DJ117" s="144">
        <v>-142.53</v>
      </c>
      <c r="DK117" s="42">
        <f>+U117-DJ117</f>
        <v>-34.668000000000006</v>
      </c>
      <c r="DL117" s="191">
        <v>-64.233999999999995</v>
      </c>
      <c r="DM117" s="8">
        <f>V117-DL117</f>
        <v>-58.290000000000006</v>
      </c>
      <c r="DN117" s="191">
        <v>-83.13</v>
      </c>
      <c r="DO117" s="8">
        <f>W117-DN117</f>
        <v>-66.358000000000004</v>
      </c>
      <c r="DP117" s="191">
        <v>-79.516999999999996</v>
      </c>
      <c r="DQ117" s="8">
        <f t="shared" ref="DQ117" si="344">-DQ116*DQ120</f>
        <v>-59.999797493548037</v>
      </c>
      <c r="DU117" s="413">
        <f t="shared" si="227"/>
        <v>0.49382373351838998</v>
      </c>
      <c r="DV117" s="413">
        <f t="shared" si="228"/>
        <v>0.37397172361486547</v>
      </c>
      <c r="DW117" s="413">
        <f t="shared" si="229"/>
        <v>-0.50840584933834509</v>
      </c>
      <c r="DX117" s="413">
        <f t="shared" si="302"/>
        <v>0.80435445095317104</v>
      </c>
      <c r="DY117" s="431">
        <v>0.8</v>
      </c>
      <c r="DZ117" s="413">
        <f t="shared" si="232"/>
        <v>0.55609814834635551</v>
      </c>
      <c r="EH117" s="411" t="b">
        <f t="shared" si="238"/>
        <v>1</v>
      </c>
      <c r="EI117" s="411" t="b">
        <f t="shared" si="239"/>
        <v>1</v>
      </c>
      <c r="EJ117" s="411" t="b">
        <f t="shared" si="233"/>
        <v>1</v>
      </c>
    </row>
    <row r="118" spans="1:140" ht="11.25" customHeight="1" outlineLevel="1" x14ac:dyDescent="0.2">
      <c r="B118" s="11" t="s">
        <v>374</v>
      </c>
      <c r="C118" s="12"/>
      <c r="D118" s="23"/>
      <c r="E118" s="23"/>
      <c r="F118" s="23"/>
      <c r="G118" s="23"/>
      <c r="H118" s="23"/>
      <c r="I118" s="23"/>
      <c r="J118" s="23"/>
      <c r="K118" s="23">
        <f t="shared" ref="K118:V118" si="345">K117-K119</f>
        <v>-26.381</v>
      </c>
      <c r="L118" s="23">
        <f t="shared" si="345"/>
        <v>-20.661999999999981</v>
      </c>
      <c r="M118" s="23">
        <f t="shared" si="345"/>
        <v>-25.799999999999997</v>
      </c>
      <c r="N118" s="23">
        <f t="shared" si="345"/>
        <v>-9.354999999999988</v>
      </c>
      <c r="O118" s="23">
        <f t="shared" si="345"/>
        <v>11.185999999999922</v>
      </c>
      <c r="P118" s="23">
        <f t="shared" si="345"/>
        <v>-22.735000000000021</v>
      </c>
      <c r="Q118" s="23">
        <f t="shared" si="345"/>
        <v>18.727000000000032</v>
      </c>
      <c r="R118" s="23">
        <f t="shared" si="345"/>
        <v>-14.374999999999993</v>
      </c>
      <c r="S118" s="23">
        <f t="shared" si="345"/>
        <v>-49.155000000000108</v>
      </c>
      <c r="T118" s="42">
        <f t="shared" si="345"/>
        <v>-66.376000000000005</v>
      </c>
      <c r="U118" s="42">
        <f t="shared" si="345"/>
        <v>-85.976000000000013</v>
      </c>
      <c r="V118" s="42">
        <f t="shared" si="345"/>
        <v>-122.524</v>
      </c>
      <c r="W118" s="42">
        <f>W117-W119</f>
        <v>-149.488</v>
      </c>
      <c r="X118" s="42">
        <f>-X120*X114</f>
        <v>-121.04469749354806</v>
      </c>
      <c r="Y118" s="42">
        <f t="shared" ref="Y118:BD118" si="346">-Y120*Y114</f>
        <v>-133.86623530375664</v>
      </c>
      <c r="Z118" s="42">
        <f t="shared" si="346"/>
        <v>-150.90494827125161</v>
      </c>
      <c r="AA118" s="42">
        <f t="shared" si="346"/>
        <v>-149.63219602542276</v>
      </c>
      <c r="AB118" s="42">
        <f>-AB120*AB114</f>
        <v>-144.49509480053072</v>
      </c>
      <c r="AC118" s="42">
        <f t="shared" si="346"/>
        <v>-160.56442706890655</v>
      </c>
      <c r="AD118" s="42">
        <f t="shared" si="346"/>
        <v>-177.15844357484016</v>
      </c>
      <c r="AE118" s="42">
        <f t="shared" si="346"/>
        <v>-190.62995835331506</v>
      </c>
      <c r="AF118" s="42">
        <f t="shared" si="346"/>
        <v>-197.76365707579353</v>
      </c>
      <c r="AG118" s="42">
        <f t="shared" si="346"/>
        <v>-201.36023965726446</v>
      </c>
      <c r="AH118" s="42">
        <f t="shared" si="346"/>
        <v>-213.57304758869211</v>
      </c>
      <c r="AI118" s="42">
        <f t="shared" si="346"/>
        <v>-186.11024416866414</v>
      </c>
      <c r="AJ118" s="42">
        <f t="shared" si="346"/>
        <v>-169.17560637757813</v>
      </c>
      <c r="AK118" s="42">
        <f t="shared" si="346"/>
        <v>-168.49826349828913</v>
      </c>
      <c r="AL118" s="42">
        <f t="shared" si="346"/>
        <v>-180.5973744827316</v>
      </c>
      <c r="AM118" s="42">
        <f t="shared" si="346"/>
        <v>-192.37009822893484</v>
      </c>
      <c r="AN118" s="42">
        <f t="shared" si="346"/>
        <v>-200.58094928683616</v>
      </c>
      <c r="AO118" s="42">
        <f t="shared" si="346"/>
        <v>-199.82199202659535</v>
      </c>
      <c r="AP118" s="42">
        <f t="shared" si="346"/>
        <v>-49.508342802881721</v>
      </c>
      <c r="AQ118" s="42">
        <f t="shared" si="346"/>
        <v>-59.587179127736562</v>
      </c>
      <c r="AR118" s="42">
        <f t="shared" si="346"/>
        <v>-36.279129968410167</v>
      </c>
      <c r="AS118" s="42">
        <f t="shared" si="346"/>
        <v>-4.4574357154781064</v>
      </c>
      <c r="AT118" s="42">
        <f t="shared" si="346"/>
        <v>-2.2142275668573288</v>
      </c>
      <c r="AU118" s="42">
        <f t="shared" si="346"/>
        <v>-9.9149560502754515</v>
      </c>
      <c r="AV118" s="42">
        <f t="shared" si="346"/>
        <v>-13.907381476610544</v>
      </c>
      <c r="AW118" s="42">
        <f t="shared" si="346"/>
        <v>-5.5610316849594481</v>
      </c>
      <c r="AX118" s="42">
        <f t="shared" si="346"/>
        <v>-10.213443324065377</v>
      </c>
      <c r="AY118" s="42">
        <f t="shared" si="346"/>
        <v>-14.952663564020133</v>
      </c>
      <c r="AZ118" s="42">
        <f t="shared" si="346"/>
        <v>-19.78628528143738</v>
      </c>
      <c r="BA118" s="42">
        <f t="shared" si="346"/>
        <v>27.368502414628512</v>
      </c>
      <c r="BB118" s="42">
        <f t="shared" si="346"/>
        <v>24.23368801102631</v>
      </c>
      <c r="BC118" s="42">
        <f t="shared" si="346"/>
        <v>21.011673188800575</v>
      </c>
      <c r="BD118" s="42">
        <f t="shared" si="346"/>
        <v>17.695331361546639</v>
      </c>
      <c r="BE118" s="42">
        <f t="shared" ref="BE118:CP118" si="347">-BE120*BE114</f>
        <v>14.277579162844727</v>
      </c>
      <c r="BF118" s="42">
        <f t="shared" si="347"/>
        <v>10.752269547139997</v>
      </c>
      <c r="BG118" s="42">
        <f t="shared" si="347"/>
        <v>7.1116849632622463</v>
      </c>
      <c r="BH118" s="42">
        <f t="shared" si="347"/>
        <v>3.3501736797184889</v>
      </c>
      <c r="BI118" s="42">
        <f t="shared" si="347"/>
        <v>-0.5401741949683242</v>
      </c>
      <c r="BJ118" s="42">
        <f t="shared" si="347"/>
        <v>-4.565117751183891</v>
      </c>
      <c r="BK118" s="42">
        <f t="shared" si="347"/>
        <v>-8.7322275319202038</v>
      </c>
      <c r="BL118" s="42">
        <f t="shared" si="347"/>
        <v>-13.047953416884218</v>
      </c>
      <c r="BM118" s="42">
        <f t="shared" si="347"/>
        <v>-17.519104598861816</v>
      </c>
      <c r="BN118" s="42">
        <f t="shared" si="347"/>
        <v>-22.152387887817131</v>
      </c>
      <c r="BO118" s="42">
        <f t="shared" si="347"/>
        <v>-26.954774025456139</v>
      </c>
      <c r="BP118" s="42">
        <f t="shared" si="347"/>
        <v>-31.933151803010105</v>
      </c>
      <c r="BQ118" s="42">
        <f t="shared" si="347"/>
        <v>-37.094449769282399</v>
      </c>
      <c r="BR118" s="42">
        <f t="shared" si="347"/>
        <v>-42.328565933627829</v>
      </c>
      <c r="BS118" s="42">
        <f t="shared" si="347"/>
        <v>-35.662236363021485</v>
      </c>
      <c r="BT118" s="42">
        <f t="shared" si="347"/>
        <v>-30.133544416923698</v>
      </c>
      <c r="BU118" s="42">
        <f t="shared" si="347"/>
        <v>-35.120072199853247</v>
      </c>
      <c r="BV118" s="42">
        <f t="shared" si="347"/>
        <v>-40.288806564220906</v>
      </c>
      <c r="BW118" s="42">
        <f t="shared" si="347"/>
        <v>-45.645872083632106</v>
      </c>
      <c r="BX118" s="42">
        <f t="shared" si="347"/>
        <v>-51.197781375532351</v>
      </c>
      <c r="BY118" s="42">
        <f t="shared" si="347"/>
        <v>-56.950188516536024</v>
      </c>
      <c r="BZ118" s="42">
        <f t="shared" si="347"/>
        <v>-62.910281065224702</v>
      </c>
      <c r="CA118" s="42">
        <f t="shared" si="347"/>
        <v>-69.084062896308225</v>
      </c>
      <c r="CB118" s="42">
        <f t="shared" si="347"/>
        <v>-75.478626675369483</v>
      </c>
      <c r="CC118" s="42">
        <f t="shared" si="347"/>
        <v>-80.698659836215484</v>
      </c>
      <c r="CD118" s="42">
        <f t="shared" si="347"/>
        <v>-70.694969558276597</v>
      </c>
      <c r="CE118" s="42">
        <f t="shared" si="347"/>
        <v>-77.15035461448123</v>
      </c>
      <c r="CF118" s="42">
        <f t="shared" si="347"/>
        <v>-83.838541990733532</v>
      </c>
      <c r="CG118" s="42">
        <f t="shared" si="347"/>
        <v>-90.766362434724556</v>
      </c>
      <c r="CH118" s="42">
        <f t="shared" si="347"/>
        <v>58.108321405829699</v>
      </c>
      <c r="CI118" s="42">
        <f t="shared" si="347"/>
        <v>56.323657527095158</v>
      </c>
      <c r="CJ118" s="42">
        <f t="shared" si="347"/>
        <v>54.39289205134893</v>
      </c>
      <c r="CK118" s="42">
        <f t="shared" si="347"/>
        <v>52.311740957382789</v>
      </c>
      <c r="CL118" s="42">
        <f t="shared" si="347"/>
        <v>50.075748688402143</v>
      </c>
      <c r="CM118" s="42">
        <f t="shared" si="347"/>
        <v>47.679957648649676</v>
      </c>
      <c r="CN118" s="42">
        <f t="shared" si="347"/>
        <v>45.119454729342394</v>
      </c>
      <c r="CO118" s="42">
        <f t="shared" si="347"/>
        <v>42.389145940627493</v>
      </c>
      <c r="CP118" s="42">
        <f t="shared" si="347"/>
        <v>48.717369673837744</v>
      </c>
      <c r="CQ118" s="362" t="s">
        <v>77</v>
      </c>
      <c r="CR118" s="422">
        <f>+W114/CR116-1</f>
        <v>-1.720930232559148E-3</v>
      </c>
      <c r="CS118" s="423">
        <f>+X114/CS116-1</f>
        <v>-5.5076522298610042E-2</v>
      </c>
      <c r="CT118" s="424">
        <f>+Y114/CT116-1</f>
        <v>-0.10036132188335589</v>
      </c>
      <c r="DB118" s="11" t="s">
        <v>374</v>
      </c>
      <c r="DC118" s="12"/>
      <c r="DD118" s="23">
        <f>DD117-DD119</f>
        <v>-24.905999999999999</v>
      </c>
      <c r="DE118" s="23">
        <f>+R118-DD118</f>
        <v>10.531000000000006</v>
      </c>
      <c r="DF118" s="23">
        <f>DF117-DF119</f>
        <v>-13.427</v>
      </c>
      <c r="DG118" s="23">
        <f>+S118-DF118</f>
        <v>-35.728000000000108</v>
      </c>
      <c r="DH118" s="23">
        <f t="shared" ref="DH118:DM118" si="348">DH117-DH119</f>
        <v>-39.494999999999997</v>
      </c>
      <c r="DI118" s="42">
        <f t="shared" si="348"/>
        <v>-26.881</v>
      </c>
      <c r="DJ118" s="42">
        <f t="shared" si="348"/>
        <v>-142.53</v>
      </c>
      <c r="DK118" s="42">
        <f t="shared" si="348"/>
        <v>56.553999999999988</v>
      </c>
      <c r="DL118" s="42">
        <f t="shared" si="348"/>
        <v>-64.233999999999995</v>
      </c>
      <c r="DM118" s="42">
        <f t="shared" si="348"/>
        <v>-58.290000000000006</v>
      </c>
      <c r="DN118" s="42">
        <f>DN117</f>
        <v>-83.13</v>
      </c>
      <c r="DO118" s="42">
        <f>W118-DN118</f>
        <v>-66.358000000000004</v>
      </c>
      <c r="DP118" s="42">
        <f>DP117</f>
        <v>-79.516999999999996</v>
      </c>
      <c r="DQ118" s="42">
        <f t="shared" ref="DQ118" si="349">-DQ120*DQ114</f>
        <v>-59.999797493548037</v>
      </c>
      <c r="DR118" s="42"/>
      <c r="DS118" s="42"/>
      <c r="DU118" s="413">
        <f t="shared" ref="DU118:DU134" si="350">+(DD118/(DD118+DE118))</f>
        <v>1.7325913043478269</v>
      </c>
      <c r="DV118" s="413">
        <f t="shared" ref="DV118:DV134" si="351">+(DF118/(DF118+DG118))</f>
        <v>0.27315634218289025</v>
      </c>
      <c r="DW118" s="413">
        <f t="shared" ref="DW118:DW134" si="352">+(DH118/(DH118+DI118))</f>
        <v>0.59501928407858251</v>
      </c>
      <c r="DX118" s="413">
        <f>+(DJ118/(DJ118+DK118))</f>
        <v>1.6577882199683631</v>
      </c>
      <c r="DY118" s="431">
        <f>DY117</f>
        <v>0.8</v>
      </c>
      <c r="DZ118" s="413">
        <f t="shared" si="232"/>
        <v>0.55609814834635551</v>
      </c>
      <c r="EH118" s="411" t="b">
        <f t="shared" si="238"/>
        <v>1</v>
      </c>
      <c r="EI118" s="411" t="b">
        <f t="shared" si="239"/>
        <v>1</v>
      </c>
      <c r="EJ118" s="411" t="b">
        <f t="shared" si="233"/>
        <v>1</v>
      </c>
    </row>
    <row r="119" spans="1:140" ht="11.25" customHeight="1" outlineLevel="1" x14ac:dyDescent="0.2">
      <c r="B119" s="11" t="s">
        <v>379</v>
      </c>
      <c r="C119" s="12"/>
      <c r="D119" s="52"/>
      <c r="E119" s="52"/>
      <c r="F119" s="52"/>
      <c r="G119" s="52"/>
      <c r="H119" s="52"/>
      <c r="I119" s="52"/>
      <c r="J119" s="52"/>
      <c r="K119" s="52">
        <f>-(51.351-K114+-53.306+0.31)</f>
        <v>79.686999999999998</v>
      </c>
      <c r="L119" s="52">
        <f>-(60.661-L114+19.514+0.334)</f>
        <v>1.1479999999999815</v>
      </c>
      <c r="M119" s="52">
        <v>3.33</v>
      </c>
      <c r="N119" s="52">
        <f>-(82.218-N114+22.958+0.056)</f>
        <v>-13.60300000000001</v>
      </c>
      <c r="O119" s="52">
        <f>-(99.744-O114+35.882+0.078)</f>
        <v>-47.06799999999992</v>
      </c>
      <c r="P119" s="52">
        <f>-(100.358-P114+38.672+0.15)</f>
        <v>-15.936999999999978</v>
      </c>
      <c r="Q119" s="52">
        <f>-(108.941-Q114+35.862+0.316)</f>
        <v>-54.589000000000034</v>
      </c>
      <c r="R119" s="52">
        <f>-(140.313-R114+50.435+0.005)</f>
        <v>-36.060000000000009</v>
      </c>
      <c r="S119" s="52">
        <f>-(178.737-S114+51.421+-2.764)</f>
        <v>-2.2659999999998948</v>
      </c>
      <c r="T119" s="438">
        <v>144.06</v>
      </c>
      <c r="U119" s="438">
        <v>-91.221999999999994</v>
      </c>
      <c r="V119" s="438">
        <f t="shared" ref="V119:BD119" si="353">-(V99+V100+V115)*22%</f>
        <v>0</v>
      </c>
      <c r="W119" s="438">
        <f>-(W99+W100+W115)*22%</f>
        <v>0</v>
      </c>
      <c r="X119" s="150">
        <f t="shared" si="353"/>
        <v>0</v>
      </c>
      <c r="Y119" s="150">
        <f t="shared" si="353"/>
        <v>0</v>
      </c>
      <c r="Z119" s="150">
        <f t="shared" si="353"/>
        <v>0</v>
      </c>
      <c r="AA119" s="150">
        <f t="shared" si="353"/>
        <v>0</v>
      </c>
      <c r="AB119" s="150">
        <f t="shared" si="353"/>
        <v>0</v>
      </c>
      <c r="AC119" s="150">
        <f t="shared" si="353"/>
        <v>0</v>
      </c>
      <c r="AD119" s="150">
        <f t="shared" si="353"/>
        <v>0</v>
      </c>
      <c r="AE119" s="150">
        <f t="shared" si="353"/>
        <v>0</v>
      </c>
      <c r="AF119" s="150">
        <f t="shared" si="353"/>
        <v>0</v>
      </c>
      <c r="AG119" s="150">
        <f t="shared" si="353"/>
        <v>0</v>
      </c>
      <c r="AH119" s="150">
        <f t="shared" si="353"/>
        <v>0</v>
      </c>
      <c r="AI119" s="150">
        <f t="shared" si="353"/>
        <v>0</v>
      </c>
      <c r="AJ119" s="150">
        <f t="shared" si="353"/>
        <v>0</v>
      </c>
      <c r="AK119" s="150">
        <f t="shared" si="353"/>
        <v>0</v>
      </c>
      <c r="AL119" s="150">
        <f t="shared" si="353"/>
        <v>0</v>
      </c>
      <c r="AM119" s="150">
        <f t="shared" si="353"/>
        <v>0</v>
      </c>
      <c r="AN119" s="150">
        <f t="shared" si="353"/>
        <v>0</v>
      </c>
      <c r="AO119" s="150">
        <f t="shared" si="353"/>
        <v>0</v>
      </c>
      <c r="AP119" s="150">
        <f t="shared" si="353"/>
        <v>0</v>
      </c>
      <c r="AQ119" s="150">
        <f t="shared" si="353"/>
        <v>0</v>
      </c>
      <c r="AR119" s="150">
        <f t="shared" si="353"/>
        <v>0</v>
      </c>
      <c r="AS119" s="150">
        <f t="shared" si="353"/>
        <v>0</v>
      </c>
      <c r="AT119" s="150">
        <f t="shared" si="353"/>
        <v>0</v>
      </c>
      <c r="AU119" s="150">
        <f t="shared" si="353"/>
        <v>0</v>
      </c>
      <c r="AV119" s="150">
        <f t="shared" si="353"/>
        <v>0</v>
      </c>
      <c r="AW119" s="150">
        <f t="shared" si="353"/>
        <v>0</v>
      </c>
      <c r="AX119" s="150">
        <f t="shared" si="353"/>
        <v>0</v>
      </c>
      <c r="AY119" s="150">
        <f t="shared" si="353"/>
        <v>0</v>
      </c>
      <c r="AZ119" s="150">
        <f t="shared" si="353"/>
        <v>0</v>
      </c>
      <c r="BA119" s="150">
        <f t="shared" si="353"/>
        <v>0</v>
      </c>
      <c r="BB119" s="150">
        <f t="shared" si="353"/>
        <v>0</v>
      </c>
      <c r="BC119" s="150">
        <f t="shared" si="353"/>
        <v>0</v>
      </c>
      <c r="BD119" s="150">
        <f t="shared" si="353"/>
        <v>0</v>
      </c>
      <c r="BE119" s="150">
        <f t="shared" ref="BE119:CP119" si="354">-(BE99+BE100+BE115)*22%</f>
        <v>0</v>
      </c>
      <c r="BF119" s="150">
        <f t="shared" si="354"/>
        <v>0</v>
      </c>
      <c r="BG119" s="150">
        <f t="shared" si="354"/>
        <v>0</v>
      </c>
      <c r="BH119" s="150">
        <f t="shared" si="354"/>
        <v>0</v>
      </c>
      <c r="BI119" s="150">
        <f t="shared" si="354"/>
        <v>0</v>
      </c>
      <c r="BJ119" s="150">
        <f t="shared" si="354"/>
        <v>0</v>
      </c>
      <c r="BK119" s="150">
        <f t="shared" si="354"/>
        <v>0</v>
      </c>
      <c r="BL119" s="150">
        <f t="shared" si="354"/>
        <v>0</v>
      </c>
      <c r="BM119" s="150">
        <f t="shared" si="354"/>
        <v>0</v>
      </c>
      <c r="BN119" s="150">
        <f t="shared" si="354"/>
        <v>0</v>
      </c>
      <c r="BO119" s="150">
        <f t="shared" si="354"/>
        <v>0</v>
      </c>
      <c r="BP119" s="150">
        <f t="shared" si="354"/>
        <v>0</v>
      </c>
      <c r="BQ119" s="150">
        <f t="shared" si="354"/>
        <v>0</v>
      </c>
      <c r="BR119" s="150">
        <f t="shared" si="354"/>
        <v>0</v>
      </c>
      <c r="BS119" s="150">
        <f t="shared" si="354"/>
        <v>0</v>
      </c>
      <c r="BT119" s="150">
        <f t="shared" si="354"/>
        <v>0</v>
      </c>
      <c r="BU119" s="150">
        <f t="shared" si="354"/>
        <v>0</v>
      </c>
      <c r="BV119" s="150">
        <f t="shared" si="354"/>
        <v>0</v>
      </c>
      <c r="BW119" s="150">
        <f t="shared" si="354"/>
        <v>0</v>
      </c>
      <c r="BX119" s="150">
        <f t="shared" si="354"/>
        <v>0</v>
      </c>
      <c r="BY119" s="150">
        <f t="shared" si="354"/>
        <v>0</v>
      </c>
      <c r="BZ119" s="150">
        <f t="shared" si="354"/>
        <v>0</v>
      </c>
      <c r="CA119" s="150">
        <f t="shared" si="354"/>
        <v>0</v>
      </c>
      <c r="CB119" s="150">
        <f t="shared" si="354"/>
        <v>0</v>
      </c>
      <c r="CC119" s="150">
        <f t="shared" si="354"/>
        <v>0</v>
      </c>
      <c r="CD119" s="150">
        <f t="shared" si="354"/>
        <v>0</v>
      </c>
      <c r="CE119" s="150">
        <f t="shared" si="354"/>
        <v>0</v>
      </c>
      <c r="CF119" s="150">
        <f t="shared" si="354"/>
        <v>0</v>
      </c>
      <c r="CG119" s="150">
        <f t="shared" si="354"/>
        <v>0</v>
      </c>
      <c r="CH119" s="150">
        <f t="shared" si="354"/>
        <v>0</v>
      </c>
      <c r="CI119" s="150">
        <f t="shared" si="354"/>
        <v>0</v>
      </c>
      <c r="CJ119" s="150">
        <f t="shared" si="354"/>
        <v>0</v>
      </c>
      <c r="CK119" s="150">
        <f t="shared" si="354"/>
        <v>0</v>
      </c>
      <c r="CL119" s="150">
        <f t="shared" si="354"/>
        <v>0</v>
      </c>
      <c r="CM119" s="150">
        <f t="shared" si="354"/>
        <v>0</v>
      </c>
      <c r="CN119" s="150">
        <f t="shared" si="354"/>
        <v>0</v>
      </c>
      <c r="CO119" s="150">
        <f t="shared" si="354"/>
        <v>0</v>
      </c>
      <c r="CP119" s="150">
        <f t="shared" si="354"/>
        <v>0</v>
      </c>
      <c r="CQ119" s="362" t="s">
        <v>77</v>
      </c>
      <c r="CS119" s="43"/>
      <c r="CT119" s="43"/>
      <c r="DB119" s="11" t="s">
        <v>379</v>
      </c>
      <c r="DC119" s="12"/>
      <c r="DD119" s="445">
        <v>0</v>
      </c>
      <c r="DE119" s="23">
        <f>+R119-DD119</f>
        <v>-36.060000000000009</v>
      </c>
      <c r="DF119" s="445">
        <f>-6.814--1.011</f>
        <v>-5.8029999999999999</v>
      </c>
      <c r="DG119" s="23">
        <f>+S119-DF119</f>
        <v>3.5370000000001052</v>
      </c>
      <c r="DH119" s="445">
        <v>0</v>
      </c>
      <c r="DI119" s="42">
        <f>+T119-DH119</f>
        <v>144.06</v>
      </c>
      <c r="DJ119" s="144">
        <v>0</v>
      </c>
      <c r="DK119" s="42">
        <f>+U119-DJ119</f>
        <v>-91.221999999999994</v>
      </c>
      <c r="DL119" s="191">
        <v>0</v>
      </c>
      <c r="DM119" s="8">
        <f>V119-DL119</f>
        <v>0</v>
      </c>
      <c r="DN119" s="191">
        <f>W119*DZ119</f>
        <v>0</v>
      </c>
      <c r="DO119" s="8">
        <f>W119-DN119</f>
        <v>0</v>
      </c>
      <c r="DP119" s="191">
        <f>Y119*EB119</f>
        <v>0</v>
      </c>
      <c r="DQ119" s="8">
        <f t="shared" ref="DQ119" si="355">$X$119/2</f>
        <v>0</v>
      </c>
      <c r="DU119" s="413">
        <f t="shared" si="350"/>
        <v>0</v>
      </c>
      <c r="DV119" s="413">
        <f t="shared" si="351"/>
        <v>2.560900264783879</v>
      </c>
      <c r="DW119" s="413">
        <f t="shared" si="352"/>
        <v>0</v>
      </c>
      <c r="DX119" s="413">
        <f t="shared" si="302"/>
        <v>0</v>
      </c>
      <c r="DY119" s="431">
        <f>DX119</f>
        <v>0</v>
      </c>
      <c r="DZ119" s="413"/>
      <c r="EH119" s="411" t="b">
        <f t="shared" si="238"/>
        <v>1</v>
      </c>
      <c r="EI119" s="411" t="b">
        <f t="shared" si="239"/>
        <v>1</v>
      </c>
      <c r="EJ119" s="411" t="b">
        <f t="shared" si="233"/>
        <v>1</v>
      </c>
    </row>
    <row r="120" spans="1:140" s="98" customFormat="1" ht="11.25" customHeight="1" outlineLevel="1" x14ac:dyDescent="0.2">
      <c r="B120" s="103" t="s">
        <v>376</v>
      </c>
      <c r="D120" s="446"/>
      <c r="E120" s="446"/>
      <c r="F120" s="446"/>
      <c r="G120" s="446"/>
      <c r="H120" s="446"/>
      <c r="I120" s="446"/>
      <c r="J120" s="446"/>
      <c r="K120" s="446">
        <f t="shared" ref="K120:V120" si="356">-K118/K114</f>
        <v>0.33803592937136412</v>
      </c>
      <c r="L120" s="446">
        <f t="shared" si="356"/>
        <v>0.25303403259977691</v>
      </c>
      <c r="M120" s="446">
        <f t="shared" si="356"/>
        <v>0.34476307560734432</v>
      </c>
      <c r="N120" s="446">
        <f t="shared" si="356"/>
        <v>0.10209649783365517</v>
      </c>
      <c r="O120" s="446">
        <f t="shared" si="356"/>
        <v>-0.12620154339094625</v>
      </c>
      <c r="P120" s="446">
        <f t="shared" si="356"/>
        <v>0.18447295181065063</v>
      </c>
      <c r="Q120" s="446">
        <f t="shared" si="356"/>
        <v>-0.20685960455097799</v>
      </c>
      <c r="R120" s="446">
        <f t="shared" si="356"/>
        <v>9.2925988894132214E-2</v>
      </c>
      <c r="S120" s="446">
        <f t="shared" si="356"/>
        <v>0.21834245407057357</v>
      </c>
      <c r="T120" s="446">
        <f t="shared" si="356"/>
        <v>0.30742581365297428</v>
      </c>
      <c r="U120" s="446">
        <f t="shared" si="356"/>
        <v>0.29760087505235433</v>
      </c>
      <c r="V120" s="446">
        <f t="shared" si="356"/>
        <v>0.4057408535777679</v>
      </c>
      <c r="W120" s="446">
        <f>-W118/W114</f>
        <v>0.38693979820569807</v>
      </c>
      <c r="X120" s="153">
        <v>0.3</v>
      </c>
      <c r="Y120" s="275">
        <f>X120</f>
        <v>0.3</v>
      </c>
      <c r="Z120" s="275">
        <f t="shared" ref="Z120:BD120" si="357">Y120</f>
        <v>0.3</v>
      </c>
      <c r="AA120" s="275">
        <f t="shared" si="357"/>
        <v>0.3</v>
      </c>
      <c r="AB120" s="275">
        <f t="shared" si="357"/>
        <v>0.3</v>
      </c>
      <c r="AC120" s="275">
        <f t="shared" si="357"/>
        <v>0.3</v>
      </c>
      <c r="AD120" s="275">
        <f t="shared" si="357"/>
        <v>0.3</v>
      </c>
      <c r="AE120" s="275">
        <f t="shared" si="357"/>
        <v>0.3</v>
      </c>
      <c r="AF120" s="275">
        <f t="shared" si="357"/>
        <v>0.3</v>
      </c>
      <c r="AG120" s="275">
        <f t="shared" si="357"/>
        <v>0.3</v>
      </c>
      <c r="AH120" s="275">
        <f t="shared" si="357"/>
        <v>0.3</v>
      </c>
      <c r="AI120" s="275">
        <f t="shared" si="357"/>
        <v>0.3</v>
      </c>
      <c r="AJ120" s="275">
        <f t="shared" si="357"/>
        <v>0.3</v>
      </c>
      <c r="AK120" s="275">
        <f t="shared" si="357"/>
        <v>0.3</v>
      </c>
      <c r="AL120" s="275">
        <f t="shared" si="357"/>
        <v>0.3</v>
      </c>
      <c r="AM120" s="275">
        <f t="shared" si="357"/>
        <v>0.3</v>
      </c>
      <c r="AN120" s="275">
        <f t="shared" si="357"/>
        <v>0.3</v>
      </c>
      <c r="AO120" s="275">
        <f t="shared" si="357"/>
        <v>0.3</v>
      </c>
      <c r="AP120" s="275">
        <f t="shared" si="357"/>
        <v>0.3</v>
      </c>
      <c r="AQ120" s="275">
        <f t="shared" si="357"/>
        <v>0.3</v>
      </c>
      <c r="AR120" s="275">
        <f t="shared" si="357"/>
        <v>0.3</v>
      </c>
      <c r="AS120" s="275">
        <f t="shared" si="357"/>
        <v>0.3</v>
      </c>
      <c r="AT120" s="275">
        <f t="shared" si="357"/>
        <v>0.3</v>
      </c>
      <c r="AU120" s="275">
        <f t="shared" si="357"/>
        <v>0.3</v>
      </c>
      <c r="AV120" s="275">
        <f t="shared" si="357"/>
        <v>0.3</v>
      </c>
      <c r="AW120" s="275">
        <f t="shared" si="357"/>
        <v>0.3</v>
      </c>
      <c r="AX120" s="275">
        <f t="shared" si="357"/>
        <v>0.3</v>
      </c>
      <c r="AY120" s="275">
        <f t="shared" si="357"/>
        <v>0.3</v>
      </c>
      <c r="AZ120" s="275">
        <f t="shared" si="357"/>
        <v>0.3</v>
      </c>
      <c r="BA120" s="275">
        <f t="shared" si="357"/>
        <v>0.3</v>
      </c>
      <c r="BB120" s="275">
        <f t="shared" si="357"/>
        <v>0.3</v>
      </c>
      <c r="BC120" s="275">
        <f t="shared" si="357"/>
        <v>0.3</v>
      </c>
      <c r="BD120" s="275">
        <f t="shared" si="357"/>
        <v>0.3</v>
      </c>
      <c r="BE120" s="275">
        <f t="shared" ref="BE120:CP120" si="358">BD120</f>
        <v>0.3</v>
      </c>
      <c r="BF120" s="275">
        <f t="shared" si="358"/>
        <v>0.3</v>
      </c>
      <c r="BG120" s="275">
        <f t="shared" si="358"/>
        <v>0.3</v>
      </c>
      <c r="BH120" s="275">
        <f t="shared" si="358"/>
        <v>0.3</v>
      </c>
      <c r="BI120" s="275">
        <f t="shared" si="358"/>
        <v>0.3</v>
      </c>
      <c r="BJ120" s="275">
        <f t="shared" si="358"/>
        <v>0.3</v>
      </c>
      <c r="BK120" s="275">
        <f t="shared" si="358"/>
        <v>0.3</v>
      </c>
      <c r="BL120" s="275">
        <f t="shared" si="358"/>
        <v>0.3</v>
      </c>
      <c r="BM120" s="275">
        <f t="shared" si="358"/>
        <v>0.3</v>
      </c>
      <c r="BN120" s="275">
        <f t="shared" si="358"/>
        <v>0.3</v>
      </c>
      <c r="BO120" s="275">
        <f t="shared" si="358"/>
        <v>0.3</v>
      </c>
      <c r="BP120" s="275">
        <f t="shared" si="358"/>
        <v>0.3</v>
      </c>
      <c r="BQ120" s="275">
        <f t="shared" si="358"/>
        <v>0.3</v>
      </c>
      <c r="BR120" s="275">
        <f t="shared" si="358"/>
        <v>0.3</v>
      </c>
      <c r="BS120" s="275">
        <f t="shared" si="358"/>
        <v>0.3</v>
      </c>
      <c r="BT120" s="275">
        <f t="shared" si="358"/>
        <v>0.3</v>
      </c>
      <c r="BU120" s="275">
        <f t="shared" si="358"/>
        <v>0.3</v>
      </c>
      <c r="BV120" s="275">
        <f t="shared" si="358"/>
        <v>0.3</v>
      </c>
      <c r="BW120" s="275">
        <f t="shared" si="358"/>
        <v>0.3</v>
      </c>
      <c r="BX120" s="275">
        <f t="shared" si="358"/>
        <v>0.3</v>
      </c>
      <c r="BY120" s="275">
        <f t="shared" si="358"/>
        <v>0.3</v>
      </c>
      <c r="BZ120" s="275">
        <f t="shared" si="358"/>
        <v>0.3</v>
      </c>
      <c r="CA120" s="275">
        <f t="shared" si="358"/>
        <v>0.3</v>
      </c>
      <c r="CB120" s="275">
        <f t="shared" si="358"/>
        <v>0.3</v>
      </c>
      <c r="CC120" s="275">
        <f t="shared" si="358"/>
        <v>0.3</v>
      </c>
      <c r="CD120" s="275">
        <f t="shared" si="358"/>
        <v>0.3</v>
      </c>
      <c r="CE120" s="275">
        <f t="shared" si="358"/>
        <v>0.3</v>
      </c>
      <c r="CF120" s="275">
        <f t="shared" si="358"/>
        <v>0.3</v>
      </c>
      <c r="CG120" s="275">
        <f t="shared" si="358"/>
        <v>0.3</v>
      </c>
      <c r="CH120" s="275">
        <f t="shared" si="358"/>
        <v>0.3</v>
      </c>
      <c r="CI120" s="275">
        <f t="shared" si="358"/>
        <v>0.3</v>
      </c>
      <c r="CJ120" s="275">
        <f t="shared" si="358"/>
        <v>0.3</v>
      </c>
      <c r="CK120" s="275">
        <f t="shared" si="358"/>
        <v>0.3</v>
      </c>
      <c r="CL120" s="275">
        <f t="shared" si="358"/>
        <v>0.3</v>
      </c>
      <c r="CM120" s="275">
        <f t="shared" si="358"/>
        <v>0.3</v>
      </c>
      <c r="CN120" s="275">
        <f t="shared" si="358"/>
        <v>0.3</v>
      </c>
      <c r="CO120" s="275">
        <f t="shared" si="358"/>
        <v>0.3</v>
      </c>
      <c r="CP120" s="275">
        <f t="shared" si="358"/>
        <v>0.3</v>
      </c>
      <c r="CQ120" s="362" t="s">
        <v>77</v>
      </c>
      <c r="CR120" s="8"/>
      <c r="CS120" s="43"/>
      <c r="CT120" s="43"/>
      <c r="CU120"/>
      <c r="CV120"/>
      <c r="CW120"/>
      <c r="CX120"/>
      <c r="CY120"/>
      <c r="CZ120"/>
      <c r="DB120" s="103" t="s">
        <v>376</v>
      </c>
      <c r="DD120" s="921">
        <f t="shared" ref="DD120:DO120" si="359">-DD118/DD114</f>
        <v>0.12078447347746384</v>
      </c>
      <c r="DE120" s="921">
        <f t="shared" si="359"/>
        <v>-5.2897800906159302E-2</v>
      </c>
      <c r="DF120" s="921">
        <f t="shared" si="359"/>
        <v>5.150344647699856E-2</v>
      </c>
      <c r="DG120" s="921">
        <f t="shared" si="359"/>
        <v>0.13992159565760609</v>
      </c>
      <c r="DH120" s="921">
        <f t="shared" si="359"/>
        <v>0.11987397980398878</v>
      </c>
      <c r="DI120" s="921">
        <f t="shared" si="359"/>
        <v>9.4632082180399757E-2</v>
      </c>
      <c r="DJ120" s="446">
        <f t="shared" si="359"/>
        <v>0.88221094330279815</v>
      </c>
      <c r="DK120" s="446">
        <f t="shared" si="359"/>
        <v>-0.44412857221388896</v>
      </c>
      <c r="DL120" s="446">
        <f t="shared" si="359"/>
        <v>0.39219924410333429</v>
      </c>
      <c r="DM120" s="446">
        <f t="shared" si="359"/>
        <v>0.42178918500401613</v>
      </c>
      <c r="DN120" s="446">
        <f t="shared" si="359"/>
        <v>0.37284714747039804</v>
      </c>
      <c r="DO120" s="446">
        <f t="shared" si="359"/>
        <v>0.40617234076413683</v>
      </c>
      <c r="DP120" s="446">
        <f t="shared" ref="DP120" si="360">-DP118/DP114</f>
        <v>0.39077957372360361</v>
      </c>
      <c r="DQ120" s="446">
        <f>$X$120</f>
        <v>0.3</v>
      </c>
      <c r="DR120" s="446"/>
      <c r="DS120" s="446"/>
      <c r="DU120" s="413">
        <f t="shared" si="350"/>
        <v>1.7792074482748919</v>
      </c>
      <c r="DV120" s="413">
        <f t="shared" si="351"/>
        <v>0.26905281515248564</v>
      </c>
      <c r="DW120" s="413">
        <f t="shared" si="352"/>
        <v>0.55883725939975093</v>
      </c>
      <c r="DX120" s="413">
        <f t="shared" si="302"/>
        <v>2.0138015166187837</v>
      </c>
      <c r="DY120" s="431">
        <f>DX120</f>
        <v>2.0138015166187837</v>
      </c>
      <c r="DZ120" s="413">
        <f t="shared" si="232"/>
        <v>0.47861080897394326</v>
      </c>
      <c r="EH120" s="411"/>
      <c r="EI120" s="411"/>
    </row>
    <row r="121" spans="1:140" ht="11.25" customHeight="1" outlineLevel="1" x14ac:dyDescent="0.2">
      <c r="B121" s="1" t="s">
        <v>258</v>
      </c>
      <c r="D121" s="3"/>
      <c r="E121" s="3"/>
      <c r="F121" s="3"/>
      <c r="G121" s="3"/>
      <c r="H121" s="3"/>
      <c r="I121" s="3"/>
      <c r="J121" s="3"/>
      <c r="K121" s="3">
        <f t="shared" ref="K121:BD121" si="361">+K114+K118</f>
        <v>51.661000000000001</v>
      </c>
      <c r="L121" s="3">
        <f t="shared" si="361"/>
        <v>60.995000000000005</v>
      </c>
      <c r="M121" s="3">
        <f t="shared" si="361"/>
        <v>49.033999999999978</v>
      </c>
      <c r="N121" s="3">
        <f t="shared" si="361"/>
        <v>82.274000000000001</v>
      </c>
      <c r="O121" s="3">
        <f t="shared" si="361"/>
        <v>99.822000000000003</v>
      </c>
      <c r="P121" s="3">
        <f t="shared" si="361"/>
        <v>100.50800000000001</v>
      </c>
      <c r="Q121" s="3">
        <f t="shared" si="361"/>
        <v>109.25700000000001</v>
      </c>
      <c r="R121" s="3">
        <f t="shared" si="361"/>
        <v>140.31799999999998</v>
      </c>
      <c r="S121" s="3">
        <f t="shared" si="361"/>
        <v>175.97299999999998</v>
      </c>
      <c r="T121" s="33">
        <f t="shared" si="361"/>
        <v>149.53299999999993</v>
      </c>
      <c r="U121" s="33">
        <f t="shared" si="361"/>
        <v>202.92099999999999</v>
      </c>
      <c r="V121" s="33">
        <f t="shared" si="361"/>
        <v>179.45199999999988</v>
      </c>
      <c r="W121" s="33">
        <f t="shared" si="361"/>
        <v>236.84599999999961</v>
      </c>
      <c r="X121" s="33">
        <f t="shared" si="361"/>
        <v>282.43762748494544</v>
      </c>
      <c r="Y121" s="33">
        <f t="shared" si="361"/>
        <v>312.35454904209882</v>
      </c>
      <c r="Z121" s="33">
        <f t="shared" si="361"/>
        <v>352.1115459662538</v>
      </c>
      <c r="AA121" s="33">
        <f t="shared" si="361"/>
        <v>349.14179072598643</v>
      </c>
      <c r="AB121" s="33">
        <f t="shared" si="361"/>
        <v>337.15522120123831</v>
      </c>
      <c r="AC121" s="33">
        <f t="shared" si="361"/>
        <v>374.65032982744867</v>
      </c>
      <c r="AD121" s="33">
        <f t="shared" si="361"/>
        <v>413.36970167462709</v>
      </c>
      <c r="AE121" s="33">
        <f t="shared" si="361"/>
        <v>444.80323615773523</v>
      </c>
      <c r="AF121" s="33">
        <f t="shared" si="361"/>
        <v>461.44853317685158</v>
      </c>
      <c r="AG121" s="33">
        <f t="shared" si="361"/>
        <v>469.84055920028374</v>
      </c>
      <c r="AH121" s="33">
        <f t="shared" si="361"/>
        <v>498.33711104028157</v>
      </c>
      <c r="AI121" s="33">
        <f t="shared" si="361"/>
        <v>434.25723639354965</v>
      </c>
      <c r="AJ121" s="33">
        <f t="shared" si="361"/>
        <v>394.74308154768232</v>
      </c>
      <c r="AK121" s="33">
        <f t="shared" si="361"/>
        <v>393.16261482934135</v>
      </c>
      <c r="AL121" s="33">
        <f t="shared" si="361"/>
        <v>421.39387379304043</v>
      </c>
      <c r="AM121" s="33">
        <f t="shared" si="361"/>
        <v>448.86356253418137</v>
      </c>
      <c r="AN121" s="33">
        <f t="shared" si="361"/>
        <v>468.02221500261771</v>
      </c>
      <c r="AO121" s="33">
        <f t="shared" si="361"/>
        <v>466.25131472872249</v>
      </c>
      <c r="AP121" s="33">
        <f t="shared" si="361"/>
        <v>115.51946654005735</v>
      </c>
      <c r="AQ121" s="33">
        <f t="shared" si="361"/>
        <v>139.036751298052</v>
      </c>
      <c r="AR121" s="33">
        <f t="shared" si="361"/>
        <v>84.651303259623745</v>
      </c>
      <c r="AS121" s="33">
        <f t="shared" si="361"/>
        <v>10.400683336115584</v>
      </c>
      <c r="AT121" s="33">
        <f t="shared" si="361"/>
        <v>5.1665309893337685</v>
      </c>
      <c r="AU121" s="33">
        <f t="shared" si="361"/>
        <v>23.134897450642725</v>
      </c>
      <c r="AV121" s="33">
        <f t="shared" si="361"/>
        <v>32.450556778757935</v>
      </c>
      <c r="AW121" s="33">
        <f t="shared" si="361"/>
        <v>12.975740598238712</v>
      </c>
      <c r="AX121" s="33">
        <f t="shared" si="361"/>
        <v>23.831367756152549</v>
      </c>
      <c r="AY121" s="33">
        <f t="shared" si="361"/>
        <v>34.889548316046977</v>
      </c>
      <c r="AZ121" s="33">
        <f t="shared" si="361"/>
        <v>46.167998990020557</v>
      </c>
      <c r="BA121" s="33">
        <f t="shared" si="361"/>
        <v>-63.85983896746653</v>
      </c>
      <c r="BB121" s="33">
        <f t="shared" si="361"/>
        <v>-56.54527202572806</v>
      </c>
      <c r="BC121" s="33">
        <f t="shared" si="361"/>
        <v>-49.027237440534677</v>
      </c>
      <c r="BD121" s="33">
        <f t="shared" si="361"/>
        <v>-41.289106510275502</v>
      </c>
      <c r="BE121" s="33">
        <f t="shared" ref="BE121:CP121" si="362">+BE114+BE118</f>
        <v>-33.314351379971029</v>
      </c>
      <c r="BF121" s="33">
        <f t="shared" si="362"/>
        <v>-25.088628943326661</v>
      </c>
      <c r="BG121" s="33">
        <f t="shared" si="362"/>
        <v>-16.593931580945242</v>
      </c>
      <c r="BH121" s="33">
        <f t="shared" si="362"/>
        <v>-7.8170719193431406</v>
      </c>
      <c r="BI121" s="33">
        <f t="shared" si="362"/>
        <v>1.2604064549260898</v>
      </c>
      <c r="BJ121" s="33">
        <f t="shared" si="362"/>
        <v>10.651941419429079</v>
      </c>
      <c r="BK121" s="33">
        <f t="shared" si="362"/>
        <v>20.375197574480481</v>
      </c>
      <c r="BL121" s="33">
        <f t="shared" si="362"/>
        <v>30.445224639396507</v>
      </c>
      <c r="BM121" s="33">
        <f t="shared" si="362"/>
        <v>40.87791073067757</v>
      </c>
      <c r="BN121" s="33">
        <f t="shared" si="362"/>
        <v>51.688905071573316</v>
      </c>
      <c r="BO121" s="33">
        <f t="shared" si="362"/>
        <v>62.894472726064329</v>
      </c>
      <c r="BP121" s="33">
        <f t="shared" si="362"/>
        <v>74.510687540356912</v>
      </c>
      <c r="BQ121" s="33">
        <f t="shared" si="362"/>
        <v>86.553716128325618</v>
      </c>
      <c r="BR121" s="33">
        <f t="shared" si="362"/>
        <v>98.7666538451316</v>
      </c>
      <c r="BS121" s="33">
        <f t="shared" si="362"/>
        <v>83.211884847050129</v>
      </c>
      <c r="BT121" s="33">
        <f t="shared" si="362"/>
        <v>70.311603639488638</v>
      </c>
      <c r="BU121" s="33">
        <f t="shared" si="362"/>
        <v>81.946835132990913</v>
      </c>
      <c r="BV121" s="33">
        <f t="shared" si="362"/>
        <v>94.007215316515456</v>
      </c>
      <c r="BW121" s="33">
        <f t="shared" si="362"/>
        <v>106.50703486180825</v>
      </c>
      <c r="BX121" s="33">
        <f t="shared" si="362"/>
        <v>119.46148987624215</v>
      </c>
      <c r="BY121" s="33">
        <f t="shared" si="362"/>
        <v>132.88377320525072</v>
      </c>
      <c r="BZ121" s="33">
        <f t="shared" si="362"/>
        <v>146.79065581885766</v>
      </c>
      <c r="CA121" s="33">
        <f t="shared" si="362"/>
        <v>161.19614675805252</v>
      </c>
      <c r="CB121" s="33">
        <f t="shared" si="362"/>
        <v>176.11679557586217</v>
      </c>
      <c r="CC121" s="33">
        <f t="shared" si="362"/>
        <v>188.29687295116946</v>
      </c>
      <c r="CD121" s="33">
        <f t="shared" si="362"/>
        <v>164.95492896931208</v>
      </c>
      <c r="CE121" s="33">
        <f t="shared" si="362"/>
        <v>180.01749410045625</v>
      </c>
      <c r="CF121" s="33">
        <f t="shared" si="362"/>
        <v>195.62326464504491</v>
      </c>
      <c r="CG121" s="33">
        <f t="shared" si="362"/>
        <v>211.7881790143573</v>
      </c>
      <c r="CH121" s="33">
        <f t="shared" si="362"/>
        <v>-135.58608328026929</v>
      </c>
      <c r="CI121" s="33">
        <f t="shared" si="362"/>
        <v>-131.42186756322204</v>
      </c>
      <c r="CJ121" s="33">
        <f t="shared" si="362"/>
        <v>-126.91674811981417</v>
      </c>
      <c r="CK121" s="33">
        <f t="shared" si="362"/>
        <v>-122.06072890055984</v>
      </c>
      <c r="CL121" s="33">
        <f t="shared" si="362"/>
        <v>-116.84341360627167</v>
      </c>
      <c r="CM121" s="33">
        <f t="shared" si="362"/>
        <v>-111.25323451351592</v>
      </c>
      <c r="CN121" s="33">
        <f t="shared" si="362"/>
        <v>-105.27872770179893</v>
      </c>
      <c r="CO121" s="33">
        <f t="shared" si="362"/>
        <v>-98.908007194797506</v>
      </c>
      <c r="CP121" s="33">
        <f t="shared" si="362"/>
        <v>-113.67386257228807</v>
      </c>
      <c r="CQ121" s="362" t="s">
        <v>77</v>
      </c>
      <c r="CS121" s="43"/>
      <c r="CT121" s="43"/>
      <c r="DB121" s="1" t="s">
        <v>258</v>
      </c>
      <c r="DD121" s="922">
        <f t="shared" ref="DD121:DO121" si="363">+DD114+DD118</f>
        <v>181.29599999999999</v>
      </c>
      <c r="DE121" s="922">
        <f t="shared" si="363"/>
        <v>209.613</v>
      </c>
      <c r="DF121" s="922">
        <f t="shared" si="363"/>
        <v>247.27399999999997</v>
      </c>
      <c r="DG121" s="922">
        <f t="shared" si="363"/>
        <v>219.61499999999984</v>
      </c>
      <c r="DH121" s="922">
        <f t="shared" si="363"/>
        <v>289.97600000000006</v>
      </c>
      <c r="DI121" s="922">
        <f t="shared" si="363"/>
        <v>257.17700000000002</v>
      </c>
      <c r="DJ121" s="3">
        <f t="shared" si="363"/>
        <v>19.029999999999916</v>
      </c>
      <c r="DK121" s="3">
        <f t="shared" si="363"/>
        <v>183.89100000000002</v>
      </c>
      <c r="DL121" s="3">
        <f t="shared" si="363"/>
        <v>99.54500000000003</v>
      </c>
      <c r="DM121" s="3">
        <f t="shared" si="363"/>
        <v>79.906999999999968</v>
      </c>
      <c r="DN121" s="3">
        <f t="shared" si="363"/>
        <v>139.83000000000013</v>
      </c>
      <c r="DO121" s="3">
        <f t="shared" si="363"/>
        <v>97.015999999999792</v>
      </c>
      <c r="DP121" s="3">
        <f t="shared" ref="DP121" si="364">+DP114+DP118</f>
        <v>123.96599999999989</v>
      </c>
      <c r="DQ121" s="3">
        <f t="shared" ref="DQ121" si="365">+DQ114+DQ118</f>
        <v>139.99952748494542</v>
      </c>
      <c r="DR121" s="3"/>
      <c r="DS121" s="3"/>
      <c r="DU121" s="413">
        <f t="shared" si="350"/>
        <v>0.46378057297222625</v>
      </c>
      <c r="DV121" s="413">
        <f t="shared" si="351"/>
        <v>0.52962053078997384</v>
      </c>
      <c r="DW121" s="413">
        <f t="shared" si="352"/>
        <v>0.52997242087679319</v>
      </c>
      <c r="DX121" s="413">
        <f t="shared" si="302"/>
        <v>9.3780338161155927E-2</v>
      </c>
      <c r="DY121" s="431">
        <f>DX121</f>
        <v>9.3780338161155927E-2</v>
      </c>
      <c r="DZ121" s="413">
        <f t="shared" si="232"/>
        <v>0.59038362480261508</v>
      </c>
      <c r="EH121" s="411" t="b">
        <f t="shared" si="238"/>
        <v>1</v>
      </c>
      <c r="EI121" s="411" t="b">
        <f t="shared" si="239"/>
        <v>1</v>
      </c>
      <c r="EJ121" s="411" t="b">
        <f t="shared" si="233"/>
        <v>1</v>
      </c>
    </row>
    <row r="122" spans="1:140" ht="11.25" customHeight="1" outlineLevel="1" x14ac:dyDescent="0.2">
      <c r="B122" s="1" t="s">
        <v>259</v>
      </c>
      <c r="D122" s="3"/>
      <c r="E122" s="3"/>
      <c r="F122" s="3"/>
      <c r="G122" s="3"/>
      <c r="H122" s="3"/>
      <c r="I122" s="3"/>
      <c r="J122" s="3"/>
      <c r="K122" s="3">
        <f t="shared" ref="K122:U122" si="366">+K116+K118+K119</f>
        <v>109.81800000000001</v>
      </c>
      <c r="L122" s="3">
        <f t="shared" si="366"/>
        <v>54.104999999999976</v>
      </c>
      <c r="M122" s="3">
        <f t="shared" si="366"/>
        <v>41.263999999999953</v>
      </c>
      <c r="N122" s="3">
        <f t="shared" si="366"/>
        <v>62.641999999999996</v>
      </c>
      <c r="O122" s="3">
        <f t="shared" si="366"/>
        <v>73.887000000000057</v>
      </c>
      <c r="P122" s="3">
        <f t="shared" si="366"/>
        <v>84.571000000000026</v>
      </c>
      <c r="Q122" s="3">
        <f t="shared" si="366"/>
        <v>92.301999999999992</v>
      </c>
      <c r="R122" s="3">
        <f t="shared" si="366"/>
        <v>114.74999999999994</v>
      </c>
      <c r="S122" s="3">
        <f t="shared" si="366"/>
        <v>304.71600000000018</v>
      </c>
      <c r="T122" s="33">
        <f t="shared" si="366"/>
        <v>343.70600000000002</v>
      </c>
      <c r="U122" s="33">
        <f t="shared" si="366"/>
        <v>559.92999999999995</v>
      </c>
      <c r="V122" s="33">
        <f>+V116+V117+V119</f>
        <v>179.45199999999988</v>
      </c>
      <c r="W122" s="33">
        <f t="shared" ref="W122:BD122" si="367">+W116+W118+W119</f>
        <v>236.84599999999961</v>
      </c>
      <c r="X122" s="33">
        <f t="shared" si="367"/>
        <v>282.43762748494544</v>
      </c>
      <c r="Y122" s="33">
        <f t="shared" si="367"/>
        <v>312.35454904209882</v>
      </c>
      <c r="Z122" s="33">
        <f t="shared" si="367"/>
        <v>352.1115459662538</v>
      </c>
      <c r="AA122" s="33">
        <f t="shared" si="367"/>
        <v>349.14179072598643</v>
      </c>
      <c r="AB122" s="33">
        <f t="shared" si="367"/>
        <v>337.15522120123831</v>
      </c>
      <c r="AC122" s="33">
        <f t="shared" si="367"/>
        <v>374.65032982744867</v>
      </c>
      <c r="AD122" s="33">
        <f t="shared" si="367"/>
        <v>413.36970167462709</v>
      </c>
      <c r="AE122" s="33">
        <f t="shared" si="367"/>
        <v>444.80323615773523</v>
      </c>
      <c r="AF122" s="33">
        <f t="shared" si="367"/>
        <v>461.44853317685158</v>
      </c>
      <c r="AG122" s="33">
        <f t="shared" si="367"/>
        <v>469.84055920028374</v>
      </c>
      <c r="AH122" s="33">
        <f t="shared" si="367"/>
        <v>498.33711104028157</v>
      </c>
      <c r="AI122" s="33">
        <f t="shared" si="367"/>
        <v>434.25723639354965</v>
      </c>
      <c r="AJ122" s="33">
        <f t="shared" si="367"/>
        <v>394.74308154768232</v>
      </c>
      <c r="AK122" s="33">
        <f t="shared" si="367"/>
        <v>393.16261482934135</v>
      </c>
      <c r="AL122" s="33">
        <f t="shared" si="367"/>
        <v>421.39387379304043</v>
      </c>
      <c r="AM122" s="33">
        <f t="shared" si="367"/>
        <v>448.86356253418137</v>
      </c>
      <c r="AN122" s="33">
        <f t="shared" si="367"/>
        <v>468.02221500261771</v>
      </c>
      <c r="AO122" s="33">
        <f t="shared" si="367"/>
        <v>466.25131472872249</v>
      </c>
      <c r="AP122" s="33">
        <f t="shared" si="367"/>
        <v>115.51946654005735</v>
      </c>
      <c r="AQ122" s="33">
        <f t="shared" si="367"/>
        <v>139.036751298052</v>
      </c>
      <c r="AR122" s="33">
        <f t="shared" si="367"/>
        <v>84.651303259623745</v>
      </c>
      <c r="AS122" s="33">
        <f t="shared" si="367"/>
        <v>10.400683336115584</v>
      </c>
      <c r="AT122" s="33">
        <f t="shared" si="367"/>
        <v>5.1665309893337685</v>
      </c>
      <c r="AU122" s="33">
        <f t="shared" si="367"/>
        <v>23.134897450642725</v>
      </c>
      <c r="AV122" s="33">
        <f t="shared" si="367"/>
        <v>32.450556778757935</v>
      </c>
      <c r="AW122" s="33">
        <f t="shared" si="367"/>
        <v>12.975740598238712</v>
      </c>
      <c r="AX122" s="33">
        <f t="shared" si="367"/>
        <v>23.831367756152549</v>
      </c>
      <c r="AY122" s="33">
        <f t="shared" si="367"/>
        <v>34.889548316046977</v>
      </c>
      <c r="AZ122" s="33">
        <f t="shared" si="367"/>
        <v>46.167998990020557</v>
      </c>
      <c r="BA122" s="33">
        <f t="shared" si="367"/>
        <v>-63.85983896746653</v>
      </c>
      <c r="BB122" s="33">
        <f t="shared" si="367"/>
        <v>-56.54527202572806</v>
      </c>
      <c r="BC122" s="33">
        <f t="shared" si="367"/>
        <v>-49.027237440534677</v>
      </c>
      <c r="BD122" s="33">
        <f t="shared" si="367"/>
        <v>-41.289106510275502</v>
      </c>
      <c r="BE122" s="33">
        <f t="shared" ref="BE122:CP122" si="368">+BE116+BE118+BE119</f>
        <v>-33.314351379971029</v>
      </c>
      <c r="BF122" s="33">
        <f t="shared" si="368"/>
        <v>-25.088628943326661</v>
      </c>
      <c r="BG122" s="33">
        <f t="shared" si="368"/>
        <v>-16.593931580945242</v>
      </c>
      <c r="BH122" s="33">
        <f t="shared" si="368"/>
        <v>-7.8170719193431406</v>
      </c>
      <c r="BI122" s="33">
        <f t="shared" si="368"/>
        <v>1.2604064549260898</v>
      </c>
      <c r="BJ122" s="33">
        <f t="shared" si="368"/>
        <v>10.651941419429079</v>
      </c>
      <c r="BK122" s="33">
        <f t="shared" si="368"/>
        <v>20.375197574480481</v>
      </c>
      <c r="BL122" s="33">
        <f t="shared" si="368"/>
        <v>30.445224639396507</v>
      </c>
      <c r="BM122" s="33">
        <f t="shared" si="368"/>
        <v>40.87791073067757</v>
      </c>
      <c r="BN122" s="33">
        <f t="shared" si="368"/>
        <v>51.688905071573316</v>
      </c>
      <c r="BO122" s="33">
        <f t="shared" si="368"/>
        <v>62.894472726064329</v>
      </c>
      <c r="BP122" s="33">
        <f t="shared" si="368"/>
        <v>74.510687540356912</v>
      </c>
      <c r="BQ122" s="33">
        <f t="shared" si="368"/>
        <v>86.553716128325618</v>
      </c>
      <c r="BR122" s="33">
        <f t="shared" si="368"/>
        <v>98.7666538451316</v>
      </c>
      <c r="BS122" s="33">
        <f t="shared" si="368"/>
        <v>83.211884847050129</v>
      </c>
      <c r="BT122" s="33">
        <f t="shared" si="368"/>
        <v>70.311603639488638</v>
      </c>
      <c r="BU122" s="33">
        <f t="shared" si="368"/>
        <v>81.946835132990913</v>
      </c>
      <c r="BV122" s="33">
        <f t="shared" si="368"/>
        <v>94.007215316515456</v>
      </c>
      <c r="BW122" s="33">
        <f t="shared" si="368"/>
        <v>106.50703486180825</v>
      </c>
      <c r="BX122" s="33">
        <f t="shared" si="368"/>
        <v>119.46148987624215</v>
      </c>
      <c r="BY122" s="33">
        <f t="shared" si="368"/>
        <v>132.88377320525072</v>
      </c>
      <c r="BZ122" s="33">
        <f t="shared" si="368"/>
        <v>146.79065581885766</v>
      </c>
      <c r="CA122" s="33">
        <f t="shared" si="368"/>
        <v>161.19614675805252</v>
      </c>
      <c r="CB122" s="33">
        <f t="shared" si="368"/>
        <v>176.11679557586217</v>
      </c>
      <c r="CC122" s="33">
        <f t="shared" si="368"/>
        <v>188.29687295116946</v>
      </c>
      <c r="CD122" s="33">
        <f t="shared" si="368"/>
        <v>164.95492896931208</v>
      </c>
      <c r="CE122" s="33">
        <f t="shared" si="368"/>
        <v>180.01749410045625</v>
      </c>
      <c r="CF122" s="33">
        <f t="shared" si="368"/>
        <v>195.62326464504491</v>
      </c>
      <c r="CG122" s="33">
        <f t="shared" si="368"/>
        <v>211.7881790143573</v>
      </c>
      <c r="CH122" s="33">
        <f t="shared" si="368"/>
        <v>-135.58608328026929</v>
      </c>
      <c r="CI122" s="33">
        <f t="shared" si="368"/>
        <v>-131.42186756322204</v>
      </c>
      <c r="CJ122" s="33">
        <f t="shared" si="368"/>
        <v>-126.91674811981417</v>
      </c>
      <c r="CK122" s="33">
        <f t="shared" si="368"/>
        <v>-122.06072890055984</v>
      </c>
      <c r="CL122" s="33">
        <f t="shared" si="368"/>
        <v>-116.84341360627167</v>
      </c>
      <c r="CM122" s="33">
        <f t="shared" si="368"/>
        <v>-111.25323451351592</v>
      </c>
      <c r="CN122" s="33">
        <f t="shared" si="368"/>
        <v>-105.27872770179893</v>
      </c>
      <c r="CO122" s="33">
        <f t="shared" si="368"/>
        <v>-98.908007194797506</v>
      </c>
      <c r="CP122" s="33">
        <f t="shared" si="368"/>
        <v>-113.67386257228807</v>
      </c>
      <c r="CQ122" s="362" t="s">
        <v>77</v>
      </c>
      <c r="DB122" s="1" t="s">
        <v>259</v>
      </c>
      <c r="DD122" s="922">
        <f t="shared" ref="DD122:DO122" si="369">+DD116+DD118+DD119</f>
        <v>190.20299999999997</v>
      </c>
      <c r="DE122" s="922">
        <f t="shared" si="369"/>
        <v>175.13799999999998</v>
      </c>
      <c r="DF122" s="922">
        <f t="shared" si="369"/>
        <v>349.375</v>
      </c>
      <c r="DG122" s="922">
        <f t="shared" si="369"/>
        <v>246.25699999999995</v>
      </c>
      <c r="DH122" s="922">
        <f t="shared" si="369"/>
        <v>289.97600000000006</v>
      </c>
      <c r="DI122" s="922">
        <f t="shared" si="369"/>
        <v>451.35000000000008</v>
      </c>
      <c r="DJ122" s="3">
        <f t="shared" si="369"/>
        <v>467.26200000000006</v>
      </c>
      <c r="DK122" s="3">
        <f t="shared" si="369"/>
        <v>92.668000000000049</v>
      </c>
      <c r="DL122" s="3">
        <f t="shared" si="369"/>
        <v>99.54500000000003</v>
      </c>
      <c r="DM122" s="3">
        <f t="shared" si="369"/>
        <v>79.906999999999968</v>
      </c>
      <c r="DN122" s="3">
        <f t="shared" si="369"/>
        <v>139.83000000000013</v>
      </c>
      <c r="DO122" s="3">
        <f t="shared" si="369"/>
        <v>97.015999999999792</v>
      </c>
      <c r="DP122" s="21">
        <f t="shared" ref="DP122" si="370">+DP116+DP118+DP119</f>
        <v>123.96599999999989</v>
      </c>
      <c r="DQ122" s="3">
        <f t="shared" ref="DQ122" si="371">+DQ116+DQ118+DQ119</f>
        <v>139.99952748494542</v>
      </c>
      <c r="DR122" s="3"/>
      <c r="DS122" s="3"/>
      <c r="DU122" s="413">
        <f t="shared" si="350"/>
        <v>0.52061772426308572</v>
      </c>
      <c r="DV122" s="413">
        <f t="shared" si="351"/>
        <v>0.58656183683885355</v>
      </c>
      <c r="DW122" s="413">
        <f t="shared" si="352"/>
        <v>0.39115854563309532</v>
      </c>
      <c r="DX122" s="413">
        <f t="shared" si="302"/>
        <v>0.83450074116407413</v>
      </c>
      <c r="DY122" s="431">
        <f>DX122</f>
        <v>0.83450074116407413</v>
      </c>
      <c r="DZ122" s="413">
        <f t="shared" si="232"/>
        <v>0.59038362480261508</v>
      </c>
      <c r="EH122" s="411" t="b">
        <f t="shared" si="238"/>
        <v>1</v>
      </c>
      <c r="EI122" s="411" t="b">
        <f t="shared" si="239"/>
        <v>1</v>
      </c>
      <c r="EJ122" s="411" t="b">
        <f t="shared" si="233"/>
        <v>1</v>
      </c>
    </row>
    <row r="123" spans="1:140" ht="11.25" customHeight="1" outlineLevel="1" x14ac:dyDescent="0.2">
      <c r="B123" s="1" t="s">
        <v>282</v>
      </c>
      <c r="D123" s="3"/>
      <c r="E123" s="3"/>
      <c r="F123" s="3"/>
      <c r="G123" s="3"/>
      <c r="H123" s="3"/>
      <c r="I123" s="3"/>
      <c r="J123" s="3"/>
      <c r="K123" s="3">
        <f>+K121-K127</f>
        <v>51.350999999999985</v>
      </c>
      <c r="L123" s="3">
        <f t="shared" ref="L123:BD123" si="372">+L121-L127</f>
        <v>69.436000000000035</v>
      </c>
      <c r="M123" s="3">
        <f t="shared" si="372"/>
        <v>64.53000000000003</v>
      </c>
      <c r="N123" s="3">
        <f t="shared" si="372"/>
        <v>86.823999999999998</v>
      </c>
      <c r="O123" s="3">
        <f t="shared" si="372"/>
        <v>104.70699999999995</v>
      </c>
      <c r="P123" s="3">
        <f t="shared" si="372"/>
        <v>116.29499999999999</v>
      </c>
      <c r="Q123" s="3">
        <f t="shared" si="372"/>
        <v>125.46400000000001</v>
      </c>
      <c r="R123" s="3">
        <f t="shared" si="372"/>
        <v>156.21800000000005</v>
      </c>
      <c r="S123" s="3">
        <f t="shared" si="372"/>
        <v>170.0239999999998</v>
      </c>
      <c r="T123" s="33">
        <f t="shared" si="372"/>
        <v>149.53199999999993</v>
      </c>
      <c r="U123" s="33">
        <f t="shared" si="372"/>
        <v>203.92099999999999</v>
      </c>
      <c r="V123" s="33">
        <f>+V121-V127</f>
        <v>179.30099999999987</v>
      </c>
      <c r="W123" s="33">
        <f t="shared" si="372"/>
        <v>236.84599999999961</v>
      </c>
      <c r="X123" s="33">
        <f t="shared" si="372"/>
        <v>282.43762748494544</v>
      </c>
      <c r="Y123" s="33">
        <f t="shared" si="372"/>
        <v>312.35454904209882</v>
      </c>
      <c r="Z123" s="33">
        <f t="shared" si="372"/>
        <v>352.1115459662538</v>
      </c>
      <c r="AA123" s="33">
        <f t="shared" si="372"/>
        <v>349.14179072598643</v>
      </c>
      <c r="AB123" s="33">
        <f t="shared" si="372"/>
        <v>337.15522120123831</v>
      </c>
      <c r="AC123" s="33">
        <f t="shared" si="372"/>
        <v>374.65032982744867</v>
      </c>
      <c r="AD123" s="33">
        <f t="shared" si="372"/>
        <v>413.36970167462709</v>
      </c>
      <c r="AE123" s="33">
        <f t="shared" si="372"/>
        <v>444.80323615773523</v>
      </c>
      <c r="AF123" s="33">
        <f t="shared" si="372"/>
        <v>461.44853317685158</v>
      </c>
      <c r="AG123" s="33">
        <f t="shared" si="372"/>
        <v>469.84055920028374</v>
      </c>
      <c r="AH123" s="33">
        <f t="shared" si="372"/>
        <v>498.33711104028157</v>
      </c>
      <c r="AI123" s="33">
        <f t="shared" si="372"/>
        <v>434.25723639354965</v>
      </c>
      <c r="AJ123" s="33">
        <f t="shared" si="372"/>
        <v>394.74308154768232</v>
      </c>
      <c r="AK123" s="33">
        <f t="shared" si="372"/>
        <v>393.16261482934135</v>
      </c>
      <c r="AL123" s="33">
        <f t="shared" si="372"/>
        <v>421.39387379304043</v>
      </c>
      <c r="AM123" s="33">
        <f t="shared" si="372"/>
        <v>448.86356253418137</v>
      </c>
      <c r="AN123" s="33">
        <f t="shared" si="372"/>
        <v>468.02221500261771</v>
      </c>
      <c r="AO123" s="33">
        <f t="shared" si="372"/>
        <v>466.25131472872249</v>
      </c>
      <c r="AP123" s="33">
        <f t="shared" si="372"/>
        <v>115.51946654005735</v>
      </c>
      <c r="AQ123" s="33">
        <f t="shared" si="372"/>
        <v>139.036751298052</v>
      </c>
      <c r="AR123" s="33">
        <f t="shared" si="372"/>
        <v>84.651303259623745</v>
      </c>
      <c r="AS123" s="33">
        <f t="shared" si="372"/>
        <v>10.400683336115584</v>
      </c>
      <c r="AT123" s="33">
        <f t="shared" si="372"/>
        <v>5.1665309893337685</v>
      </c>
      <c r="AU123" s="33">
        <f t="shared" si="372"/>
        <v>23.134897450642725</v>
      </c>
      <c r="AV123" s="33">
        <f t="shared" si="372"/>
        <v>32.450556778757935</v>
      </c>
      <c r="AW123" s="33">
        <f t="shared" si="372"/>
        <v>12.975740598238712</v>
      </c>
      <c r="AX123" s="33">
        <f t="shared" si="372"/>
        <v>23.831367756152549</v>
      </c>
      <c r="AY123" s="33">
        <f t="shared" si="372"/>
        <v>34.889548316046977</v>
      </c>
      <c r="AZ123" s="33">
        <f t="shared" si="372"/>
        <v>46.167998990020557</v>
      </c>
      <c r="BA123" s="33">
        <f t="shared" si="372"/>
        <v>-63.85983896746653</v>
      </c>
      <c r="BB123" s="33">
        <f t="shared" si="372"/>
        <v>-56.54527202572806</v>
      </c>
      <c r="BC123" s="33">
        <f t="shared" si="372"/>
        <v>-49.027237440534677</v>
      </c>
      <c r="BD123" s="33">
        <f t="shared" si="372"/>
        <v>-41.289106510275502</v>
      </c>
      <c r="BE123" s="33">
        <f t="shared" ref="BE123:CP123" si="373">+BE121-BE127</f>
        <v>-33.314351379971029</v>
      </c>
      <c r="BF123" s="33">
        <f t="shared" si="373"/>
        <v>-25.088628943326661</v>
      </c>
      <c r="BG123" s="33">
        <f t="shared" si="373"/>
        <v>-16.593931580945242</v>
      </c>
      <c r="BH123" s="33">
        <f t="shared" si="373"/>
        <v>-7.8170719193431406</v>
      </c>
      <c r="BI123" s="33">
        <f t="shared" si="373"/>
        <v>1.2604064549260898</v>
      </c>
      <c r="BJ123" s="33">
        <f t="shared" si="373"/>
        <v>10.651941419429079</v>
      </c>
      <c r="BK123" s="33">
        <f t="shared" si="373"/>
        <v>20.375197574480481</v>
      </c>
      <c r="BL123" s="33">
        <f t="shared" si="373"/>
        <v>30.445224639396507</v>
      </c>
      <c r="BM123" s="33">
        <f t="shared" si="373"/>
        <v>40.87791073067757</v>
      </c>
      <c r="BN123" s="33">
        <f t="shared" si="373"/>
        <v>51.688905071573316</v>
      </c>
      <c r="BO123" s="33">
        <f t="shared" si="373"/>
        <v>62.894472726064329</v>
      </c>
      <c r="BP123" s="33">
        <f t="shared" si="373"/>
        <v>74.510687540356912</v>
      </c>
      <c r="BQ123" s="33">
        <f t="shared" si="373"/>
        <v>86.553716128325618</v>
      </c>
      <c r="BR123" s="33">
        <f t="shared" si="373"/>
        <v>98.7666538451316</v>
      </c>
      <c r="BS123" s="33">
        <f t="shared" si="373"/>
        <v>83.211884847050129</v>
      </c>
      <c r="BT123" s="33">
        <f t="shared" si="373"/>
        <v>70.311603639488638</v>
      </c>
      <c r="BU123" s="33">
        <f t="shared" si="373"/>
        <v>81.946835132990913</v>
      </c>
      <c r="BV123" s="33">
        <f t="shared" si="373"/>
        <v>94.007215316515456</v>
      </c>
      <c r="BW123" s="33">
        <f t="shared" si="373"/>
        <v>106.50703486180825</v>
      </c>
      <c r="BX123" s="33">
        <f t="shared" si="373"/>
        <v>119.46148987624215</v>
      </c>
      <c r="BY123" s="33">
        <f t="shared" si="373"/>
        <v>132.88377320525072</v>
      </c>
      <c r="BZ123" s="33">
        <f t="shared" si="373"/>
        <v>146.79065581885766</v>
      </c>
      <c r="CA123" s="33">
        <f t="shared" si="373"/>
        <v>161.19614675805252</v>
      </c>
      <c r="CB123" s="33">
        <f t="shared" si="373"/>
        <v>176.11679557586217</v>
      </c>
      <c r="CC123" s="33">
        <f t="shared" si="373"/>
        <v>188.29687295116946</v>
      </c>
      <c r="CD123" s="33">
        <f t="shared" si="373"/>
        <v>164.95492896931208</v>
      </c>
      <c r="CE123" s="33">
        <f t="shared" si="373"/>
        <v>180.01749410045625</v>
      </c>
      <c r="CF123" s="33">
        <f t="shared" si="373"/>
        <v>195.62326464504491</v>
      </c>
      <c r="CG123" s="33">
        <f t="shared" si="373"/>
        <v>211.7881790143573</v>
      </c>
      <c r="CH123" s="33">
        <f t="shared" si="373"/>
        <v>-135.58608328026929</v>
      </c>
      <c r="CI123" s="33">
        <f t="shared" si="373"/>
        <v>-131.42186756322204</v>
      </c>
      <c r="CJ123" s="33">
        <f t="shared" si="373"/>
        <v>-126.91674811981417</v>
      </c>
      <c r="CK123" s="33">
        <f t="shared" si="373"/>
        <v>-122.06072890055984</v>
      </c>
      <c r="CL123" s="33">
        <f t="shared" si="373"/>
        <v>-116.84341360627167</v>
      </c>
      <c r="CM123" s="33">
        <f t="shared" si="373"/>
        <v>-111.25323451351592</v>
      </c>
      <c r="CN123" s="33">
        <f t="shared" si="373"/>
        <v>-105.27872770179893</v>
      </c>
      <c r="CO123" s="33">
        <f t="shared" si="373"/>
        <v>-98.908007194797506</v>
      </c>
      <c r="CP123" s="33">
        <f t="shared" si="373"/>
        <v>-113.67386257228807</v>
      </c>
      <c r="CQ123" s="362" t="s">
        <v>77</v>
      </c>
      <c r="DB123" s="1" t="s">
        <v>282</v>
      </c>
      <c r="DD123" s="922">
        <f t="shared" ref="DD123:DO123" si="374">+DD121-DD127</f>
        <v>57.110000000000014</v>
      </c>
      <c r="DE123" s="922">
        <f t="shared" si="374"/>
        <v>99.108000000000033</v>
      </c>
      <c r="DF123" s="922">
        <f t="shared" si="374"/>
        <v>109.87499999999997</v>
      </c>
      <c r="DG123" s="922">
        <f t="shared" si="374"/>
        <v>60.148999999999887</v>
      </c>
      <c r="DH123" s="922">
        <f t="shared" si="374"/>
        <v>120.732</v>
      </c>
      <c r="DI123" s="922">
        <f t="shared" si="374"/>
        <v>28.799999999999983</v>
      </c>
      <c r="DJ123" s="3">
        <f t="shared" si="374"/>
        <v>18.029999999999916</v>
      </c>
      <c r="DK123" s="3">
        <f t="shared" si="374"/>
        <v>185.89100000000002</v>
      </c>
      <c r="DL123" s="3">
        <f t="shared" si="374"/>
        <v>98.54500000000003</v>
      </c>
      <c r="DM123" s="3">
        <f t="shared" si="374"/>
        <v>80.755999999999972</v>
      </c>
      <c r="DN123" s="21">
        <f t="shared" si="374"/>
        <v>139.83000000000013</v>
      </c>
      <c r="DO123" s="3">
        <f t="shared" si="374"/>
        <v>97.015999999999792</v>
      </c>
      <c r="DP123" s="3">
        <f t="shared" ref="DP123" si="375">+DP121-DP127</f>
        <v>123.96599999999989</v>
      </c>
      <c r="DQ123" s="3">
        <f t="shared" ref="DQ123" si="376">+DQ121-DQ127</f>
        <v>139.99952748494542</v>
      </c>
      <c r="DR123" s="3"/>
      <c r="DS123" s="3"/>
      <c r="DU123" s="413">
        <f t="shared" si="350"/>
        <v>0.36557887055268917</v>
      </c>
      <c r="DV123" s="413">
        <f t="shared" si="351"/>
        <v>0.64623229661694859</v>
      </c>
      <c r="DW123" s="413">
        <f t="shared" si="352"/>
        <v>0.8073990851456545</v>
      </c>
      <c r="DX123" s="413">
        <f t="shared" si="302"/>
        <v>8.8416592700113872E-2</v>
      </c>
      <c r="DY123" s="431">
        <f>DX123</f>
        <v>8.8416592700113872E-2</v>
      </c>
      <c r="DZ123" s="413">
        <f t="shared" si="232"/>
        <v>0.59038362480261508</v>
      </c>
      <c r="EH123" s="411" t="b">
        <f t="shared" si="238"/>
        <v>1</v>
      </c>
      <c r="EI123" s="411" t="b">
        <f t="shared" si="239"/>
        <v>1</v>
      </c>
      <c r="EJ123" s="411" t="b">
        <f t="shared" si="233"/>
        <v>1</v>
      </c>
    </row>
    <row r="124" spans="1:140" ht="11.25" customHeight="1" outlineLevel="1" x14ac:dyDescent="0.2">
      <c r="L124" s="8"/>
      <c r="M124" s="8"/>
      <c r="N124" s="8"/>
      <c r="O124" s="8"/>
      <c r="P124" s="8"/>
      <c r="Q124" s="8"/>
      <c r="R124" s="8"/>
      <c r="S124" s="8"/>
      <c r="T124" s="8"/>
      <c r="U124" s="363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>
        <f>43.5</f>
        <v>43.5</v>
      </c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362" t="s">
        <v>77</v>
      </c>
      <c r="DD124" s="8"/>
      <c r="DE124" s="8"/>
      <c r="DF124" s="8"/>
      <c r="DG124" s="8"/>
      <c r="DH124" s="8"/>
      <c r="DI124" s="8"/>
      <c r="DJ124" s="8"/>
      <c r="DK124" s="8"/>
      <c r="DU124" s="413"/>
      <c r="DV124" s="413"/>
      <c r="DW124" s="413"/>
      <c r="DX124" s="413"/>
      <c r="DY124" s="431"/>
      <c r="DZ124" s="413"/>
    </row>
    <row r="125" spans="1:140" ht="11.25" customHeight="1" outlineLevel="1" x14ac:dyDescent="0.2">
      <c r="B125" s="358" t="s">
        <v>111</v>
      </c>
      <c r="C125" s="218"/>
      <c r="D125" s="66"/>
      <c r="E125" s="66"/>
      <c r="F125" s="66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  <c r="Y125" s="66"/>
      <c r="Z125" s="66"/>
      <c r="AA125" s="66"/>
      <c r="AB125" s="66"/>
      <c r="AC125" s="66"/>
      <c r="AD125" s="66"/>
      <c r="AE125" s="66"/>
      <c r="AF125" s="66"/>
      <c r="AG125" s="66">
        <f>4*(1/0.3)</f>
        <v>13.333333333333334</v>
      </c>
      <c r="AH125" s="66"/>
      <c r="AI125" s="66"/>
      <c r="AJ125" s="66"/>
      <c r="AK125" s="66"/>
      <c r="AL125" s="66"/>
      <c r="AM125" s="66"/>
      <c r="AN125" s="66"/>
      <c r="AO125" s="66"/>
      <c r="AP125" s="66"/>
      <c r="AQ125" s="66"/>
      <c r="AR125" s="66"/>
      <c r="AS125" s="66"/>
      <c r="AT125" s="66"/>
      <c r="AU125" s="66"/>
      <c r="AV125" s="66"/>
      <c r="AW125" s="66"/>
      <c r="AX125" s="66"/>
      <c r="AY125" s="66"/>
      <c r="AZ125" s="66"/>
      <c r="BA125" s="66"/>
      <c r="BB125" s="66"/>
      <c r="BC125" s="66"/>
      <c r="BD125" s="66"/>
      <c r="BE125" s="66"/>
      <c r="BF125" s="66"/>
      <c r="BG125" s="66"/>
      <c r="BH125" s="66"/>
      <c r="BI125" s="66"/>
      <c r="BJ125" s="66"/>
      <c r="BK125" s="66"/>
      <c r="BL125" s="66"/>
      <c r="BM125" s="66"/>
      <c r="BN125" s="66"/>
      <c r="BO125" s="66"/>
      <c r="BP125" s="66"/>
      <c r="BQ125" s="66"/>
      <c r="BR125" s="66"/>
      <c r="BS125" s="66"/>
      <c r="BT125" s="66"/>
      <c r="BU125" s="66"/>
      <c r="BV125" s="66"/>
      <c r="BW125" s="66"/>
      <c r="BX125" s="66"/>
      <c r="BY125" s="66"/>
      <c r="BZ125" s="66"/>
      <c r="CA125" s="66"/>
      <c r="CB125" s="66"/>
      <c r="CC125" s="66"/>
      <c r="CD125" s="66"/>
      <c r="CE125" s="66"/>
      <c r="CF125" s="66"/>
      <c r="CG125" s="66"/>
      <c r="CH125" s="66"/>
      <c r="CI125" s="66"/>
      <c r="CJ125" s="66"/>
      <c r="CK125" s="66"/>
      <c r="CL125" s="66"/>
      <c r="CM125" s="66"/>
      <c r="CN125" s="66"/>
      <c r="CO125" s="66"/>
      <c r="CP125" s="66"/>
      <c r="CQ125" s="362" t="s">
        <v>77</v>
      </c>
      <c r="DB125" s="358" t="s">
        <v>111</v>
      </c>
      <c r="DC125" s="218"/>
      <c r="DD125" s="66"/>
      <c r="DE125" s="66"/>
      <c r="DF125" s="66"/>
      <c r="DG125" s="66"/>
      <c r="DH125" s="66"/>
      <c r="DI125" s="66"/>
      <c r="DJ125" s="66"/>
      <c r="DK125" s="66"/>
      <c r="DU125" s="413"/>
      <c r="DV125" s="413"/>
      <c r="DW125" s="413"/>
      <c r="DX125" s="413"/>
      <c r="DY125" s="431"/>
      <c r="DZ125" s="413"/>
    </row>
    <row r="126" spans="1:140" ht="11.25" customHeight="1" outlineLevel="1" x14ac:dyDescent="0.2">
      <c r="B126" s="1" t="s">
        <v>224</v>
      </c>
      <c r="D126" s="3"/>
      <c r="E126" s="3"/>
      <c r="F126" s="3"/>
      <c r="G126" s="3"/>
      <c r="H126" s="3"/>
      <c r="I126" s="3"/>
      <c r="J126" s="3"/>
      <c r="K126" s="3">
        <v>109.508</v>
      </c>
      <c r="L126" s="3">
        <v>62.545999999999999</v>
      </c>
      <c r="M126" s="3">
        <v>56.76</v>
      </c>
      <c r="N126" s="3">
        <v>67.191999999999993</v>
      </c>
      <c r="O126" s="3">
        <v>78.772000000000006</v>
      </c>
      <c r="P126" s="3">
        <v>100.358</v>
      </c>
      <c r="Q126" s="3">
        <v>108.509</v>
      </c>
      <c r="R126" s="3">
        <v>130.65</v>
      </c>
      <c r="S126" s="3">
        <v>298.767</v>
      </c>
      <c r="T126" s="33">
        <f>+T122-T127</f>
        <v>343.70500000000004</v>
      </c>
      <c r="U126" s="33">
        <f t="shared" ref="U126:BD126" si="377">+U122-U127</f>
        <v>560.92999999999995</v>
      </c>
      <c r="V126" s="33">
        <f>+V122-V127</f>
        <v>179.30099999999987</v>
      </c>
      <c r="W126" s="33">
        <f>+W122-W127</f>
        <v>236.84599999999961</v>
      </c>
      <c r="X126" s="33">
        <f t="shared" si="377"/>
        <v>282.43762748494544</v>
      </c>
      <c r="Y126" s="33">
        <f t="shared" si="377"/>
        <v>312.35454904209882</v>
      </c>
      <c r="Z126" s="33">
        <f t="shared" si="377"/>
        <v>352.1115459662538</v>
      </c>
      <c r="AA126" s="33">
        <f t="shared" si="377"/>
        <v>349.14179072598643</v>
      </c>
      <c r="AB126" s="33">
        <f t="shared" si="377"/>
        <v>337.15522120123831</v>
      </c>
      <c r="AC126" s="33">
        <f t="shared" si="377"/>
        <v>374.65032982744867</v>
      </c>
      <c r="AD126" s="33">
        <f t="shared" si="377"/>
        <v>413.36970167462709</v>
      </c>
      <c r="AE126" s="33">
        <f t="shared" si="377"/>
        <v>444.80323615773523</v>
      </c>
      <c r="AF126" s="33">
        <f t="shared" si="377"/>
        <v>461.44853317685158</v>
      </c>
      <c r="AG126" s="33">
        <f t="shared" si="377"/>
        <v>469.84055920028374</v>
      </c>
      <c r="AH126" s="33">
        <f t="shared" si="377"/>
        <v>498.33711104028157</v>
      </c>
      <c r="AI126" s="33">
        <f t="shared" si="377"/>
        <v>434.25723639354965</v>
      </c>
      <c r="AJ126" s="33">
        <f t="shared" si="377"/>
        <v>394.74308154768232</v>
      </c>
      <c r="AK126" s="33">
        <f t="shared" si="377"/>
        <v>393.16261482934135</v>
      </c>
      <c r="AL126" s="33">
        <f t="shared" si="377"/>
        <v>421.39387379304043</v>
      </c>
      <c r="AM126" s="33">
        <f t="shared" si="377"/>
        <v>448.86356253418137</v>
      </c>
      <c r="AN126" s="33">
        <f t="shared" si="377"/>
        <v>468.02221500261771</v>
      </c>
      <c r="AO126" s="33">
        <f t="shared" si="377"/>
        <v>466.25131472872249</v>
      </c>
      <c r="AP126" s="33">
        <f t="shared" si="377"/>
        <v>115.51946654005735</v>
      </c>
      <c r="AQ126" s="33">
        <f t="shared" si="377"/>
        <v>139.036751298052</v>
      </c>
      <c r="AR126" s="33">
        <f t="shared" si="377"/>
        <v>84.651303259623745</v>
      </c>
      <c r="AS126" s="33">
        <f t="shared" si="377"/>
        <v>10.400683336115584</v>
      </c>
      <c r="AT126" s="33">
        <f t="shared" si="377"/>
        <v>5.1665309893337685</v>
      </c>
      <c r="AU126" s="33">
        <f t="shared" si="377"/>
        <v>23.134897450642725</v>
      </c>
      <c r="AV126" s="33">
        <f t="shared" si="377"/>
        <v>32.450556778757935</v>
      </c>
      <c r="AW126" s="33">
        <f t="shared" si="377"/>
        <v>12.975740598238712</v>
      </c>
      <c r="AX126" s="33">
        <f t="shared" si="377"/>
        <v>23.831367756152549</v>
      </c>
      <c r="AY126" s="33">
        <f t="shared" si="377"/>
        <v>34.889548316046977</v>
      </c>
      <c r="AZ126" s="33">
        <f t="shared" si="377"/>
        <v>46.167998990020557</v>
      </c>
      <c r="BA126" s="33">
        <f t="shared" si="377"/>
        <v>-63.85983896746653</v>
      </c>
      <c r="BB126" s="33">
        <f t="shared" si="377"/>
        <v>-56.54527202572806</v>
      </c>
      <c r="BC126" s="33">
        <f t="shared" si="377"/>
        <v>-49.027237440534677</v>
      </c>
      <c r="BD126" s="33">
        <f t="shared" si="377"/>
        <v>-41.289106510275502</v>
      </c>
      <c r="BE126" s="33">
        <f t="shared" ref="BE126:CP126" si="378">+BE122-BE127</f>
        <v>-33.314351379971029</v>
      </c>
      <c r="BF126" s="33">
        <f t="shared" si="378"/>
        <v>-25.088628943326661</v>
      </c>
      <c r="BG126" s="33">
        <f t="shared" si="378"/>
        <v>-16.593931580945242</v>
      </c>
      <c r="BH126" s="33">
        <f t="shared" si="378"/>
        <v>-7.8170719193431406</v>
      </c>
      <c r="BI126" s="33">
        <f t="shared" si="378"/>
        <v>1.2604064549260898</v>
      </c>
      <c r="BJ126" s="33">
        <f t="shared" si="378"/>
        <v>10.651941419429079</v>
      </c>
      <c r="BK126" s="33">
        <f t="shared" si="378"/>
        <v>20.375197574480481</v>
      </c>
      <c r="BL126" s="33">
        <f t="shared" si="378"/>
        <v>30.445224639396507</v>
      </c>
      <c r="BM126" s="33">
        <f t="shared" si="378"/>
        <v>40.87791073067757</v>
      </c>
      <c r="BN126" s="33">
        <f t="shared" si="378"/>
        <v>51.688905071573316</v>
      </c>
      <c r="BO126" s="33">
        <f t="shared" si="378"/>
        <v>62.894472726064329</v>
      </c>
      <c r="BP126" s="33">
        <f t="shared" si="378"/>
        <v>74.510687540356912</v>
      </c>
      <c r="BQ126" s="33">
        <f t="shared" si="378"/>
        <v>86.553716128325618</v>
      </c>
      <c r="BR126" s="33">
        <f t="shared" si="378"/>
        <v>98.7666538451316</v>
      </c>
      <c r="BS126" s="33">
        <f t="shared" si="378"/>
        <v>83.211884847050129</v>
      </c>
      <c r="BT126" s="33">
        <f t="shared" si="378"/>
        <v>70.311603639488638</v>
      </c>
      <c r="BU126" s="33">
        <f t="shared" si="378"/>
        <v>81.946835132990913</v>
      </c>
      <c r="BV126" s="33">
        <f t="shared" si="378"/>
        <v>94.007215316515456</v>
      </c>
      <c r="BW126" s="33">
        <f t="shared" si="378"/>
        <v>106.50703486180825</v>
      </c>
      <c r="BX126" s="33">
        <f t="shared" si="378"/>
        <v>119.46148987624215</v>
      </c>
      <c r="BY126" s="33">
        <f t="shared" si="378"/>
        <v>132.88377320525072</v>
      </c>
      <c r="BZ126" s="33">
        <f t="shared" si="378"/>
        <v>146.79065581885766</v>
      </c>
      <c r="CA126" s="33">
        <f t="shared" si="378"/>
        <v>161.19614675805252</v>
      </c>
      <c r="CB126" s="33">
        <f t="shared" si="378"/>
        <v>176.11679557586217</v>
      </c>
      <c r="CC126" s="33">
        <f t="shared" si="378"/>
        <v>188.29687295116946</v>
      </c>
      <c r="CD126" s="33">
        <f t="shared" si="378"/>
        <v>164.95492896931208</v>
      </c>
      <c r="CE126" s="33">
        <f t="shared" si="378"/>
        <v>180.01749410045625</v>
      </c>
      <c r="CF126" s="33">
        <f t="shared" si="378"/>
        <v>195.62326464504491</v>
      </c>
      <c r="CG126" s="33">
        <f t="shared" si="378"/>
        <v>211.7881790143573</v>
      </c>
      <c r="CH126" s="33">
        <f t="shared" si="378"/>
        <v>-135.58608328026929</v>
      </c>
      <c r="CI126" s="33">
        <f t="shared" si="378"/>
        <v>-131.42186756322204</v>
      </c>
      <c r="CJ126" s="33">
        <f t="shared" si="378"/>
        <v>-126.91674811981417</v>
      </c>
      <c r="CK126" s="33">
        <f t="shared" si="378"/>
        <v>-122.06072890055984</v>
      </c>
      <c r="CL126" s="33">
        <f t="shared" si="378"/>
        <v>-116.84341360627167</v>
      </c>
      <c r="CM126" s="33">
        <f t="shared" si="378"/>
        <v>-111.25323451351592</v>
      </c>
      <c r="CN126" s="33">
        <f t="shared" si="378"/>
        <v>-105.27872770179893</v>
      </c>
      <c r="CO126" s="33">
        <f t="shared" si="378"/>
        <v>-98.908007194797506</v>
      </c>
      <c r="CP126" s="33">
        <f t="shared" si="378"/>
        <v>-113.67386257228807</v>
      </c>
      <c r="CQ126" s="362" t="s">
        <v>77</v>
      </c>
      <c r="DB126" s="1" t="s">
        <v>224</v>
      </c>
      <c r="DD126" s="95">
        <v>66.016999999999996</v>
      </c>
      <c r="DE126" s="3">
        <f>+R126-DD126</f>
        <v>64.63300000000001</v>
      </c>
      <c r="DF126" s="95">
        <v>211.976</v>
      </c>
      <c r="DG126" s="3">
        <f>+S126-DF126</f>
        <v>86.790999999999997</v>
      </c>
      <c r="DH126" s="95">
        <v>120.732</v>
      </c>
      <c r="DI126" s="3">
        <f>+T126-DH126</f>
        <v>222.97300000000004</v>
      </c>
      <c r="DJ126" s="33">
        <f t="shared" ref="DJ126:DO126" si="379">+DJ122-DJ127</f>
        <v>466.26200000000006</v>
      </c>
      <c r="DK126" s="33">
        <f t="shared" si="379"/>
        <v>94.668000000000049</v>
      </c>
      <c r="DL126" s="33">
        <f t="shared" si="379"/>
        <v>98.54500000000003</v>
      </c>
      <c r="DM126" s="33">
        <f t="shared" si="379"/>
        <v>80.755999999999972</v>
      </c>
      <c r="DN126" s="33">
        <f t="shared" si="379"/>
        <v>139.83000000000013</v>
      </c>
      <c r="DO126" s="33">
        <f t="shared" si="379"/>
        <v>97.015999999999792</v>
      </c>
      <c r="DP126" s="48">
        <f t="shared" ref="DP126:DQ126" si="380">+DP122-DP127</f>
        <v>123.96599999999989</v>
      </c>
      <c r="DQ126" s="33">
        <f t="shared" si="380"/>
        <v>139.99952748494542</v>
      </c>
      <c r="DR126" s="33"/>
      <c r="DS126" s="33"/>
      <c r="DU126" s="413">
        <f t="shared" si="350"/>
        <v>0.50529659395331028</v>
      </c>
      <c r="DV126" s="413">
        <f t="shared" si="351"/>
        <v>0.7095027228576114</v>
      </c>
      <c r="DW126" s="413">
        <f t="shared" si="352"/>
        <v>0.35126634759459413</v>
      </c>
      <c r="DX126" s="413">
        <f>+(DJ126/(DJ126+DK126))</f>
        <v>0.83123027828784346</v>
      </c>
      <c r="DY126" s="413">
        <f>+(DL126/(DL126+DM126))</f>
        <v>0.54960652757095629</v>
      </c>
      <c r="DZ126" s="413">
        <f>+(DN126/(DN126+DO126))</f>
        <v>0.59038362480261508</v>
      </c>
      <c r="EH126" s="411" t="b">
        <f>ROUND(U126,1)=ROUND(SUM(DJ126:DK126),1)</f>
        <v>1</v>
      </c>
      <c r="EI126" s="411" t="b">
        <f>ROUND(V126,1)=ROUND(SUM(DL126:DM126),1)</f>
        <v>1</v>
      </c>
      <c r="EJ126" s="411" t="b">
        <f>ROUND(W126,1)=ROUND(SUM(DN126:DO126),1)</f>
        <v>1</v>
      </c>
    </row>
    <row r="127" spans="1:140" ht="11.25" customHeight="1" outlineLevel="1" x14ac:dyDescent="0.2">
      <c r="B127" s="8" t="s">
        <v>89</v>
      </c>
      <c r="K127" s="9">
        <f>+K122-K126</f>
        <v>0.31000000000001648</v>
      </c>
      <c r="L127" s="9">
        <f t="shared" ref="L127:R127" si="381">+L122-L126</f>
        <v>-8.4410000000000238</v>
      </c>
      <c r="M127" s="9">
        <f t="shared" si="381"/>
        <v>-15.496000000000045</v>
      </c>
      <c r="N127" s="9">
        <f t="shared" si="381"/>
        <v>-4.5499999999999972</v>
      </c>
      <c r="O127" s="9">
        <f t="shared" si="381"/>
        <v>-4.8849999999999483</v>
      </c>
      <c r="P127" s="9">
        <f t="shared" si="381"/>
        <v>-15.786999999999978</v>
      </c>
      <c r="Q127" s="9">
        <f t="shared" si="381"/>
        <v>-16.207000000000008</v>
      </c>
      <c r="R127" s="9">
        <f t="shared" si="381"/>
        <v>-15.900000000000063</v>
      </c>
      <c r="S127" s="9">
        <f>+S122-S126</f>
        <v>5.9490000000001828</v>
      </c>
      <c r="T127" s="42">
        <v>1E-3</v>
      </c>
      <c r="U127" s="438">
        <v>-1</v>
      </c>
      <c r="V127" s="438">
        <v>0.151</v>
      </c>
      <c r="W127" s="438">
        <v>0</v>
      </c>
      <c r="X127" s="274">
        <f t="shared" ref="X127:BD127" si="382">+W127*X121/W121</f>
        <v>0</v>
      </c>
      <c r="Y127" s="274">
        <f t="shared" si="382"/>
        <v>0</v>
      </c>
      <c r="Z127" s="274">
        <f t="shared" si="382"/>
        <v>0</v>
      </c>
      <c r="AA127" s="274">
        <f t="shared" si="382"/>
        <v>0</v>
      </c>
      <c r="AB127" s="274">
        <f t="shared" si="382"/>
        <v>0</v>
      </c>
      <c r="AC127" s="274">
        <f t="shared" si="382"/>
        <v>0</v>
      </c>
      <c r="AD127" s="274">
        <f t="shared" si="382"/>
        <v>0</v>
      </c>
      <c r="AE127" s="274">
        <f t="shared" si="382"/>
        <v>0</v>
      </c>
      <c r="AF127" s="274">
        <f t="shared" si="382"/>
        <v>0</v>
      </c>
      <c r="AG127" s="274">
        <f t="shared" si="382"/>
        <v>0</v>
      </c>
      <c r="AH127" s="274">
        <f t="shared" si="382"/>
        <v>0</v>
      </c>
      <c r="AI127" s="274">
        <f t="shared" si="382"/>
        <v>0</v>
      </c>
      <c r="AJ127" s="274">
        <f t="shared" si="382"/>
        <v>0</v>
      </c>
      <c r="AK127" s="274">
        <f t="shared" si="382"/>
        <v>0</v>
      </c>
      <c r="AL127" s="274">
        <f t="shared" si="382"/>
        <v>0</v>
      </c>
      <c r="AM127" s="274">
        <f t="shared" si="382"/>
        <v>0</v>
      </c>
      <c r="AN127" s="274">
        <f t="shared" si="382"/>
        <v>0</v>
      </c>
      <c r="AO127" s="274">
        <f t="shared" si="382"/>
        <v>0</v>
      </c>
      <c r="AP127" s="274">
        <f t="shared" si="382"/>
        <v>0</v>
      </c>
      <c r="AQ127" s="274">
        <f t="shared" si="382"/>
        <v>0</v>
      </c>
      <c r="AR127" s="274">
        <f t="shared" si="382"/>
        <v>0</v>
      </c>
      <c r="AS127" s="274">
        <f t="shared" si="382"/>
        <v>0</v>
      </c>
      <c r="AT127" s="274">
        <f t="shared" si="382"/>
        <v>0</v>
      </c>
      <c r="AU127" s="274">
        <f t="shared" si="382"/>
        <v>0</v>
      </c>
      <c r="AV127" s="274">
        <f t="shared" si="382"/>
        <v>0</v>
      </c>
      <c r="AW127" s="274">
        <f t="shared" si="382"/>
        <v>0</v>
      </c>
      <c r="AX127" s="274">
        <f t="shared" si="382"/>
        <v>0</v>
      </c>
      <c r="AY127" s="274">
        <f t="shared" si="382"/>
        <v>0</v>
      </c>
      <c r="AZ127" s="274">
        <f t="shared" si="382"/>
        <v>0</v>
      </c>
      <c r="BA127" s="274">
        <f t="shared" si="382"/>
        <v>0</v>
      </c>
      <c r="BB127" s="274">
        <f t="shared" si="382"/>
        <v>0</v>
      </c>
      <c r="BC127" s="274">
        <f t="shared" si="382"/>
        <v>0</v>
      </c>
      <c r="BD127" s="274">
        <f t="shared" si="382"/>
        <v>0</v>
      </c>
      <c r="BE127" s="274">
        <f t="shared" ref="BE127:CP127" si="383">+BD127*BE121/BD121</f>
        <v>0</v>
      </c>
      <c r="BF127" s="274">
        <f t="shared" si="383"/>
        <v>0</v>
      </c>
      <c r="BG127" s="274">
        <f t="shared" si="383"/>
        <v>0</v>
      </c>
      <c r="BH127" s="274">
        <f t="shared" si="383"/>
        <v>0</v>
      </c>
      <c r="BI127" s="274">
        <f t="shared" si="383"/>
        <v>0</v>
      </c>
      <c r="BJ127" s="274">
        <f t="shared" si="383"/>
        <v>0</v>
      </c>
      <c r="BK127" s="274">
        <f t="shared" si="383"/>
        <v>0</v>
      </c>
      <c r="BL127" s="274">
        <f t="shared" si="383"/>
        <v>0</v>
      </c>
      <c r="BM127" s="274">
        <f t="shared" si="383"/>
        <v>0</v>
      </c>
      <c r="BN127" s="274">
        <f t="shared" si="383"/>
        <v>0</v>
      </c>
      <c r="BO127" s="274">
        <f t="shared" si="383"/>
        <v>0</v>
      </c>
      <c r="BP127" s="274">
        <f t="shared" si="383"/>
        <v>0</v>
      </c>
      <c r="BQ127" s="274">
        <f t="shared" si="383"/>
        <v>0</v>
      </c>
      <c r="BR127" s="274">
        <f t="shared" si="383"/>
        <v>0</v>
      </c>
      <c r="BS127" s="274">
        <f t="shared" si="383"/>
        <v>0</v>
      </c>
      <c r="BT127" s="274">
        <f t="shared" si="383"/>
        <v>0</v>
      </c>
      <c r="BU127" s="274">
        <f t="shared" si="383"/>
        <v>0</v>
      </c>
      <c r="BV127" s="274">
        <f t="shared" si="383"/>
        <v>0</v>
      </c>
      <c r="BW127" s="274">
        <f t="shared" si="383"/>
        <v>0</v>
      </c>
      <c r="BX127" s="274">
        <f t="shared" si="383"/>
        <v>0</v>
      </c>
      <c r="BY127" s="274">
        <f t="shared" si="383"/>
        <v>0</v>
      </c>
      <c r="BZ127" s="274">
        <f t="shared" si="383"/>
        <v>0</v>
      </c>
      <c r="CA127" s="274">
        <f t="shared" si="383"/>
        <v>0</v>
      </c>
      <c r="CB127" s="274">
        <f t="shared" si="383"/>
        <v>0</v>
      </c>
      <c r="CC127" s="274">
        <f t="shared" si="383"/>
        <v>0</v>
      </c>
      <c r="CD127" s="274">
        <f t="shared" si="383"/>
        <v>0</v>
      </c>
      <c r="CE127" s="274">
        <f t="shared" si="383"/>
        <v>0</v>
      </c>
      <c r="CF127" s="274">
        <f t="shared" si="383"/>
        <v>0</v>
      </c>
      <c r="CG127" s="274">
        <f t="shared" si="383"/>
        <v>0</v>
      </c>
      <c r="CH127" s="274">
        <f t="shared" si="383"/>
        <v>0</v>
      </c>
      <c r="CI127" s="274">
        <f t="shared" si="383"/>
        <v>0</v>
      </c>
      <c r="CJ127" s="274">
        <f t="shared" si="383"/>
        <v>0</v>
      </c>
      <c r="CK127" s="274">
        <f t="shared" si="383"/>
        <v>0</v>
      </c>
      <c r="CL127" s="274">
        <f t="shared" si="383"/>
        <v>0</v>
      </c>
      <c r="CM127" s="274">
        <f t="shared" si="383"/>
        <v>0</v>
      </c>
      <c r="CN127" s="274">
        <f t="shared" si="383"/>
        <v>0</v>
      </c>
      <c r="CO127" s="274">
        <f t="shared" si="383"/>
        <v>0</v>
      </c>
      <c r="CP127" s="274">
        <f t="shared" si="383"/>
        <v>0</v>
      </c>
      <c r="CQ127" s="362" t="s">
        <v>77</v>
      </c>
      <c r="DB127" s="8" t="s">
        <v>89</v>
      </c>
      <c r="DD127" s="919">
        <f t="shared" ref="DD127:DI127" si="384">+DD122-DD126</f>
        <v>124.18599999999998</v>
      </c>
      <c r="DE127" s="919">
        <f t="shared" si="384"/>
        <v>110.50499999999997</v>
      </c>
      <c r="DF127" s="919">
        <f t="shared" si="384"/>
        <v>137.399</v>
      </c>
      <c r="DG127" s="919">
        <f t="shared" si="384"/>
        <v>159.46599999999995</v>
      </c>
      <c r="DH127" s="919">
        <f t="shared" si="384"/>
        <v>169.24400000000006</v>
      </c>
      <c r="DI127" s="919">
        <f t="shared" si="384"/>
        <v>228.37700000000004</v>
      </c>
      <c r="DJ127" s="147">
        <v>1</v>
      </c>
      <c r="DK127" s="9">
        <f>+U127-DJ127</f>
        <v>-2</v>
      </c>
      <c r="DL127" s="147">
        <v>1</v>
      </c>
      <c r="DM127" s="9">
        <f>V127-DL127</f>
        <v>-0.84899999999999998</v>
      </c>
      <c r="DN127" s="147">
        <v>0</v>
      </c>
      <c r="DO127" s="9">
        <f>W127-DN127</f>
        <v>0</v>
      </c>
      <c r="DP127" s="147">
        <f t="shared" ref="DP127:DQ127" si="385">X127-DO127</f>
        <v>0</v>
      </c>
      <c r="DQ127" s="9">
        <f t="shared" si="385"/>
        <v>0</v>
      </c>
      <c r="DR127" s="9"/>
      <c r="DS127" s="9"/>
      <c r="DU127" s="413">
        <f t="shared" si="350"/>
        <v>0.5291468356264194</v>
      </c>
      <c r="DV127" s="413">
        <f t="shared" si="351"/>
        <v>0.46283327438397931</v>
      </c>
      <c r="DW127" s="413"/>
      <c r="DX127" s="413"/>
      <c r="DY127" s="413"/>
      <c r="DZ127" s="413"/>
      <c r="EH127" s="411" t="b">
        <f>ROUND(U127,1)=ROUND(SUM(DJ127:DK127),1)</f>
        <v>1</v>
      </c>
      <c r="EI127" s="411" t="b">
        <f>ROUND(V127,1)=ROUND(SUM(DL127:DM127),1)</f>
        <v>1</v>
      </c>
      <c r="EJ127" s="411" t="b">
        <f>ROUND(W127,1)=ROUND(SUM(DN127:DO127),1)</f>
        <v>1</v>
      </c>
    </row>
    <row r="128" spans="1:140" ht="11.25" customHeight="1" outlineLevel="1" x14ac:dyDescent="0.2">
      <c r="B128" s="1" t="s">
        <v>377</v>
      </c>
      <c r="D128" s="3"/>
      <c r="E128" s="3"/>
      <c r="F128" s="3"/>
      <c r="G128" s="3"/>
      <c r="H128" s="3"/>
      <c r="I128" s="3"/>
      <c r="J128" s="3"/>
      <c r="K128" s="3">
        <f t="shared" ref="K128:BD128" si="386">(K122-K127-K119-K115-K99-K100)</f>
        <v>51.350999999999999</v>
      </c>
      <c r="L128" s="3">
        <f t="shared" si="386"/>
        <v>69.436000000000021</v>
      </c>
      <c r="M128" s="3">
        <f t="shared" si="386"/>
        <v>64.53</v>
      </c>
      <c r="N128" s="3">
        <f t="shared" si="386"/>
        <v>86.823999999999998</v>
      </c>
      <c r="O128" s="3">
        <f t="shared" si="386"/>
        <v>104.70699999999992</v>
      </c>
      <c r="P128" s="3">
        <f t="shared" si="386"/>
        <v>116.29499999999999</v>
      </c>
      <c r="Q128" s="3">
        <f t="shared" si="386"/>
        <v>125.46400000000004</v>
      </c>
      <c r="R128" s="3">
        <f t="shared" si="386"/>
        <v>156.21800000000002</v>
      </c>
      <c r="S128" s="3">
        <f t="shared" si="386"/>
        <v>170.02399999999989</v>
      </c>
      <c r="T128" s="33">
        <f t="shared" si="386"/>
        <v>149.53200000000004</v>
      </c>
      <c r="U128" s="33">
        <f t="shared" si="386"/>
        <v>203.92099999999994</v>
      </c>
      <c r="V128" s="33">
        <f t="shared" si="386"/>
        <v>179.30099999999987</v>
      </c>
      <c r="W128" s="33">
        <f t="shared" si="386"/>
        <v>236.84599999999961</v>
      </c>
      <c r="X128" s="33">
        <f t="shared" si="386"/>
        <v>282.43762748494544</v>
      </c>
      <c r="Y128" s="33">
        <f t="shared" si="386"/>
        <v>312.35454904209882</v>
      </c>
      <c r="Z128" s="33">
        <f t="shared" si="386"/>
        <v>352.1115459662538</v>
      </c>
      <c r="AA128" s="33">
        <f t="shared" si="386"/>
        <v>349.14179072598643</v>
      </c>
      <c r="AB128" s="33">
        <f t="shared" si="386"/>
        <v>337.15522120123831</v>
      </c>
      <c r="AC128" s="33">
        <f t="shared" si="386"/>
        <v>374.65032982744867</v>
      </c>
      <c r="AD128" s="33">
        <f t="shared" si="386"/>
        <v>413.36970167462709</v>
      </c>
      <c r="AE128" s="33">
        <f t="shared" si="386"/>
        <v>444.80323615773523</v>
      </c>
      <c r="AF128" s="33">
        <f t="shared" si="386"/>
        <v>461.44853317685158</v>
      </c>
      <c r="AG128" s="33">
        <f t="shared" si="386"/>
        <v>469.84055920028374</v>
      </c>
      <c r="AH128" s="33">
        <f t="shared" si="386"/>
        <v>498.33711104028157</v>
      </c>
      <c r="AI128" s="33">
        <f t="shared" si="386"/>
        <v>434.25723639354965</v>
      </c>
      <c r="AJ128" s="33">
        <f t="shared" si="386"/>
        <v>394.74308154768232</v>
      </c>
      <c r="AK128" s="33">
        <f t="shared" si="386"/>
        <v>393.16261482934135</v>
      </c>
      <c r="AL128" s="33">
        <f t="shared" si="386"/>
        <v>421.39387379304043</v>
      </c>
      <c r="AM128" s="33">
        <f t="shared" si="386"/>
        <v>448.86356253418137</v>
      </c>
      <c r="AN128" s="33">
        <f t="shared" si="386"/>
        <v>468.02221500261771</v>
      </c>
      <c r="AO128" s="33">
        <f t="shared" si="386"/>
        <v>466.25131472872249</v>
      </c>
      <c r="AP128" s="33">
        <f t="shared" si="386"/>
        <v>115.51946654005735</v>
      </c>
      <c r="AQ128" s="33">
        <f t="shared" si="386"/>
        <v>139.036751298052</v>
      </c>
      <c r="AR128" s="33">
        <f t="shared" si="386"/>
        <v>84.651303259623745</v>
      </c>
      <c r="AS128" s="33">
        <f t="shared" si="386"/>
        <v>10.400683336115584</v>
      </c>
      <c r="AT128" s="33">
        <f t="shared" si="386"/>
        <v>5.1665309893337685</v>
      </c>
      <c r="AU128" s="33">
        <f t="shared" si="386"/>
        <v>23.134897450642725</v>
      </c>
      <c r="AV128" s="33">
        <f t="shared" si="386"/>
        <v>32.450556778757935</v>
      </c>
      <c r="AW128" s="33">
        <f t="shared" si="386"/>
        <v>12.975740598238712</v>
      </c>
      <c r="AX128" s="33">
        <f t="shared" si="386"/>
        <v>23.831367756152549</v>
      </c>
      <c r="AY128" s="33">
        <f t="shared" si="386"/>
        <v>34.889548316046977</v>
      </c>
      <c r="AZ128" s="33">
        <f t="shared" si="386"/>
        <v>46.167998990020557</v>
      </c>
      <c r="BA128" s="33">
        <f t="shared" si="386"/>
        <v>-63.85983896746653</v>
      </c>
      <c r="BB128" s="33">
        <f t="shared" si="386"/>
        <v>-56.54527202572806</v>
      </c>
      <c r="BC128" s="33">
        <f t="shared" si="386"/>
        <v>-49.027237440534677</v>
      </c>
      <c r="BD128" s="33">
        <f t="shared" si="386"/>
        <v>-41.289106510275502</v>
      </c>
      <c r="BE128" s="33">
        <f t="shared" ref="BE128:CP128" si="387">(BE122-BE127-BE119-BE115-BE99-BE100)</f>
        <v>-33.314351379971029</v>
      </c>
      <c r="BF128" s="33">
        <f t="shared" si="387"/>
        <v>-25.088628943326661</v>
      </c>
      <c r="BG128" s="33">
        <f t="shared" si="387"/>
        <v>-16.593931580945242</v>
      </c>
      <c r="BH128" s="33">
        <f t="shared" si="387"/>
        <v>-7.8170719193431406</v>
      </c>
      <c r="BI128" s="33">
        <f t="shared" si="387"/>
        <v>1.2604064549260898</v>
      </c>
      <c r="BJ128" s="33">
        <f t="shared" si="387"/>
        <v>10.651941419429079</v>
      </c>
      <c r="BK128" s="33">
        <f t="shared" si="387"/>
        <v>20.375197574480481</v>
      </c>
      <c r="BL128" s="33">
        <f t="shared" si="387"/>
        <v>30.445224639396507</v>
      </c>
      <c r="BM128" s="33">
        <f t="shared" si="387"/>
        <v>40.87791073067757</v>
      </c>
      <c r="BN128" s="33">
        <f t="shared" si="387"/>
        <v>51.688905071573316</v>
      </c>
      <c r="BO128" s="33">
        <f t="shared" si="387"/>
        <v>62.894472726064329</v>
      </c>
      <c r="BP128" s="33">
        <f t="shared" si="387"/>
        <v>74.510687540356912</v>
      </c>
      <c r="BQ128" s="33">
        <f t="shared" si="387"/>
        <v>86.553716128325618</v>
      </c>
      <c r="BR128" s="33">
        <f t="shared" si="387"/>
        <v>98.7666538451316</v>
      </c>
      <c r="BS128" s="33">
        <f t="shared" si="387"/>
        <v>83.211884847050129</v>
      </c>
      <c r="BT128" s="33">
        <f t="shared" si="387"/>
        <v>70.311603639488638</v>
      </c>
      <c r="BU128" s="33">
        <f t="shared" si="387"/>
        <v>81.946835132990913</v>
      </c>
      <c r="BV128" s="33">
        <f t="shared" si="387"/>
        <v>94.007215316515456</v>
      </c>
      <c r="BW128" s="33">
        <f t="shared" si="387"/>
        <v>106.50703486180825</v>
      </c>
      <c r="BX128" s="33">
        <f t="shared" si="387"/>
        <v>119.46148987624215</v>
      </c>
      <c r="BY128" s="33">
        <f t="shared" si="387"/>
        <v>132.88377320525072</v>
      </c>
      <c r="BZ128" s="33">
        <f t="shared" si="387"/>
        <v>146.79065581885766</v>
      </c>
      <c r="CA128" s="33">
        <f t="shared" si="387"/>
        <v>161.19614675805252</v>
      </c>
      <c r="CB128" s="33">
        <f t="shared" si="387"/>
        <v>176.11679557586217</v>
      </c>
      <c r="CC128" s="33">
        <f t="shared" si="387"/>
        <v>188.29687295116946</v>
      </c>
      <c r="CD128" s="33">
        <f t="shared" si="387"/>
        <v>164.95492896931208</v>
      </c>
      <c r="CE128" s="33">
        <f t="shared" si="387"/>
        <v>180.01749410045625</v>
      </c>
      <c r="CF128" s="33">
        <f t="shared" si="387"/>
        <v>195.62326464504491</v>
      </c>
      <c r="CG128" s="33">
        <f t="shared" si="387"/>
        <v>211.7881790143573</v>
      </c>
      <c r="CH128" s="33">
        <f t="shared" si="387"/>
        <v>-135.58608328026929</v>
      </c>
      <c r="CI128" s="33">
        <f t="shared" si="387"/>
        <v>-131.42186756322204</v>
      </c>
      <c r="CJ128" s="33">
        <f t="shared" si="387"/>
        <v>-126.91674811981417</v>
      </c>
      <c r="CK128" s="33">
        <f t="shared" si="387"/>
        <v>-122.06072890055984</v>
      </c>
      <c r="CL128" s="33">
        <f t="shared" si="387"/>
        <v>-116.84341360627167</v>
      </c>
      <c r="CM128" s="33">
        <f t="shared" si="387"/>
        <v>-111.25323451351592</v>
      </c>
      <c r="CN128" s="33">
        <f t="shared" si="387"/>
        <v>-105.27872770179893</v>
      </c>
      <c r="CO128" s="33">
        <f t="shared" si="387"/>
        <v>-98.908007194797506</v>
      </c>
      <c r="CP128" s="33">
        <f t="shared" si="387"/>
        <v>-113.67386257228807</v>
      </c>
      <c r="CQ128" s="362" t="s">
        <v>77</v>
      </c>
      <c r="DB128" s="1" t="s">
        <v>377</v>
      </c>
      <c r="DD128" s="334">
        <f t="shared" ref="DD128:DO128" si="388">(DD122-DD127-DD119-DD115-DD99-DD100)</f>
        <v>57.11</v>
      </c>
      <c r="DE128" s="334">
        <f t="shared" si="388"/>
        <v>99.108000000000004</v>
      </c>
      <c r="DF128" s="334">
        <f t="shared" si="388"/>
        <v>109.87500000000001</v>
      </c>
      <c r="DG128" s="334">
        <f t="shared" si="388"/>
        <v>60.148999999999887</v>
      </c>
      <c r="DH128" s="334">
        <f t="shared" si="388"/>
        <v>120.732</v>
      </c>
      <c r="DI128" s="334">
        <f t="shared" si="388"/>
        <v>78.913000000000039</v>
      </c>
      <c r="DJ128" s="3">
        <f t="shared" si="388"/>
        <v>18.03000000000003</v>
      </c>
      <c r="DK128" s="3">
        <f t="shared" si="388"/>
        <v>185.89000000000004</v>
      </c>
      <c r="DL128" s="3">
        <f t="shared" si="388"/>
        <v>98.54500000000003</v>
      </c>
      <c r="DM128" s="3">
        <f t="shared" si="388"/>
        <v>80.755999999999972</v>
      </c>
      <c r="DN128" s="3">
        <f t="shared" si="388"/>
        <v>139.83000000000013</v>
      </c>
      <c r="DO128" s="3">
        <f t="shared" si="388"/>
        <v>97.015999999999792</v>
      </c>
      <c r="DP128" s="3">
        <f t="shared" ref="DP128:DQ128" si="389">(DP122-DP127-DP119-DP115-DP99-DP100)</f>
        <v>123.96599999999989</v>
      </c>
      <c r="DQ128" s="3">
        <f t="shared" si="389"/>
        <v>139.99952748494542</v>
      </c>
      <c r="DR128" s="3"/>
      <c r="DS128" s="3"/>
      <c r="DU128" s="413">
        <f t="shared" si="350"/>
        <v>0.36557887055268917</v>
      </c>
      <c r="DV128" s="413">
        <f t="shared" si="351"/>
        <v>0.6462322966169487</v>
      </c>
      <c r="DW128" s="413">
        <f t="shared" si="352"/>
        <v>0.60473340178817392</v>
      </c>
      <c r="DX128" s="413">
        <f>+(DJ128/(DJ128+DK128))</f>
        <v>8.8417026284817693E-2</v>
      </c>
      <c r="DY128" s="413">
        <f>+(DL128/(DL128+DM128))</f>
        <v>0.54960652757095629</v>
      </c>
      <c r="DZ128" s="413">
        <f>+(DN128/(DN128+DO128))</f>
        <v>0.59038362480261508</v>
      </c>
      <c r="EH128" s="411" t="b">
        <f>ROUND(U128,1)=ROUND(SUM(DJ128:DK128),1)</f>
        <v>1</v>
      </c>
      <c r="EI128" s="411" t="b">
        <f>ROUND(V128,1)=ROUND(SUM(DL128:DM128),1)</f>
        <v>1</v>
      </c>
      <c r="EJ128" s="411" t="b">
        <f>ROUND(W128,1)=ROUND(SUM(DN128:DO128),1)</f>
        <v>1</v>
      </c>
    </row>
    <row r="129" spans="2:140" ht="11.25" customHeight="1" outlineLevel="1" x14ac:dyDescent="0.2"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362" t="s">
        <v>77</v>
      </c>
      <c r="DD129" s="8"/>
      <c r="DE129" s="8"/>
      <c r="DF129" s="8"/>
      <c r="DG129" s="8"/>
      <c r="DH129" s="8"/>
      <c r="DI129" s="8"/>
      <c r="DJ129" s="8"/>
      <c r="DK129" s="8"/>
      <c r="DU129" s="413"/>
      <c r="DV129" s="413"/>
      <c r="DW129" s="413"/>
      <c r="DX129" s="413"/>
      <c r="DY129" s="413"/>
      <c r="DZ129" s="413"/>
    </row>
    <row r="130" spans="2:140" ht="11.25" customHeight="1" outlineLevel="1" x14ac:dyDescent="0.2">
      <c r="B130" s="358" t="s">
        <v>100</v>
      </c>
      <c r="C130" s="218"/>
      <c r="D130" s="66"/>
      <c r="E130" s="66"/>
      <c r="F130" s="66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  <c r="Y130" s="66"/>
      <c r="Z130" s="66"/>
      <c r="AA130" s="66"/>
      <c r="AB130" s="66"/>
      <c r="AC130" s="66"/>
      <c r="AD130" s="66"/>
      <c r="AE130" s="66"/>
      <c r="AF130" s="66"/>
      <c r="AG130" s="66"/>
      <c r="AH130" s="66"/>
      <c r="AI130" s="66"/>
      <c r="AJ130" s="66"/>
      <c r="AK130" s="66"/>
      <c r="AL130" s="66"/>
      <c r="AM130" s="66"/>
      <c r="AN130" s="66"/>
      <c r="AO130" s="66"/>
      <c r="AP130" s="66"/>
      <c r="AQ130" s="66"/>
      <c r="AR130" s="66"/>
      <c r="AS130" s="66"/>
      <c r="AT130" s="66"/>
      <c r="AU130" s="66"/>
      <c r="AV130" s="66"/>
      <c r="AW130" s="66"/>
      <c r="AX130" s="66"/>
      <c r="AY130" s="66"/>
      <c r="AZ130" s="66"/>
      <c r="BA130" s="66"/>
      <c r="BB130" s="66"/>
      <c r="BC130" s="66"/>
      <c r="BD130" s="66"/>
      <c r="BE130" s="66"/>
      <c r="BF130" s="66"/>
      <c r="BG130" s="66"/>
      <c r="BH130" s="66"/>
      <c r="BI130" s="66"/>
      <c r="BJ130" s="66"/>
      <c r="BK130" s="66"/>
      <c r="BL130" s="66"/>
      <c r="BM130" s="66"/>
      <c r="BN130" s="66"/>
      <c r="BO130" s="66"/>
      <c r="BP130" s="66"/>
      <c r="BQ130" s="66"/>
      <c r="BR130" s="66"/>
      <c r="BS130" s="66"/>
      <c r="BT130" s="66"/>
      <c r="BU130" s="66"/>
      <c r="BV130" s="66"/>
      <c r="BW130" s="66"/>
      <c r="BX130" s="66"/>
      <c r="BY130" s="66"/>
      <c r="BZ130" s="66"/>
      <c r="CA130" s="66"/>
      <c r="CB130" s="66"/>
      <c r="CC130" s="66"/>
      <c r="CD130" s="66"/>
      <c r="CE130" s="66"/>
      <c r="CF130" s="66"/>
      <c r="CG130" s="66"/>
      <c r="CH130" s="66"/>
      <c r="CI130" s="66"/>
      <c r="CJ130" s="66"/>
      <c r="CK130" s="66"/>
      <c r="CL130" s="66"/>
      <c r="CM130" s="66"/>
      <c r="CN130" s="66"/>
      <c r="CO130" s="66"/>
      <c r="CP130" s="66"/>
      <c r="CQ130" s="362" t="s">
        <v>77</v>
      </c>
      <c r="CR130" s="358" t="s">
        <v>417</v>
      </c>
      <c r="CS130" s="416"/>
      <c r="CT130" s="416"/>
      <c r="DB130" s="358" t="s">
        <v>100</v>
      </c>
      <c r="DC130" s="218"/>
      <c r="DD130" s="66"/>
      <c r="DE130" s="66"/>
      <c r="DF130" s="66"/>
      <c r="DG130" s="66"/>
      <c r="DH130" s="66"/>
      <c r="DI130" s="66"/>
      <c r="DJ130" s="66"/>
      <c r="DK130" s="66"/>
      <c r="DL130" s="218"/>
      <c r="DM130" s="218"/>
      <c r="DN130" s="218"/>
      <c r="DO130" s="218"/>
      <c r="DP130" s="218"/>
      <c r="DQ130" s="218"/>
      <c r="DR130" s="218"/>
      <c r="DS130" s="218"/>
      <c r="DU130" s="413"/>
      <c r="DV130" s="413"/>
      <c r="DW130" s="413"/>
      <c r="DX130" s="413"/>
      <c r="DY130" s="413"/>
      <c r="DZ130" s="413"/>
    </row>
    <row r="131" spans="2:140" ht="11.25" customHeight="1" outlineLevel="1" x14ac:dyDescent="0.2">
      <c r="B131" s="8" t="s">
        <v>225</v>
      </c>
      <c r="D131" s="447"/>
      <c r="E131" s="447"/>
      <c r="F131" s="447"/>
      <c r="G131" s="447"/>
      <c r="H131" s="447"/>
      <c r="I131" s="447"/>
      <c r="J131" s="447"/>
      <c r="K131" s="447">
        <f t="shared" ref="K131:AP131" si="390">ROUND(+K126/K171*100,2)</f>
        <v>39.26</v>
      </c>
      <c r="L131" s="447">
        <f t="shared" si="390"/>
        <v>21.6</v>
      </c>
      <c r="M131" s="447">
        <f t="shared" si="390"/>
        <v>14.95</v>
      </c>
      <c r="N131" s="447">
        <f t="shared" si="390"/>
        <v>14.92</v>
      </c>
      <c r="O131" s="447">
        <f t="shared" si="390"/>
        <v>16.239999999999998</v>
      </c>
      <c r="P131" s="447">
        <f t="shared" si="390"/>
        <v>19.440000000000001</v>
      </c>
      <c r="Q131" s="447">
        <f t="shared" si="390"/>
        <v>19.690000000000001</v>
      </c>
      <c r="R131" s="447">
        <f t="shared" si="390"/>
        <v>20.420000000000002</v>
      </c>
      <c r="S131" s="447">
        <f t="shared" si="390"/>
        <v>38.68</v>
      </c>
      <c r="T131" s="447">
        <f t="shared" si="390"/>
        <v>41.13</v>
      </c>
      <c r="U131" s="447">
        <f t="shared" si="390"/>
        <v>57.53</v>
      </c>
      <c r="V131" s="447">
        <f t="shared" si="390"/>
        <v>16.09</v>
      </c>
      <c r="W131" s="447">
        <f t="shared" si="390"/>
        <v>21.26</v>
      </c>
      <c r="X131" s="465">
        <f t="shared" si="390"/>
        <v>24.62</v>
      </c>
      <c r="Y131" s="447">
        <f t="shared" si="390"/>
        <v>26.47</v>
      </c>
      <c r="Z131" s="447">
        <f t="shared" si="390"/>
        <v>29.84</v>
      </c>
      <c r="AA131" s="447">
        <f t="shared" si="390"/>
        <v>29.59</v>
      </c>
      <c r="AB131" s="447">
        <f t="shared" si="390"/>
        <v>28.58</v>
      </c>
      <c r="AC131" s="447">
        <f t="shared" si="390"/>
        <v>31.75</v>
      </c>
      <c r="AD131" s="447">
        <f t="shared" si="390"/>
        <v>35.04</v>
      </c>
      <c r="AE131" s="447">
        <f t="shared" si="390"/>
        <v>37.700000000000003</v>
      </c>
      <c r="AF131" s="447">
        <f t="shared" si="390"/>
        <v>39.11</v>
      </c>
      <c r="AG131" s="447">
        <f t="shared" si="390"/>
        <v>39.82</v>
      </c>
      <c r="AH131" s="447">
        <f t="shared" si="390"/>
        <v>42.24</v>
      </c>
      <c r="AI131" s="447">
        <f t="shared" si="390"/>
        <v>36.81</v>
      </c>
      <c r="AJ131" s="447">
        <f t="shared" si="390"/>
        <v>33.46</v>
      </c>
      <c r="AK131" s="447">
        <f t="shared" si="390"/>
        <v>33.32</v>
      </c>
      <c r="AL131" s="447">
        <f t="shared" si="390"/>
        <v>35.72</v>
      </c>
      <c r="AM131" s="447">
        <f t="shared" si="390"/>
        <v>38.04</v>
      </c>
      <c r="AN131" s="447">
        <f t="shared" si="390"/>
        <v>39.67</v>
      </c>
      <c r="AO131" s="447">
        <f t="shared" si="390"/>
        <v>39.520000000000003</v>
      </c>
      <c r="AP131" s="447">
        <f t="shared" si="390"/>
        <v>9.7899999999999991</v>
      </c>
      <c r="AQ131" s="447">
        <f t="shared" ref="AQ131:BV131" si="391">ROUND(+AQ126/AQ171*100,2)</f>
        <v>11.78</v>
      </c>
      <c r="AR131" s="447">
        <f t="shared" si="391"/>
        <v>7.17</v>
      </c>
      <c r="AS131" s="447">
        <f t="shared" si="391"/>
        <v>0.88</v>
      </c>
      <c r="AT131" s="447">
        <f t="shared" si="391"/>
        <v>0.44</v>
      </c>
      <c r="AU131" s="447">
        <f t="shared" si="391"/>
        <v>1.96</v>
      </c>
      <c r="AV131" s="447">
        <f t="shared" si="391"/>
        <v>2.75</v>
      </c>
      <c r="AW131" s="447">
        <f t="shared" si="391"/>
        <v>1.1000000000000001</v>
      </c>
      <c r="AX131" s="447">
        <f t="shared" si="391"/>
        <v>2.02</v>
      </c>
      <c r="AY131" s="447">
        <f t="shared" si="391"/>
        <v>2.96</v>
      </c>
      <c r="AZ131" s="447">
        <f t="shared" si="391"/>
        <v>3.91</v>
      </c>
      <c r="BA131" s="447">
        <f t="shared" si="391"/>
        <v>-5.41</v>
      </c>
      <c r="BB131" s="447">
        <f t="shared" si="391"/>
        <v>-4.79</v>
      </c>
      <c r="BC131" s="447">
        <f t="shared" si="391"/>
        <v>-4.16</v>
      </c>
      <c r="BD131" s="447">
        <f t="shared" si="391"/>
        <v>-3.5</v>
      </c>
      <c r="BE131" s="447">
        <f t="shared" si="391"/>
        <v>-2.82</v>
      </c>
      <c r="BF131" s="447">
        <f t="shared" si="391"/>
        <v>-2.13</v>
      </c>
      <c r="BG131" s="447">
        <f t="shared" si="391"/>
        <v>-1.41</v>
      </c>
      <c r="BH131" s="447">
        <f t="shared" si="391"/>
        <v>-0.66</v>
      </c>
      <c r="BI131" s="447">
        <f t="shared" si="391"/>
        <v>0.11</v>
      </c>
      <c r="BJ131" s="447">
        <f t="shared" si="391"/>
        <v>0.9</v>
      </c>
      <c r="BK131" s="447">
        <f t="shared" si="391"/>
        <v>1.73</v>
      </c>
      <c r="BL131" s="447">
        <f t="shared" si="391"/>
        <v>2.58</v>
      </c>
      <c r="BM131" s="447">
        <f t="shared" si="391"/>
        <v>3.46</v>
      </c>
      <c r="BN131" s="447">
        <f t="shared" si="391"/>
        <v>4.38</v>
      </c>
      <c r="BO131" s="447">
        <f t="shared" si="391"/>
        <v>5.33</v>
      </c>
      <c r="BP131" s="447">
        <f t="shared" si="391"/>
        <v>6.32</v>
      </c>
      <c r="BQ131" s="447">
        <f t="shared" si="391"/>
        <v>7.34</v>
      </c>
      <c r="BR131" s="447">
        <f t="shared" si="391"/>
        <v>8.3699999999999992</v>
      </c>
      <c r="BS131" s="447">
        <f t="shared" si="391"/>
        <v>7.05</v>
      </c>
      <c r="BT131" s="447">
        <f t="shared" si="391"/>
        <v>5.96</v>
      </c>
      <c r="BU131" s="447">
        <f t="shared" si="391"/>
        <v>6.95</v>
      </c>
      <c r="BV131" s="447">
        <f t="shared" si="391"/>
        <v>7.97</v>
      </c>
      <c r="BW131" s="447">
        <f t="shared" ref="BW131:CP131" si="392">ROUND(+BW126/BW171*100,2)</f>
        <v>9.0299999999999994</v>
      </c>
      <c r="BX131" s="447">
        <f t="shared" si="392"/>
        <v>10.130000000000001</v>
      </c>
      <c r="BY131" s="447">
        <f t="shared" si="392"/>
        <v>11.26</v>
      </c>
      <c r="BZ131" s="447">
        <f t="shared" si="392"/>
        <v>12.44</v>
      </c>
      <c r="CA131" s="447">
        <f t="shared" si="392"/>
        <v>13.66</v>
      </c>
      <c r="CB131" s="447">
        <f t="shared" si="392"/>
        <v>14.93</v>
      </c>
      <c r="CC131" s="447">
        <f t="shared" si="392"/>
        <v>15.96</v>
      </c>
      <c r="CD131" s="447">
        <f t="shared" si="392"/>
        <v>13.98</v>
      </c>
      <c r="CE131" s="447">
        <f t="shared" si="392"/>
        <v>15.26</v>
      </c>
      <c r="CF131" s="447">
        <f t="shared" si="392"/>
        <v>16.579999999999998</v>
      </c>
      <c r="CG131" s="447">
        <f t="shared" si="392"/>
        <v>17.95</v>
      </c>
      <c r="CH131" s="447">
        <f t="shared" si="392"/>
        <v>-11.49</v>
      </c>
      <c r="CI131" s="447">
        <f t="shared" si="392"/>
        <v>-11.14</v>
      </c>
      <c r="CJ131" s="447">
        <f t="shared" si="392"/>
        <v>-10.76</v>
      </c>
      <c r="CK131" s="447">
        <f t="shared" si="392"/>
        <v>-10.35</v>
      </c>
      <c r="CL131" s="447">
        <f t="shared" si="392"/>
        <v>-9.9</v>
      </c>
      <c r="CM131" s="447">
        <f t="shared" si="392"/>
        <v>-9.43</v>
      </c>
      <c r="CN131" s="447">
        <f t="shared" si="392"/>
        <v>-8.92</v>
      </c>
      <c r="CO131" s="447">
        <f t="shared" si="392"/>
        <v>-8.3800000000000008</v>
      </c>
      <c r="CP131" s="447">
        <f t="shared" si="392"/>
        <v>-9.6300000000000008</v>
      </c>
      <c r="CQ131" s="362" t="s">
        <v>77</v>
      </c>
      <c r="CR131" s="448">
        <v>18.899999999999999</v>
      </c>
      <c r="CS131" s="448">
        <v>18.899999999999999</v>
      </c>
      <c r="CT131" s="448">
        <v>22</v>
      </c>
      <c r="DB131" s="8" t="s">
        <v>225</v>
      </c>
      <c r="DD131" s="447">
        <f t="shared" ref="DD131:DO131" si="393">ROUND(+DD126/DD171*100,2)</f>
        <v>10.32</v>
      </c>
      <c r="DE131" s="447">
        <f t="shared" si="393"/>
        <v>10.1</v>
      </c>
      <c r="DF131" s="447">
        <f t="shared" si="393"/>
        <v>27.45</v>
      </c>
      <c r="DG131" s="447">
        <f t="shared" si="393"/>
        <v>11.24</v>
      </c>
      <c r="DH131" s="447">
        <f t="shared" si="393"/>
        <v>14.45</v>
      </c>
      <c r="DI131" s="447">
        <f t="shared" si="393"/>
        <v>26.68</v>
      </c>
      <c r="DJ131" s="447">
        <f t="shared" si="393"/>
        <v>47.82</v>
      </c>
      <c r="DK131" s="447">
        <f t="shared" si="393"/>
        <v>9.7100000000000009</v>
      </c>
      <c r="DL131" s="447">
        <f t="shared" si="393"/>
        <v>8.84</v>
      </c>
      <c r="DM131" s="447">
        <f t="shared" si="393"/>
        <v>7.25</v>
      </c>
      <c r="DN131" s="447">
        <f t="shared" si="393"/>
        <v>12.55</v>
      </c>
      <c r="DO131" s="447">
        <f t="shared" si="393"/>
        <v>8.4600000000000009</v>
      </c>
      <c r="DP131" s="447">
        <f t="shared" ref="DP131:DQ131" si="394">ROUND(+DP126/DP171*100,2)</f>
        <v>11.12</v>
      </c>
      <c r="DQ131" s="447">
        <f t="shared" si="394"/>
        <v>12.2</v>
      </c>
      <c r="DR131" s="447"/>
      <c r="DS131" s="447"/>
      <c r="DU131" s="413">
        <f t="shared" si="350"/>
        <v>0.5053868756121449</v>
      </c>
      <c r="DV131" s="413">
        <f t="shared" si="351"/>
        <v>0.70948565520806417</v>
      </c>
      <c r="DW131" s="413">
        <f t="shared" si="352"/>
        <v>0.35132506686117193</v>
      </c>
      <c r="DX131" s="413">
        <f>+(DJ131/(DJ131+DK131))</f>
        <v>0.83121849469841824</v>
      </c>
      <c r="DY131" s="413">
        <f>+(DL131/(DL131+DM131))</f>
        <v>0.54940957116221256</v>
      </c>
      <c r="DZ131" s="413">
        <f>+(DN131/(DN131+DO131))</f>
        <v>0.59733460257020465</v>
      </c>
      <c r="EH131" s="411" t="b">
        <f>ROUND(U131,1)=ROUND(SUM(DJ131:DK131),1)</f>
        <v>1</v>
      </c>
      <c r="EI131" s="411" t="b">
        <f>ROUND(V131,1)=ROUND(SUM(DL131:DM131),1)</f>
        <v>1</v>
      </c>
      <c r="EJ131" s="411" t="b">
        <f>ROUND(W131,1)=ROUND(SUM(DN131:DO131),1)</f>
        <v>0</v>
      </c>
    </row>
    <row r="132" spans="2:140" ht="11.25" customHeight="1" outlineLevel="1" x14ac:dyDescent="0.2">
      <c r="B132" s="8" t="s">
        <v>226</v>
      </c>
      <c r="D132" s="447"/>
      <c r="E132" s="447"/>
      <c r="F132" s="447"/>
      <c r="G132" s="447"/>
      <c r="H132" s="447"/>
      <c r="I132" s="447"/>
      <c r="J132" s="447"/>
      <c r="K132" s="447">
        <f t="shared" ref="K132:AP132" si="395">ROUND(+K126/K172*100,2)</f>
        <v>39.26</v>
      </c>
      <c r="L132" s="447">
        <f t="shared" si="395"/>
        <v>21.6</v>
      </c>
      <c r="M132" s="447">
        <f t="shared" si="395"/>
        <v>14.95</v>
      </c>
      <c r="N132" s="447">
        <f t="shared" si="395"/>
        <v>14.92</v>
      </c>
      <c r="O132" s="447">
        <f t="shared" si="395"/>
        <v>16.239999999999998</v>
      </c>
      <c r="P132" s="447">
        <f t="shared" si="395"/>
        <v>19.440000000000001</v>
      </c>
      <c r="Q132" s="447">
        <f t="shared" si="395"/>
        <v>19.690000000000001</v>
      </c>
      <c r="R132" s="447">
        <f t="shared" si="395"/>
        <v>20.420000000000002</v>
      </c>
      <c r="S132" s="447">
        <f t="shared" si="395"/>
        <v>38.68</v>
      </c>
      <c r="T132" s="447">
        <f t="shared" si="395"/>
        <v>41.13</v>
      </c>
      <c r="U132" s="447">
        <f t="shared" si="395"/>
        <v>57.53</v>
      </c>
      <c r="V132" s="447">
        <f t="shared" si="395"/>
        <v>16.09</v>
      </c>
      <c r="W132" s="447">
        <f t="shared" si="395"/>
        <v>21.26</v>
      </c>
      <c r="X132" s="465">
        <f t="shared" si="395"/>
        <v>24.62</v>
      </c>
      <c r="Y132" s="447">
        <f t="shared" si="395"/>
        <v>26.47</v>
      </c>
      <c r="Z132" s="447">
        <f t="shared" si="395"/>
        <v>29.84</v>
      </c>
      <c r="AA132" s="447">
        <f t="shared" si="395"/>
        <v>29.59</v>
      </c>
      <c r="AB132" s="447">
        <f t="shared" si="395"/>
        <v>28.58</v>
      </c>
      <c r="AC132" s="447">
        <f t="shared" si="395"/>
        <v>31.75</v>
      </c>
      <c r="AD132" s="447">
        <f t="shared" si="395"/>
        <v>35.04</v>
      </c>
      <c r="AE132" s="447">
        <f t="shared" si="395"/>
        <v>37.700000000000003</v>
      </c>
      <c r="AF132" s="447">
        <f t="shared" si="395"/>
        <v>39.11</v>
      </c>
      <c r="AG132" s="447">
        <f t="shared" si="395"/>
        <v>39.82</v>
      </c>
      <c r="AH132" s="447">
        <f t="shared" si="395"/>
        <v>42.24</v>
      </c>
      <c r="AI132" s="447">
        <f t="shared" si="395"/>
        <v>36.81</v>
      </c>
      <c r="AJ132" s="447">
        <f t="shared" si="395"/>
        <v>33.46</v>
      </c>
      <c r="AK132" s="447">
        <f t="shared" si="395"/>
        <v>33.32</v>
      </c>
      <c r="AL132" s="447">
        <f t="shared" si="395"/>
        <v>35.72</v>
      </c>
      <c r="AM132" s="447">
        <f t="shared" si="395"/>
        <v>38.04</v>
      </c>
      <c r="AN132" s="447">
        <f t="shared" si="395"/>
        <v>39.67</v>
      </c>
      <c r="AO132" s="447">
        <f t="shared" si="395"/>
        <v>39.520000000000003</v>
      </c>
      <c r="AP132" s="447">
        <f t="shared" si="395"/>
        <v>9.7899999999999991</v>
      </c>
      <c r="AQ132" s="447">
        <f t="shared" ref="AQ132:BV132" si="396">ROUND(+AQ126/AQ172*100,2)</f>
        <v>11.78</v>
      </c>
      <c r="AR132" s="447">
        <f t="shared" si="396"/>
        <v>7.17</v>
      </c>
      <c r="AS132" s="447">
        <f t="shared" si="396"/>
        <v>0.88</v>
      </c>
      <c r="AT132" s="447">
        <f t="shared" si="396"/>
        <v>0.44</v>
      </c>
      <c r="AU132" s="447">
        <f t="shared" si="396"/>
        <v>1.96</v>
      </c>
      <c r="AV132" s="447">
        <f t="shared" si="396"/>
        <v>2.75</v>
      </c>
      <c r="AW132" s="447">
        <f t="shared" si="396"/>
        <v>1.1000000000000001</v>
      </c>
      <c r="AX132" s="447">
        <f t="shared" si="396"/>
        <v>2.02</v>
      </c>
      <c r="AY132" s="447">
        <f t="shared" si="396"/>
        <v>2.96</v>
      </c>
      <c r="AZ132" s="447">
        <f t="shared" si="396"/>
        <v>3.91</v>
      </c>
      <c r="BA132" s="447">
        <f t="shared" si="396"/>
        <v>-5.41</v>
      </c>
      <c r="BB132" s="447">
        <f t="shared" si="396"/>
        <v>-4.79</v>
      </c>
      <c r="BC132" s="447">
        <f t="shared" si="396"/>
        <v>-4.16</v>
      </c>
      <c r="BD132" s="447">
        <f t="shared" si="396"/>
        <v>-3.5</v>
      </c>
      <c r="BE132" s="447">
        <f t="shared" si="396"/>
        <v>-2.82</v>
      </c>
      <c r="BF132" s="447">
        <f t="shared" si="396"/>
        <v>-2.13</v>
      </c>
      <c r="BG132" s="447">
        <f t="shared" si="396"/>
        <v>-1.41</v>
      </c>
      <c r="BH132" s="447">
        <f t="shared" si="396"/>
        <v>-0.66</v>
      </c>
      <c r="BI132" s="447">
        <f t="shared" si="396"/>
        <v>0.11</v>
      </c>
      <c r="BJ132" s="447">
        <f t="shared" si="396"/>
        <v>0.9</v>
      </c>
      <c r="BK132" s="447">
        <f t="shared" si="396"/>
        <v>1.73</v>
      </c>
      <c r="BL132" s="447">
        <f t="shared" si="396"/>
        <v>2.58</v>
      </c>
      <c r="BM132" s="447">
        <f t="shared" si="396"/>
        <v>3.46</v>
      </c>
      <c r="BN132" s="447">
        <f t="shared" si="396"/>
        <v>4.38</v>
      </c>
      <c r="BO132" s="447">
        <f t="shared" si="396"/>
        <v>5.33</v>
      </c>
      <c r="BP132" s="447">
        <f t="shared" si="396"/>
        <v>6.32</v>
      </c>
      <c r="BQ132" s="447">
        <f t="shared" si="396"/>
        <v>7.34</v>
      </c>
      <c r="BR132" s="447">
        <f t="shared" si="396"/>
        <v>8.3699999999999992</v>
      </c>
      <c r="BS132" s="447">
        <f t="shared" si="396"/>
        <v>7.05</v>
      </c>
      <c r="BT132" s="447">
        <f t="shared" si="396"/>
        <v>5.96</v>
      </c>
      <c r="BU132" s="447">
        <f t="shared" si="396"/>
        <v>6.95</v>
      </c>
      <c r="BV132" s="447">
        <f t="shared" si="396"/>
        <v>7.97</v>
      </c>
      <c r="BW132" s="447">
        <f t="shared" ref="BW132:CP132" si="397">ROUND(+BW126/BW172*100,2)</f>
        <v>9.0299999999999994</v>
      </c>
      <c r="BX132" s="447">
        <f t="shared" si="397"/>
        <v>10.130000000000001</v>
      </c>
      <c r="BY132" s="447">
        <f t="shared" si="397"/>
        <v>11.26</v>
      </c>
      <c r="BZ132" s="447">
        <f t="shared" si="397"/>
        <v>12.44</v>
      </c>
      <c r="CA132" s="447">
        <f t="shared" si="397"/>
        <v>13.66</v>
      </c>
      <c r="CB132" s="447">
        <f t="shared" si="397"/>
        <v>14.93</v>
      </c>
      <c r="CC132" s="447">
        <f t="shared" si="397"/>
        <v>15.96</v>
      </c>
      <c r="CD132" s="447">
        <f t="shared" si="397"/>
        <v>13.98</v>
      </c>
      <c r="CE132" s="447">
        <f t="shared" si="397"/>
        <v>15.26</v>
      </c>
      <c r="CF132" s="447">
        <f t="shared" si="397"/>
        <v>16.579999999999998</v>
      </c>
      <c r="CG132" s="447">
        <f t="shared" si="397"/>
        <v>17.95</v>
      </c>
      <c r="CH132" s="447">
        <f t="shared" si="397"/>
        <v>-11.49</v>
      </c>
      <c r="CI132" s="447">
        <f t="shared" si="397"/>
        <v>-11.14</v>
      </c>
      <c r="CJ132" s="447">
        <f t="shared" si="397"/>
        <v>-10.76</v>
      </c>
      <c r="CK132" s="447">
        <f t="shared" si="397"/>
        <v>-10.35</v>
      </c>
      <c r="CL132" s="447">
        <f t="shared" si="397"/>
        <v>-9.9</v>
      </c>
      <c r="CM132" s="447">
        <f t="shared" si="397"/>
        <v>-9.43</v>
      </c>
      <c r="CN132" s="447">
        <f t="shared" si="397"/>
        <v>-8.92</v>
      </c>
      <c r="CO132" s="447">
        <f t="shared" si="397"/>
        <v>-8.3800000000000008</v>
      </c>
      <c r="CP132" s="447">
        <f t="shared" si="397"/>
        <v>-9.6300000000000008</v>
      </c>
      <c r="CQ132" s="362" t="s">
        <v>77</v>
      </c>
      <c r="CR132" s="262">
        <v>20.9</v>
      </c>
      <c r="CS132" s="262">
        <v>23.7</v>
      </c>
      <c r="CT132" s="262">
        <v>27.9</v>
      </c>
      <c r="DB132" s="8" t="s">
        <v>226</v>
      </c>
      <c r="DD132" s="447">
        <f t="shared" ref="DD132:DO132" si="398">ROUND(+DD126/DD172*100,2)</f>
        <v>10.32</v>
      </c>
      <c r="DE132" s="447">
        <f t="shared" si="398"/>
        <v>10.1</v>
      </c>
      <c r="DF132" s="447">
        <f t="shared" si="398"/>
        <v>27.45</v>
      </c>
      <c r="DG132" s="447">
        <f t="shared" si="398"/>
        <v>11.24</v>
      </c>
      <c r="DH132" s="447">
        <f t="shared" si="398"/>
        <v>14.45</v>
      </c>
      <c r="DI132" s="447">
        <f t="shared" si="398"/>
        <v>26.68</v>
      </c>
      <c r="DJ132" s="447">
        <f t="shared" si="398"/>
        <v>47.82</v>
      </c>
      <c r="DK132" s="447">
        <f t="shared" si="398"/>
        <v>9.7100000000000009</v>
      </c>
      <c r="DL132" s="447">
        <f t="shared" si="398"/>
        <v>8.84</v>
      </c>
      <c r="DM132" s="447">
        <f t="shared" si="398"/>
        <v>7.25</v>
      </c>
      <c r="DN132" s="447">
        <f t="shared" si="398"/>
        <v>12.55</v>
      </c>
      <c r="DO132" s="447">
        <f t="shared" si="398"/>
        <v>8.4600000000000009</v>
      </c>
      <c r="DP132" s="447">
        <f t="shared" ref="DP132:DQ132" si="399">ROUND(+DP126/DP172*100,2)</f>
        <v>10.81</v>
      </c>
      <c r="DQ132" s="447">
        <f t="shared" si="399"/>
        <v>12.2</v>
      </c>
      <c r="DR132" s="447"/>
      <c r="DS132" s="447"/>
      <c r="DU132" s="413">
        <f t="shared" si="350"/>
        <v>0.5053868756121449</v>
      </c>
      <c r="DV132" s="413">
        <f t="shared" si="351"/>
        <v>0.70948565520806417</v>
      </c>
      <c r="DW132" s="413">
        <f t="shared" si="352"/>
        <v>0.35132506686117193</v>
      </c>
      <c r="DX132" s="413">
        <f>+(DJ132/(DJ132+DK132))</f>
        <v>0.83121849469841824</v>
      </c>
      <c r="DY132" s="413">
        <f>+(DL132/(DL132+DM132))</f>
        <v>0.54940957116221256</v>
      </c>
      <c r="DZ132" s="413">
        <f>+(DN132/(DN132+DO132))</f>
        <v>0.59733460257020465</v>
      </c>
      <c r="EH132" s="411" t="b">
        <f>ROUND(U132,1)=ROUND(SUM(DJ132:DK132),1)</f>
        <v>1</v>
      </c>
      <c r="EI132" s="411" t="b">
        <f>ROUND(V132,1)=ROUND(SUM(DL132:DM132),1)</f>
        <v>1</v>
      </c>
      <c r="EJ132" s="411" t="b">
        <f>ROUND(W132,1)=ROUND(SUM(DN132:DO132),1)</f>
        <v>0</v>
      </c>
    </row>
    <row r="133" spans="2:140" ht="11.25" customHeight="1" outlineLevel="1" x14ac:dyDescent="0.2">
      <c r="B133" s="8" t="s">
        <v>378</v>
      </c>
      <c r="D133" s="447"/>
      <c r="E133" s="447"/>
      <c r="F133" s="447"/>
      <c r="G133" s="447"/>
      <c r="H133" s="447"/>
      <c r="I133" s="447"/>
      <c r="J133" s="447"/>
      <c r="K133" s="447">
        <f t="shared" ref="K133:AP133" si="400">ROUND(+(K126-K119-K115-K99-K100)/K171*100,2)</f>
        <v>18.41</v>
      </c>
      <c r="L133" s="447">
        <f t="shared" si="400"/>
        <v>23.98</v>
      </c>
      <c r="M133" s="447">
        <f t="shared" si="400"/>
        <v>17</v>
      </c>
      <c r="N133" s="447">
        <f t="shared" si="400"/>
        <v>19.28</v>
      </c>
      <c r="O133" s="447">
        <f t="shared" si="400"/>
        <v>21.59</v>
      </c>
      <c r="P133" s="447">
        <f t="shared" si="400"/>
        <v>22.53</v>
      </c>
      <c r="Q133" s="447">
        <f t="shared" si="400"/>
        <v>22.76</v>
      </c>
      <c r="R133" s="447">
        <f t="shared" si="400"/>
        <v>24.42</v>
      </c>
      <c r="S133" s="447">
        <f t="shared" si="400"/>
        <v>22.01</v>
      </c>
      <c r="T133" s="447">
        <f t="shared" si="400"/>
        <v>17.89</v>
      </c>
      <c r="U133" s="447">
        <f t="shared" si="400"/>
        <v>20.91</v>
      </c>
      <c r="V133" s="447">
        <f t="shared" si="400"/>
        <v>16.09</v>
      </c>
      <c r="W133" s="447">
        <f t="shared" si="400"/>
        <v>21.26</v>
      </c>
      <c r="X133" s="465">
        <f t="shared" si="400"/>
        <v>24.62</v>
      </c>
      <c r="Y133" s="447">
        <f t="shared" si="400"/>
        <v>26.47</v>
      </c>
      <c r="Z133" s="447">
        <f t="shared" si="400"/>
        <v>29.84</v>
      </c>
      <c r="AA133" s="447">
        <f t="shared" si="400"/>
        <v>29.59</v>
      </c>
      <c r="AB133" s="447">
        <f t="shared" si="400"/>
        <v>28.58</v>
      </c>
      <c r="AC133" s="447">
        <f t="shared" si="400"/>
        <v>31.75</v>
      </c>
      <c r="AD133" s="447">
        <f t="shared" si="400"/>
        <v>35.04</v>
      </c>
      <c r="AE133" s="447">
        <f t="shared" si="400"/>
        <v>37.700000000000003</v>
      </c>
      <c r="AF133" s="447">
        <f t="shared" si="400"/>
        <v>39.11</v>
      </c>
      <c r="AG133" s="447">
        <f t="shared" si="400"/>
        <v>39.82</v>
      </c>
      <c r="AH133" s="447">
        <f t="shared" si="400"/>
        <v>42.24</v>
      </c>
      <c r="AI133" s="447">
        <f t="shared" si="400"/>
        <v>36.81</v>
      </c>
      <c r="AJ133" s="447">
        <f t="shared" si="400"/>
        <v>33.46</v>
      </c>
      <c r="AK133" s="447">
        <f t="shared" si="400"/>
        <v>33.32</v>
      </c>
      <c r="AL133" s="447">
        <f t="shared" si="400"/>
        <v>35.72</v>
      </c>
      <c r="AM133" s="447">
        <f t="shared" si="400"/>
        <v>38.04</v>
      </c>
      <c r="AN133" s="447">
        <f t="shared" si="400"/>
        <v>39.67</v>
      </c>
      <c r="AO133" s="447">
        <f t="shared" si="400"/>
        <v>39.520000000000003</v>
      </c>
      <c r="AP133" s="447">
        <f t="shared" si="400"/>
        <v>9.7899999999999991</v>
      </c>
      <c r="AQ133" s="447">
        <f t="shared" ref="AQ133:BV133" si="401">ROUND(+(AQ126-AQ119-AQ115-AQ99-AQ100)/AQ171*100,2)</f>
        <v>11.78</v>
      </c>
      <c r="AR133" s="447">
        <f t="shared" si="401"/>
        <v>7.17</v>
      </c>
      <c r="AS133" s="447">
        <f t="shared" si="401"/>
        <v>0.88</v>
      </c>
      <c r="AT133" s="447">
        <f t="shared" si="401"/>
        <v>0.44</v>
      </c>
      <c r="AU133" s="447">
        <f t="shared" si="401"/>
        <v>1.96</v>
      </c>
      <c r="AV133" s="447">
        <f t="shared" si="401"/>
        <v>2.75</v>
      </c>
      <c r="AW133" s="447">
        <f t="shared" si="401"/>
        <v>1.1000000000000001</v>
      </c>
      <c r="AX133" s="447">
        <f t="shared" si="401"/>
        <v>2.02</v>
      </c>
      <c r="AY133" s="447">
        <f t="shared" si="401"/>
        <v>2.96</v>
      </c>
      <c r="AZ133" s="447">
        <f t="shared" si="401"/>
        <v>3.91</v>
      </c>
      <c r="BA133" s="447">
        <f t="shared" si="401"/>
        <v>-5.41</v>
      </c>
      <c r="BB133" s="447">
        <f t="shared" si="401"/>
        <v>-4.79</v>
      </c>
      <c r="BC133" s="447">
        <f t="shared" si="401"/>
        <v>-4.16</v>
      </c>
      <c r="BD133" s="447">
        <f t="shared" si="401"/>
        <v>-3.5</v>
      </c>
      <c r="BE133" s="447">
        <f t="shared" si="401"/>
        <v>-2.82</v>
      </c>
      <c r="BF133" s="447">
        <f t="shared" si="401"/>
        <v>-2.13</v>
      </c>
      <c r="BG133" s="447">
        <f t="shared" si="401"/>
        <v>-1.41</v>
      </c>
      <c r="BH133" s="447">
        <f t="shared" si="401"/>
        <v>-0.66</v>
      </c>
      <c r="BI133" s="447">
        <f t="shared" si="401"/>
        <v>0.11</v>
      </c>
      <c r="BJ133" s="447">
        <f t="shared" si="401"/>
        <v>0.9</v>
      </c>
      <c r="BK133" s="447">
        <f t="shared" si="401"/>
        <v>1.73</v>
      </c>
      <c r="BL133" s="447">
        <f t="shared" si="401"/>
        <v>2.58</v>
      </c>
      <c r="BM133" s="447">
        <f t="shared" si="401"/>
        <v>3.46</v>
      </c>
      <c r="BN133" s="447">
        <f t="shared" si="401"/>
        <v>4.38</v>
      </c>
      <c r="BO133" s="447">
        <f t="shared" si="401"/>
        <v>5.33</v>
      </c>
      <c r="BP133" s="447">
        <f t="shared" si="401"/>
        <v>6.32</v>
      </c>
      <c r="BQ133" s="447">
        <f t="shared" si="401"/>
        <v>7.34</v>
      </c>
      <c r="BR133" s="447">
        <f t="shared" si="401"/>
        <v>8.3699999999999992</v>
      </c>
      <c r="BS133" s="447">
        <f t="shared" si="401"/>
        <v>7.05</v>
      </c>
      <c r="BT133" s="447">
        <f t="shared" si="401"/>
        <v>5.96</v>
      </c>
      <c r="BU133" s="447">
        <f t="shared" si="401"/>
        <v>6.95</v>
      </c>
      <c r="BV133" s="447">
        <f t="shared" si="401"/>
        <v>7.97</v>
      </c>
      <c r="BW133" s="447">
        <f t="shared" ref="BW133:CP133" si="402">ROUND(+(BW126-BW119-BW115-BW99-BW100)/BW171*100,2)</f>
        <v>9.0299999999999994</v>
      </c>
      <c r="BX133" s="447">
        <f t="shared" si="402"/>
        <v>10.130000000000001</v>
      </c>
      <c r="BY133" s="447">
        <f t="shared" si="402"/>
        <v>11.26</v>
      </c>
      <c r="BZ133" s="447">
        <f t="shared" si="402"/>
        <v>12.44</v>
      </c>
      <c r="CA133" s="447">
        <f t="shared" si="402"/>
        <v>13.66</v>
      </c>
      <c r="CB133" s="447">
        <f t="shared" si="402"/>
        <v>14.93</v>
      </c>
      <c r="CC133" s="447">
        <f t="shared" si="402"/>
        <v>15.96</v>
      </c>
      <c r="CD133" s="447">
        <f t="shared" si="402"/>
        <v>13.98</v>
      </c>
      <c r="CE133" s="447">
        <f t="shared" si="402"/>
        <v>15.26</v>
      </c>
      <c r="CF133" s="447">
        <f t="shared" si="402"/>
        <v>16.579999999999998</v>
      </c>
      <c r="CG133" s="447">
        <f t="shared" si="402"/>
        <v>17.95</v>
      </c>
      <c r="CH133" s="447">
        <f t="shared" si="402"/>
        <v>-11.49</v>
      </c>
      <c r="CI133" s="447">
        <f t="shared" si="402"/>
        <v>-11.14</v>
      </c>
      <c r="CJ133" s="447">
        <f t="shared" si="402"/>
        <v>-10.76</v>
      </c>
      <c r="CK133" s="447">
        <f t="shared" si="402"/>
        <v>-10.35</v>
      </c>
      <c r="CL133" s="447">
        <f t="shared" si="402"/>
        <v>-9.9</v>
      </c>
      <c r="CM133" s="447">
        <f t="shared" si="402"/>
        <v>-9.43</v>
      </c>
      <c r="CN133" s="447">
        <f t="shared" si="402"/>
        <v>-8.92</v>
      </c>
      <c r="CO133" s="447">
        <f t="shared" si="402"/>
        <v>-8.3800000000000008</v>
      </c>
      <c r="CP133" s="447">
        <f t="shared" si="402"/>
        <v>-9.6300000000000008</v>
      </c>
      <c r="CQ133" s="362" t="s">
        <v>77</v>
      </c>
      <c r="CR133" s="448">
        <v>26.3</v>
      </c>
      <c r="CS133" s="448">
        <v>36.299999999999997</v>
      </c>
      <c r="CT133" s="448">
        <v>42.7</v>
      </c>
      <c r="DB133" s="1" t="s">
        <v>378</v>
      </c>
      <c r="DD133" s="3">
        <f t="shared" ref="DD133:DQ133" si="403">ROUND(+(DD126-DD119-DD115-DD99-DD100)/DD171*100,2)</f>
        <v>8.93</v>
      </c>
      <c r="DE133" s="3">
        <f t="shared" si="403"/>
        <v>15.49</v>
      </c>
      <c r="DF133" s="3">
        <f t="shared" si="403"/>
        <v>14.23</v>
      </c>
      <c r="DG133" s="3">
        <f t="shared" si="403"/>
        <v>7.79</v>
      </c>
      <c r="DH133" s="3">
        <f t="shared" si="403"/>
        <v>14.45</v>
      </c>
      <c r="DI133" s="3">
        <f t="shared" si="403"/>
        <v>9.44</v>
      </c>
      <c r="DJ133" s="3">
        <f t="shared" si="403"/>
        <v>1.85</v>
      </c>
      <c r="DK133" s="3">
        <f t="shared" si="403"/>
        <v>19.07</v>
      </c>
      <c r="DL133" s="3">
        <f t="shared" si="403"/>
        <v>8.84</v>
      </c>
      <c r="DM133" s="33">
        <f t="shared" si="403"/>
        <v>7.25</v>
      </c>
      <c r="DN133" s="47">
        <f t="shared" si="403"/>
        <v>12.55</v>
      </c>
      <c r="DO133" s="145">
        <f t="shared" si="403"/>
        <v>8.4600000000000009</v>
      </c>
      <c r="DP133" s="47">
        <f>ROUND(+(DP126-DP119-DP115-DP99-DP100)/DP171*100,2)</f>
        <v>11.12</v>
      </c>
      <c r="DQ133" s="145">
        <f t="shared" si="403"/>
        <v>12.2</v>
      </c>
      <c r="DR133" s="145"/>
      <c r="DS133" s="145"/>
      <c r="DU133" s="413">
        <f t="shared" si="350"/>
        <v>0.36568386568386563</v>
      </c>
      <c r="DV133" s="413">
        <f t="shared" si="351"/>
        <v>0.6462306993642144</v>
      </c>
      <c r="DW133" s="413">
        <f t="shared" si="352"/>
        <v>0.60485558811218076</v>
      </c>
      <c r="DX133" s="413">
        <f>+(DJ133/(DJ133+DK133))</f>
        <v>8.8432122370936894E-2</v>
      </c>
      <c r="DY133" s="413">
        <f>+(DL133/(DL133+DM133))</f>
        <v>0.54940957116221256</v>
      </c>
      <c r="DZ133" s="413">
        <f>+(DN133/(DN133+DO133))</f>
        <v>0.59733460257020465</v>
      </c>
      <c r="EH133" s="411" t="b">
        <f>ROUND(U133,1)=ROUND(SUM(DJ133:DK133),1)</f>
        <v>1</v>
      </c>
      <c r="EI133" s="411" t="b">
        <f>ROUND(V133,1)=ROUND(SUM(DL133:DM133),1)</f>
        <v>1</v>
      </c>
      <c r="EJ133" s="411" t="b">
        <f>ROUND(W133,1)=ROUND(SUM(DN133:DO133),1)</f>
        <v>0</v>
      </c>
    </row>
    <row r="134" spans="2:140" ht="11.25" customHeight="1" outlineLevel="1" x14ac:dyDescent="0.2">
      <c r="B134" s="8" t="s">
        <v>143</v>
      </c>
      <c r="D134" s="447"/>
      <c r="E134" s="447"/>
      <c r="F134" s="447"/>
      <c r="G134" s="447"/>
      <c r="H134" s="447"/>
      <c r="I134" s="447"/>
      <c r="J134" s="447"/>
      <c r="K134" s="447">
        <f t="shared" ref="K134:AP134" si="404">ROUND(+(K126-K119-K115-K99-K100)/K172*100,2)</f>
        <v>18.41</v>
      </c>
      <c r="L134" s="447">
        <f t="shared" si="404"/>
        <v>23.98</v>
      </c>
      <c r="M134" s="447">
        <f t="shared" si="404"/>
        <v>17</v>
      </c>
      <c r="N134" s="447">
        <f t="shared" si="404"/>
        <v>19.28</v>
      </c>
      <c r="O134" s="447">
        <f t="shared" si="404"/>
        <v>21.59</v>
      </c>
      <c r="P134" s="447">
        <f t="shared" si="404"/>
        <v>22.53</v>
      </c>
      <c r="Q134" s="447">
        <f t="shared" si="404"/>
        <v>22.76</v>
      </c>
      <c r="R134" s="447">
        <f t="shared" si="404"/>
        <v>24.42</v>
      </c>
      <c r="S134" s="447">
        <f t="shared" si="404"/>
        <v>22.01</v>
      </c>
      <c r="T134" s="447">
        <f t="shared" si="404"/>
        <v>17.89</v>
      </c>
      <c r="U134" s="447">
        <f t="shared" si="404"/>
        <v>20.91</v>
      </c>
      <c r="V134" s="447">
        <f t="shared" si="404"/>
        <v>16.09</v>
      </c>
      <c r="W134" s="447">
        <f t="shared" si="404"/>
        <v>21.26</v>
      </c>
      <c r="X134" s="465">
        <f t="shared" si="404"/>
        <v>24.62</v>
      </c>
      <c r="Y134" s="447">
        <f t="shared" si="404"/>
        <v>26.47</v>
      </c>
      <c r="Z134" s="447">
        <f t="shared" si="404"/>
        <v>29.84</v>
      </c>
      <c r="AA134" s="447">
        <f t="shared" si="404"/>
        <v>29.59</v>
      </c>
      <c r="AB134" s="447">
        <f t="shared" si="404"/>
        <v>28.58</v>
      </c>
      <c r="AC134" s="447">
        <f t="shared" si="404"/>
        <v>31.75</v>
      </c>
      <c r="AD134" s="447">
        <f t="shared" si="404"/>
        <v>35.04</v>
      </c>
      <c r="AE134" s="447">
        <f t="shared" si="404"/>
        <v>37.700000000000003</v>
      </c>
      <c r="AF134" s="447">
        <f t="shared" si="404"/>
        <v>39.11</v>
      </c>
      <c r="AG134" s="447">
        <f t="shared" si="404"/>
        <v>39.82</v>
      </c>
      <c r="AH134" s="447">
        <f t="shared" si="404"/>
        <v>42.24</v>
      </c>
      <c r="AI134" s="447">
        <f t="shared" si="404"/>
        <v>36.81</v>
      </c>
      <c r="AJ134" s="447">
        <f t="shared" si="404"/>
        <v>33.46</v>
      </c>
      <c r="AK134" s="447">
        <f t="shared" si="404"/>
        <v>33.32</v>
      </c>
      <c r="AL134" s="447">
        <f t="shared" si="404"/>
        <v>35.72</v>
      </c>
      <c r="AM134" s="447">
        <f t="shared" si="404"/>
        <v>38.04</v>
      </c>
      <c r="AN134" s="447">
        <f t="shared" si="404"/>
        <v>39.67</v>
      </c>
      <c r="AO134" s="447">
        <f t="shared" si="404"/>
        <v>39.520000000000003</v>
      </c>
      <c r="AP134" s="447">
        <f t="shared" si="404"/>
        <v>9.7899999999999991</v>
      </c>
      <c r="AQ134" s="447">
        <f t="shared" ref="AQ134:BV134" si="405">ROUND(+(AQ126-AQ119-AQ115-AQ99-AQ100)/AQ172*100,2)</f>
        <v>11.78</v>
      </c>
      <c r="AR134" s="447">
        <f t="shared" si="405"/>
        <v>7.17</v>
      </c>
      <c r="AS134" s="447">
        <f t="shared" si="405"/>
        <v>0.88</v>
      </c>
      <c r="AT134" s="447">
        <f t="shared" si="405"/>
        <v>0.44</v>
      </c>
      <c r="AU134" s="447">
        <f t="shared" si="405"/>
        <v>1.96</v>
      </c>
      <c r="AV134" s="447">
        <f t="shared" si="405"/>
        <v>2.75</v>
      </c>
      <c r="AW134" s="447">
        <f t="shared" si="405"/>
        <v>1.1000000000000001</v>
      </c>
      <c r="AX134" s="447">
        <f t="shared" si="405"/>
        <v>2.02</v>
      </c>
      <c r="AY134" s="447">
        <f t="shared" si="405"/>
        <v>2.96</v>
      </c>
      <c r="AZ134" s="447">
        <f t="shared" si="405"/>
        <v>3.91</v>
      </c>
      <c r="BA134" s="447">
        <f t="shared" si="405"/>
        <v>-5.41</v>
      </c>
      <c r="BB134" s="447">
        <f t="shared" si="405"/>
        <v>-4.79</v>
      </c>
      <c r="BC134" s="447">
        <f t="shared" si="405"/>
        <v>-4.16</v>
      </c>
      <c r="BD134" s="447">
        <f t="shared" si="405"/>
        <v>-3.5</v>
      </c>
      <c r="BE134" s="447">
        <f t="shared" si="405"/>
        <v>-2.82</v>
      </c>
      <c r="BF134" s="447">
        <f t="shared" si="405"/>
        <v>-2.13</v>
      </c>
      <c r="BG134" s="447">
        <f t="shared" si="405"/>
        <v>-1.41</v>
      </c>
      <c r="BH134" s="447">
        <f t="shared" si="405"/>
        <v>-0.66</v>
      </c>
      <c r="BI134" s="447">
        <f t="shared" si="405"/>
        <v>0.11</v>
      </c>
      <c r="BJ134" s="447">
        <f t="shared" si="405"/>
        <v>0.9</v>
      </c>
      <c r="BK134" s="447">
        <f t="shared" si="405"/>
        <v>1.73</v>
      </c>
      <c r="BL134" s="447">
        <f t="shared" si="405"/>
        <v>2.58</v>
      </c>
      <c r="BM134" s="447">
        <f t="shared" si="405"/>
        <v>3.46</v>
      </c>
      <c r="BN134" s="447">
        <f t="shared" si="405"/>
        <v>4.38</v>
      </c>
      <c r="BO134" s="447">
        <f t="shared" si="405"/>
        <v>5.33</v>
      </c>
      <c r="BP134" s="447">
        <f t="shared" si="405"/>
        <v>6.32</v>
      </c>
      <c r="BQ134" s="447">
        <f t="shared" si="405"/>
        <v>7.34</v>
      </c>
      <c r="BR134" s="447">
        <f t="shared" si="405"/>
        <v>8.3699999999999992</v>
      </c>
      <c r="BS134" s="447">
        <f t="shared" si="405"/>
        <v>7.05</v>
      </c>
      <c r="BT134" s="447">
        <f t="shared" si="405"/>
        <v>5.96</v>
      </c>
      <c r="BU134" s="447">
        <f t="shared" si="405"/>
        <v>6.95</v>
      </c>
      <c r="BV134" s="447">
        <f t="shared" si="405"/>
        <v>7.97</v>
      </c>
      <c r="BW134" s="447">
        <f t="shared" ref="BW134:CP134" si="406">ROUND(+(BW126-BW119-BW115-BW99-BW100)/BW172*100,2)</f>
        <v>9.0299999999999994</v>
      </c>
      <c r="BX134" s="447">
        <f t="shared" si="406"/>
        <v>10.130000000000001</v>
      </c>
      <c r="BY134" s="447">
        <f t="shared" si="406"/>
        <v>11.26</v>
      </c>
      <c r="BZ134" s="447">
        <f t="shared" si="406"/>
        <v>12.44</v>
      </c>
      <c r="CA134" s="447">
        <f t="shared" si="406"/>
        <v>13.66</v>
      </c>
      <c r="CB134" s="447">
        <f t="shared" si="406"/>
        <v>14.93</v>
      </c>
      <c r="CC134" s="447">
        <f t="shared" si="406"/>
        <v>15.96</v>
      </c>
      <c r="CD134" s="447">
        <f t="shared" si="406"/>
        <v>13.98</v>
      </c>
      <c r="CE134" s="447">
        <f t="shared" si="406"/>
        <v>15.26</v>
      </c>
      <c r="CF134" s="447">
        <f t="shared" si="406"/>
        <v>16.579999999999998</v>
      </c>
      <c r="CG134" s="447">
        <f t="shared" si="406"/>
        <v>17.95</v>
      </c>
      <c r="CH134" s="447">
        <f t="shared" si="406"/>
        <v>-11.49</v>
      </c>
      <c r="CI134" s="447">
        <f t="shared" si="406"/>
        <v>-11.14</v>
      </c>
      <c r="CJ134" s="447">
        <f t="shared" si="406"/>
        <v>-10.76</v>
      </c>
      <c r="CK134" s="447">
        <f t="shared" si="406"/>
        <v>-10.35</v>
      </c>
      <c r="CL134" s="447">
        <f t="shared" si="406"/>
        <v>-9.9</v>
      </c>
      <c r="CM134" s="447">
        <f t="shared" si="406"/>
        <v>-9.43</v>
      </c>
      <c r="CN134" s="447">
        <f t="shared" si="406"/>
        <v>-8.92</v>
      </c>
      <c r="CO134" s="447">
        <f t="shared" si="406"/>
        <v>-8.3800000000000008</v>
      </c>
      <c r="CP134" s="447">
        <f t="shared" si="406"/>
        <v>-9.6300000000000008</v>
      </c>
      <c r="CQ134" s="362" t="s">
        <v>77</v>
      </c>
      <c r="CR134" s="422">
        <f>+W133/CR132-1</f>
        <v>1.7224880382775254E-2</v>
      </c>
      <c r="CS134" s="423">
        <f>+X133/CS132-1</f>
        <v>3.8818565400843941E-2</v>
      </c>
      <c r="CT134" s="424">
        <f>+Y133/CT132-1</f>
        <v>-5.1254480286738291E-2</v>
      </c>
      <c r="DB134" s="8" t="s">
        <v>143</v>
      </c>
      <c r="DD134" s="447">
        <f t="shared" ref="DD134:DO134" si="407">ROUND(+(DD126-DD119-DD115-DD99-DD100)/DD172*100,2)</f>
        <v>8.93</v>
      </c>
      <c r="DE134" s="447">
        <f t="shared" si="407"/>
        <v>15.49</v>
      </c>
      <c r="DF134" s="447">
        <f t="shared" si="407"/>
        <v>14.23</v>
      </c>
      <c r="DG134" s="447">
        <f t="shared" si="407"/>
        <v>7.79</v>
      </c>
      <c r="DH134" s="447">
        <f t="shared" si="407"/>
        <v>14.45</v>
      </c>
      <c r="DI134" s="447">
        <f t="shared" si="407"/>
        <v>9.44</v>
      </c>
      <c r="DJ134" s="447">
        <f t="shared" si="407"/>
        <v>1.85</v>
      </c>
      <c r="DK134" s="447">
        <f t="shared" si="407"/>
        <v>19.07</v>
      </c>
      <c r="DL134" s="447">
        <f t="shared" si="407"/>
        <v>8.84</v>
      </c>
      <c r="DM134" s="447">
        <f t="shared" si="407"/>
        <v>7.25</v>
      </c>
      <c r="DN134" s="447">
        <f t="shared" si="407"/>
        <v>12.55</v>
      </c>
      <c r="DO134" s="447">
        <f t="shared" si="407"/>
        <v>8.4600000000000009</v>
      </c>
      <c r="DP134" s="447">
        <f t="shared" ref="DP134:DQ134" si="408">ROUND(+(DP126-DP119-DP115-DP99-DP100)/DP172*100,2)</f>
        <v>10.81</v>
      </c>
      <c r="DQ134" s="447">
        <f t="shared" si="408"/>
        <v>12.2</v>
      </c>
      <c r="DR134" s="447"/>
      <c r="DS134" s="447"/>
      <c r="DU134" s="413">
        <f t="shared" si="350"/>
        <v>0.36568386568386563</v>
      </c>
      <c r="DV134" s="413">
        <f t="shared" si="351"/>
        <v>0.6462306993642144</v>
      </c>
      <c r="DW134" s="413">
        <f t="shared" si="352"/>
        <v>0.60485558811218076</v>
      </c>
      <c r="DX134" s="413">
        <f>+(DJ134/(DJ134+DK134))</f>
        <v>8.8432122370936894E-2</v>
      </c>
      <c r="DY134" s="413">
        <f>+(DL134/(DL134+DM134))</f>
        <v>0.54940957116221256</v>
      </c>
      <c r="DZ134" s="413">
        <f>+(DN134/(DN134+DO134))</f>
        <v>0.59733460257020465</v>
      </c>
      <c r="EH134" s="411" t="b">
        <f>ROUND(U134,1)=ROUND(SUM(DJ134:DK134),1)</f>
        <v>1</v>
      </c>
      <c r="EI134" s="411" t="b">
        <f>ROUND(V134,1)=ROUND(SUM(DL134:DM134),1)</f>
        <v>1</v>
      </c>
      <c r="EJ134" s="411" t="b">
        <f>ROUND(W134,1)=ROUND(SUM(DN134:DO134),1)</f>
        <v>0</v>
      </c>
    </row>
    <row r="135" spans="2:140" ht="11.25" customHeight="1" outlineLevel="1" x14ac:dyDescent="0.2">
      <c r="B135" s="8" t="s">
        <v>431</v>
      </c>
      <c r="D135" s="447"/>
      <c r="E135" s="447"/>
      <c r="F135" s="447"/>
      <c r="G135" s="447"/>
      <c r="H135" s="447"/>
      <c r="I135" s="447"/>
      <c r="J135" s="447"/>
      <c r="K135" s="447">
        <f>+K133/100</f>
        <v>0.18410000000000001</v>
      </c>
      <c r="L135" s="447">
        <f t="shared" ref="L135:BD135" si="409">+L133/100</f>
        <v>0.23980000000000001</v>
      </c>
      <c r="M135" s="447">
        <f t="shared" si="409"/>
        <v>0.17</v>
      </c>
      <c r="N135" s="447">
        <f t="shared" si="409"/>
        <v>0.1928</v>
      </c>
      <c r="O135" s="447">
        <f t="shared" si="409"/>
        <v>0.21590000000000001</v>
      </c>
      <c r="P135" s="447">
        <f t="shared" si="409"/>
        <v>0.2253</v>
      </c>
      <c r="Q135" s="447">
        <f t="shared" si="409"/>
        <v>0.22760000000000002</v>
      </c>
      <c r="R135" s="447">
        <f t="shared" si="409"/>
        <v>0.24420000000000003</v>
      </c>
      <c r="S135" s="447">
        <f t="shared" si="409"/>
        <v>0.22010000000000002</v>
      </c>
      <c r="T135" s="447">
        <f t="shared" si="409"/>
        <v>0.1789</v>
      </c>
      <c r="U135" s="447">
        <f t="shared" si="409"/>
        <v>0.20910000000000001</v>
      </c>
      <c r="V135" s="447">
        <f t="shared" si="409"/>
        <v>0.16089999999999999</v>
      </c>
      <c r="W135" s="447">
        <f t="shared" si="409"/>
        <v>0.21260000000000001</v>
      </c>
      <c r="X135" s="447">
        <f t="shared" si="409"/>
        <v>0.2462</v>
      </c>
      <c r="Y135" s="447">
        <f t="shared" si="409"/>
        <v>0.26469999999999999</v>
      </c>
      <c r="Z135" s="45">
        <f t="shared" si="409"/>
        <v>0.2984</v>
      </c>
      <c r="AA135" s="447">
        <f t="shared" si="409"/>
        <v>0.2959</v>
      </c>
      <c r="AB135" s="447">
        <f t="shared" si="409"/>
        <v>0.2858</v>
      </c>
      <c r="AC135" s="447">
        <f t="shared" si="409"/>
        <v>0.3175</v>
      </c>
      <c r="AD135" s="447">
        <f t="shared" si="409"/>
        <v>0.35039999999999999</v>
      </c>
      <c r="AE135" s="447">
        <f t="shared" si="409"/>
        <v>0.377</v>
      </c>
      <c r="AF135" s="447">
        <f t="shared" si="409"/>
        <v>0.3911</v>
      </c>
      <c r="AG135" s="447">
        <f t="shared" si="409"/>
        <v>0.3982</v>
      </c>
      <c r="AH135" s="447">
        <f t="shared" si="409"/>
        <v>0.4224</v>
      </c>
      <c r="AI135" s="447">
        <f t="shared" si="409"/>
        <v>0.36810000000000004</v>
      </c>
      <c r="AJ135" s="447">
        <f t="shared" si="409"/>
        <v>0.33460000000000001</v>
      </c>
      <c r="AK135" s="447">
        <f t="shared" si="409"/>
        <v>0.3332</v>
      </c>
      <c r="AL135" s="447">
        <f t="shared" si="409"/>
        <v>0.35719999999999996</v>
      </c>
      <c r="AM135" s="447">
        <f t="shared" si="409"/>
        <v>0.38040000000000002</v>
      </c>
      <c r="AN135" s="447">
        <f t="shared" si="409"/>
        <v>0.3967</v>
      </c>
      <c r="AO135" s="447">
        <f t="shared" si="409"/>
        <v>0.39520000000000005</v>
      </c>
      <c r="AP135" s="447">
        <f t="shared" si="409"/>
        <v>9.7899999999999987E-2</v>
      </c>
      <c r="AQ135" s="447">
        <f t="shared" si="409"/>
        <v>0.11779999999999999</v>
      </c>
      <c r="AR135" s="447">
        <f t="shared" si="409"/>
        <v>7.17E-2</v>
      </c>
      <c r="AS135" s="447">
        <f t="shared" si="409"/>
        <v>8.8000000000000005E-3</v>
      </c>
      <c r="AT135" s="447">
        <f t="shared" si="409"/>
        <v>4.4000000000000003E-3</v>
      </c>
      <c r="AU135" s="447">
        <f t="shared" si="409"/>
        <v>1.9599999999999999E-2</v>
      </c>
      <c r="AV135" s="447">
        <f t="shared" si="409"/>
        <v>2.75E-2</v>
      </c>
      <c r="AW135" s="447">
        <f t="shared" si="409"/>
        <v>1.1000000000000001E-2</v>
      </c>
      <c r="AX135" s="447">
        <f t="shared" si="409"/>
        <v>2.0199999999999999E-2</v>
      </c>
      <c r="AY135" s="447">
        <f t="shared" si="409"/>
        <v>2.9600000000000001E-2</v>
      </c>
      <c r="AZ135" s="447">
        <f t="shared" si="409"/>
        <v>3.9100000000000003E-2</v>
      </c>
      <c r="BA135" s="447">
        <f t="shared" si="409"/>
        <v>-5.4100000000000002E-2</v>
      </c>
      <c r="BB135" s="447">
        <f t="shared" si="409"/>
        <v>-4.7899999999999998E-2</v>
      </c>
      <c r="BC135" s="447">
        <f t="shared" si="409"/>
        <v>-4.1599999999999998E-2</v>
      </c>
      <c r="BD135" s="447">
        <f t="shared" si="409"/>
        <v>-3.5000000000000003E-2</v>
      </c>
      <c r="BE135" s="447">
        <f t="shared" ref="BE135:CP135" si="410">+BE133/100</f>
        <v>-2.8199999999999999E-2</v>
      </c>
      <c r="BF135" s="447">
        <f t="shared" si="410"/>
        <v>-2.1299999999999999E-2</v>
      </c>
      <c r="BG135" s="447">
        <f t="shared" si="410"/>
        <v>-1.41E-2</v>
      </c>
      <c r="BH135" s="447">
        <f t="shared" si="410"/>
        <v>-6.6E-3</v>
      </c>
      <c r="BI135" s="447">
        <f t="shared" si="410"/>
        <v>1.1000000000000001E-3</v>
      </c>
      <c r="BJ135" s="447">
        <f t="shared" si="410"/>
        <v>9.0000000000000011E-3</v>
      </c>
      <c r="BK135" s="447">
        <f t="shared" si="410"/>
        <v>1.7299999999999999E-2</v>
      </c>
      <c r="BL135" s="447">
        <f t="shared" si="410"/>
        <v>2.58E-2</v>
      </c>
      <c r="BM135" s="447">
        <f t="shared" si="410"/>
        <v>3.4599999999999999E-2</v>
      </c>
      <c r="BN135" s="447">
        <f t="shared" si="410"/>
        <v>4.3799999999999999E-2</v>
      </c>
      <c r="BO135" s="447">
        <f t="shared" si="410"/>
        <v>5.33E-2</v>
      </c>
      <c r="BP135" s="447">
        <f t="shared" si="410"/>
        <v>6.3200000000000006E-2</v>
      </c>
      <c r="BQ135" s="447">
        <f t="shared" si="410"/>
        <v>7.3399999999999993E-2</v>
      </c>
      <c r="BR135" s="447">
        <f t="shared" si="410"/>
        <v>8.3699999999999997E-2</v>
      </c>
      <c r="BS135" s="447">
        <f t="shared" si="410"/>
        <v>7.0499999999999993E-2</v>
      </c>
      <c r="BT135" s="447">
        <f t="shared" si="410"/>
        <v>5.96E-2</v>
      </c>
      <c r="BU135" s="447">
        <f t="shared" si="410"/>
        <v>6.9500000000000006E-2</v>
      </c>
      <c r="BV135" s="447">
        <f t="shared" si="410"/>
        <v>7.9699999999999993E-2</v>
      </c>
      <c r="BW135" s="447">
        <f t="shared" si="410"/>
        <v>9.0299999999999991E-2</v>
      </c>
      <c r="BX135" s="447">
        <f t="shared" si="410"/>
        <v>0.1013</v>
      </c>
      <c r="BY135" s="447">
        <f t="shared" si="410"/>
        <v>0.11259999999999999</v>
      </c>
      <c r="BZ135" s="447">
        <f t="shared" si="410"/>
        <v>0.1244</v>
      </c>
      <c r="CA135" s="447">
        <f t="shared" si="410"/>
        <v>0.1366</v>
      </c>
      <c r="CB135" s="447">
        <f t="shared" si="410"/>
        <v>0.14929999999999999</v>
      </c>
      <c r="CC135" s="447">
        <f t="shared" si="410"/>
        <v>0.15960000000000002</v>
      </c>
      <c r="CD135" s="447">
        <f t="shared" si="410"/>
        <v>0.13980000000000001</v>
      </c>
      <c r="CE135" s="447">
        <f t="shared" si="410"/>
        <v>0.15259999999999999</v>
      </c>
      <c r="CF135" s="447">
        <f t="shared" si="410"/>
        <v>0.16579999999999998</v>
      </c>
      <c r="CG135" s="447">
        <f t="shared" si="410"/>
        <v>0.17949999999999999</v>
      </c>
      <c r="CH135" s="447">
        <f t="shared" si="410"/>
        <v>-0.1149</v>
      </c>
      <c r="CI135" s="447">
        <f t="shared" si="410"/>
        <v>-0.1114</v>
      </c>
      <c r="CJ135" s="447">
        <f t="shared" si="410"/>
        <v>-0.1076</v>
      </c>
      <c r="CK135" s="447">
        <f t="shared" si="410"/>
        <v>-0.10349999999999999</v>
      </c>
      <c r="CL135" s="447">
        <f t="shared" si="410"/>
        <v>-9.9000000000000005E-2</v>
      </c>
      <c r="CM135" s="447">
        <f t="shared" si="410"/>
        <v>-9.4299999999999995E-2</v>
      </c>
      <c r="CN135" s="447">
        <f t="shared" si="410"/>
        <v>-8.9200000000000002E-2</v>
      </c>
      <c r="CO135" s="447">
        <f t="shared" si="410"/>
        <v>-8.3800000000000013E-2</v>
      </c>
      <c r="CP135" s="447">
        <f t="shared" si="410"/>
        <v>-9.6300000000000011E-2</v>
      </c>
      <c r="CQ135" s="362" t="s">
        <v>77</v>
      </c>
      <c r="CR135" s="449"/>
      <c r="CS135" s="449"/>
      <c r="CT135" s="449"/>
      <c r="DB135" s="233" t="s">
        <v>431</v>
      </c>
      <c r="DC135" s="233"/>
      <c r="DD135" s="450">
        <f>+DD133/100</f>
        <v>8.929999999999999E-2</v>
      </c>
      <c r="DE135" s="450">
        <f t="shared" ref="DE135:DM135" si="411">+DE133/100</f>
        <v>0.15490000000000001</v>
      </c>
      <c r="DF135" s="450">
        <f t="shared" si="411"/>
        <v>0.14230000000000001</v>
      </c>
      <c r="DG135" s="450">
        <f t="shared" si="411"/>
        <v>7.7899999999999997E-2</v>
      </c>
      <c r="DH135" s="450">
        <f t="shared" si="411"/>
        <v>0.14449999999999999</v>
      </c>
      <c r="DI135" s="450">
        <f t="shared" si="411"/>
        <v>9.4399999999999998E-2</v>
      </c>
      <c r="DJ135" s="450">
        <f t="shared" si="411"/>
        <v>1.8500000000000003E-2</v>
      </c>
      <c r="DK135" s="450">
        <f t="shared" si="411"/>
        <v>0.19070000000000001</v>
      </c>
      <c r="DL135" s="450">
        <f t="shared" si="411"/>
        <v>8.8399999999999992E-2</v>
      </c>
      <c r="DM135" s="450">
        <f t="shared" si="411"/>
        <v>7.2499999999999995E-2</v>
      </c>
      <c r="DN135" s="450">
        <f>+DN133/100</f>
        <v>0.1255</v>
      </c>
      <c r="DO135" s="450">
        <f>+DO133/100</f>
        <v>8.4600000000000009E-2</v>
      </c>
      <c r="DP135" s="450">
        <f t="shared" ref="DP135:DQ135" si="412">+DP133/100</f>
        <v>0.11119999999999999</v>
      </c>
      <c r="DQ135" s="450">
        <f t="shared" si="412"/>
        <v>0.122</v>
      </c>
      <c r="DR135" s="450"/>
      <c r="DS135" s="450"/>
      <c r="DU135" s="413"/>
      <c r="DV135" s="413"/>
      <c r="DW135" s="413"/>
      <c r="DX135" s="413"/>
      <c r="DY135" s="413"/>
      <c r="DZ135" s="413"/>
    </row>
    <row r="136" spans="2:140" ht="11.25" customHeight="1" outlineLevel="1" x14ac:dyDescent="0.2">
      <c r="B136" s="358" t="s">
        <v>101</v>
      </c>
      <c r="C136" s="218"/>
      <c r="D136" s="66"/>
      <c r="E136" s="66"/>
      <c r="F136" s="66"/>
      <c r="G136" s="66"/>
      <c r="H136" s="66"/>
      <c r="I136" s="66"/>
      <c r="J136" s="66"/>
      <c r="K136" s="66"/>
      <c r="L136" s="248"/>
      <c r="M136" s="248"/>
      <c r="N136" s="248"/>
      <c r="O136" s="248"/>
      <c r="P136" s="248"/>
      <c r="Q136" s="248"/>
      <c r="R136" s="248"/>
      <c r="S136" s="248"/>
      <c r="T136" s="451"/>
      <c r="U136" s="451"/>
      <c r="V136" s="451"/>
      <c r="W136" s="451"/>
      <c r="X136" s="66"/>
      <c r="Y136" s="66"/>
      <c r="Z136" s="66"/>
      <c r="AA136" s="66"/>
      <c r="AB136" s="66"/>
      <c r="AC136" s="66"/>
      <c r="AD136" s="66"/>
      <c r="AE136" s="66"/>
      <c r="AF136" s="66"/>
      <c r="AG136" s="66"/>
      <c r="AH136" s="66"/>
      <c r="AI136" s="66"/>
      <c r="AJ136" s="66"/>
      <c r="AK136" s="66"/>
      <c r="AL136" s="66"/>
      <c r="AM136" s="66"/>
      <c r="AN136" s="66"/>
      <c r="AO136" s="66"/>
      <c r="AP136" s="66"/>
      <c r="AQ136" s="66"/>
      <c r="AR136" s="66"/>
      <c r="AS136" s="66"/>
      <c r="AT136" s="66"/>
      <c r="AU136" s="66"/>
      <c r="AV136" s="66"/>
      <c r="AW136" s="66"/>
      <c r="AX136" s="66"/>
      <c r="AY136" s="66"/>
      <c r="AZ136" s="66"/>
      <c r="BA136" s="66"/>
      <c r="BB136" s="66"/>
      <c r="BC136" s="66"/>
      <c r="BD136" s="66"/>
      <c r="BE136" s="66"/>
      <c r="BF136" s="66"/>
      <c r="BG136" s="66"/>
      <c r="BH136" s="66"/>
      <c r="BI136" s="66"/>
      <c r="BJ136" s="66"/>
      <c r="BK136" s="66"/>
      <c r="BL136" s="66"/>
      <c r="BM136" s="66"/>
      <c r="BN136" s="66"/>
      <c r="BO136" s="66"/>
      <c r="BP136" s="66"/>
      <c r="BQ136" s="66"/>
      <c r="BR136" s="66"/>
      <c r="BS136" s="66"/>
      <c r="BT136" s="66"/>
      <c r="BU136" s="66"/>
      <c r="BV136" s="66"/>
      <c r="BW136" s="66"/>
      <c r="BX136" s="66"/>
      <c r="BY136" s="66"/>
      <c r="BZ136" s="66"/>
      <c r="CA136" s="66"/>
      <c r="CB136" s="66"/>
      <c r="CC136" s="66"/>
      <c r="CD136" s="66"/>
      <c r="CE136" s="66"/>
      <c r="CF136" s="66"/>
      <c r="CG136" s="66"/>
      <c r="CH136" s="66"/>
      <c r="CI136" s="66"/>
      <c r="CJ136" s="66"/>
      <c r="CK136" s="66"/>
      <c r="CL136" s="66"/>
      <c r="CM136" s="66"/>
      <c r="CN136" s="66"/>
      <c r="CO136" s="66"/>
      <c r="CP136" s="66"/>
      <c r="CQ136" s="362" t="s">
        <v>77</v>
      </c>
      <c r="DB136" s="358" t="s">
        <v>101</v>
      </c>
      <c r="DC136" s="218"/>
      <c r="DD136" s="248"/>
      <c r="DE136" s="248"/>
      <c r="DF136" s="248"/>
      <c r="DG136" s="248"/>
      <c r="DH136" s="218"/>
      <c r="DI136" s="218"/>
      <c r="DJ136" s="218"/>
      <c r="DK136" s="218"/>
      <c r="DL136" s="218"/>
      <c r="DM136" s="218"/>
      <c r="DN136" s="218"/>
      <c r="DO136" s="218"/>
      <c r="DP136" s="218"/>
      <c r="DQ136" s="218"/>
      <c r="DR136" s="218"/>
      <c r="DS136" s="218"/>
      <c r="DU136" s="413"/>
      <c r="DV136" s="413"/>
      <c r="DW136" s="413"/>
      <c r="DX136" s="413"/>
      <c r="DY136" s="413"/>
      <c r="DZ136" s="413"/>
    </row>
    <row r="137" spans="2:140" ht="11.25" customHeight="1" outlineLevel="1" x14ac:dyDescent="0.2">
      <c r="B137" s="8" t="s">
        <v>227</v>
      </c>
      <c r="D137" s="52"/>
      <c r="E137" s="52"/>
      <c r="F137" s="52"/>
      <c r="G137" s="52"/>
      <c r="H137" s="52"/>
      <c r="I137" s="52"/>
      <c r="J137" s="52"/>
      <c r="K137" s="452">
        <f>22.5-K138</f>
        <v>16.5</v>
      </c>
      <c r="L137" s="452">
        <f>24-L138</f>
        <v>18</v>
      </c>
      <c r="M137" s="452">
        <v>21</v>
      </c>
      <c r="N137" s="452">
        <f>9.8+2.7+2</f>
        <v>14.5</v>
      </c>
      <c r="O137" s="452">
        <f>9+2.8+3.2</f>
        <v>15</v>
      </c>
      <c r="P137" s="452">
        <f>5.67+4.97+3.51+1.6</f>
        <v>15.75</v>
      </c>
      <c r="Q137" s="452">
        <f>9.55+2.46+3.74+0.75</f>
        <v>16.5</v>
      </c>
      <c r="R137" s="452">
        <f>4.54+6.52+3.88+2.06</f>
        <v>16.999999999999996</v>
      </c>
      <c r="S137" s="452">
        <f>14.74+2.26</f>
        <v>17</v>
      </c>
      <c r="T137" s="453">
        <f>14.56+0.49+2.3+0.15</f>
        <v>17.5</v>
      </c>
      <c r="U137" s="453">
        <v>17.5</v>
      </c>
      <c r="V137" s="453">
        <v>19</v>
      </c>
      <c r="W137" s="453">
        <v>20.5</v>
      </c>
      <c r="X137" s="154">
        <v>21</v>
      </c>
      <c r="Y137" s="276">
        <f t="shared" ref="Y137:BD137" si="413">+Y139-Y138</f>
        <v>23</v>
      </c>
      <c r="Z137" s="276">
        <f t="shared" si="413"/>
        <v>23.5</v>
      </c>
      <c r="AA137" s="276">
        <f t="shared" si="413"/>
        <v>23.5</v>
      </c>
      <c r="AB137" s="276">
        <f t="shared" si="413"/>
        <v>23.5</v>
      </c>
      <c r="AC137" s="276">
        <f t="shared" si="413"/>
        <v>23.5</v>
      </c>
      <c r="AD137" s="276">
        <f t="shared" si="413"/>
        <v>23.5</v>
      </c>
      <c r="AE137" s="276">
        <f t="shared" si="413"/>
        <v>23.5</v>
      </c>
      <c r="AF137" s="276">
        <f t="shared" si="413"/>
        <v>23.5</v>
      </c>
      <c r="AG137" s="276">
        <f t="shared" si="413"/>
        <v>23.5</v>
      </c>
      <c r="AH137" s="276">
        <f t="shared" si="413"/>
        <v>23.5</v>
      </c>
      <c r="AI137" s="276">
        <f t="shared" si="413"/>
        <v>23.5</v>
      </c>
      <c r="AJ137" s="276">
        <f t="shared" si="413"/>
        <v>23.5</v>
      </c>
      <c r="AK137" s="276">
        <f t="shared" si="413"/>
        <v>23.5</v>
      </c>
      <c r="AL137" s="276">
        <f t="shared" si="413"/>
        <v>23.5</v>
      </c>
      <c r="AM137" s="276">
        <f t="shared" si="413"/>
        <v>23.5</v>
      </c>
      <c r="AN137" s="276">
        <f t="shared" si="413"/>
        <v>23.5</v>
      </c>
      <c r="AO137" s="276">
        <f t="shared" si="413"/>
        <v>23.5</v>
      </c>
      <c r="AP137" s="276">
        <f t="shared" si="413"/>
        <v>23.5</v>
      </c>
      <c r="AQ137" s="276">
        <f t="shared" si="413"/>
        <v>23.5</v>
      </c>
      <c r="AR137" s="276">
        <f t="shared" si="413"/>
        <v>23.5</v>
      </c>
      <c r="AS137" s="276">
        <f t="shared" si="413"/>
        <v>23.5</v>
      </c>
      <c r="AT137" s="276">
        <f t="shared" si="413"/>
        <v>23.5</v>
      </c>
      <c r="AU137" s="276">
        <f t="shared" si="413"/>
        <v>23.5</v>
      </c>
      <c r="AV137" s="276">
        <f t="shared" si="413"/>
        <v>23.5</v>
      </c>
      <c r="AW137" s="276">
        <f t="shared" si="413"/>
        <v>23.5</v>
      </c>
      <c r="AX137" s="276">
        <f t="shared" si="413"/>
        <v>23.5</v>
      </c>
      <c r="AY137" s="276">
        <f t="shared" si="413"/>
        <v>23.5</v>
      </c>
      <c r="AZ137" s="276">
        <f t="shared" si="413"/>
        <v>23.5</v>
      </c>
      <c r="BA137" s="276">
        <f t="shared" si="413"/>
        <v>23.5</v>
      </c>
      <c r="BB137" s="276">
        <f t="shared" si="413"/>
        <v>23.5</v>
      </c>
      <c r="BC137" s="276">
        <f t="shared" si="413"/>
        <v>23.5</v>
      </c>
      <c r="BD137" s="276">
        <f t="shared" si="413"/>
        <v>23.5</v>
      </c>
      <c r="BE137" s="276">
        <f t="shared" ref="BE137:CP137" si="414">+BE139-BE138</f>
        <v>23.5</v>
      </c>
      <c r="BF137" s="276">
        <f t="shared" si="414"/>
        <v>23.5</v>
      </c>
      <c r="BG137" s="276">
        <f t="shared" si="414"/>
        <v>23.5</v>
      </c>
      <c r="BH137" s="276">
        <f t="shared" si="414"/>
        <v>23.5</v>
      </c>
      <c r="BI137" s="276">
        <f t="shared" si="414"/>
        <v>23.5</v>
      </c>
      <c r="BJ137" s="276">
        <f t="shared" si="414"/>
        <v>23.5</v>
      </c>
      <c r="BK137" s="276">
        <f t="shared" si="414"/>
        <v>23.5</v>
      </c>
      <c r="BL137" s="276">
        <f t="shared" si="414"/>
        <v>23.5</v>
      </c>
      <c r="BM137" s="276">
        <f t="shared" si="414"/>
        <v>23.5</v>
      </c>
      <c r="BN137" s="276">
        <f t="shared" si="414"/>
        <v>23.5</v>
      </c>
      <c r="BO137" s="276">
        <f t="shared" si="414"/>
        <v>23.5</v>
      </c>
      <c r="BP137" s="276">
        <f t="shared" si="414"/>
        <v>23.5</v>
      </c>
      <c r="BQ137" s="276">
        <f t="shared" si="414"/>
        <v>23.5</v>
      </c>
      <c r="BR137" s="276">
        <f t="shared" si="414"/>
        <v>23.5</v>
      </c>
      <c r="BS137" s="276">
        <f t="shared" si="414"/>
        <v>23.5</v>
      </c>
      <c r="BT137" s="276">
        <f t="shared" si="414"/>
        <v>23.5</v>
      </c>
      <c r="BU137" s="276">
        <f t="shared" si="414"/>
        <v>23.5</v>
      </c>
      <c r="BV137" s="276">
        <f t="shared" si="414"/>
        <v>23.5</v>
      </c>
      <c r="BW137" s="276">
        <f t="shared" si="414"/>
        <v>23.5</v>
      </c>
      <c r="BX137" s="276">
        <f t="shared" si="414"/>
        <v>23.5</v>
      </c>
      <c r="BY137" s="276">
        <f t="shared" si="414"/>
        <v>23.5</v>
      </c>
      <c r="BZ137" s="276">
        <f t="shared" si="414"/>
        <v>23.5</v>
      </c>
      <c r="CA137" s="276">
        <f t="shared" si="414"/>
        <v>23.5</v>
      </c>
      <c r="CB137" s="276">
        <f t="shared" si="414"/>
        <v>23.5</v>
      </c>
      <c r="CC137" s="276">
        <f t="shared" si="414"/>
        <v>23.5</v>
      </c>
      <c r="CD137" s="276">
        <f t="shared" si="414"/>
        <v>23.5</v>
      </c>
      <c r="CE137" s="276">
        <f t="shared" si="414"/>
        <v>23.5</v>
      </c>
      <c r="CF137" s="276">
        <f t="shared" si="414"/>
        <v>23.5</v>
      </c>
      <c r="CG137" s="276">
        <f t="shared" si="414"/>
        <v>23.5</v>
      </c>
      <c r="CH137" s="276">
        <f t="shared" si="414"/>
        <v>23.5</v>
      </c>
      <c r="CI137" s="276">
        <f t="shared" si="414"/>
        <v>23.5</v>
      </c>
      <c r="CJ137" s="276">
        <f t="shared" si="414"/>
        <v>23.5</v>
      </c>
      <c r="CK137" s="276">
        <f t="shared" si="414"/>
        <v>23.5</v>
      </c>
      <c r="CL137" s="276">
        <f t="shared" si="414"/>
        <v>23.5</v>
      </c>
      <c r="CM137" s="276">
        <f t="shared" si="414"/>
        <v>23.5</v>
      </c>
      <c r="CN137" s="276">
        <f t="shared" si="414"/>
        <v>23.5</v>
      </c>
      <c r="CO137" s="276">
        <f t="shared" si="414"/>
        <v>23.5</v>
      </c>
      <c r="CP137" s="276">
        <f t="shared" si="414"/>
        <v>23.5</v>
      </c>
      <c r="CQ137" s="362" t="s">
        <v>77</v>
      </c>
      <c r="CR137" s="358" t="s">
        <v>417</v>
      </c>
      <c r="CS137" s="416"/>
      <c r="CT137" s="416"/>
      <c r="DB137" s="8" t="s">
        <v>227</v>
      </c>
      <c r="DD137" s="454">
        <f>4.54+6.52+3.88+2.06</f>
        <v>16.999999999999996</v>
      </c>
      <c r="DE137" s="454"/>
      <c r="DF137" s="454">
        <f>14.74+2.26</f>
        <v>17</v>
      </c>
      <c r="DG137" s="454"/>
      <c r="DH137" s="454">
        <f>+T137</f>
        <v>17.5</v>
      </c>
      <c r="DI137" s="61"/>
      <c r="DJ137" s="61">
        <f>+U137</f>
        <v>17.5</v>
      </c>
      <c r="DK137" s="61"/>
      <c r="DL137" s="12">
        <f>V137</f>
        <v>19</v>
      </c>
      <c r="DN137" s="12">
        <f>W137</f>
        <v>20.5</v>
      </c>
      <c r="DP137" s="12">
        <f>X137</f>
        <v>21</v>
      </c>
      <c r="DU137" s="413">
        <f>+(DD137/(DD137+DE137))</f>
        <v>1</v>
      </c>
      <c r="DV137" s="413">
        <f>+(DF137/(DF137+DG137))</f>
        <v>1</v>
      </c>
      <c r="DW137" s="413">
        <f>+(DH137/(DH137+DI137))</f>
        <v>1</v>
      </c>
      <c r="DX137" s="413">
        <f>+(DJ137/(DJ137+DK137))</f>
        <v>1</v>
      </c>
      <c r="DY137" s="413">
        <f>+(DL137/(DL137+DM137))</f>
        <v>1</v>
      </c>
      <c r="DZ137" s="413">
        <f>+(DN137/(DN137+DO137))</f>
        <v>1</v>
      </c>
    </row>
    <row r="138" spans="2:140" ht="11.25" customHeight="1" outlineLevel="1" x14ac:dyDescent="0.2">
      <c r="B138" s="8" t="s">
        <v>228</v>
      </c>
      <c r="D138" s="52"/>
      <c r="E138" s="52"/>
      <c r="F138" s="52"/>
      <c r="G138" s="52"/>
      <c r="H138" s="52"/>
      <c r="I138" s="52"/>
      <c r="J138" s="52"/>
      <c r="K138" s="452">
        <v>6</v>
      </c>
      <c r="L138" s="452">
        <v>6</v>
      </c>
      <c r="M138" s="452">
        <f>28-M137</f>
        <v>7</v>
      </c>
      <c r="N138" s="452">
        <f>9+2.8+3.2</f>
        <v>15</v>
      </c>
      <c r="O138" s="452">
        <f>2.7+0.5+11.1+1.7</f>
        <v>16</v>
      </c>
      <c r="P138" s="452">
        <f>1.73+8.58+3.67+3.02</f>
        <v>17</v>
      </c>
      <c r="Q138" s="452">
        <f>3.42+8.41+3.41+2.66</f>
        <v>17.899999999999999</v>
      </c>
      <c r="R138" s="452">
        <f>5.09+7.32+3.28+2.31</f>
        <v>18</v>
      </c>
      <c r="S138" s="452">
        <f>16.02+2.32+0.16</f>
        <v>18.5</v>
      </c>
      <c r="T138" s="453">
        <f>16.42+2.33</f>
        <v>18.75</v>
      </c>
      <c r="U138" s="453">
        <v>20.5</v>
      </c>
      <c r="V138" s="453">
        <v>22.5</v>
      </c>
      <c r="W138" s="453">
        <f>W139-W137</f>
        <v>23</v>
      </c>
      <c r="X138" s="276">
        <f>X139-X137</f>
        <v>24</v>
      </c>
      <c r="Y138" s="154">
        <f t="shared" ref="Y138:CI138" si="415">ROUND(Y139*52.5%*2,0)/2</f>
        <v>25</v>
      </c>
      <c r="Z138" s="154">
        <f t="shared" si="415"/>
        <v>26.5</v>
      </c>
      <c r="AA138" s="154">
        <f t="shared" si="415"/>
        <v>26.5</v>
      </c>
      <c r="AB138" s="154">
        <f t="shared" si="415"/>
        <v>26.5</v>
      </c>
      <c r="AC138" s="154">
        <f t="shared" si="415"/>
        <v>26.5</v>
      </c>
      <c r="AD138" s="154">
        <f t="shared" si="415"/>
        <v>26.5</v>
      </c>
      <c r="AE138" s="154">
        <f t="shared" si="415"/>
        <v>26.5</v>
      </c>
      <c r="AF138" s="154">
        <f t="shared" si="415"/>
        <v>26.5</v>
      </c>
      <c r="AG138" s="154">
        <f t="shared" si="415"/>
        <v>26.5</v>
      </c>
      <c r="AH138" s="154">
        <f t="shared" si="415"/>
        <v>26.5</v>
      </c>
      <c r="AI138" s="154">
        <f t="shared" si="415"/>
        <v>26.5</v>
      </c>
      <c r="AJ138" s="154">
        <f t="shared" si="415"/>
        <v>26.5</v>
      </c>
      <c r="AK138" s="154">
        <f t="shared" si="415"/>
        <v>26.5</v>
      </c>
      <c r="AL138" s="154">
        <f t="shared" si="415"/>
        <v>26.5</v>
      </c>
      <c r="AM138" s="154">
        <f t="shared" si="415"/>
        <v>26.5</v>
      </c>
      <c r="AN138" s="154">
        <f>ROUND(AN139*52.5%*2,0)/2</f>
        <v>26.5</v>
      </c>
      <c r="AO138" s="154">
        <f t="shared" si="415"/>
        <v>26.5</v>
      </c>
      <c r="AP138" s="154">
        <f t="shared" si="415"/>
        <v>26.5</v>
      </c>
      <c r="AQ138" s="154">
        <f t="shared" si="415"/>
        <v>26.5</v>
      </c>
      <c r="AR138" s="154">
        <f t="shared" si="415"/>
        <v>26.5</v>
      </c>
      <c r="AS138" s="154">
        <f t="shared" si="415"/>
        <v>26.5</v>
      </c>
      <c r="AT138" s="154">
        <f t="shared" si="415"/>
        <v>26.5</v>
      </c>
      <c r="AU138" s="154">
        <f t="shared" si="415"/>
        <v>26.5</v>
      </c>
      <c r="AV138" s="154">
        <f t="shared" si="415"/>
        <v>26.5</v>
      </c>
      <c r="AW138" s="154">
        <f t="shared" si="415"/>
        <v>26.5</v>
      </c>
      <c r="AX138" s="154">
        <f t="shared" si="415"/>
        <v>26.5</v>
      </c>
      <c r="AY138" s="154">
        <f t="shared" si="415"/>
        <v>26.5</v>
      </c>
      <c r="AZ138" s="154">
        <f t="shared" si="415"/>
        <v>26.5</v>
      </c>
      <c r="BA138" s="154">
        <f t="shared" si="415"/>
        <v>26.5</v>
      </c>
      <c r="BB138" s="154">
        <f t="shared" si="415"/>
        <v>26.5</v>
      </c>
      <c r="BC138" s="154">
        <f t="shared" si="415"/>
        <v>26.5</v>
      </c>
      <c r="BD138" s="154">
        <f t="shared" si="415"/>
        <v>26.5</v>
      </c>
      <c r="BE138" s="154">
        <f t="shared" si="415"/>
        <v>26.5</v>
      </c>
      <c r="BF138" s="154">
        <f t="shared" si="415"/>
        <v>26.5</v>
      </c>
      <c r="BG138" s="154">
        <f t="shared" si="415"/>
        <v>26.5</v>
      </c>
      <c r="BH138" s="154">
        <f t="shared" si="415"/>
        <v>26.5</v>
      </c>
      <c r="BI138" s="154">
        <f t="shared" si="415"/>
        <v>26.5</v>
      </c>
      <c r="BJ138" s="154">
        <f t="shared" si="415"/>
        <v>26.5</v>
      </c>
      <c r="BK138" s="154">
        <f t="shared" si="415"/>
        <v>26.5</v>
      </c>
      <c r="BL138" s="154">
        <f t="shared" si="415"/>
        <v>26.5</v>
      </c>
      <c r="BM138" s="154">
        <f t="shared" si="415"/>
        <v>26.5</v>
      </c>
      <c r="BN138" s="154">
        <f t="shared" si="415"/>
        <v>26.5</v>
      </c>
      <c r="BO138" s="154">
        <f t="shared" si="415"/>
        <v>26.5</v>
      </c>
      <c r="BP138" s="154">
        <f t="shared" si="415"/>
        <v>26.5</v>
      </c>
      <c r="BQ138" s="154">
        <f t="shared" si="415"/>
        <v>26.5</v>
      </c>
      <c r="BR138" s="154">
        <f t="shared" si="415"/>
        <v>26.5</v>
      </c>
      <c r="BS138" s="154">
        <f t="shared" si="415"/>
        <v>26.5</v>
      </c>
      <c r="BT138" s="154">
        <f t="shared" si="415"/>
        <v>26.5</v>
      </c>
      <c r="BU138" s="154">
        <f t="shared" si="415"/>
        <v>26.5</v>
      </c>
      <c r="BV138" s="154">
        <f t="shared" si="415"/>
        <v>26.5</v>
      </c>
      <c r="BW138" s="154">
        <f t="shared" si="415"/>
        <v>26.5</v>
      </c>
      <c r="BX138" s="154">
        <f t="shared" si="415"/>
        <v>26.5</v>
      </c>
      <c r="BY138" s="154">
        <f t="shared" si="415"/>
        <v>26.5</v>
      </c>
      <c r="BZ138" s="154">
        <f t="shared" si="415"/>
        <v>26.5</v>
      </c>
      <c r="CA138" s="154">
        <f t="shared" si="415"/>
        <v>26.5</v>
      </c>
      <c r="CB138" s="154">
        <f t="shared" si="415"/>
        <v>26.5</v>
      </c>
      <c r="CC138" s="154">
        <f t="shared" si="415"/>
        <v>26.5</v>
      </c>
      <c r="CD138" s="154">
        <f t="shared" si="415"/>
        <v>26.5</v>
      </c>
      <c r="CE138" s="154">
        <f t="shared" si="415"/>
        <v>26.5</v>
      </c>
      <c r="CF138" s="154">
        <f t="shared" si="415"/>
        <v>26.5</v>
      </c>
      <c r="CG138" s="154">
        <f t="shared" si="415"/>
        <v>26.5</v>
      </c>
      <c r="CH138" s="154">
        <f t="shared" si="415"/>
        <v>26.5</v>
      </c>
      <c r="CI138" s="154">
        <f t="shared" si="415"/>
        <v>26.5</v>
      </c>
      <c r="CJ138" s="154">
        <f t="shared" ref="CJ138:CP138" si="416">ROUND(CJ139*52.5%*2,0)/2</f>
        <v>26.5</v>
      </c>
      <c r="CK138" s="154">
        <f t="shared" si="416"/>
        <v>26.5</v>
      </c>
      <c r="CL138" s="154">
        <f t="shared" si="416"/>
        <v>26.5</v>
      </c>
      <c r="CM138" s="154">
        <f t="shared" si="416"/>
        <v>26.5</v>
      </c>
      <c r="CN138" s="154">
        <f t="shared" si="416"/>
        <v>26.5</v>
      </c>
      <c r="CO138" s="154">
        <f t="shared" si="416"/>
        <v>26.5</v>
      </c>
      <c r="CP138" s="154">
        <f t="shared" si="416"/>
        <v>26.5</v>
      </c>
      <c r="CQ138" s="362" t="s">
        <v>77</v>
      </c>
      <c r="CR138" s="418">
        <v>43.5</v>
      </c>
      <c r="CS138" s="418">
        <v>45</v>
      </c>
      <c r="CT138" s="418">
        <v>47</v>
      </c>
      <c r="DB138" s="8" t="s">
        <v>228</v>
      </c>
      <c r="DD138" s="454"/>
      <c r="DE138" s="454">
        <f>5.09+7.32+3.28+2.31</f>
        <v>18</v>
      </c>
      <c r="DF138" s="454"/>
      <c r="DG138" s="454">
        <f>16.02+2.32+0.16</f>
        <v>18.5</v>
      </c>
      <c r="DH138" s="454"/>
      <c r="DI138" s="61">
        <f>+T138</f>
        <v>18.75</v>
      </c>
      <c r="DJ138" s="61"/>
      <c r="DK138" s="61">
        <f>+U138</f>
        <v>20.5</v>
      </c>
      <c r="DL138" s="12"/>
      <c r="DM138" s="8">
        <f>V138</f>
        <v>22.5</v>
      </c>
      <c r="DN138" s="12"/>
      <c r="DO138" s="8">
        <f>W138</f>
        <v>23</v>
      </c>
      <c r="DP138" s="12"/>
      <c r="DQ138" s="8">
        <f>X138</f>
        <v>24</v>
      </c>
      <c r="DU138" s="413">
        <f>+(DD138/(DD138+DE138))</f>
        <v>0</v>
      </c>
      <c r="DV138" s="413">
        <f>+(DF138/(DF138+DG138))</f>
        <v>0</v>
      </c>
      <c r="DW138" s="413">
        <f>+(DH138/(DH138+DI138))</f>
        <v>0</v>
      </c>
      <c r="DX138" s="413">
        <f>+(DJ138/(DJ138+DK138))</f>
        <v>0</v>
      </c>
      <c r="DY138" s="413">
        <f>+(DL138/(DL138+DM138))</f>
        <v>0</v>
      </c>
      <c r="DZ138" s="413">
        <f>+(DN138/(DN138+DO138))</f>
        <v>0</v>
      </c>
    </row>
    <row r="139" spans="2:140" s="363" customFormat="1" ht="11.25" customHeight="1" outlineLevel="1" x14ac:dyDescent="0.2">
      <c r="B139" s="100" t="s">
        <v>229</v>
      </c>
      <c r="D139" s="47"/>
      <c r="E139" s="47"/>
      <c r="F139" s="47"/>
      <c r="G139" s="47"/>
      <c r="H139" s="47"/>
      <c r="I139" s="47"/>
      <c r="J139" s="47"/>
      <c r="K139" s="47">
        <f t="shared" ref="K139:T139" si="417">+K137+K138</f>
        <v>22.5</v>
      </c>
      <c r="L139" s="47">
        <f t="shared" si="417"/>
        <v>24</v>
      </c>
      <c r="M139" s="47">
        <f t="shared" si="417"/>
        <v>28</v>
      </c>
      <c r="N139" s="47">
        <f t="shared" si="417"/>
        <v>29.5</v>
      </c>
      <c r="O139" s="47">
        <f t="shared" si="417"/>
        <v>31</v>
      </c>
      <c r="P139" s="47">
        <f t="shared" si="417"/>
        <v>32.75</v>
      </c>
      <c r="Q139" s="47">
        <f t="shared" si="417"/>
        <v>34.4</v>
      </c>
      <c r="R139" s="47">
        <f t="shared" si="417"/>
        <v>35</v>
      </c>
      <c r="S139" s="47">
        <f t="shared" si="417"/>
        <v>35.5</v>
      </c>
      <c r="T139" s="47">
        <f t="shared" si="417"/>
        <v>36.25</v>
      </c>
      <c r="U139" s="145">
        <f>U137+U138</f>
        <v>38</v>
      </c>
      <c r="V139" s="145">
        <f>SUM(V137:V138)</f>
        <v>41.5</v>
      </c>
      <c r="W139" s="101">
        <v>43.5</v>
      </c>
      <c r="X139" s="101">
        <v>45</v>
      </c>
      <c r="Y139" s="101">
        <v>48</v>
      </c>
      <c r="Z139" s="101">
        <v>50</v>
      </c>
      <c r="AA139" s="101">
        <f t="shared" ref="AA139:BF139" si="418">MAX(ROUND((+AA214+Z215+Z216+Z217+Z218+AA220)/AA171*100*55%*2,0)/2,Z139)</f>
        <v>50</v>
      </c>
      <c r="AB139" s="101">
        <f t="shared" si="418"/>
        <v>50</v>
      </c>
      <c r="AC139" s="101">
        <f t="shared" si="418"/>
        <v>50</v>
      </c>
      <c r="AD139" s="101">
        <f t="shared" si="418"/>
        <v>50</v>
      </c>
      <c r="AE139" s="101">
        <f t="shared" si="418"/>
        <v>50</v>
      </c>
      <c r="AF139" s="101">
        <f t="shared" si="418"/>
        <v>50</v>
      </c>
      <c r="AG139" s="101">
        <f t="shared" si="418"/>
        <v>50</v>
      </c>
      <c r="AH139" s="101">
        <f t="shared" si="418"/>
        <v>50</v>
      </c>
      <c r="AI139" s="101">
        <f t="shared" si="418"/>
        <v>50</v>
      </c>
      <c r="AJ139" s="101">
        <f t="shared" si="418"/>
        <v>50</v>
      </c>
      <c r="AK139" s="101">
        <f t="shared" si="418"/>
        <v>50</v>
      </c>
      <c r="AL139" s="101">
        <f t="shared" si="418"/>
        <v>50</v>
      </c>
      <c r="AM139" s="101">
        <f t="shared" si="418"/>
        <v>50</v>
      </c>
      <c r="AN139" s="101">
        <f t="shared" si="418"/>
        <v>50</v>
      </c>
      <c r="AO139" s="101">
        <f t="shared" si="418"/>
        <v>50</v>
      </c>
      <c r="AP139" s="101">
        <f t="shared" si="418"/>
        <v>50</v>
      </c>
      <c r="AQ139" s="101">
        <f t="shared" si="418"/>
        <v>50</v>
      </c>
      <c r="AR139" s="101">
        <f t="shared" si="418"/>
        <v>50</v>
      </c>
      <c r="AS139" s="101">
        <f t="shared" si="418"/>
        <v>50</v>
      </c>
      <c r="AT139" s="101">
        <f t="shared" si="418"/>
        <v>50</v>
      </c>
      <c r="AU139" s="101">
        <f t="shared" si="418"/>
        <v>50</v>
      </c>
      <c r="AV139" s="101">
        <f t="shared" si="418"/>
        <v>50</v>
      </c>
      <c r="AW139" s="101">
        <f t="shared" si="418"/>
        <v>50</v>
      </c>
      <c r="AX139" s="101">
        <f t="shared" si="418"/>
        <v>50</v>
      </c>
      <c r="AY139" s="101">
        <f t="shared" si="418"/>
        <v>50</v>
      </c>
      <c r="AZ139" s="101">
        <f t="shared" si="418"/>
        <v>50</v>
      </c>
      <c r="BA139" s="101">
        <f t="shared" si="418"/>
        <v>50</v>
      </c>
      <c r="BB139" s="101">
        <f t="shared" si="418"/>
        <v>50</v>
      </c>
      <c r="BC139" s="101">
        <f t="shared" si="418"/>
        <v>50</v>
      </c>
      <c r="BD139" s="101">
        <f t="shared" si="418"/>
        <v>50</v>
      </c>
      <c r="BE139" s="101">
        <f t="shared" si="418"/>
        <v>50</v>
      </c>
      <c r="BF139" s="101">
        <f t="shared" si="418"/>
        <v>50</v>
      </c>
      <c r="BG139" s="101">
        <f t="shared" ref="BG139:CP139" si="419">MAX(ROUND((+BG214+BF215+BF216+BF217+BF218+BG220)/BG171*100*55%*2,0)/2,BF139)</f>
        <v>50</v>
      </c>
      <c r="BH139" s="101">
        <f t="shared" si="419"/>
        <v>50</v>
      </c>
      <c r="BI139" s="101">
        <f t="shared" si="419"/>
        <v>50</v>
      </c>
      <c r="BJ139" s="101">
        <f t="shared" si="419"/>
        <v>50</v>
      </c>
      <c r="BK139" s="101">
        <f t="shared" si="419"/>
        <v>50</v>
      </c>
      <c r="BL139" s="101">
        <f t="shared" si="419"/>
        <v>50</v>
      </c>
      <c r="BM139" s="101">
        <f t="shared" si="419"/>
        <v>50</v>
      </c>
      <c r="BN139" s="101">
        <f t="shared" si="419"/>
        <v>50</v>
      </c>
      <c r="BO139" s="101">
        <f t="shared" si="419"/>
        <v>50</v>
      </c>
      <c r="BP139" s="101">
        <f t="shared" si="419"/>
        <v>50</v>
      </c>
      <c r="BQ139" s="101">
        <f t="shared" si="419"/>
        <v>50</v>
      </c>
      <c r="BR139" s="101">
        <f t="shared" si="419"/>
        <v>50</v>
      </c>
      <c r="BS139" s="101">
        <f t="shared" si="419"/>
        <v>50</v>
      </c>
      <c r="BT139" s="101">
        <f t="shared" si="419"/>
        <v>50</v>
      </c>
      <c r="BU139" s="101">
        <f t="shared" si="419"/>
        <v>50</v>
      </c>
      <c r="BV139" s="101">
        <f t="shared" si="419"/>
        <v>50</v>
      </c>
      <c r="BW139" s="101">
        <f t="shared" si="419"/>
        <v>50</v>
      </c>
      <c r="BX139" s="101">
        <f t="shared" si="419"/>
        <v>50</v>
      </c>
      <c r="BY139" s="101">
        <f t="shared" si="419"/>
        <v>50</v>
      </c>
      <c r="BZ139" s="101">
        <f t="shared" si="419"/>
        <v>50</v>
      </c>
      <c r="CA139" s="101">
        <f t="shared" si="419"/>
        <v>50</v>
      </c>
      <c r="CB139" s="101">
        <f t="shared" si="419"/>
        <v>50</v>
      </c>
      <c r="CC139" s="101">
        <f t="shared" si="419"/>
        <v>50</v>
      </c>
      <c r="CD139" s="101">
        <f t="shared" si="419"/>
        <v>50</v>
      </c>
      <c r="CE139" s="101">
        <f t="shared" si="419"/>
        <v>50</v>
      </c>
      <c r="CF139" s="101">
        <f t="shared" si="419"/>
        <v>50</v>
      </c>
      <c r="CG139" s="101">
        <f t="shared" si="419"/>
        <v>50</v>
      </c>
      <c r="CH139" s="101">
        <f t="shared" si="419"/>
        <v>50</v>
      </c>
      <c r="CI139" s="101">
        <f t="shared" si="419"/>
        <v>50</v>
      </c>
      <c r="CJ139" s="101">
        <f t="shared" si="419"/>
        <v>50</v>
      </c>
      <c r="CK139" s="101">
        <f t="shared" si="419"/>
        <v>50</v>
      </c>
      <c r="CL139" s="101">
        <f t="shared" si="419"/>
        <v>50</v>
      </c>
      <c r="CM139" s="101">
        <f t="shared" si="419"/>
        <v>50</v>
      </c>
      <c r="CN139" s="101">
        <f t="shared" si="419"/>
        <v>50</v>
      </c>
      <c r="CO139" s="101">
        <f t="shared" si="419"/>
        <v>50</v>
      </c>
      <c r="CP139" s="101">
        <f t="shared" si="419"/>
        <v>50</v>
      </c>
      <c r="CQ139" s="362" t="s">
        <v>77</v>
      </c>
      <c r="CR139" s="41">
        <v>43.9</v>
      </c>
      <c r="CS139" s="41">
        <v>46.4</v>
      </c>
      <c r="CT139" s="41">
        <v>48.9</v>
      </c>
      <c r="CU139"/>
      <c r="CV139"/>
      <c r="CW139"/>
      <c r="CX139"/>
      <c r="CY139"/>
      <c r="CZ139"/>
      <c r="DB139" s="100" t="s">
        <v>229</v>
      </c>
      <c r="DD139" s="47">
        <f>SUM(DD137:DD138)</f>
        <v>16.999999999999996</v>
      </c>
      <c r="DE139" s="47">
        <f t="shared" ref="DE139:DQ139" si="420">SUM(DE137:DE138)</f>
        <v>18</v>
      </c>
      <c r="DF139" s="47">
        <f t="shared" si="420"/>
        <v>17</v>
      </c>
      <c r="DG139" s="47">
        <f t="shared" si="420"/>
        <v>18.5</v>
      </c>
      <c r="DH139" s="47">
        <f t="shared" si="420"/>
        <v>17.5</v>
      </c>
      <c r="DI139" s="47">
        <f t="shared" si="420"/>
        <v>18.75</v>
      </c>
      <c r="DJ139" s="47">
        <f t="shared" si="420"/>
        <v>17.5</v>
      </c>
      <c r="DK139" s="47">
        <f t="shared" si="420"/>
        <v>20.5</v>
      </c>
      <c r="DL139" s="47">
        <f t="shared" si="420"/>
        <v>19</v>
      </c>
      <c r="DM139" s="47">
        <f t="shared" si="420"/>
        <v>22.5</v>
      </c>
      <c r="DN139" s="47">
        <f t="shared" si="420"/>
        <v>20.5</v>
      </c>
      <c r="DO139" s="47">
        <f t="shared" si="420"/>
        <v>23</v>
      </c>
      <c r="DP139" s="47">
        <f t="shared" si="420"/>
        <v>21</v>
      </c>
      <c r="DQ139" s="47">
        <f t="shared" si="420"/>
        <v>24</v>
      </c>
      <c r="DR139" s="47"/>
      <c r="DS139" s="47"/>
      <c r="DU139" s="455">
        <f>+(DD139/(DD139+DE139))</f>
        <v>0.4857142857142856</v>
      </c>
      <c r="DV139" s="455">
        <f>+(DF139/(DF139+DG139))</f>
        <v>0.47887323943661969</v>
      </c>
      <c r="DW139" s="455">
        <f>+(DH139/(DH139+DI139))</f>
        <v>0.48275862068965519</v>
      </c>
      <c r="DX139" s="455">
        <f>+(DJ139/(DJ139+DK139))</f>
        <v>0.46052631578947367</v>
      </c>
      <c r="DY139" s="455">
        <f>+(DL139/(DL139+DM139))</f>
        <v>0.45783132530120479</v>
      </c>
      <c r="DZ139" s="455">
        <f>+(DN139/(DN139+DO139))</f>
        <v>0.47126436781609193</v>
      </c>
      <c r="EH139" s="411" t="b">
        <f>ROUND(U139,1)=ROUND(SUM(DJ139:DK139),1)</f>
        <v>1</v>
      </c>
      <c r="EI139" s="411" t="b">
        <f>ROUND(V139,1)=ROUND(SUM(DL139:DM139),1)</f>
        <v>1</v>
      </c>
      <c r="EJ139" s="411" t="b">
        <f>ROUND(W139,1)=ROUND(SUM(DN139:DO139),1)</f>
        <v>1</v>
      </c>
    </row>
    <row r="140" spans="2:140" s="98" customFormat="1" ht="11.25" customHeight="1" outlineLevel="1" x14ac:dyDescent="0.2">
      <c r="B140" s="412" t="s">
        <v>543</v>
      </c>
      <c r="D140" s="456"/>
      <c r="E140" s="456"/>
      <c r="F140" s="456"/>
      <c r="G140" s="456"/>
      <c r="H140" s="456"/>
      <c r="I140" s="456"/>
      <c r="J140" s="456"/>
      <c r="K140" s="456"/>
      <c r="L140" s="456"/>
      <c r="M140" s="456"/>
      <c r="N140" s="457">
        <f>M139*1.05</f>
        <v>29.400000000000002</v>
      </c>
      <c r="O140" s="457">
        <f>N139*1.05</f>
        <v>30.975000000000001</v>
      </c>
      <c r="P140" s="457">
        <f>O139*1.05</f>
        <v>32.550000000000004</v>
      </c>
      <c r="Q140" s="457">
        <f>P139*1.05</f>
        <v>34.387500000000003</v>
      </c>
      <c r="R140" s="457">
        <v>34.4</v>
      </c>
      <c r="S140" s="457">
        <v>35</v>
      </c>
      <c r="T140" s="457">
        <v>36</v>
      </c>
      <c r="U140" s="457">
        <v>36.25</v>
      </c>
      <c r="V140" s="457">
        <v>41.5</v>
      </c>
      <c r="W140" s="457">
        <v>43.5</v>
      </c>
      <c r="X140" s="457">
        <v>45</v>
      </c>
      <c r="Y140" s="456"/>
      <c r="Z140" s="456"/>
      <c r="AA140" s="456"/>
      <c r="AB140" s="456"/>
      <c r="AC140" s="456"/>
      <c r="AD140" s="456"/>
      <c r="AE140" s="456"/>
      <c r="AF140" s="456"/>
      <c r="AG140" s="456"/>
      <c r="AH140" s="456"/>
      <c r="AI140" s="456"/>
      <c r="AJ140" s="456"/>
      <c r="AK140" s="456"/>
      <c r="AL140" s="456"/>
      <c r="AM140" s="456"/>
      <c r="AN140" s="456"/>
      <c r="AO140" s="456"/>
      <c r="AP140" s="456"/>
      <c r="AQ140" s="456"/>
      <c r="AR140" s="456"/>
      <c r="AS140" s="456"/>
      <c r="AT140" s="456"/>
      <c r="AU140" s="456"/>
      <c r="AV140" s="456"/>
      <c r="AW140" s="456"/>
      <c r="AX140" s="456"/>
      <c r="AY140" s="456"/>
      <c r="AZ140" s="456"/>
      <c r="BA140" s="456"/>
      <c r="BB140" s="456"/>
      <c r="BC140" s="456"/>
      <c r="BD140" s="456"/>
      <c r="BE140" s="456"/>
      <c r="BF140" s="456"/>
      <c r="BG140" s="456"/>
      <c r="BH140" s="456"/>
      <c r="BI140" s="456"/>
      <c r="BJ140" s="456"/>
      <c r="BK140" s="456"/>
      <c r="BL140" s="456"/>
      <c r="BM140" s="456"/>
      <c r="BN140" s="456"/>
      <c r="BO140" s="456"/>
      <c r="BP140" s="456"/>
      <c r="BQ140" s="456"/>
      <c r="BR140" s="456"/>
      <c r="BS140" s="456"/>
      <c r="BT140" s="456"/>
      <c r="BU140" s="456"/>
      <c r="BV140" s="456"/>
      <c r="BW140" s="456"/>
      <c r="BX140" s="456"/>
      <c r="BY140" s="456"/>
      <c r="BZ140" s="456"/>
      <c r="CA140" s="456"/>
      <c r="CB140" s="456"/>
      <c r="CC140" s="456"/>
      <c r="CD140" s="456"/>
      <c r="CE140" s="456"/>
      <c r="CF140" s="456"/>
      <c r="CG140" s="456"/>
      <c r="CH140" s="456"/>
      <c r="CI140" s="456"/>
      <c r="CJ140" s="456"/>
      <c r="CK140" s="456"/>
      <c r="CL140" s="456"/>
      <c r="CM140" s="456"/>
      <c r="CN140" s="456"/>
      <c r="CO140" s="456"/>
      <c r="CP140" s="456"/>
      <c r="CQ140" s="362" t="s">
        <v>77</v>
      </c>
      <c r="CR140" s="418">
        <v>45</v>
      </c>
      <c r="CS140" s="418">
        <v>49</v>
      </c>
      <c r="CT140" s="418">
        <v>53</v>
      </c>
      <c r="CU140"/>
      <c r="CV140"/>
      <c r="CW140"/>
      <c r="CX140"/>
      <c r="CY140"/>
      <c r="CZ140"/>
      <c r="DD140" s="456"/>
      <c r="DE140" s="456"/>
      <c r="DF140" s="456"/>
      <c r="DG140" s="456"/>
      <c r="DH140" s="456"/>
      <c r="DI140" s="456"/>
      <c r="DJ140" s="456"/>
      <c r="DK140" s="456"/>
      <c r="DL140" s="456"/>
      <c r="DM140" s="456"/>
      <c r="DN140" s="456"/>
      <c r="DO140" s="456"/>
      <c r="DP140" s="456"/>
      <c r="DQ140" s="456"/>
      <c r="DR140" s="456"/>
      <c r="DS140" s="456"/>
      <c r="DU140" s="413"/>
      <c r="DV140" s="413"/>
      <c r="DW140" s="413"/>
      <c r="DX140" s="413"/>
      <c r="DY140" s="413"/>
      <c r="DZ140" s="413"/>
      <c r="EH140" s="458"/>
      <c r="EI140" s="458"/>
      <c r="EJ140" s="458"/>
    </row>
    <row r="141" spans="2:140" ht="11.25" customHeight="1" outlineLevel="1" x14ac:dyDescent="0.2">
      <c r="B141" s="8" t="s">
        <v>380</v>
      </c>
      <c r="D141" s="459"/>
      <c r="E141" s="459"/>
      <c r="F141" s="459"/>
      <c r="G141" s="459"/>
      <c r="H141" s="459"/>
      <c r="I141" s="459"/>
      <c r="J141" s="459"/>
      <c r="K141" s="366">
        <f>+K139/K133</f>
        <v>1.2221618685497013</v>
      </c>
      <c r="L141" s="366">
        <f t="shared" ref="L141:BD141" si="421">+L139/L133</f>
        <v>1.0008340283569641</v>
      </c>
      <c r="M141" s="366">
        <f t="shared" si="421"/>
        <v>1.6470588235294117</v>
      </c>
      <c r="N141" s="366">
        <f t="shared" si="421"/>
        <v>1.5300829875518671</v>
      </c>
      <c r="O141" s="366">
        <f t="shared" si="421"/>
        <v>1.4358499305233905</v>
      </c>
      <c r="P141" s="366">
        <f t="shared" si="421"/>
        <v>1.4536173990235242</v>
      </c>
      <c r="Q141" s="366">
        <f t="shared" si="421"/>
        <v>1.5114235500878732</v>
      </c>
      <c r="R141" s="366">
        <f t="shared" si="421"/>
        <v>1.4332514332514332</v>
      </c>
      <c r="S141" s="366">
        <f t="shared" si="421"/>
        <v>1.6129032258064515</v>
      </c>
      <c r="T141" s="59">
        <f>+T139/T133</f>
        <v>2.0262716601453326</v>
      </c>
      <c r="U141" s="59">
        <f>+U139/U133</f>
        <v>1.8173122907699666</v>
      </c>
      <c r="V141" s="59">
        <f t="shared" si="421"/>
        <v>2.579241765071473</v>
      </c>
      <c r="W141" s="59">
        <f>+W139/W133</f>
        <v>2.0460959548447786</v>
      </c>
      <c r="X141" s="59">
        <f t="shared" si="421"/>
        <v>1.8277822908204711</v>
      </c>
      <c r="Y141" s="59">
        <f t="shared" si="421"/>
        <v>1.8133736305251229</v>
      </c>
      <c r="Z141" s="59">
        <f t="shared" si="421"/>
        <v>1.6756032171581769</v>
      </c>
      <c r="AA141" s="59">
        <f t="shared" si="421"/>
        <v>1.6897600540723217</v>
      </c>
      <c r="AB141" s="59">
        <f>+AB139/AB133</f>
        <v>1.7494751574527643</v>
      </c>
      <c r="AC141" s="59">
        <f t="shared" si="421"/>
        <v>1.5748031496062993</v>
      </c>
      <c r="AD141" s="59">
        <f t="shared" si="421"/>
        <v>1.4269406392694064</v>
      </c>
      <c r="AE141" s="59">
        <f t="shared" si="421"/>
        <v>1.3262599469496019</v>
      </c>
      <c r="AF141" s="59">
        <f t="shared" si="421"/>
        <v>1.2784454103809768</v>
      </c>
      <c r="AG141" s="59">
        <f t="shared" si="421"/>
        <v>1.255650426921145</v>
      </c>
      <c r="AH141" s="59">
        <f t="shared" si="421"/>
        <v>1.1837121212121211</v>
      </c>
      <c r="AI141" s="59">
        <f t="shared" si="421"/>
        <v>1.3583265417006247</v>
      </c>
      <c r="AJ141" s="59">
        <f t="shared" si="421"/>
        <v>1.4943215780035863</v>
      </c>
      <c r="AK141" s="59">
        <f t="shared" si="421"/>
        <v>1.5006002400960383</v>
      </c>
      <c r="AL141" s="59">
        <f t="shared" si="421"/>
        <v>1.3997760358342666</v>
      </c>
      <c r="AM141" s="59">
        <f t="shared" si="421"/>
        <v>1.3144058885383807</v>
      </c>
      <c r="AN141" s="59">
        <f t="shared" si="421"/>
        <v>1.2603982858583311</v>
      </c>
      <c r="AO141" s="59">
        <f t="shared" si="421"/>
        <v>1.2651821862348178</v>
      </c>
      <c r="AP141" s="59">
        <f t="shared" si="421"/>
        <v>5.1072522982635347</v>
      </c>
      <c r="AQ141" s="59">
        <f t="shared" si="421"/>
        <v>4.2444821731748732</v>
      </c>
      <c r="AR141" s="59">
        <f t="shared" si="421"/>
        <v>6.9735006973500697</v>
      </c>
      <c r="AS141" s="59">
        <f t="shared" si="421"/>
        <v>56.81818181818182</v>
      </c>
      <c r="AT141" s="59">
        <f t="shared" si="421"/>
        <v>113.63636363636364</v>
      </c>
      <c r="AU141" s="59">
        <f t="shared" si="421"/>
        <v>25.510204081632654</v>
      </c>
      <c r="AV141" s="59">
        <f t="shared" si="421"/>
        <v>18.181818181818183</v>
      </c>
      <c r="AW141" s="59">
        <f t="shared" si="421"/>
        <v>45.454545454545453</v>
      </c>
      <c r="AX141" s="59">
        <f t="shared" si="421"/>
        <v>24.752475247524753</v>
      </c>
      <c r="AY141" s="59">
        <f t="shared" si="421"/>
        <v>16.891891891891891</v>
      </c>
      <c r="AZ141" s="59">
        <f t="shared" si="421"/>
        <v>12.787723785166239</v>
      </c>
      <c r="BA141" s="59">
        <f t="shared" si="421"/>
        <v>-9.2421441774491679</v>
      </c>
      <c r="BB141" s="59">
        <f t="shared" si="421"/>
        <v>-10.438413361169102</v>
      </c>
      <c r="BC141" s="59">
        <f t="shared" si="421"/>
        <v>-12.019230769230768</v>
      </c>
      <c r="BD141" s="59">
        <f t="shared" si="421"/>
        <v>-14.285714285714286</v>
      </c>
      <c r="BE141" s="59">
        <f t="shared" ref="BE141:CP141" si="422">+BE139/BE133</f>
        <v>-17.730496453900709</v>
      </c>
      <c r="BF141" s="59">
        <f t="shared" si="422"/>
        <v>-23.474178403755868</v>
      </c>
      <c r="BG141" s="59">
        <f t="shared" si="422"/>
        <v>-35.460992907801419</v>
      </c>
      <c r="BH141" s="59">
        <f t="shared" si="422"/>
        <v>-75.757575757575751</v>
      </c>
      <c r="BI141" s="59">
        <f t="shared" si="422"/>
        <v>454.54545454545456</v>
      </c>
      <c r="BJ141" s="59">
        <f t="shared" si="422"/>
        <v>55.555555555555557</v>
      </c>
      <c r="BK141" s="59">
        <f t="shared" si="422"/>
        <v>28.901734104046245</v>
      </c>
      <c r="BL141" s="59">
        <f t="shared" si="422"/>
        <v>19.379844961240309</v>
      </c>
      <c r="BM141" s="59">
        <f t="shared" si="422"/>
        <v>14.450867052023122</v>
      </c>
      <c r="BN141" s="59">
        <f t="shared" si="422"/>
        <v>11.415525114155251</v>
      </c>
      <c r="BO141" s="59">
        <f t="shared" si="422"/>
        <v>9.3808630393996246</v>
      </c>
      <c r="BP141" s="59">
        <f t="shared" si="422"/>
        <v>7.9113924050632907</v>
      </c>
      <c r="BQ141" s="59">
        <f t="shared" si="422"/>
        <v>6.8119891008174385</v>
      </c>
      <c r="BR141" s="59">
        <f t="shared" si="422"/>
        <v>5.9737156511350067</v>
      </c>
      <c r="BS141" s="59">
        <f t="shared" si="422"/>
        <v>7.0921985815602842</v>
      </c>
      <c r="BT141" s="59">
        <f t="shared" si="422"/>
        <v>8.3892617449664435</v>
      </c>
      <c r="BU141" s="59">
        <f t="shared" si="422"/>
        <v>7.1942446043165464</v>
      </c>
      <c r="BV141" s="59">
        <f t="shared" si="422"/>
        <v>6.2735257214554583</v>
      </c>
      <c r="BW141" s="59">
        <f t="shared" si="422"/>
        <v>5.5370985603543748</v>
      </c>
      <c r="BX141" s="59">
        <f t="shared" si="422"/>
        <v>4.9358341559723593</v>
      </c>
      <c r="BY141" s="59">
        <f t="shared" si="422"/>
        <v>4.4404973357015987</v>
      </c>
      <c r="BZ141" s="59">
        <f t="shared" si="422"/>
        <v>4.019292604501608</v>
      </c>
      <c r="CA141" s="59">
        <f t="shared" si="422"/>
        <v>3.6603221083455342</v>
      </c>
      <c r="CB141" s="59">
        <f t="shared" si="422"/>
        <v>3.3489618218352311</v>
      </c>
      <c r="CC141" s="59">
        <f t="shared" si="422"/>
        <v>3.132832080200501</v>
      </c>
      <c r="CD141" s="59">
        <f t="shared" si="422"/>
        <v>3.5765379113018598</v>
      </c>
      <c r="CE141" s="59">
        <f t="shared" si="422"/>
        <v>3.2765399737876804</v>
      </c>
      <c r="CF141" s="59">
        <f t="shared" si="422"/>
        <v>3.0156815440289511</v>
      </c>
      <c r="CG141" s="59">
        <f t="shared" si="422"/>
        <v>2.785515320334262</v>
      </c>
      <c r="CH141" s="59">
        <f t="shared" si="422"/>
        <v>-4.3516100957354222</v>
      </c>
      <c r="CI141" s="59">
        <f t="shared" si="422"/>
        <v>-4.4883303411131061</v>
      </c>
      <c r="CJ141" s="59">
        <f t="shared" si="422"/>
        <v>-4.6468401486988853</v>
      </c>
      <c r="CK141" s="59">
        <f t="shared" si="422"/>
        <v>-4.8309178743961354</v>
      </c>
      <c r="CL141" s="59">
        <f t="shared" si="422"/>
        <v>-5.0505050505050502</v>
      </c>
      <c r="CM141" s="59">
        <f t="shared" si="422"/>
        <v>-5.3022269353128317</v>
      </c>
      <c r="CN141" s="59">
        <f t="shared" si="422"/>
        <v>-5.6053811659192823</v>
      </c>
      <c r="CO141" s="59">
        <f t="shared" si="422"/>
        <v>-5.9665871121718368</v>
      </c>
      <c r="CP141" s="59">
        <f t="shared" si="422"/>
        <v>-5.192107995846313</v>
      </c>
      <c r="CQ141" s="362" t="s">
        <v>77</v>
      </c>
      <c r="CR141" s="422">
        <f>+W139/CR139-1</f>
        <v>-9.1116173120728838E-3</v>
      </c>
      <c r="CS141" s="423">
        <f>+X139/CS139-1</f>
        <v>-3.0172413793103425E-2</v>
      </c>
      <c r="CT141" s="424">
        <f>+Y139/CT139-1</f>
        <v>-1.8404907975460127E-2</v>
      </c>
      <c r="DB141" s="8" t="s">
        <v>380</v>
      </c>
      <c r="DD141" s="460">
        <f>SUM(DD137:DD138)/DD134</f>
        <v>1.9036954087346021</v>
      </c>
      <c r="DE141" s="460">
        <f t="shared" ref="DE141:DQ141" si="423">SUM(DE137:DE138)/DE134</f>
        <v>1.1620400258231116</v>
      </c>
      <c r="DF141" s="460">
        <f t="shared" si="423"/>
        <v>1.1946591707659873</v>
      </c>
      <c r="DG141" s="460">
        <f t="shared" si="423"/>
        <v>2.3748395378690628</v>
      </c>
      <c r="DH141" s="460">
        <f t="shared" si="423"/>
        <v>1.2110726643598617</v>
      </c>
      <c r="DI141" s="460">
        <f t="shared" si="423"/>
        <v>1.9862288135593222</v>
      </c>
      <c r="DJ141" s="460">
        <f t="shared" si="423"/>
        <v>9.4594594594594597</v>
      </c>
      <c r="DK141" s="460">
        <f t="shared" si="423"/>
        <v>1.0749868904037756</v>
      </c>
      <c r="DL141" s="460">
        <f>SUM(DL137:DL138)/DL134</f>
        <v>2.1493212669683257</v>
      </c>
      <c r="DM141" s="460">
        <f t="shared" si="423"/>
        <v>3.103448275862069</v>
      </c>
      <c r="DN141" s="460">
        <f t="shared" si="423"/>
        <v>1.6334661354581672</v>
      </c>
      <c r="DO141" s="460">
        <f t="shared" si="423"/>
        <v>2.7186761229314418</v>
      </c>
      <c r="DP141" s="460">
        <f t="shared" si="423"/>
        <v>1.9426456984273819</v>
      </c>
      <c r="DQ141" s="460">
        <f t="shared" si="423"/>
        <v>1.9672131147540985</v>
      </c>
      <c r="DR141" s="460"/>
      <c r="DS141" s="460"/>
      <c r="DU141" s="413">
        <f>+(DD141/(DD141+DE141))</f>
        <v>0.62095880397104253</v>
      </c>
      <c r="DV141" s="413">
        <f>+(DF141/(DF141+DG141))</f>
        <v>0.3346854189569986</v>
      </c>
      <c r="DW141" s="413">
        <f>+(DH141/(DH141+DI141))</f>
        <v>0.37877962798429399</v>
      </c>
      <c r="DX141" s="413">
        <f>+(DJ141/(DJ141+DK141))</f>
        <v>0.89795506524956281</v>
      </c>
      <c r="DY141" s="413">
        <f>+(DL141/(DL141+DM141))</f>
        <v>0.40917867221149562</v>
      </c>
      <c r="DZ141" s="413">
        <f>+(DN141/(DN141+DO141))</f>
        <v>0.3753246191135734</v>
      </c>
    </row>
    <row r="142" spans="2:140" ht="11.25" customHeight="1" outlineLevel="1" x14ac:dyDescent="0.2">
      <c r="B142" s="8" t="s">
        <v>116</v>
      </c>
      <c r="D142" s="459"/>
      <c r="E142" s="459"/>
      <c r="F142" s="459"/>
      <c r="G142" s="459"/>
      <c r="H142" s="459"/>
      <c r="I142" s="459"/>
      <c r="J142" s="459"/>
      <c r="K142" s="461">
        <v>0.3</v>
      </c>
      <c r="L142" s="461">
        <v>0.3</v>
      </c>
      <c r="M142" s="461">
        <v>0.3</v>
      </c>
      <c r="N142" s="461">
        <v>0.3</v>
      </c>
      <c r="O142" s="461">
        <v>0.3</v>
      </c>
      <c r="P142" s="461">
        <v>0.3</v>
      </c>
      <c r="Q142" s="461">
        <v>0.3</v>
      </c>
      <c r="R142" s="461">
        <v>0.3</v>
      </c>
      <c r="S142" s="461">
        <v>0.3</v>
      </c>
      <c r="T142" s="462">
        <v>0.3</v>
      </c>
      <c r="U142" s="462">
        <v>0.3</v>
      </c>
      <c r="V142" s="462">
        <v>0.3</v>
      </c>
      <c r="W142" s="462">
        <v>0.3</v>
      </c>
      <c r="X142" s="155">
        <v>0.3</v>
      </c>
      <c r="Y142" s="155">
        <v>0.3</v>
      </c>
      <c r="Z142" s="155">
        <v>0.3</v>
      </c>
      <c r="AA142" s="155">
        <v>0.3</v>
      </c>
      <c r="AB142" s="155">
        <v>0.3</v>
      </c>
      <c r="AC142" s="155">
        <v>0.3</v>
      </c>
      <c r="AD142" s="155">
        <v>0.3</v>
      </c>
      <c r="AE142" s="155">
        <v>0.3</v>
      </c>
      <c r="AF142" s="155">
        <v>0.3</v>
      </c>
      <c r="AG142" s="155">
        <v>0.3</v>
      </c>
      <c r="AH142" s="155">
        <v>0.3</v>
      </c>
      <c r="AI142" s="155">
        <v>0.3</v>
      </c>
      <c r="AJ142" s="155">
        <v>0.3</v>
      </c>
      <c r="AK142" s="155">
        <v>0.3</v>
      </c>
      <c r="AL142" s="155">
        <v>0.3</v>
      </c>
      <c r="AM142" s="155">
        <v>0.3</v>
      </c>
      <c r="AN142" s="155">
        <v>0.3</v>
      </c>
      <c r="AO142" s="155">
        <v>0.3</v>
      </c>
      <c r="AP142" s="155">
        <v>0.3</v>
      </c>
      <c r="AQ142" s="155">
        <v>0.3</v>
      </c>
      <c r="AR142" s="155">
        <v>0.3</v>
      </c>
      <c r="AS142" s="155">
        <v>0.3</v>
      </c>
      <c r="AT142" s="155">
        <v>0.3</v>
      </c>
      <c r="AU142" s="155">
        <v>0.3</v>
      </c>
      <c r="AV142" s="155">
        <v>0.3</v>
      </c>
      <c r="AW142" s="155">
        <v>0.3</v>
      </c>
      <c r="AX142" s="155">
        <v>0.3</v>
      </c>
      <c r="AY142" s="155">
        <v>0.3</v>
      </c>
      <c r="AZ142" s="155">
        <v>0.3</v>
      </c>
      <c r="BA142" s="155">
        <v>0.3</v>
      </c>
      <c r="BB142" s="155">
        <v>0.3</v>
      </c>
      <c r="BC142" s="155">
        <v>0.3</v>
      </c>
      <c r="BD142" s="155">
        <v>0.3</v>
      </c>
      <c r="BE142" s="155">
        <v>0.3</v>
      </c>
      <c r="BF142" s="155">
        <v>0.3</v>
      </c>
      <c r="BG142" s="155">
        <v>0.3</v>
      </c>
      <c r="BH142" s="155">
        <v>0.3</v>
      </c>
      <c r="BI142" s="155">
        <v>0.3</v>
      </c>
      <c r="BJ142" s="155">
        <v>0.3</v>
      </c>
      <c r="BK142" s="155">
        <v>0.3</v>
      </c>
      <c r="BL142" s="155">
        <v>0.3</v>
      </c>
      <c r="BM142" s="155">
        <v>0.3</v>
      </c>
      <c r="BN142" s="155">
        <v>0.3</v>
      </c>
      <c r="BO142" s="155">
        <v>0.3</v>
      </c>
      <c r="BP142" s="155">
        <v>0.3</v>
      </c>
      <c r="BQ142" s="155">
        <v>0.3</v>
      </c>
      <c r="BR142" s="155">
        <v>0.3</v>
      </c>
      <c r="BS142" s="155">
        <v>0.3</v>
      </c>
      <c r="BT142" s="155">
        <v>0.3</v>
      </c>
      <c r="BU142" s="155">
        <v>0.3</v>
      </c>
      <c r="BV142" s="155">
        <v>0.3</v>
      </c>
      <c r="BW142" s="155">
        <v>0.3</v>
      </c>
      <c r="BX142" s="155">
        <v>0.3</v>
      </c>
      <c r="BY142" s="155">
        <v>0.3</v>
      </c>
      <c r="BZ142" s="155">
        <v>0.3</v>
      </c>
      <c r="CA142" s="155">
        <v>0.3</v>
      </c>
      <c r="CB142" s="155">
        <v>0.3</v>
      </c>
      <c r="CC142" s="155">
        <v>0.3</v>
      </c>
      <c r="CD142" s="155">
        <v>0.3</v>
      </c>
      <c r="CE142" s="155">
        <v>0.3</v>
      </c>
      <c r="CF142" s="155">
        <v>0.3</v>
      </c>
      <c r="CG142" s="155">
        <v>0.3</v>
      </c>
      <c r="CH142" s="155">
        <v>0.3</v>
      </c>
      <c r="CI142" s="155">
        <v>0.3</v>
      </c>
      <c r="CJ142" s="155">
        <v>0.3</v>
      </c>
      <c r="CK142" s="155">
        <v>0.3</v>
      </c>
      <c r="CL142" s="155">
        <v>0.3</v>
      </c>
      <c r="CM142" s="155">
        <v>0.3</v>
      </c>
      <c r="CN142" s="155">
        <v>0.3</v>
      </c>
      <c r="CO142" s="155">
        <v>0.3</v>
      </c>
      <c r="CP142" s="155">
        <v>0.3</v>
      </c>
      <c r="CQ142" s="362" t="s">
        <v>77</v>
      </c>
      <c r="DB142" s="8" t="s">
        <v>116</v>
      </c>
      <c r="DD142" s="99">
        <v>0.3</v>
      </c>
      <c r="DE142" s="99">
        <v>0.3</v>
      </c>
      <c r="DF142" s="99">
        <v>0.3</v>
      </c>
      <c r="DG142" s="99">
        <v>0.3</v>
      </c>
      <c r="DH142" s="99">
        <v>0.3</v>
      </c>
      <c r="DI142" s="99">
        <v>0.3</v>
      </c>
      <c r="DJ142" s="99">
        <v>0.3</v>
      </c>
      <c r="DK142" s="99">
        <v>0.3</v>
      </c>
      <c r="DL142" s="99">
        <v>0.3</v>
      </c>
      <c r="DM142" s="99">
        <v>0.3</v>
      </c>
      <c r="DN142" s="99">
        <v>0.3</v>
      </c>
      <c r="DO142" s="99">
        <v>0.3</v>
      </c>
      <c r="DP142" s="99">
        <v>0.3</v>
      </c>
      <c r="DQ142" s="99">
        <v>0.3</v>
      </c>
      <c r="DR142" s="99"/>
      <c r="DS142" s="99"/>
      <c r="DU142" s="413">
        <f>+(DD142/(DD142+DE142))</f>
        <v>0.5</v>
      </c>
      <c r="DV142" s="413">
        <f>+(DF142/(DF142+DG142))</f>
        <v>0.5</v>
      </c>
      <c r="DW142" s="413">
        <f>+(DH142/(DH142+DI142))</f>
        <v>0.5</v>
      </c>
      <c r="DX142" s="413">
        <f>+(DJ142/(DJ142+DK142))</f>
        <v>0.5</v>
      </c>
      <c r="DY142" s="413">
        <f>+(DL142/(DL142+DM142))</f>
        <v>0.5</v>
      </c>
      <c r="DZ142" s="413">
        <f>+(DN142/(DN142+DO142))</f>
        <v>0.5</v>
      </c>
    </row>
    <row r="143" spans="2:140" ht="11.25" customHeight="1" outlineLevel="1" x14ac:dyDescent="0.2">
      <c r="B143" s="234" t="s">
        <v>548</v>
      </c>
      <c r="D143" s="459"/>
      <c r="E143" s="459"/>
      <c r="F143" s="459"/>
      <c r="G143" s="459"/>
      <c r="H143" s="459"/>
      <c r="I143" s="459"/>
      <c r="J143" s="459"/>
      <c r="K143" s="461"/>
      <c r="L143" s="461"/>
      <c r="M143" s="461"/>
      <c r="N143" s="461"/>
      <c r="O143" s="461"/>
      <c r="P143" s="461"/>
      <c r="Q143" s="461"/>
      <c r="R143" s="461"/>
      <c r="S143" s="461" t="s">
        <v>78</v>
      </c>
      <c r="T143" s="461" t="s">
        <v>78</v>
      </c>
      <c r="U143" s="461" t="s">
        <v>78</v>
      </c>
      <c r="V143" s="462">
        <v>0</v>
      </c>
      <c r="W143" s="462">
        <f>4/43.5/(3/7)</f>
        <v>0.21455938697318008</v>
      </c>
      <c r="X143" s="268">
        <f t="shared" ref="X143:BC143" si="424">X206/X142</f>
        <v>0.42358732816638212</v>
      </c>
      <c r="Y143" s="268">
        <f t="shared" si="424"/>
        <v>0.2763953129483554</v>
      </c>
      <c r="Z143" s="268">
        <f t="shared" si="424"/>
        <v>0.29820095706280292</v>
      </c>
      <c r="AA143" s="268">
        <f t="shared" si="424"/>
        <v>0.33415268457000336</v>
      </c>
      <c r="AB143" s="268">
        <f t="shared" si="424"/>
        <v>0.34603250767109334</v>
      </c>
      <c r="AC143" s="268">
        <f t="shared" si="424"/>
        <v>0.7</v>
      </c>
      <c r="AD143" s="268">
        <f t="shared" si="424"/>
        <v>0.7</v>
      </c>
      <c r="AE143" s="268">
        <f t="shared" si="424"/>
        <v>0.7</v>
      </c>
      <c r="AF143" s="268">
        <f t="shared" si="424"/>
        <v>0.7</v>
      </c>
      <c r="AG143" s="268">
        <f t="shared" si="424"/>
        <v>0.7</v>
      </c>
      <c r="AH143" s="268">
        <f t="shared" si="424"/>
        <v>0.7</v>
      </c>
      <c r="AI143" s="268">
        <f t="shared" si="424"/>
        <v>0.7</v>
      </c>
      <c r="AJ143" s="268">
        <f t="shared" si="424"/>
        <v>0.7</v>
      </c>
      <c r="AK143" s="268">
        <f t="shared" si="424"/>
        <v>0.7</v>
      </c>
      <c r="AL143" s="268">
        <f t="shared" si="424"/>
        <v>0.7</v>
      </c>
      <c r="AM143" s="268">
        <f t="shared" si="424"/>
        <v>0.7</v>
      </c>
      <c r="AN143" s="268">
        <f t="shared" si="424"/>
        <v>0.7</v>
      </c>
      <c r="AO143" s="268">
        <f t="shared" si="424"/>
        <v>0.7</v>
      </c>
      <c r="AP143" s="268">
        <f t="shared" si="424"/>
        <v>0.7</v>
      </c>
      <c r="AQ143" s="268">
        <f t="shared" si="424"/>
        <v>0.7</v>
      </c>
      <c r="AR143" s="268">
        <f t="shared" si="424"/>
        <v>0.7</v>
      </c>
      <c r="AS143" s="268">
        <f t="shared" si="424"/>
        <v>0.7</v>
      </c>
      <c r="AT143" s="268">
        <f t="shared" si="424"/>
        <v>0.7</v>
      </c>
      <c r="AU143" s="268">
        <f t="shared" si="424"/>
        <v>0.7</v>
      </c>
      <c r="AV143" s="268">
        <f t="shared" si="424"/>
        <v>0.7</v>
      </c>
      <c r="AW143" s="268">
        <f t="shared" si="424"/>
        <v>0.7</v>
      </c>
      <c r="AX143" s="268">
        <f t="shared" si="424"/>
        <v>0.7</v>
      </c>
      <c r="AY143" s="268">
        <f t="shared" si="424"/>
        <v>0.7</v>
      </c>
      <c r="AZ143" s="268">
        <f t="shared" si="424"/>
        <v>0.7</v>
      </c>
      <c r="BA143" s="268">
        <f t="shared" si="424"/>
        <v>0</v>
      </c>
      <c r="BB143" s="268">
        <f t="shared" si="424"/>
        <v>0</v>
      </c>
      <c r="BC143" s="268">
        <f t="shared" si="424"/>
        <v>0</v>
      </c>
      <c r="BD143" s="268">
        <f t="shared" ref="BD143:CI143" si="425">BD206/BD142</f>
        <v>0</v>
      </c>
      <c r="BE143" s="268">
        <f t="shared" si="425"/>
        <v>0</v>
      </c>
      <c r="BF143" s="268">
        <f t="shared" si="425"/>
        <v>0</v>
      </c>
      <c r="BG143" s="268">
        <f t="shared" si="425"/>
        <v>0</v>
      </c>
      <c r="BH143" s="268">
        <f t="shared" si="425"/>
        <v>0</v>
      </c>
      <c r="BI143" s="268">
        <f t="shared" si="425"/>
        <v>0</v>
      </c>
      <c r="BJ143" s="268">
        <f t="shared" si="425"/>
        <v>0</v>
      </c>
      <c r="BK143" s="268">
        <f t="shared" si="425"/>
        <v>0</v>
      </c>
      <c r="BL143" s="268">
        <f t="shared" si="425"/>
        <v>0</v>
      </c>
      <c r="BM143" s="268">
        <f t="shared" si="425"/>
        <v>0</v>
      </c>
      <c r="BN143" s="268">
        <f t="shared" si="425"/>
        <v>0</v>
      </c>
      <c r="BO143" s="268">
        <f t="shared" si="425"/>
        <v>0</v>
      </c>
      <c r="BP143" s="268">
        <f t="shared" si="425"/>
        <v>0</v>
      </c>
      <c r="BQ143" s="268">
        <f t="shared" si="425"/>
        <v>0.7</v>
      </c>
      <c r="BR143" s="268">
        <f t="shared" si="425"/>
        <v>0.7</v>
      </c>
      <c r="BS143" s="268">
        <f t="shared" si="425"/>
        <v>0.7</v>
      </c>
      <c r="BT143" s="268">
        <f t="shared" si="425"/>
        <v>0.70000000000000007</v>
      </c>
      <c r="BU143" s="268">
        <f t="shared" si="425"/>
        <v>0.70000000000000007</v>
      </c>
      <c r="BV143" s="268">
        <f t="shared" si="425"/>
        <v>0.7</v>
      </c>
      <c r="BW143" s="268">
        <f t="shared" si="425"/>
        <v>0.7</v>
      </c>
      <c r="BX143" s="268">
        <f t="shared" si="425"/>
        <v>0.7</v>
      </c>
      <c r="BY143" s="268">
        <f t="shared" si="425"/>
        <v>0.7</v>
      </c>
      <c r="BZ143" s="268">
        <f t="shared" si="425"/>
        <v>0.7</v>
      </c>
      <c r="CA143" s="268">
        <f t="shared" si="425"/>
        <v>0.7</v>
      </c>
      <c r="CB143" s="268">
        <f t="shared" si="425"/>
        <v>0.7</v>
      </c>
      <c r="CC143" s="268">
        <f t="shared" si="425"/>
        <v>0.7</v>
      </c>
      <c r="CD143" s="268">
        <f t="shared" si="425"/>
        <v>0.7</v>
      </c>
      <c r="CE143" s="268">
        <f t="shared" si="425"/>
        <v>0.7</v>
      </c>
      <c r="CF143" s="268">
        <f t="shared" si="425"/>
        <v>0.7</v>
      </c>
      <c r="CG143" s="268">
        <f t="shared" si="425"/>
        <v>0.7</v>
      </c>
      <c r="CH143" s="268">
        <f t="shared" si="425"/>
        <v>0</v>
      </c>
      <c r="CI143" s="268">
        <f t="shared" si="425"/>
        <v>0</v>
      </c>
      <c r="CJ143" s="268">
        <f t="shared" ref="CJ143:CP143" si="426">CJ206/CJ142</f>
        <v>0</v>
      </c>
      <c r="CK143" s="268">
        <f t="shared" si="426"/>
        <v>0</v>
      </c>
      <c r="CL143" s="268">
        <f t="shared" si="426"/>
        <v>0</v>
      </c>
      <c r="CM143" s="268">
        <f t="shared" si="426"/>
        <v>0</v>
      </c>
      <c r="CN143" s="268">
        <f t="shared" si="426"/>
        <v>0</v>
      </c>
      <c r="CO143" s="268">
        <f t="shared" si="426"/>
        <v>0</v>
      </c>
      <c r="CP143" s="268">
        <f t="shared" si="426"/>
        <v>0</v>
      </c>
      <c r="CQ143" s="362" t="s">
        <v>77</v>
      </c>
      <c r="CR143" s="449"/>
      <c r="CS143" s="449"/>
      <c r="CT143" s="449"/>
      <c r="DD143" s="99"/>
      <c r="DE143" s="99"/>
      <c r="DF143" s="99"/>
      <c r="DG143" s="99"/>
      <c r="DH143" s="99"/>
      <c r="DI143" s="99"/>
      <c r="DJ143" s="99"/>
      <c r="DK143" s="99"/>
      <c r="DL143" s="99"/>
      <c r="DM143" s="99"/>
      <c r="DN143" s="99"/>
      <c r="DO143" s="99"/>
      <c r="DP143" s="99"/>
      <c r="DQ143" s="99"/>
      <c r="DR143" s="99"/>
      <c r="DS143" s="99"/>
      <c r="DU143" s="413"/>
      <c r="DV143" s="413"/>
      <c r="DW143" s="413"/>
      <c r="DX143" s="413"/>
      <c r="DY143" s="413"/>
      <c r="DZ143" s="413"/>
    </row>
    <row r="144" spans="2:140" ht="11.25" customHeight="1" x14ac:dyDescent="0.2">
      <c r="D144" s="459"/>
      <c r="E144" s="459"/>
      <c r="F144" s="459"/>
      <c r="G144" s="459"/>
      <c r="H144" s="459"/>
      <c r="I144" s="459"/>
      <c r="J144" s="459"/>
      <c r="K144" s="366"/>
      <c r="L144" s="366"/>
      <c r="M144" s="366"/>
      <c r="N144" s="366"/>
      <c r="O144" s="366"/>
      <c r="P144" s="366"/>
      <c r="Q144" s="366"/>
      <c r="R144" s="366"/>
      <c r="S144" s="366"/>
      <c r="T144" s="8"/>
      <c r="U144" s="8"/>
      <c r="V144" s="8"/>
      <c r="W144" s="464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362" t="s">
        <v>77</v>
      </c>
      <c r="DD144" s="366"/>
      <c r="DE144" s="366"/>
      <c r="DF144" s="366"/>
      <c r="DG144" s="366"/>
      <c r="DH144" s="8"/>
      <c r="DI144" s="8"/>
      <c r="DJ144" s="8"/>
      <c r="DK144" s="8"/>
      <c r="DM144" s="413"/>
      <c r="DO144" s="413"/>
      <c r="DQ144" s="413"/>
      <c r="DR144" s="413"/>
      <c r="DS144" s="413"/>
      <c r="DT144" s="413"/>
    </row>
    <row r="145" spans="2:140" x14ac:dyDescent="0.2">
      <c r="B145" s="728" t="s">
        <v>381</v>
      </c>
      <c r="C145" s="312"/>
      <c r="D145" s="308"/>
      <c r="E145" s="308"/>
      <c r="F145" s="312">
        <f t="shared" ref="F145:BQ145" si="427">Fiscal_Year</f>
        <v>36707</v>
      </c>
      <c r="G145" s="312">
        <f t="shared" si="427"/>
        <v>37072</v>
      </c>
      <c r="H145" s="312">
        <f t="shared" si="427"/>
        <v>37437</v>
      </c>
      <c r="I145" s="312">
        <f t="shared" si="427"/>
        <v>37802</v>
      </c>
      <c r="J145" s="312">
        <f t="shared" si="427"/>
        <v>38168</v>
      </c>
      <c r="K145" s="312">
        <f t="shared" si="427"/>
        <v>38533</v>
      </c>
      <c r="L145" s="312">
        <f t="shared" si="427"/>
        <v>38898</v>
      </c>
      <c r="M145" s="312">
        <f t="shared" si="427"/>
        <v>39263</v>
      </c>
      <c r="N145" s="312">
        <f t="shared" si="427"/>
        <v>39629</v>
      </c>
      <c r="O145" s="312">
        <f t="shared" si="427"/>
        <v>39994</v>
      </c>
      <c r="P145" s="312">
        <f t="shared" si="427"/>
        <v>40359</v>
      </c>
      <c r="Q145" s="312">
        <f t="shared" si="427"/>
        <v>40724</v>
      </c>
      <c r="R145" s="312">
        <f t="shared" si="427"/>
        <v>41090</v>
      </c>
      <c r="S145" s="312">
        <f t="shared" si="427"/>
        <v>41455</v>
      </c>
      <c r="T145" s="312">
        <f t="shared" si="427"/>
        <v>41820</v>
      </c>
      <c r="U145" s="312">
        <f t="shared" si="427"/>
        <v>42185</v>
      </c>
      <c r="V145" s="312">
        <f t="shared" si="427"/>
        <v>42551</v>
      </c>
      <c r="W145" s="312">
        <f t="shared" si="427"/>
        <v>42916</v>
      </c>
      <c r="X145" s="312">
        <f t="shared" si="427"/>
        <v>43281</v>
      </c>
      <c r="Y145" s="312">
        <f t="shared" si="427"/>
        <v>43646</v>
      </c>
      <c r="Z145" s="312">
        <f t="shared" si="427"/>
        <v>44012</v>
      </c>
      <c r="AA145" s="312">
        <f t="shared" si="427"/>
        <v>44377</v>
      </c>
      <c r="AB145" s="312">
        <f t="shared" si="427"/>
        <v>44742</v>
      </c>
      <c r="AC145" s="312">
        <f t="shared" si="427"/>
        <v>45107</v>
      </c>
      <c r="AD145" s="312">
        <f t="shared" si="427"/>
        <v>45473</v>
      </c>
      <c r="AE145" s="312">
        <f t="shared" si="427"/>
        <v>45838</v>
      </c>
      <c r="AF145" s="312">
        <f t="shared" si="427"/>
        <v>46203</v>
      </c>
      <c r="AG145" s="312">
        <f t="shared" si="427"/>
        <v>46568</v>
      </c>
      <c r="AH145" s="312">
        <f t="shared" si="427"/>
        <v>46934</v>
      </c>
      <c r="AI145" s="312">
        <f t="shared" si="427"/>
        <v>47299</v>
      </c>
      <c r="AJ145" s="312">
        <f t="shared" si="427"/>
        <v>47664</v>
      </c>
      <c r="AK145" s="312">
        <f t="shared" si="427"/>
        <v>48029</v>
      </c>
      <c r="AL145" s="312">
        <f t="shared" si="427"/>
        <v>48395</v>
      </c>
      <c r="AM145" s="312">
        <f t="shared" si="427"/>
        <v>48760</v>
      </c>
      <c r="AN145" s="312">
        <f t="shared" si="427"/>
        <v>49125</v>
      </c>
      <c r="AO145" s="312">
        <f t="shared" si="427"/>
        <v>49490</v>
      </c>
      <c r="AP145" s="312">
        <f t="shared" si="427"/>
        <v>49856</v>
      </c>
      <c r="AQ145" s="312">
        <f t="shared" si="427"/>
        <v>50221</v>
      </c>
      <c r="AR145" s="312">
        <f t="shared" si="427"/>
        <v>50586</v>
      </c>
      <c r="AS145" s="312">
        <f t="shared" si="427"/>
        <v>50951</v>
      </c>
      <c r="AT145" s="312">
        <f t="shared" si="427"/>
        <v>51317</v>
      </c>
      <c r="AU145" s="312">
        <f t="shared" si="427"/>
        <v>51682</v>
      </c>
      <c r="AV145" s="312">
        <f t="shared" si="427"/>
        <v>52047</v>
      </c>
      <c r="AW145" s="312">
        <f t="shared" si="427"/>
        <v>52412</v>
      </c>
      <c r="AX145" s="312">
        <f t="shared" si="427"/>
        <v>52778</v>
      </c>
      <c r="AY145" s="312">
        <f t="shared" si="427"/>
        <v>53143</v>
      </c>
      <c r="AZ145" s="312">
        <f t="shared" si="427"/>
        <v>53508</v>
      </c>
      <c r="BA145" s="312">
        <f t="shared" si="427"/>
        <v>53873</v>
      </c>
      <c r="BB145" s="312">
        <f t="shared" si="427"/>
        <v>54239</v>
      </c>
      <c r="BC145" s="312">
        <f t="shared" si="427"/>
        <v>54604</v>
      </c>
      <c r="BD145" s="312">
        <f t="shared" si="427"/>
        <v>54969</v>
      </c>
      <c r="BE145" s="312">
        <f t="shared" si="427"/>
        <v>55334</v>
      </c>
      <c r="BF145" s="312">
        <f t="shared" si="427"/>
        <v>55700</v>
      </c>
      <c r="BG145" s="312">
        <f t="shared" si="427"/>
        <v>56065</v>
      </c>
      <c r="BH145" s="312">
        <f t="shared" si="427"/>
        <v>56430</v>
      </c>
      <c r="BI145" s="312">
        <f t="shared" si="427"/>
        <v>56795</v>
      </c>
      <c r="BJ145" s="312">
        <f t="shared" si="427"/>
        <v>57161</v>
      </c>
      <c r="BK145" s="312">
        <f t="shared" si="427"/>
        <v>57526</v>
      </c>
      <c r="BL145" s="312">
        <f t="shared" si="427"/>
        <v>57891</v>
      </c>
      <c r="BM145" s="312">
        <f t="shared" si="427"/>
        <v>58256</v>
      </c>
      <c r="BN145" s="312">
        <f t="shared" si="427"/>
        <v>58622</v>
      </c>
      <c r="BO145" s="312">
        <f t="shared" si="427"/>
        <v>58987</v>
      </c>
      <c r="BP145" s="312">
        <f t="shared" si="427"/>
        <v>59352</v>
      </c>
      <c r="BQ145" s="312">
        <f t="shared" si="427"/>
        <v>59717</v>
      </c>
      <c r="BR145" s="312">
        <f t="shared" ref="BR145:CP145" si="428">Fiscal_Year</f>
        <v>60083</v>
      </c>
      <c r="BS145" s="312">
        <f t="shared" si="428"/>
        <v>60448</v>
      </c>
      <c r="BT145" s="312">
        <f t="shared" si="428"/>
        <v>60813</v>
      </c>
      <c r="BU145" s="312">
        <f t="shared" si="428"/>
        <v>61178</v>
      </c>
      <c r="BV145" s="312">
        <f t="shared" si="428"/>
        <v>61544</v>
      </c>
      <c r="BW145" s="312">
        <f t="shared" si="428"/>
        <v>61909</v>
      </c>
      <c r="BX145" s="312">
        <f t="shared" si="428"/>
        <v>62274</v>
      </c>
      <c r="BY145" s="312">
        <f t="shared" si="428"/>
        <v>62639</v>
      </c>
      <c r="BZ145" s="312">
        <f t="shared" si="428"/>
        <v>63005</v>
      </c>
      <c r="CA145" s="312">
        <f t="shared" si="428"/>
        <v>63370</v>
      </c>
      <c r="CB145" s="312">
        <f t="shared" si="428"/>
        <v>63735</v>
      </c>
      <c r="CC145" s="312">
        <f t="shared" si="428"/>
        <v>64100</v>
      </c>
      <c r="CD145" s="312">
        <f t="shared" si="428"/>
        <v>64466</v>
      </c>
      <c r="CE145" s="312">
        <f t="shared" si="428"/>
        <v>64831</v>
      </c>
      <c r="CF145" s="312">
        <f t="shared" si="428"/>
        <v>65196</v>
      </c>
      <c r="CG145" s="312">
        <f t="shared" si="428"/>
        <v>65561</v>
      </c>
      <c r="CH145" s="312">
        <f t="shared" si="428"/>
        <v>65927</v>
      </c>
      <c r="CI145" s="312">
        <f t="shared" si="428"/>
        <v>66292</v>
      </c>
      <c r="CJ145" s="312">
        <f t="shared" si="428"/>
        <v>66657</v>
      </c>
      <c r="CK145" s="312">
        <f t="shared" si="428"/>
        <v>67022</v>
      </c>
      <c r="CL145" s="312">
        <f t="shared" si="428"/>
        <v>67388</v>
      </c>
      <c r="CM145" s="312">
        <f t="shared" si="428"/>
        <v>67753</v>
      </c>
      <c r="CN145" s="312">
        <f t="shared" si="428"/>
        <v>68118</v>
      </c>
      <c r="CO145" s="312">
        <f t="shared" si="428"/>
        <v>68483</v>
      </c>
      <c r="CP145" s="312">
        <f t="shared" si="428"/>
        <v>68849</v>
      </c>
      <c r="CQ145" s="362" t="s">
        <v>77</v>
      </c>
      <c r="DB145" s="728" t="s">
        <v>381</v>
      </c>
      <c r="DD145" s="312">
        <f t="shared" ref="DD145:DQ145" si="429">+DD$3</f>
        <v>40908</v>
      </c>
      <c r="DE145" s="312">
        <f t="shared" si="429"/>
        <v>41090</v>
      </c>
      <c r="DF145" s="312">
        <f t="shared" si="429"/>
        <v>41274</v>
      </c>
      <c r="DG145" s="312">
        <f t="shared" si="429"/>
        <v>41455</v>
      </c>
      <c r="DH145" s="312">
        <f t="shared" si="429"/>
        <v>41639</v>
      </c>
      <c r="DI145" s="312">
        <f t="shared" si="429"/>
        <v>41820</v>
      </c>
      <c r="DJ145" s="312">
        <f t="shared" si="429"/>
        <v>42004</v>
      </c>
      <c r="DK145" s="312">
        <f t="shared" si="429"/>
        <v>42185</v>
      </c>
      <c r="DL145" s="312">
        <f t="shared" si="429"/>
        <v>42369</v>
      </c>
      <c r="DM145" s="312">
        <f t="shared" si="429"/>
        <v>42551</v>
      </c>
      <c r="DN145" s="312">
        <f t="shared" si="429"/>
        <v>42735</v>
      </c>
      <c r="DO145" s="312">
        <f t="shared" si="429"/>
        <v>42916</v>
      </c>
      <c r="DP145" s="312">
        <f t="shared" si="429"/>
        <v>43100</v>
      </c>
      <c r="DQ145" s="312">
        <f t="shared" si="429"/>
        <v>43281</v>
      </c>
      <c r="DR145" s="312"/>
      <c r="DS145" s="312"/>
      <c r="DT145" s="413"/>
    </row>
    <row r="146" spans="2:140" ht="5.0999999999999996" customHeight="1" x14ac:dyDescent="0.2">
      <c r="B146" s="107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108"/>
      <c r="BB146" s="108"/>
      <c r="BC146" s="108"/>
      <c r="BD146" s="108"/>
      <c r="BE146" s="108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8"/>
      <c r="BY146" s="108"/>
      <c r="BZ146" s="108"/>
      <c r="CA146" s="108"/>
      <c r="CB146" s="108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362" t="s">
        <v>77</v>
      </c>
      <c r="DB146" s="107"/>
      <c r="DD146" s="8"/>
      <c r="DE146" s="8"/>
      <c r="DF146" s="8"/>
      <c r="DG146" s="8"/>
      <c r="DH146" s="8"/>
      <c r="DI146" s="8"/>
      <c r="DJ146" s="8"/>
      <c r="DK146" s="8"/>
      <c r="DM146" s="413"/>
      <c r="DO146" s="413"/>
      <c r="DQ146" s="413"/>
      <c r="DR146" s="413"/>
      <c r="DS146" s="413"/>
      <c r="DT146" s="413"/>
    </row>
    <row r="147" spans="2:140" outlineLevel="1" x14ac:dyDescent="0.2">
      <c r="B147" s="7" t="s">
        <v>382</v>
      </c>
      <c r="K147" s="465">
        <f>+K221</f>
        <v>106.22</v>
      </c>
      <c r="L147" s="465">
        <f t="shared" ref="L147:BD147" si="430">+L221</f>
        <v>112.17400000000001</v>
      </c>
      <c r="M147" s="465">
        <f t="shared" si="430"/>
        <v>136.708</v>
      </c>
      <c r="N147" s="465">
        <f t="shared" si="430"/>
        <v>186.423</v>
      </c>
      <c r="O147" s="465">
        <f t="shared" si="430"/>
        <v>226.369</v>
      </c>
      <c r="P147" s="465">
        <f t="shared" si="430"/>
        <v>267.76100000000002</v>
      </c>
      <c r="Q147" s="465">
        <f t="shared" si="430"/>
        <v>290.029</v>
      </c>
      <c r="R147" s="465">
        <f t="shared" si="430"/>
        <v>335.56900000000002</v>
      </c>
      <c r="S147" s="465">
        <f t="shared" si="430"/>
        <v>374.38099999999997</v>
      </c>
      <c r="T147" s="465">
        <f t="shared" si="430"/>
        <v>431.541</v>
      </c>
      <c r="U147" s="61">
        <f t="shared" si="430"/>
        <v>562.19000000000005</v>
      </c>
      <c r="V147" s="61">
        <f t="shared" si="430"/>
        <v>862.43499999999995</v>
      </c>
      <c r="W147" s="61">
        <f t="shared" si="430"/>
        <v>973.93600000000004</v>
      </c>
      <c r="X147" s="61">
        <f t="shared" si="430"/>
        <v>916.31280997849353</v>
      </c>
      <c r="Y147" s="61">
        <f t="shared" si="430"/>
        <v>992.9937637732744</v>
      </c>
      <c r="Z147" s="61">
        <f t="shared" si="430"/>
        <v>1051.3677701600054</v>
      </c>
      <c r="AA147" s="61">
        <f t="shared" si="430"/>
        <v>1022.319166572883</v>
      </c>
      <c r="AB147" s="61">
        <f t="shared" si="430"/>
        <v>991.26690296667857</v>
      </c>
      <c r="AC147" s="61">
        <f t="shared" si="430"/>
        <v>970.16529162071845</v>
      </c>
      <c r="AD147" s="61">
        <f t="shared" si="430"/>
        <v>1000.2502370735667</v>
      </c>
      <c r="AE147" s="61">
        <f t="shared" si="430"/>
        <v>1020.0546995759327</v>
      </c>
      <c r="AF147" s="61">
        <f t="shared" si="430"/>
        <v>1023.5314059677927</v>
      </c>
      <c r="AG147" s="61">
        <f t="shared" si="430"/>
        <v>1018.2556857466741</v>
      </c>
      <c r="AH147" s="61">
        <f t="shared" si="430"/>
        <v>1036.3371127439045</v>
      </c>
      <c r="AI147" s="61">
        <f t="shared" si="430"/>
        <v>946.48239475397634</v>
      </c>
      <c r="AJ147" s="61">
        <f t="shared" si="430"/>
        <v>889.9904560944118</v>
      </c>
      <c r="AK147" s="61">
        <f t="shared" si="430"/>
        <v>877.67515562643644</v>
      </c>
      <c r="AL147" s="61">
        <f t="shared" si="430"/>
        <v>895.93617122145758</v>
      </c>
      <c r="AM147" s="61">
        <f t="shared" si="430"/>
        <v>915.0401607312906</v>
      </c>
      <c r="AN147" s="61">
        <f t="shared" si="430"/>
        <v>924.93468887134134</v>
      </c>
      <c r="AO147" s="61">
        <f t="shared" si="430"/>
        <v>911.49815477827565</v>
      </c>
      <c r="AP147" s="61">
        <f t="shared" si="430"/>
        <v>508.60561660139467</v>
      </c>
      <c r="AQ147" s="61">
        <f t="shared" si="430"/>
        <v>533.7758653394809</v>
      </c>
      <c r="AR147" s="61">
        <f t="shared" si="430"/>
        <v>471.03573096117844</v>
      </c>
      <c r="AS147" s="61">
        <f t="shared" si="430"/>
        <v>387.18755210016946</v>
      </c>
      <c r="AT147" s="61">
        <f t="shared" si="430"/>
        <v>382.09204947711135</v>
      </c>
      <c r="AU147" s="61">
        <f t="shared" si="430"/>
        <v>403.59908353971298</v>
      </c>
      <c r="AV147" s="61">
        <f t="shared" si="430"/>
        <v>415.34479835795264</v>
      </c>
      <c r="AW147" s="61">
        <f t="shared" si="430"/>
        <v>391.5436060419056</v>
      </c>
      <c r="AX147" s="61">
        <f t="shared" si="430"/>
        <v>402.62961444925054</v>
      </c>
      <c r="AY147" s="61">
        <f t="shared" si="430"/>
        <v>414.06581470277411</v>
      </c>
      <c r="AZ147" s="61">
        <f t="shared" si="430"/>
        <v>425.85524140697248</v>
      </c>
      <c r="BA147" s="61">
        <f t="shared" si="430"/>
        <v>281.67203144239744</v>
      </c>
      <c r="BB147" s="61">
        <f t="shared" si="430"/>
        <v>293.68740887278761</v>
      </c>
      <c r="BC147" s="61">
        <f t="shared" si="430"/>
        <v>306.05717469959131</v>
      </c>
      <c r="BD147" s="61">
        <f t="shared" si="430"/>
        <v>318.78992317398416</v>
      </c>
      <c r="BE147" s="61">
        <f t="shared" ref="BE147:CP147" si="431">+BE221</f>
        <v>331.89439286892554</v>
      </c>
      <c r="BF147" s="61">
        <f t="shared" si="431"/>
        <v>345.37646985661092</v>
      </c>
      <c r="BG147" s="61">
        <f t="shared" si="431"/>
        <v>359.24756967643293</v>
      </c>
      <c r="BH147" s="61">
        <f t="shared" si="431"/>
        <v>373.51241711621128</v>
      </c>
      <c r="BI147" s="61">
        <f t="shared" si="431"/>
        <v>388.18354433164836</v>
      </c>
      <c r="BJ147" s="61">
        <f t="shared" si="431"/>
        <v>403.26646234765053</v>
      </c>
      <c r="BK147" s="61">
        <f t="shared" si="431"/>
        <v>418.77295966472366</v>
      </c>
      <c r="BL147" s="61">
        <f t="shared" si="431"/>
        <v>434.71122075607639</v>
      </c>
      <c r="BM147" s="61">
        <f t="shared" si="431"/>
        <v>451.09080033775899</v>
      </c>
      <c r="BN147" s="61">
        <f t="shared" si="431"/>
        <v>467.92105133578877</v>
      </c>
      <c r="BO147" s="61">
        <f t="shared" si="431"/>
        <v>485.21233699722279</v>
      </c>
      <c r="BP147" s="61">
        <f t="shared" si="431"/>
        <v>502.97485133650298</v>
      </c>
      <c r="BQ147" s="61">
        <f t="shared" si="431"/>
        <v>495.25290155561083</v>
      </c>
      <c r="BR147" s="61">
        <f t="shared" si="431"/>
        <v>510.32472955275477</v>
      </c>
      <c r="BS147" s="61">
        <f t="shared" si="431"/>
        <v>493.96048842301457</v>
      </c>
      <c r="BT147" s="61">
        <f t="shared" si="431"/>
        <v>480.96041796299562</v>
      </c>
      <c r="BU147" s="61">
        <f t="shared" si="431"/>
        <v>495.96364336919112</v>
      </c>
      <c r="BV147" s="61">
        <f t="shared" si="431"/>
        <v>511.3353355908821</v>
      </c>
      <c r="BW147" s="61">
        <f t="shared" si="431"/>
        <v>527.08177567400946</v>
      </c>
      <c r="BX147" s="61">
        <f t="shared" si="431"/>
        <v>543.21035585135928</v>
      </c>
      <c r="BY147" s="61">
        <f t="shared" si="431"/>
        <v>559.72627243683951</v>
      </c>
      <c r="BZ147" s="61">
        <f t="shared" si="431"/>
        <v>576.63885032122062</v>
      </c>
      <c r="CA147" s="61">
        <f t="shared" si="431"/>
        <v>593.95431871832056</v>
      </c>
      <c r="CB147" s="61">
        <f t="shared" si="431"/>
        <v>611.68183496319477</v>
      </c>
      <c r="CC147" s="61">
        <f t="shared" si="431"/>
        <v>626.13756646545153</v>
      </c>
      <c r="CD147" s="61">
        <f t="shared" si="431"/>
        <v>600.37119507642979</v>
      </c>
      <c r="CE147" s="61">
        <f t="shared" si="431"/>
        <v>618.41437091445232</v>
      </c>
      <c r="CF147" s="61">
        <f t="shared" si="431"/>
        <v>636.87784353473398</v>
      </c>
      <c r="CG147" s="61">
        <f t="shared" si="431"/>
        <v>655.77049888839304</v>
      </c>
      <c r="CH147" s="61">
        <f t="shared" si="431"/>
        <v>223.49643446097275</v>
      </c>
      <c r="CI147" s="61">
        <f t="shared" si="431"/>
        <v>236.43771201239076</v>
      </c>
      <c r="CJ147" s="61">
        <f t="shared" si="431"/>
        <v>249.73927998474142</v>
      </c>
      <c r="CK147" s="61">
        <f t="shared" si="431"/>
        <v>263.40766401727012</v>
      </c>
      <c r="CL147" s="61">
        <f t="shared" si="431"/>
        <v>277.44996387319327</v>
      </c>
      <c r="CM147" s="61">
        <f t="shared" si="431"/>
        <v>291.87494226651529</v>
      </c>
      <c r="CN147" s="61">
        <f t="shared" si="431"/>
        <v>306.69117410476019</v>
      </c>
      <c r="CO147" s="61">
        <f t="shared" si="431"/>
        <v>321.90779664477327</v>
      </c>
      <c r="CP147" s="61">
        <f t="shared" si="431"/>
        <v>306.75578645969324</v>
      </c>
      <c r="CQ147" s="362" t="s">
        <v>77</v>
      </c>
      <c r="DB147" s="7" t="s">
        <v>382</v>
      </c>
      <c r="DD147" s="465"/>
      <c r="DE147" s="465"/>
      <c r="DF147" s="465"/>
      <c r="DG147" s="465"/>
      <c r="DH147" s="465"/>
      <c r="DI147" s="465"/>
      <c r="DJ147" s="465">
        <f t="shared" ref="DJ147:DO147" si="432">+DJ221</f>
        <v>280.40600000000001</v>
      </c>
      <c r="DK147" s="465">
        <f t="shared" si="432"/>
        <v>281.78399999999993</v>
      </c>
      <c r="DL147" s="465">
        <f t="shared" si="432"/>
        <v>462.13400000000001</v>
      </c>
      <c r="DM147" s="465">
        <f t="shared" si="432"/>
        <v>360.89399999999983</v>
      </c>
      <c r="DN147" s="465">
        <f t="shared" si="432"/>
        <v>518.24699999999996</v>
      </c>
      <c r="DO147" s="465">
        <f t="shared" si="432"/>
        <v>452.97000000000031</v>
      </c>
      <c r="DP147" s="465">
        <f t="shared" ref="DP147:DQ147" si="433">+DP221</f>
        <v>462.52699999999999</v>
      </c>
      <c r="DQ147" s="465">
        <f t="shared" si="433"/>
        <v>453.78580997849343</v>
      </c>
      <c r="DR147" s="465"/>
      <c r="DS147" s="465"/>
      <c r="DT147" s="413"/>
      <c r="EH147" s="411" t="b">
        <f>ROUND(U147,1)=ROUND(SUM(DJ147:DK147),1)</f>
        <v>1</v>
      </c>
      <c r="EI147" s="411" t="b">
        <f>ROUND(V147,1)=ROUND(SUM(DL147:DM147),1)</f>
        <v>0</v>
      </c>
      <c r="EJ147" s="411" t="b">
        <f>ROUND(W147,1)=ROUND(SUM(DN147:DO147),1)</f>
        <v>0</v>
      </c>
    </row>
    <row r="148" spans="2:140" outlineLevel="1" x14ac:dyDescent="0.2">
      <c r="B148" s="7" t="s">
        <v>385</v>
      </c>
      <c r="D148" s="52"/>
      <c r="E148" s="52"/>
      <c r="F148" s="52"/>
      <c r="G148" s="52"/>
      <c r="H148" s="52"/>
      <c r="I148" s="52"/>
      <c r="J148" s="52"/>
      <c r="K148" s="452">
        <v>0</v>
      </c>
      <c r="L148" s="452">
        <f>112.174-L147</f>
        <v>0</v>
      </c>
      <c r="M148" s="452">
        <f>150.608-M147</f>
        <v>13.900000000000006</v>
      </c>
      <c r="N148" s="452">
        <f>192.117-N147</f>
        <v>5.6939999999999884</v>
      </c>
      <c r="O148" s="452">
        <f>233.565-O147</f>
        <v>7.195999999999998</v>
      </c>
      <c r="P148" s="452">
        <f>267.761-P147</f>
        <v>0</v>
      </c>
      <c r="Q148" s="452">
        <f>290.029-Q147</f>
        <v>0</v>
      </c>
      <c r="R148" s="452">
        <f>335.569-R147</f>
        <v>0</v>
      </c>
      <c r="S148" s="452">
        <f>432.639-S147</f>
        <v>58.258000000000038</v>
      </c>
      <c r="T148" s="466">
        <f>439.742-T147</f>
        <v>8.2010000000000218</v>
      </c>
      <c r="U148" s="96">
        <f>544.989-U147</f>
        <v>-17.201000000000022</v>
      </c>
      <c r="V148" s="96">
        <f>862.4-V147</f>
        <v>-3.4999999999968168E-2</v>
      </c>
      <c r="W148" s="96">
        <f>973.936-W147</f>
        <v>0</v>
      </c>
      <c r="X148" s="276">
        <f t="shared" ref="X148:BD148" si="434">-SUM(X99,X100,X115,X119)</f>
        <v>0</v>
      </c>
      <c r="Y148" s="276">
        <f t="shared" si="434"/>
        <v>0</v>
      </c>
      <c r="Z148" s="276">
        <f t="shared" si="434"/>
        <v>0</v>
      </c>
      <c r="AA148" s="276">
        <f t="shared" si="434"/>
        <v>0</v>
      </c>
      <c r="AB148" s="276">
        <f t="shared" si="434"/>
        <v>0</v>
      </c>
      <c r="AC148" s="276">
        <f t="shared" si="434"/>
        <v>0</v>
      </c>
      <c r="AD148" s="276">
        <f t="shared" si="434"/>
        <v>0</v>
      </c>
      <c r="AE148" s="276">
        <f t="shared" si="434"/>
        <v>0</v>
      </c>
      <c r="AF148" s="276">
        <f t="shared" si="434"/>
        <v>0</v>
      </c>
      <c r="AG148" s="276">
        <f t="shared" si="434"/>
        <v>0</v>
      </c>
      <c r="AH148" s="276">
        <f t="shared" si="434"/>
        <v>0</v>
      </c>
      <c r="AI148" s="276">
        <f t="shared" si="434"/>
        <v>0</v>
      </c>
      <c r="AJ148" s="276">
        <f t="shared" si="434"/>
        <v>0</v>
      </c>
      <c r="AK148" s="276">
        <f t="shared" si="434"/>
        <v>0</v>
      </c>
      <c r="AL148" s="276">
        <f t="shared" si="434"/>
        <v>0</v>
      </c>
      <c r="AM148" s="276">
        <f t="shared" si="434"/>
        <v>0</v>
      </c>
      <c r="AN148" s="276">
        <f t="shared" si="434"/>
        <v>0</v>
      </c>
      <c r="AO148" s="276">
        <f t="shared" si="434"/>
        <v>0</v>
      </c>
      <c r="AP148" s="276">
        <f t="shared" si="434"/>
        <v>0</v>
      </c>
      <c r="AQ148" s="276">
        <f t="shared" si="434"/>
        <v>0</v>
      </c>
      <c r="AR148" s="276">
        <f t="shared" si="434"/>
        <v>0</v>
      </c>
      <c r="AS148" s="276">
        <f t="shared" si="434"/>
        <v>0</v>
      </c>
      <c r="AT148" s="276">
        <f t="shared" si="434"/>
        <v>0</v>
      </c>
      <c r="AU148" s="276">
        <f t="shared" si="434"/>
        <v>0</v>
      </c>
      <c r="AV148" s="276">
        <f t="shared" si="434"/>
        <v>0</v>
      </c>
      <c r="AW148" s="276">
        <f t="shared" si="434"/>
        <v>0</v>
      </c>
      <c r="AX148" s="276">
        <f t="shared" si="434"/>
        <v>0</v>
      </c>
      <c r="AY148" s="276">
        <f t="shared" si="434"/>
        <v>0</v>
      </c>
      <c r="AZ148" s="276">
        <f t="shared" si="434"/>
        <v>0</v>
      </c>
      <c r="BA148" s="276">
        <f t="shared" si="434"/>
        <v>0</v>
      </c>
      <c r="BB148" s="276">
        <f t="shared" si="434"/>
        <v>0</v>
      </c>
      <c r="BC148" s="276">
        <f t="shared" si="434"/>
        <v>0</v>
      </c>
      <c r="BD148" s="276">
        <f t="shared" si="434"/>
        <v>0</v>
      </c>
      <c r="BE148" s="276">
        <f t="shared" ref="BE148:CP148" si="435">-SUM(BE99,BE100,BE115,BE119)</f>
        <v>0</v>
      </c>
      <c r="BF148" s="276">
        <f t="shared" si="435"/>
        <v>0</v>
      </c>
      <c r="BG148" s="276">
        <f t="shared" si="435"/>
        <v>0</v>
      </c>
      <c r="BH148" s="276">
        <f t="shared" si="435"/>
        <v>0</v>
      </c>
      <c r="BI148" s="276">
        <f t="shared" si="435"/>
        <v>0</v>
      </c>
      <c r="BJ148" s="276">
        <f t="shared" si="435"/>
        <v>0</v>
      </c>
      <c r="BK148" s="276">
        <f t="shared" si="435"/>
        <v>0</v>
      </c>
      <c r="BL148" s="276">
        <f t="shared" si="435"/>
        <v>0</v>
      </c>
      <c r="BM148" s="276">
        <f t="shared" si="435"/>
        <v>0</v>
      </c>
      <c r="BN148" s="276">
        <f t="shared" si="435"/>
        <v>0</v>
      </c>
      <c r="BO148" s="276">
        <f t="shared" si="435"/>
        <v>0</v>
      </c>
      <c r="BP148" s="276">
        <f t="shared" si="435"/>
        <v>0</v>
      </c>
      <c r="BQ148" s="276">
        <f t="shared" si="435"/>
        <v>0</v>
      </c>
      <c r="BR148" s="276">
        <f t="shared" si="435"/>
        <v>0</v>
      </c>
      <c r="BS148" s="276">
        <f t="shared" si="435"/>
        <v>0</v>
      </c>
      <c r="BT148" s="276">
        <f t="shared" si="435"/>
        <v>0</v>
      </c>
      <c r="BU148" s="276">
        <f t="shared" si="435"/>
        <v>0</v>
      </c>
      <c r="BV148" s="276">
        <f t="shared" si="435"/>
        <v>0</v>
      </c>
      <c r="BW148" s="276">
        <f t="shared" si="435"/>
        <v>0</v>
      </c>
      <c r="BX148" s="276">
        <f t="shared" si="435"/>
        <v>0</v>
      </c>
      <c r="BY148" s="276">
        <f t="shared" si="435"/>
        <v>0</v>
      </c>
      <c r="BZ148" s="276">
        <f t="shared" si="435"/>
        <v>0</v>
      </c>
      <c r="CA148" s="276">
        <f t="shared" si="435"/>
        <v>0</v>
      </c>
      <c r="CB148" s="276">
        <f t="shared" si="435"/>
        <v>0</v>
      </c>
      <c r="CC148" s="276">
        <f t="shared" si="435"/>
        <v>0</v>
      </c>
      <c r="CD148" s="276">
        <f t="shared" si="435"/>
        <v>0</v>
      </c>
      <c r="CE148" s="276">
        <f t="shared" si="435"/>
        <v>0</v>
      </c>
      <c r="CF148" s="276">
        <f t="shared" si="435"/>
        <v>0</v>
      </c>
      <c r="CG148" s="276">
        <f t="shared" si="435"/>
        <v>0</v>
      </c>
      <c r="CH148" s="276">
        <f t="shared" si="435"/>
        <v>0</v>
      </c>
      <c r="CI148" s="276">
        <f t="shared" si="435"/>
        <v>0</v>
      </c>
      <c r="CJ148" s="276">
        <f t="shared" si="435"/>
        <v>0</v>
      </c>
      <c r="CK148" s="276">
        <f t="shared" si="435"/>
        <v>0</v>
      </c>
      <c r="CL148" s="276">
        <f t="shared" si="435"/>
        <v>0</v>
      </c>
      <c r="CM148" s="276">
        <f t="shared" si="435"/>
        <v>0</v>
      </c>
      <c r="CN148" s="276">
        <f t="shared" si="435"/>
        <v>0</v>
      </c>
      <c r="CO148" s="276">
        <f t="shared" si="435"/>
        <v>0</v>
      </c>
      <c r="CP148" s="276">
        <f t="shared" si="435"/>
        <v>0</v>
      </c>
      <c r="CQ148" s="362" t="s">
        <v>77</v>
      </c>
      <c r="DB148" s="7" t="s">
        <v>385</v>
      </c>
      <c r="DD148" s="8"/>
      <c r="DE148" s="8"/>
      <c r="DF148" s="8"/>
      <c r="DG148" s="8"/>
      <c r="DH148" s="8"/>
      <c r="DI148" s="8"/>
      <c r="DJ148" s="8"/>
      <c r="DK148" s="8">
        <f>U148</f>
        <v>-17.201000000000022</v>
      </c>
      <c r="DM148" s="413"/>
      <c r="DO148" s="413"/>
      <c r="DR148" s="413"/>
      <c r="DS148" s="413"/>
      <c r="DT148" s="413"/>
      <c r="EH148" s="411" t="b">
        <f>ROUND(U148,1)=ROUND(SUM(DJ148:DK148),1)</f>
        <v>1</v>
      </c>
      <c r="EI148" s="411" t="b">
        <f>ROUND(V148,1)=ROUND(SUM(DL148:DM148),1)</f>
        <v>1</v>
      </c>
      <c r="EJ148" s="411" t="b">
        <f>ROUND(W148,1)=ROUND(SUM(DN148:DO148),1)</f>
        <v>1</v>
      </c>
    </row>
    <row r="149" spans="2:140" outlineLevel="1" x14ac:dyDescent="0.2">
      <c r="B149" s="74" t="s">
        <v>381</v>
      </c>
      <c r="C149" s="12"/>
      <c r="D149" s="255"/>
      <c r="E149" s="255"/>
      <c r="F149" s="255"/>
      <c r="G149" s="255"/>
      <c r="H149" s="255"/>
      <c r="I149" s="255"/>
      <c r="J149" s="255"/>
      <c r="K149" s="255">
        <f>SUM(K147:K148)</f>
        <v>106.22</v>
      </c>
      <c r="L149" s="255">
        <f t="shared" ref="L149:BD149" si="436">SUM(L147:L148)</f>
        <v>112.17400000000001</v>
      </c>
      <c r="M149" s="255">
        <f t="shared" si="436"/>
        <v>150.608</v>
      </c>
      <c r="N149" s="255">
        <f t="shared" si="436"/>
        <v>192.11699999999999</v>
      </c>
      <c r="O149" s="255">
        <f t="shared" si="436"/>
        <v>233.565</v>
      </c>
      <c r="P149" s="255">
        <f t="shared" si="436"/>
        <v>267.76100000000002</v>
      </c>
      <c r="Q149" s="255">
        <f t="shared" si="436"/>
        <v>290.029</v>
      </c>
      <c r="R149" s="54">
        <f t="shared" si="436"/>
        <v>335.56900000000002</v>
      </c>
      <c r="S149" s="255">
        <f t="shared" si="436"/>
        <v>432.63900000000001</v>
      </c>
      <c r="T149" s="255">
        <f t="shared" si="436"/>
        <v>439.74200000000002</v>
      </c>
      <c r="U149" s="255">
        <f t="shared" si="436"/>
        <v>544.98900000000003</v>
      </c>
      <c r="V149" s="255">
        <f t="shared" si="436"/>
        <v>862.4</v>
      </c>
      <c r="W149" s="255">
        <f t="shared" si="436"/>
        <v>973.93600000000004</v>
      </c>
      <c r="X149" s="255">
        <f t="shared" si="436"/>
        <v>916.31280997849353</v>
      </c>
      <c r="Y149" s="255">
        <f t="shared" si="436"/>
        <v>992.9937637732744</v>
      </c>
      <c r="Z149" s="255">
        <f t="shared" si="436"/>
        <v>1051.3677701600054</v>
      </c>
      <c r="AA149" s="255">
        <f t="shared" si="436"/>
        <v>1022.319166572883</v>
      </c>
      <c r="AB149" s="255">
        <f t="shared" si="436"/>
        <v>991.26690296667857</v>
      </c>
      <c r="AC149" s="255">
        <f t="shared" si="436"/>
        <v>970.16529162071845</v>
      </c>
      <c r="AD149" s="255">
        <f t="shared" si="436"/>
        <v>1000.2502370735667</v>
      </c>
      <c r="AE149" s="255">
        <f t="shared" si="436"/>
        <v>1020.0546995759327</v>
      </c>
      <c r="AF149" s="255">
        <f t="shared" si="436"/>
        <v>1023.5314059677927</v>
      </c>
      <c r="AG149" s="255">
        <f t="shared" si="436"/>
        <v>1018.2556857466741</v>
      </c>
      <c r="AH149" s="255">
        <f t="shared" si="436"/>
        <v>1036.3371127439045</v>
      </c>
      <c r="AI149" s="255">
        <f t="shared" si="436"/>
        <v>946.48239475397634</v>
      </c>
      <c r="AJ149" s="255">
        <f t="shared" si="436"/>
        <v>889.9904560944118</v>
      </c>
      <c r="AK149" s="255">
        <f t="shared" si="436"/>
        <v>877.67515562643644</v>
      </c>
      <c r="AL149" s="255">
        <f t="shared" si="436"/>
        <v>895.93617122145758</v>
      </c>
      <c r="AM149" s="255">
        <f t="shared" si="436"/>
        <v>915.0401607312906</v>
      </c>
      <c r="AN149" s="255">
        <f t="shared" si="436"/>
        <v>924.93468887134134</v>
      </c>
      <c r="AO149" s="255">
        <f t="shared" si="436"/>
        <v>911.49815477827565</v>
      </c>
      <c r="AP149" s="255">
        <f t="shared" si="436"/>
        <v>508.60561660139467</v>
      </c>
      <c r="AQ149" s="255">
        <f t="shared" si="436"/>
        <v>533.7758653394809</v>
      </c>
      <c r="AR149" s="255">
        <f t="shared" si="436"/>
        <v>471.03573096117844</v>
      </c>
      <c r="AS149" s="255">
        <f t="shared" si="436"/>
        <v>387.18755210016946</v>
      </c>
      <c r="AT149" s="255">
        <f t="shared" si="436"/>
        <v>382.09204947711135</v>
      </c>
      <c r="AU149" s="255">
        <f t="shared" si="436"/>
        <v>403.59908353971298</v>
      </c>
      <c r="AV149" s="255">
        <f t="shared" si="436"/>
        <v>415.34479835795264</v>
      </c>
      <c r="AW149" s="255">
        <f t="shared" si="436"/>
        <v>391.5436060419056</v>
      </c>
      <c r="AX149" s="255">
        <f t="shared" si="436"/>
        <v>402.62961444925054</v>
      </c>
      <c r="AY149" s="255">
        <f t="shared" si="436"/>
        <v>414.06581470277411</v>
      </c>
      <c r="AZ149" s="255">
        <f t="shared" si="436"/>
        <v>425.85524140697248</v>
      </c>
      <c r="BA149" s="255">
        <f t="shared" si="436"/>
        <v>281.67203144239744</v>
      </c>
      <c r="BB149" s="255">
        <f t="shared" si="436"/>
        <v>293.68740887278761</v>
      </c>
      <c r="BC149" s="255">
        <f t="shared" si="436"/>
        <v>306.05717469959131</v>
      </c>
      <c r="BD149" s="255">
        <f t="shared" si="436"/>
        <v>318.78992317398416</v>
      </c>
      <c r="BE149" s="255">
        <f t="shared" ref="BE149:CP149" si="437">SUM(BE147:BE148)</f>
        <v>331.89439286892554</v>
      </c>
      <c r="BF149" s="255">
        <f t="shared" si="437"/>
        <v>345.37646985661092</v>
      </c>
      <c r="BG149" s="255">
        <f t="shared" si="437"/>
        <v>359.24756967643293</v>
      </c>
      <c r="BH149" s="255">
        <f t="shared" si="437"/>
        <v>373.51241711621128</v>
      </c>
      <c r="BI149" s="255">
        <f t="shared" si="437"/>
        <v>388.18354433164836</v>
      </c>
      <c r="BJ149" s="255">
        <f t="shared" si="437"/>
        <v>403.26646234765053</v>
      </c>
      <c r="BK149" s="255">
        <f t="shared" si="437"/>
        <v>418.77295966472366</v>
      </c>
      <c r="BL149" s="255">
        <f t="shared" si="437"/>
        <v>434.71122075607639</v>
      </c>
      <c r="BM149" s="255">
        <f t="shared" si="437"/>
        <v>451.09080033775899</v>
      </c>
      <c r="BN149" s="255">
        <f t="shared" si="437"/>
        <v>467.92105133578877</v>
      </c>
      <c r="BO149" s="255">
        <f t="shared" si="437"/>
        <v>485.21233699722279</v>
      </c>
      <c r="BP149" s="255">
        <f t="shared" si="437"/>
        <v>502.97485133650298</v>
      </c>
      <c r="BQ149" s="255">
        <f t="shared" si="437"/>
        <v>495.25290155561083</v>
      </c>
      <c r="BR149" s="255">
        <f t="shared" si="437"/>
        <v>510.32472955275477</v>
      </c>
      <c r="BS149" s="255">
        <f t="shared" si="437"/>
        <v>493.96048842301457</v>
      </c>
      <c r="BT149" s="255">
        <f t="shared" si="437"/>
        <v>480.96041796299562</v>
      </c>
      <c r="BU149" s="255">
        <f t="shared" si="437"/>
        <v>495.96364336919112</v>
      </c>
      <c r="BV149" s="255">
        <f t="shared" si="437"/>
        <v>511.3353355908821</v>
      </c>
      <c r="BW149" s="255">
        <f t="shared" si="437"/>
        <v>527.08177567400946</v>
      </c>
      <c r="BX149" s="255">
        <f t="shared" si="437"/>
        <v>543.21035585135928</v>
      </c>
      <c r="BY149" s="255">
        <f t="shared" si="437"/>
        <v>559.72627243683951</v>
      </c>
      <c r="BZ149" s="255">
        <f t="shared" si="437"/>
        <v>576.63885032122062</v>
      </c>
      <c r="CA149" s="255">
        <f t="shared" si="437"/>
        <v>593.95431871832056</v>
      </c>
      <c r="CB149" s="255">
        <f t="shared" si="437"/>
        <v>611.68183496319477</v>
      </c>
      <c r="CC149" s="255">
        <f t="shared" si="437"/>
        <v>626.13756646545153</v>
      </c>
      <c r="CD149" s="255">
        <f t="shared" si="437"/>
        <v>600.37119507642979</v>
      </c>
      <c r="CE149" s="255">
        <f t="shared" si="437"/>
        <v>618.41437091445232</v>
      </c>
      <c r="CF149" s="255">
        <f t="shared" si="437"/>
        <v>636.87784353473398</v>
      </c>
      <c r="CG149" s="255">
        <f t="shared" si="437"/>
        <v>655.77049888839304</v>
      </c>
      <c r="CH149" s="255">
        <f t="shared" si="437"/>
        <v>223.49643446097275</v>
      </c>
      <c r="CI149" s="255">
        <f t="shared" si="437"/>
        <v>236.43771201239076</v>
      </c>
      <c r="CJ149" s="255">
        <f t="shared" si="437"/>
        <v>249.73927998474142</v>
      </c>
      <c r="CK149" s="255">
        <f t="shared" si="437"/>
        <v>263.40766401727012</v>
      </c>
      <c r="CL149" s="255">
        <f t="shared" si="437"/>
        <v>277.44996387319327</v>
      </c>
      <c r="CM149" s="255">
        <f t="shared" si="437"/>
        <v>291.87494226651529</v>
      </c>
      <c r="CN149" s="255">
        <f t="shared" si="437"/>
        <v>306.69117410476019</v>
      </c>
      <c r="CO149" s="255">
        <f t="shared" si="437"/>
        <v>321.90779664477327</v>
      </c>
      <c r="CP149" s="255">
        <f t="shared" si="437"/>
        <v>306.75578645969324</v>
      </c>
      <c r="CQ149" s="362" t="s">
        <v>77</v>
      </c>
      <c r="DB149" s="74" t="s">
        <v>381</v>
      </c>
      <c r="DD149" s="255"/>
      <c r="DE149" s="255"/>
      <c r="DF149" s="255"/>
      <c r="DG149" s="255"/>
      <c r="DH149" s="255"/>
      <c r="DI149" s="255"/>
      <c r="DJ149" s="255">
        <f t="shared" ref="DJ149:DO149" si="438">SUM(DJ147:DJ148)</f>
        <v>280.40600000000001</v>
      </c>
      <c r="DK149" s="255">
        <f t="shared" si="438"/>
        <v>264.58299999999991</v>
      </c>
      <c r="DL149" s="255">
        <f t="shared" si="438"/>
        <v>462.13400000000001</v>
      </c>
      <c r="DM149" s="255">
        <f t="shared" si="438"/>
        <v>360.89399999999983</v>
      </c>
      <c r="DN149" s="255">
        <f t="shared" si="438"/>
        <v>518.24699999999996</v>
      </c>
      <c r="DO149" s="255">
        <f t="shared" si="438"/>
        <v>452.97000000000031</v>
      </c>
      <c r="DP149" s="255">
        <f t="shared" ref="DP149:DQ149" si="439">SUM(DP147:DP148)</f>
        <v>462.52699999999999</v>
      </c>
      <c r="DQ149" s="255">
        <f t="shared" si="439"/>
        <v>453.78580997849343</v>
      </c>
      <c r="DR149" s="255"/>
      <c r="DS149" s="255"/>
      <c r="DT149" s="413"/>
      <c r="EH149" s="411" t="b">
        <f>ROUND(U149,1)=ROUND(SUM(DJ149:DK149),1)</f>
        <v>1</v>
      </c>
      <c r="EI149" s="411" t="b">
        <f>ROUND(V149,1)=ROUND(SUM(DL149:DM149),1)</f>
        <v>0</v>
      </c>
      <c r="EJ149" s="411" t="b">
        <f>ROUND(W149,1)=ROUND(SUM(DN149:DO149),1)</f>
        <v>0</v>
      </c>
    </row>
    <row r="150" spans="2:140" outlineLevel="1" x14ac:dyDescent="0.2">
      <c r="B150" s="1" t="s">
        <v>384</v>
      </c>
      <c r="D150" s="3"/>
      <c r="E150" s="3"/>
      <c r="F150" s="3"/>
      <c r="G150" s="3"/>
      <c r="H150" s="3"/>
      <c r="I150" s="3"/>
      <c r="J150" s="3"/>
      <c r="K150" s="21">
        <f t="shared" ref="K150:AP150" si="440">ROUND(+(K149)/K171*100,2)</f>
        <v>38.090000000000003</v>
      </c>
      <c r="L150" s="21">
        <f t="shared" si="440"/>
        <v>38.729999999999997</v>
      </c>
      <c r="M150" s="21">
        <f t="shared" si="440"/>
        <v>39.68</v>
      </c>
      <c r="N150" s="21">
        <f t="shared" si="440"/>
        <v>42.67</v>
      </c>
      <c r="O150" s="21">
        <f t="shared" si="440"/>
        <v>48.15</v>
      </c>
      <c r="P150" s="21">
        <f t="shared" si="440"/>
        <v>51.87</v>
      </c>
      <c r="Q150" s="21">
        <f t="shared" si="440"/>
        <v>52.62</v>
      </c>
      <c r="R150" s="21">
        <f t="shared" si="440"/>
        <v>52.45</v>
      </c>
      <c r="S150" s="21">
        <f t="shared" si="440"/>
        <v>56.02</v>
      </c>
      <c r="T150" s="48">
        <f t="shared" si="440"/>
        <v>52.62</v>
      </c>
      <c r="U150" s="48">
        <f t="shared" si="440"/>
        <v>55.89</v>
      </c>
      <c r="V150" s="48">
        <f t="shared" si="440"/>
        <v>77.39</v>
      </c>
      <c r="W150" s="48">
        <f t="shared" si="440"/>
        <v>87.4</v>
      </c>
      <c r="X150" s="48">
        <f t="shared" si="440"/>
        <v>79.88</v>
      </c>
      <c r="Y150" s="48">
        <f t="shared" si="440"/>
        <v>84.16</v>
      </c>
      <c r="Z150" s="48">
        <f t="shared" si="440"/>
        <v>89.11</v>
      </c>
      <c r="AA150" s="48">
        <f t="shared" si="440"/>
        <v>86.65</v>
      </c>
      <c r="AB150" s="48">
        <f t="shared" si="440"/>
        <v>84.02</v>
      </c>
      <c r="AC150" s="48">
        <f t="shared" si="440"/>
        <v>82.23</v>
      </c>
      <c r="AD150" s="48">
        <f t="shared" si="440"/>
        <v>84.78</v>
      </c>
      <c r="AE150" s="48">
        <f t="shared" si="440"/>
        <v>86.46</v>
      </c>
      <c r="AF150" s="48">
        <f t="shared" si="440"/>
        <v>86.75</v>
      </c>
      <c r="AG150" s="48">
        <f t="shared" si="440"/>
        <v>86.3</v>
      </c>
      <c r="AH150" s="48">
        <f t="shared" si="440"/>
        <v>87.84</v>
      </c>
      <c r="AI150" s="48">
        <f t="shared" si="440"/>
        <v>80.22</v>
      </c>
      <c r="AJ150" s="48">
        <f t="shared" si="440"/>
        <v>75.430000000000007</v>
      </c>
      <c r="AK150" s="48">
        <f t="shared" si="440"/>
        <v>74.39</v>
      </c>
      <c r="AL150" s="48">
        <f t="shared" si="440"/>
        <v>75.94</v>
      </c>
      <c r="AM150" s="48">
        <f t="shared" si="440"/>
        <v>77.56</v>
      </c>
      <c r="AN150" s="48">
        <f t="shared" si="440"/>
        <v>78.39</v>
      </c>
      <c r="AO150" s="48">
        <f t="shared" si="440"/>
        <v>77.260000000000005</v>
      </c>
      <c r="AP150" s="48">
        <f t="shared" si="440"/>
        <v>43.11</v>
      </c>
      <c r="AQ150" s="48">
        <f t="shared" ref="AQ150:BV150" si="441">ROUND(+(AQ149)/AQ171*100,2)</f>
        <v>45.24</v>
      </c>
      <c r="AR150" s="48">
        <f t="shared" si="441"/>
        <v>39.92</v>
      </c>
      <c r="AS150" s="48">
        <f t="shared" si="441"/>
        <v>32.82</v>
      </c>
      <c r="AT150" s="48">
        <f t="shared" si="441"/>
        <v>32.380000000000003</v>
      </c>
      <c r="AU150" s="48">
        <f t="shared" si="441"/>
        <v>34.21</v>
      </c>
      <c r="AV150" s="48">
        <f t="shared" si="441"/>
        <v>35.200000000000003</v>
      </c>
      <c r="AW150" s="48">
        <f t="shared" si="441"/>
        <v>33.19</v>
      </c>
      <c r="AX150" s="48">
        <f t="shared" si="441"/>
        <v>34.130000000000003</v>
      </c>
      <c r="AY150" s="48">
        <f t="shared" si="441"/>
        <v>35.090000000000003</v>
      </c>
      <c r="AZ150" s="48">
        <f t="shared" si="441"/>
        <v>36.090000000000003</v>
      </c>
      <c r="BA150" s="48">
        <f t="shared" si="441"/>
        <v>23.87</v>
      </c>
      <c r="BB150" s="48">
        <f t="shared" si="441"/>
        <v>24.89</v>
      </c>
      <c r="BC150" s="48">
        <f t="shared" si="441"/>
        <v>25.94</v>
      </c>
      <c r="BD150" s="48">
        <f t="shared" si="441"/>
        <v>27.02</v>
      </c>
      <c r="BE150" s="48">
        <f t="shared" si="441"/>
        <v>28.13</v>
      </c>
      <c r="BF150" s="48">
        <f t="shared" si="441"/>
        <v>29.27</v>
      </c>
      <c r="BG150" s="48">
        <f t="shared" si="441"/>
        <v>30.45</v>
      </c>
      <c r="BH150" s="48">
        <f t="shared" si="441"/>
        <v>31.66</v>
      </c>
      <c r="BI150" s="48">
        <f t="shared" si="441"/>
        <v>32.9</v>
      </c>
      <c r="BJ150" s="48">
        <f t="shared" si="441"/>
        <v>34.18</v>
      </c>
      <c r="BK150" s="48">
        <f t="shared" si="441"/>
        <v>35.49</v>
      </c>
      <c r="BL150" s="48">
        <f t="shared" si="441"/>
        <v>36.840000000000003</v>
      </c>
      <c r="BM150" s="48">
        <f t="shared" si="441"/>
        <v>38.229999999999997</v>
      </c>
      <c r="BN150" s="48">
        <f t="shared" si="441"/>
        <v>39.659999999999997</v>
      </c>
      <c r="BO150" s="48">
        <f t="shared" si="441"/>
        <v>41.12</v>
      </c>
      <c r="BP150" s="48">
        <f t="shared" si="441"/>
        <v>42.63</v>
      </c>
      <c r="BQ150" s="48">
        <f t="shared" si="441"/>
        <v>41.98</v>
      </c>
      <c r="BR150" s="48">
        <f t="shared" si="441"/>
        <v>43.25</v>
      </c>
      <c r="BS150" s="48">
        <f t="shared" si="441"/>
        <v>41.87</v>
      </c>
      <c r="BT150" s="48">
        <f t="shared" si="441"/>
        <v>40.76</v>
      </c>
      <c r="BU150" s="48">
        <f t="shared" si="441"/>
        <v>42.04</v>
      </c>
      <c r="BV150" s="48">
        <f t="shared" si="441"/>
        <v>43.34</v>
      </c>
      <c r="BW150" s="48">
        <f t="shared" ref="BW150:CP150" si="442">ROUND(+(BW149)/BW171*100,2)</f>
        <v>44.67</v>
      </c>
      <c r="BX150" s="48">
        <f t="shared" si="442"/>
        <v>46.04</v>
      </c>
      <c r="BY150" s="48">
        <f t="shared" si="442"/>
        <v>47.44</v>
      </c>
      <c r="BZ150" s="48">
        <f t="shared" si="442"/>
        <v>48.87</v>
      </c>
      <c r="CA150" s="48">
        <f t="shared" si="442"/>
        <v>50.34</v>
      </c>
      <c r="CB150" s="48">
        <f t="shared" si="442"/>
        <v>51.84</v>
      </c>
      <c r="CC150" s="48">
        <f t="shared" si="442"/>
        <v>53.07</v>
      </c>
      <c r="CD150" s="48">
        <f t="shared" si="442"/>
        <v>50.89</v>
      </c>
      <c r="CE150" s="48">
        <f t="shared" si="442"/>
        <v>52.41</v>
      </c>
      <c r="CF150" s="48">
        <f t="shared" si="442"/>
        <v>53.98</v>
      </c>
      <c r="CG150" s="48">
        <f t="shared" si="442"/>
        <v>55.58</v>
      </c>
      <c r="CH150" s="48">
        <f t="shared" si="442"/>
        <v>18.940000000000001</v>
      </c>
      <c r="CI150" s="48">
        <f t="shared" si="442"/>
        <v>20.04</v>
      </c>
      <c r="CJ150" s="48">
        <f t="shared" si="442"/>
        <v>21.17</v>
      </c>
      <c r="CK150" s="48">
        <f t="shared" si="442"/>
        <v>22.33</v>
      </c>
      <c r="CL150" s="48">
        <f t="shared" si="442"/>
        <v>23.52</v>
      </c>
      <c r="CM150" s="48">
        <f t="shared" si="442"/>
        <v>24.74</v>
      </c>
      <c r="CN150" s="48">
        <f t="shared" si="442"/>
        <v>25.99</v>
      </c>
      <c r="CO150" s="48">
        <f t="shared" si="442"/>
        <v>27.28</v>
      </c>
      <c r="CP150" s="48">
        <f t="shared" si="442"/>
        <v>26</v>
      </c>
      <c r="CQ150" s="362" t="s">
        <v>77</v>
      </c>
      <c r="DB150" s="1" t="s">
        <v>384</v>
      </c>
      <c r="DD150" s="1"/>
      <c r="DE150" s="1"/>
      <c r="DF150" s="1"/>
      <c r="DG150" s="1"/>
      <c r="DH150" s="1"/>
      <c r="DI150" s="1"/>
      <c r="DJ150" s="48">
        <f t="shared" ref="DJ150:DO150" si="443">ROUND(+(DJ149)/DJ171*100,2)</f>
        <v>28.76</v>
      </c>
      <c r="DK150" s="48">
        <f t="shared" si="443"/>
        <v>27.14</v>
      </c>
      <c r="DL150" s="48">
        <f t="shared" si="443"/>
        <v>41.47</v>
      </c>
      <c r="DM150" s="48">
        <f t="shared" si="443"/>
        <v>32.39</v>
      </c>
      <c r="DN150" s="48">
        <f t="shared" si="443"/>
        <v>46.51</v>
      </c>
      <c r="DO150" s="48">
        <f t="shared" si="443"/>
        <v>39.49</v>
      </c>
      <c r="DP150" s="48">
        <f t="shared" ref="DP150:DQ150" si="444">ROUND(+(DP149)/DP171*100,2)</f>
        <v>41.51</v>
      </c>
      <c r="DQ150" s="48">
        <f t="shared" si="444"/>
        <v>39.56</v>
      </c>
      <c r="DR150" s="48"/>
      <c r="DS150" s="48"/>
      <c r="DT150" s="413"/>
    </row>
    <row r="151" spans="2:140" outlineLevel="1" x14ac:dyDescent="0.2">
      <c r="B151" s="1" t="s">
        <v>383</v>
      </c>
      <c r="D151" s="35"/>
      <c r="E151" s="35"/>
      <c r="F151" s="35"/>
      <c r="G151" s="35"/>
      <c r="H151" s="35"/>
      <c r="I151" s="35"/>
      <c r="J151" s="35"/>
      <c r="K151" s="36">
        <f t="shared" ref="K151:BD151" si="445">+K139/K150</f>
        <v>0.59070622210553947</v>
      </c>
      <c r="L151" s="277">
        <f t="shared" si="445"/>
        <v>0.61967467079783123</v>
      </c>
      <c r="M151" s="277">
        <f t="shared" si="445"/>
        <v>0.70564516129032262</v>
      </c>
      <c r="N151" s="277">
        <f t="shared" si="445"/>
        <v>0.6913522381063979</v>
      </c>
      <c r="O151" s="277">
        <f t="shared" si="445"/>
        <v>0.64382139148494288</v>
      </c>
      <c r="P151" s="277">
        <f t="shared" si="445"/>
        <v>0.63138615770194717</v>
      </c>
      <c r="Q151" s="277">
        <f t="shared" si="445"/>
        <v>0.65374382364120109</v>
      </c>
      <c r="R151" s="277">
        <f t="shared" si="445"/>
        <v>0.66730219256434697</v>
      </c>
      <c r="S151" s="277">
        <f t="shared" si="445"/>
        <v>0.63370224919671547</v>
      </c>
      <c r="T151" s="278">
        <f t="shared" si="445"/>
        <v>0.68890155834283551</v>
      </c>
      <c r="U151" s="278">
        <f t="shared" si="445"/>
        <v>0.6799069601001968</v>
      </c>
      <c r="V151" s="278">
        <f>+V139/V150</f>
        <v>0.53624499289313865</v>
      </c>
      <c r="W151" s="278">
        <f>+W139/W150</f>
        <v>0.49771167048054915</v>
      </c>
      <c r="X151" s="278">
        <f t="shared" si="445"/>
        <v>0.56334501752628952</v>
      </c>
      <c r="Y151" s="278">
        <f t="shared" si="445"/>
        <v>0.57034220532319391</v>
      </c>
      <c r="Z151" s="278">
        <f t="shared" si="445"/>
        <v>0.56110425317023904</v>
      </c>
      <c r="AA151" s="278">
        <f t="shared" si="445"/>
        <v>0.57703404500865552</v>
      </c>
      <c r="AB151" s="278">
        <f t="shared" si="445"/>
        <v>0.59509640561771004</v>
      </c>
      <c r="AC151" s="278">
        <f t="shared" si="445"/>
        <v>0.60805058980907212</v>
      </c>
      <c r="AD151" s="278">
        <f>+AD139/AD150</f>
        <v>0.58976173625855155</v>
      </c>
      <c r="AE151" s="278">
        <f t="shared" si="445"/>
        <v>0.57830210501966228</v>
      </c>
      <c r="AF151" s="278">
        <f t="shared" si="445"/>
        <v>0.57636887608069165</v>
      </c>
      <c r="AG151" s="278">
        <f t="shared" si="445"/>
        <v>0.57937427578215528</v>
      </c>
      <c r="AH151" s="278">
        <f t="shared" si="445"/>
        <v>0.56921675774134783</v>
      </c>
      <c r="AI151" s="278">
        <f t="shared" si="445"/>
        <v>0.62328596360009969</v>
      </c>
      <c r="AJ151" s="278">
        <f t="shared" si="445"/>
        <v>0.66286623359406061</v>
      </c>
      <c r="AK151" s="278">
        <f t="shared" si="445"/>
        <v>0.67213335125688933</v>
      </c>
      <c r="AL151" s="278">
        <f t="shared" si="445"/>
        <v>0.65841453779299453</v>
      </c>
      <c r="AM151" s="278">
        <f t="shared" si="445"/>
        <v>0.64466219700876737</v>
      </c>
      <c r="AN151" s="278">
        <f t="shared" si="445"/>
        <v>0.63783645873198114</v>
      </c>
      <c r="AO151" s="278">
        <f t="shared" si="445"/>
        <v>0.64716541548019668</v>
      </c>
      <c r="AP151" s="278">
        <f t="shared" si="445"/>
        <v>1.1598237067965669</v>
      </c>
      <c r="AQ151" s="278">
        <f t="shared" si="445"/>
        <v>1.1052166224580018</v>
      </c>
      <c r="AR151" s="278">
        <f t="shared" si="445"/>
        <v>1.2525050100200401</v>
      </c>
      <c r="AS151" s="278">
        <f t="shared" si="445"/>
        <v>1.5234613040828764</v>
      </c>
      <c r="AT151" s="278">
        <f t="shared" si="445"/>
        <v>1.5441630636195181</v>
      </c>
      <c r="AU151" s="278">
        <f t="shared" si="445"/>
        <v>1.4615609470914936</v>
      </c>
      <c r="AV151" s="278">
        <f t="shared" si="445"/>
        <v>1.4204545454545454</v>
      </c>
      <c r="AW151" s="278">
        <f t="shared" si="445"/>
        <v>1.5064778547755349</v>
      </c>
      <c r="AX151" s="278">
        <f t="shared" si="445"/>
        <v>1.4649868151186638</v>
      </c>
      <c r="AY151" s="278">
        <f t="shared" si="445"/>
        <v>1.4249073810202335</v>
      </c>
      <c r="AZ151" s="278">
        <f t="shared" si="445"/>
        <v>1.3854253255749513</v>
      </c>
      <c r="BA151" s="278">
        <f t="shared" si="445"/>
        <v>2.0946795140343526</v>
      </c>
      <c r="BB151" s="278">
        <f t="shared" si="445"/>
        <v>2.0088388911209321</v>
      </c>
      <c r="BC151" s="278">
        <f t="shared" si="445"/>
        <v>1.9275250578257517</v>
      </c>
      <c r="BD151" s="278">
        <f t="shared" si="445"/>
        <v>1.8504811250925242</v>
      </c>
      <c r="BE151" s="278">
        <f t="shared" ref="BE151:CP151" si="446">+BE139/BE150</f>
        <v>1.7774617845716318</v>
      </c>
      <c r="BF151" s="278">
        <f t="shared" si="446"/>
        <v>1.7082336863682952</v>
      </c>
      <c r="BG151" s="278">
        <f t="shared" si="446"/>
        <v>1.6420361247947455</v>
      </c>
      <c r="BH151" s="278">
        <f t="shared" si="446"/>
        <v>1.5792798483891346</v>
      </c>
      <c r="BI151" s="278">
        <f t="shared" si="446"/>
        <v>1.5197568389057752</v>
      </c>
      <c r="BJ151" s="278">
        <f t="shared" si="446"/>
        <v>1.4628437682855471</v>
      </c>
      <c r="BK151" s="278">
        <f t="shared" si="446"/>
        <v>1.4088475626937165</v>
      </c>
      <c r="BL151" s="278">
        <f t="shared" si="446"/>
        <v>1.3572204125950054</v>
      </c>
      <c r="BM151" s="278">
        <f t="shared" si="446"/>
        <v>1.3078733978550878</v>
      </c>
      <c r="BN151" s="278">
        <f t="shared" si="446"/>
        <v>1.2607160867372669</v>
      </c>
      <c r="BO151" s="278">
        <f t="shared" si="446"/>
        <v>1.2159533073929962</v>
      </c>
      <c r="BP151" s="278">
        <f t="shared" si="446"/>
        <v>1.172882946281961</v>
      </c>
      <c r="BQ151" s="278">
        <f t="shared" si="446"/>
        <v>1.1910433539780849</v>
      </c>
      <c r="BR151" s="278">
        <f t="shared" si="446"/>
        <v>1.1560693641618498</v>
      </c>
      <c r="BS151" s="278">
        <f t="shared" si="446"/>
        <v>1.1941724385001196</v>
      </c>
      <c r="BT151" s="278">
        <f t="shared" si="446"/>
        <v>1.2266928361138372</v>
      </c>
      <c r="BU151" s="278">
        <f t="shared" si="446"/>
        <v>1.1893434823977165</v>
      </c>
      <c r="BV151" s="278">
        <f t="shared" si="446"/>
        <v>1.1536686663590217</v>
      </c>
      <c r="BW151" s="278">
        <f t="shared" si="446"/>
        <v>1.1193194537721065</v>
      </c>
      <c r="BX151" s="278">
        <f t="shared" si="446"/>
        <v>1.0860121633362294</v>
      </c>
      <c r="BY151" s="278">
        <f t="shared" si="446"/>
        <v>1.0539629005059021</v>
      </c>
      <c r="BZ151" s="278">
        <f t="shared" si="446"/>
        <v>1.0231225700838962</v>
      </c>
      <c r="CA151" s="278">
        <f t="shared" si="446"/>
        <v>0.9932459276916964</v>
      </c>
      <c r="CB151" s="278">
        <f t="shared" si="446"/>
        <v>0.96450617283950613</v>
      </c>
      <c r="CC151" s="278">
        <f t="shared" si="446"/>
        <v>0.94215187488223096</v>
      </c>
      <c r="CD151" s="278">
        <f t="shared" si="446"/>
        <v>0.98251129887993716</v>
      </c>
      <c r="CE151" s="278">
        <f t="shared" si="446"/>
        <v>0.95401640908223628</v>
      </c>
      <c r="CF151" s="278">
        <f t="shared" si="446"/>
        <v>0.92626898851426465</v>
      </c>
      <c r="CG151" s="278">
        <f t="shared" si="446"/>
        <v>0.89960417416336813</v>
      </c>
      <c r="CH151" s="278">
        <f t="shared" si="446"/>
        <v>2.6399155227032733</v>
      </c>
      <c r="CI151" s="278">
        <f t="shared" si="446"/>
        <v>2.4950099800399204</v>
      </c>
      <c r="CJ151" s="278">
        <f t="shared" si="446"/>
        <v>2.3618327822390173</v>
      </c>
      <c r="CK151" s="278">
        <f t="shared" si="446"/>
        <v>2.2391401701746529</v>
      </c>
      <c r="CL151" s="278">
        <f t="shared" si="446"/>
        <v>2.1258503401360547</v>
      </c>
      <c r="CM151" s="278">
        <f t="shared" si="446"/>
        <v>2.0210185933710592</v>
      </c>
      <c r="CN151" s="278">
        <f t="shared" si="446"/>
        <v>1.9238168526356292</v>
      </c>
      <c r="CO151" s="278">
        <f t="shared" si="446"/>
        <v>1.8328445747800586</v>
      </c>
      <c r="CP151" s="278">
        <f t="shared" si="446"/>
        <v>1.9230769230769231</v>
      </c>
      <c r="CQ151" s="362" t="s">
        <v>77</v>
      </c>
      <c r="DB151" s="1" t="s">
        <v>383</v>
      </c>
      <c r="DD151" s="1"/>
      <c r="DE151" s="1"/>
      <c r="DF151" s="1"/>
      <c r="DG151" s="1"/>
      <c r="DH151" s="1"/>
      <c r="DI151" s="1"/>
      <c r="DJ151" s="46">
        <f t="shared" ref="DJ151:DO151" si="447">+DJ139/DJ150</f>
        <v>0.6084840055632823</v>
      </c>
      <c r="DK151" s="46">
        <f t="shared" si="447"/>
        <v>0.7553426676492262</v>
      </c>
      <c r="DL151" s="46">
        <f t="shared" si="447"/>
        <v>0.45816252712804439</v>
      </c>
      <c r="DM151" s="46">
        <f t="shared" si="447"/>
        <v>0.69465884532263045</v>
      </c>
      <c r="DN151" s="46">
        <f t="shared" si="447"/>
        <v>0.44076542678993769</v>
      </c>
      <c r="DO151" s="46">
        <f t="shared" si="447"/>
        <v>0.58242593061534564</v>
      </c>
      <c r="DP151" s="46">
        <f t="shared" ref="DP151:DQ151" si="448">+DP139/DP150</f>
        <v>0.50590219224283306</v>
      </c>
      <c r="DQ151" s="46">
        <f t="shared" si="448"/>
        <v>0.60667340748230536</v>
      </c>
      <c r="DR151" s="46"/>
      <c r="DS151" s="46"/>
      <c r="DT151" s="413"/>
    </row>
    <row r="152" spans="2:140" x14ac:dyDescent="0.2"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90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  <c r="BA152" s="10"/>
      <c r="BB152" s="10"/>
      <c r="BC152" s="10"/>
      <c r="BD152" s="10"/>
      <c r="BE152" s="10"/>
      <c r="BF152" s="10"/>
      <c r="BG152" s="10"/>
      <c r="BH152" s="10"/>
      <c r="BI152" s="10"/>
      <c r="BJ152" s="10"/>
      <c r="BK152" s="10"/>
      <c r="BL152" s="10"/>
      <c r="BM152" s="10"/>
      <c r="BN152" s="10"/>
      <c r="BO152" s="10"/>
      <c r="BP152" s="10"/>
      <c r="BQ152" s="10"/>
      <c r="BR152" s="10"/>
      <c r="BS152" s="10"/>
      <c r="BT152" s="10"/>
      <c r="BU152" s="10"/>
      <c r="BV152" s="10"/>
      <c r="BW152" s="10"/>
      <c r="BX152" s="10"/>
      <c r="BY152" s="10"/>
      <c r="BZ152" s="10"/>
      <c r="CA152" s="10"/>
      <c r="CB152" s="10"/>
      <c r="CC152" s="10"/>
      <c r="CD152" s="10"/>
      <c r="CE152" s="10"/>
      <c r="CF152" s="10"/>
      <c r="CG152" s="10"/>
      <c r="CH152" s="10"/>
      <c r="CI152" s="10"/>
      <c r="CJ152" s="10"/>
      <c r="CK152" s="10"/>
      <c r="CL152" s="10"/>
      <c r="CM152" s="10"/>
      <c r="CN152" s="10"/>
      <c r="CO152" s="10"/>
      <c r="CP152" s="10"/>
      <c r="CQ152" s="362" t="s">
        <v>77</v>
      </c>
      <c r="DD152" s="8"/>
      <c r="DE152" s="8"/>
      <c r="DF152" s="8"/>
      <c r="DG152" s="8"/>
      <c r="DH152" s="8"/>
      <c r="DI152" s="8"/>
      <c r="DJ152" s="8"/>
      <c r="DK152" s="8"/>
      <c r="DM152" s="413"/>
      <c r="DO152" s="413"/>
      <c r="DQ152" s="413"/>
      <c r="DR152" s="413"/>
      <c r="DS152" s="413"/>
      <c r="DT152" s="413"/>
    </row>
    <row r="153" spans="2:140" x14ac:dyDescent="0.2">
      <c r="B153" s="728" t="s">
        <v>486</v>
      </c>
      <c r="C153" s="312"/>
      <c r="D153" s="308"/>
      <c r="E153" s="308"/>
      <c r="F153" s="312">
        <f t="shared" ref="F153:BQ153" si="449">Fiscal_Year</f>
        <v>36707</v>
      </c>
      <c r="G153" s="312">
        <f t="shared" si="449"/>
        <v>37072</v>
      </c>
      <c r="H153" s="312">
        <f t="shared" si="449"/>
        <v>37437</v>
      </c>
      <c r="I153" s="312">
        <f t="shared" si="449"/>
        <v>37802</v>
      </c>
      <c r="J153" s="312">
        <f t="shared" si="449"/>
        <v>38168</v>
      </c>
      <c r="K153" s="312">
        <f t="shared" si="449"/>
        <v>38533</v>
      </c>
      <c r="L153" s="312">
        <f t="shared" si="449"/>
        <v>38898</v>
      </c>
      <c r="M153" s="312">
        <f t="shared" si="449"/>
        <v>39263</v>
      </c>
      <c r="N153" s="312">
        <f t="shared" si="449"/>
        <v>39629</v>
      </c>
      <c r="O153" s="312">
        <f t="shared" si="449"/>
        <v>39994</v>
      </c>
      <c r="P153" s="312">
        <f t="shared" si="449"/>
        <v>40359</v>
      </c>
      <c r="Q153" s="312">
        <f t="shared" si="449"/>
        <v>40724</v>
      </c>
      <c r="R153" s="312">
        <f t="shared" si="449"/>
        <v>41090</v>
      </c>
      <c r="S153" s="312">
        <f t="shared" si="449"/>
        <v>41455</v>
      </c>
      <c r="T153" s="312">
        <f t="shared" si="449"/>
        <v>41820</v>
      </c>
      <c r="U153" s="312">
        <f t="shared" si="449"/>
        <v>42185</v>
      </c>
      <c r="V153" s="312">
        <f t="shared" si="449"/>
        <v>42551</v>
      </c>
      <c r="W153" s="312">
        <f t="shared" si="449"/>
        <v>42916</v>
      </c>
      <c r="X153" s="312">
        <f t="shared" si="449"/>
        <v>43281</v>
      </c>
      <c r="Y153" s="312">
        <f t="shared" si="449"/>
        <v>43646</v>
      </c>
      <c r="Z153" s="312">
        <f t="shared" si="449"/>
        <v>44012</v>
      </c>
      <c r="AA153" s="312">
        <f t="shared" si="449"/>
        <v>44377</v>
      </c>
      <c r="AB153" s="312">
        <f t="shared" si="449"/>
        <v>44742</v>
      </c>
      <c r="AC153" s="312">
        <f t="shared" si="449"/>
        <v>45107</v>
      </c>
      <c r="AD153" s="312">
        <f t="shared" si="449"/>
        <v>45473</v>
      </c>
      <c r="AE153" s="312">
        <f t="shared" si="449"/>
        <v>45838</v>
      </c>
      <c r="AF153" s="312">
        <f t="shared" si="449"/>
        <v>46203</v>
      </c>
      <c r="AG153" s="312">
        <f t="shared" si="449"/>
        <v>46568</v>
      </c>
      <c r="AH153" s="312">
        <f t="shared" si="449"/>
        <v>46934</v>
      </c>
      <c r="AI153" s="312">
        <f t="shared" si="449"/>
        <v>47299</v>
      </c>
      <c r="AJ153" s="312">
        <f t="shared" si="449"/>
        <v>47664</v>
      </c>
      <c r="AK153" s="312">
        <f t="shared" si="449"/>
        <v>48029</v>
      </c>
      <c r="AL153" s="312">
        <f t="shared" si="449"/>
        <v>48395</v>
      </c>
      <c r="AM153" s="312">
        <f t="shared" si="449"/>
        <v>48760</v>
      </c>
      <c r="AN153" s="312">
        <f t="shared" si="449"/>
        <v>49125</v>
      </c>
      <c r="AO153" s="312">
        <f t="shared" si="449"/>
        <v>49490</v>
      </c>
      <c r="AP153" s="312">
        <f t="shared" si="449"/>
        <v>49856</v>
      </c>
      <c r="AQ153" s="312">
        <f t="shared" si="449"/>
        <v>50221</v>
      </c>
      <c r="AR153" s="312">
        <f t="shared" si="449"/>
        <v>50586</v>
      </c>
      <c r="AS153" s="312">
        <f t="shared" si="449"/>
        <v>50951</v>
      </c>
      <c r="AT153" s="312">
        <f t="shared" si="449"/>
        <v>51317</v>
      </c>
      <c r="AU153" s="312">
        <f t="shared" si="449"/>
        <v>51682</v>
      </c>
      <c r="AV153" s="312">
        <f t="shared" si="449"/>
        <v>52047</v>
      </c>
      <c r="AW153" s="312">
        <f t="shared" si="449"/>
        <v>52412</v>
      </c>
      <c r="AX153" s="312">
        <f t="shared" si="449"/>
        <v>52778</v>
      </c>
      <c r="AY153" s="312">
        <f t="shared" si="449"/>
        <v>53143</v>
      </c>
      <c r="AZ153" s="312">
        <f t="shared" si="449"/>
        <v>53508</v>
      </c>
      <c r="BA153" s="312">
        <f t="shared" si="449"/>
        <v>53873</v>
      </c>
      <c r="BB153" s="312">
        <f t="shared" si="449"/>
        <v>54239</v>
      </c>
      <c r="BC153" s="312">
        <f t="shared" si="449"/>
        <v>54604</v>
      </c>
      <c r="BD153" s="312">
        <f t="shared" si="449"/>
        <v>54969</v>
      </c>
      <c r="BE153" s="312">
        <f t="shared" si="449"/>
        <v>55334</v>
      </c>
      <c r="BF153" s="312">
        <f t="shared" si="449"/>
        <v>55700</v>
      </c>
      <c r="BG153" s="312">
        <f t="shared" si="449"/>
        <v>56065</v>
      </c>
      <c r="BH153" s="312">
        <f t="shared" si="449"/>
        <v>56430</v>
      </c>
      <c r="BI153" s="312">
        <f t="shared" si="449"/>
        <v>56795</v>
      </c>
      <c r="BJ153" s="312">
        <f t="shared" si="449"/>
        <v>57161</v>
      </c>
      <c r="BK153" s="312">
        <f t="shared" si="449"/>
        <v>57526</v>
      </c>
      <c r="BL153" s="312">
        <f t="shared" si="449"/>
        <v>57891</v>
      </c>
      <c r="BM153" s="312">
        <f t="shared" si="449"/>
        <v>58256</v>
      </c>
      <c r="BN153" s="312">
        <f t="shared" si="449"/>
        <v>58622</v>
      </c>
      <c r="BO153" s="312">
        <f t="shared" si="449"/>
        <v>58987</v>
      </c>
      <c r="BP153" s="312">
        <f t="shared" si="449"/>
        <v>59352</v>
      </c>
      <c r="BQ153" s="312">
        <f t="shared" si="449"/>
        <v>59717</v>
      </c>
      <c r="BR153" s="312">
        <f t="shared" ref="BR153:CP153" si="450">Fiscal_Year</f>
        <v>60083</v>
      </c>
      <c r="BS153" s="312">
        <f t="shared" si="450"/>
        <v>60448</v>
      </c>
      <c r="BT153" s="312">
        <f t="shared" si="450"/>
        <v>60813</v>
      </c>
      <c r="BU153" s="312">
        <f t="shared" si="450"/>
        <v>61178</v>
      </c>
      <c r="BV153" s="312">
        <f t="shared" si="450"/>
        <v>61544</v>
      </c>
      <c r="BW153" s="312">
        <f t="shared" si="450"/>
        <v>61909</v>
      </c>
      <c r="BX153" s="312">
        <f t="shared" si="450"/>
        <v>62274</v>
      </c>
      <c r="BY153" s="312">
        <f t="shared" si="450"/>
        <v>62639</v>
      </c>
      <c r="BZ153" s="312">
        <f t="shared" si="450"/>
        <v>63005</v>
      </c>
      <c r="CA153" s="312">
        <f t="shared" si="450"/>
        <v>63370</v>
      </c>
      <c r="CB153" s="312">
        <f t="shared" si="450"/>
        <v>63735</v>
      </c>
      <c r="CC153" s="312">
        <f t="shared" si="450"/>
        <v>64100</v>
      </c>
      <c r="CD153" s="312">
        <f t="shared" si="450"/>
        <v>64466</v>
      </c>
      <c r="CE153" s="312">
        <f t="shared" si="450"/>
        <v>64831</v>
      </c>
      <c r="CF153" s="312">
        <f t="shared" si="450"/>
        <v>65196</v>
      </c>
      <c r="CG153" s="312">
        <f t="shared" si="450"/>
        <v>65561</v>
      </c>
      <c r="CH153" s="312">
        <f t="shared" si="450"/>
        <v>65927</v>
      </c>
      <c r="CI153" s="312">
        <f t="shared" si="450"/>
        <v>66292</v>
      </c>
      <c r="CJ153" s="312">
        <f t="shared" si="450"/>
        <v>66657</v>
      </c>
      <c r="CK153" s="312">
        <f t="shared" si="450"/>
        <v>67022</v>
      </c>
      <c r="CL153" s="312">
        <f t="shared" si="450"/>
        <v>67388</v>
      </c>
      <c r="CM153" s="312">
        <f t="shared" si="450"/>
        <v>67753</v>
      </c>
      <c r="CN153" s="312">
        <f t="shared" si="450"/>
        <v>68118</v>
      </c>
      <c r="CO153" s="312">
        <f t="shared" si="450"/>
        <v>68483</v>
      </c>
      <c r="CP153" s="312">
        <f t="shared" si="450"/>
        <v>68849</v>
      </c>
      <c r="CQ153" s="362" t="s">
        <v>77</v>
      </c>
      <c r="DD153" s="8"/>
      <c r="DE153" s="8"/>
      <c r="DF153" s="8"/>
      <c r="DG153" s="8"/>
      <c r="DH153" s="8"/>
      <c r="DI153" s="8"/>
      <c r="DJ153" s="8"/>
      <c r="DK153" s="8"/>
      <c r="DM153" s="413"/>
      <c r="DO153" s="413"/>
      <c r="DQ153" s="413"/>
      <c r="DR153" s="413"/>
      <c r="DS153" s="413"/>
      <c r="DT153" s="413"/>
    </row>
    <row r="154" spans="2:140" ht="5.0999999999999996" customHeight="1" x14ac:dyDescent="0.2">
      <c r="B154" s="107"/>
      <c r="D154" s="108"/>
      <c r="E154" s="108"/>
      <c r="F154" s="108"/>
      <c r="G154" s="108"/>
      <c r="H154" s="108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  <c r="T154" s="108"/>
      <c r="U154" s="108"/>
      <c r="V154" s="108"/>
      <c r="W154" s="108"/>
      <c r="X154" s="108"/>
      <c r="Y154" s="108"/>
      <c r="Z154" s="108"/>
      <c r="AA154" s="108"/>
      <c r="AB154" s="108"/>
      <c r="AC154" s="108"/>
      <c r="AD154" s="108"/>
      <c r="AE154" s="108"/>
      <c r="AF154" s="108"/>
      <c r="AG154" s="108"/>
      <c r="AH154" s="108"/>
      <c r="AI154" s="108"/>
      <c r="AJ154" s="108"/>
      <c r="AK154" s="108"/>
      <c r="AL154" s="108"/>
      <c r="AM154" s="108"/>
      <c r="AN154" s="108"/>
      <c r="AO154" s="108"/>
      <c r="AP154" s="108"/>
      <c r="AQ154" s="108"/>
      <c r="AR154" s="108"/>
      <c r="AS154" s="108"/>
      <c r="AT154" s="108"/>
      <c r="AU154" s="108"/>
      <c r="AV154" s="108"/>
      <c r="AW154" s="108"/>
      <c r="AX154" s="108"/>
      <c r="AY154" s="108"/>
      <c r="AZ154" s="108"/>
      <c r="BA154" s="108"/>
      <c r="BB154" s="108"/>
      <c r="BC154" s="108"/>
      <c r="BD154" s="108"/>
      <c r="BE154" s="108"/>
      <c r="BF154" s="108"/>
      <c r="BG154" s="108"/>
      <c r="BH154" s="108"/>
      <c r="BI154" s="108"/>
      <c r="BJ154" s="108"/>
      <c r="BK154" s="108"/>
      <c r="BL154" s="108"/>
      <c r="BM154" s="108"/>
      <c r="BN154" s="108"/>
      <c r="BO154" s="108"/>
      <c r="BP154" s="108"/>
      <c r="BQ154" s="108"/>
      <c r="BR154" s="108"/>
      <c r="BS154" s="108"/>
      <c r="BT154" s="108"/>
      <c r="BU154" s="108"/>
      <c r="BV154" s="108"/>
      <c r="BW154" s="108"/>
      <c r="BX154" s="108"/>
      <c r="BY154" s="108"/>
      <c r="BZ154" s="108"/>
      <c r="CA154" s="108"/>
      <c r="CB154" s="108"/>
      <c r="CC154" s="108"/>
      <c r="CD154" s="108"/>
      <c r="CE154" s="108"/>
      <c r="CF154" s="108"/>
      <c r="CG154" s="108"/>
      <c r="CH154" s="108"/>
      <c r="CI154" s="108"/>
      <c r="CJ154" s="108"/>
      <c r="CK154" s="108"/>
      <c r="CL154" s="108"/>
      <c r="CM154" s="108"/>
      <c r="CN154" s="108"/>
      <c r="CO154" s="108"/>
      <c r="CP154" s="108"/>
      <c r="CQ154" s="362" t="s">
        <v>77</v>
      </c>
      <c r="DD154" s="8"/>
      <c r="DE154" s="8"/>
      <c r="DF154" s="8"/>
      <c r="DG154" s="8"/>
      <c r="DH154" s="8"/>
      <c r="DI154" s="8"/>
      <c r="DJ154" s="8"/>
      <c r="DK154" s="8"/>
      <c r="DM154" s="413"/>
      <c r="DO154" s="413"/>
      <c r="DQ154" s="413"/>
      <c r="DR154" s="413"/>
      <c r="DS154" s="413"/>
      <c r="DT154" s="413"/>
    </row>
    <row r="155" spans="2:140" s="468" customFormat="1" outlineLevel="1" x14ac:dyDescent="0.2">
      <c r="B155" s="467" t="s">
        <v>487</v>
      </c>
      <c r="D155" s="469"/>
      <c r="E155" s="469"/>
      <c r="F155" s="469"/>
      <c r="G155" s="469"/>
      <c r="H155" s="469"/>
      <c r="I155" s="469"/>
      <c r="J155" s="469"/>
      <c r="K155" s="470">
        <v>7.1067732308962198E-2</v>
      </c>
      <c r="L155" s="470">
        <v>6.5084620135886354E-2</v>
      </c>
      <c r="M155" s="470">
        <v>5.7481910586945448E-2</v>
      </c>
      <c r="N155" s="470">
        <v>7.727370470405702E-2</v>
      </c>
      <c r="O155" s="470">
        <v>7.9546153705730788E-2</v>
      </c>
      <c r="P155" s="470">
        <v>7.4512630124969378E-2</v>
      </c>
      <c r="Q155" s="470">
        <v>8.3592289909584894E-2</v>
      </c>
      <c r="R155" s="470">
        <v>7.76053649999002E-2</v>
      </c>
      <c r="S155" s="140">
        <f t="shared" ref="S155:AX155" si="451">+S112/-(S279+S272)</f>
        <v>7.0144260100246811E-2</v>
      </c>
      <c r="T155" s="140">
        <f t="shared" si="451"/>
        <v>6.9287678756778215E-2</v>
      </c>
      <c r="U155" s="140">
        <f t="shared" si="451"/>
        <v>3.7447841948881622E-2</v>
      </c>
      <c r="V155" s="140">
        <f t="shared" si="451"/>
        <v>5.2585806012668192E-2</v>
      </c>
      <c r="W155" s="140">
        <f t="shared" si="451"/>
        <v>5.3423518660641718E-2</v>
      </c>
      <c r="X155" s="140">
        <f t="shared" si="451"/>
        <v>5.2268498711301209E-2</v>
      </c>
      <c r="Y155" s="140">
        <f t="shared" si="451"/>
        <v>5.2365019966379198E-2</v>
      </c>
      <c r="Z155" s="140">
        <f t="shared" si="451"/>
        <v>5.1845335886524076E-2</v>
      </c>
      <c r="AA155" s="140">
        <f t="shared" si="451"/>
        <v>5.0882866061673207E-2</v>
      </c>
      <c r="AB155" s="140">
        <f t="shared" si="451"/>
        <v>5.7980570979153302E-2</v>
      </c>
      <c r="AC155" s="140">
        <f t="shared" si="451"/>
        <v>5.7968714965852951E-2</v>
      </c>
      <c r="AD155" s="140">
        <f t="shared" si="451"/>
        <v>5.7976324537791113E-2</v>
      </c>
      <c r="AE155" s="140">
        <f t="shared" si="451"/>
        <v>5.8004336464671361E-2</v>
      </c>
      <c r="AF155" s="140">
        <f t="shared" si="451"/>
        <v>5.8053748604793939E-2</v>
      </c>
      <c r="AG155" s="140">
        <f t="shared" si="451"/>
        <v>5.8125624967218764E-2</v>
      </c>
      <c r="AH155" s="140">
        <f t="shared" si="451"/>
        <v>5.8269701012538422E-2</v>
      </c>
      <c r="AI155" s="140">
        <f t="shared" si="451"/>
        <v>5.8387459718201834E-2</v>
      </c>
      <c r="AJ155" s="140">
        <f t="shared" si="451"/>
        <v>5.8530506900807952E-2</v>
      </c>
      <c r="AK155" s="140">
        <f t="shared" si="451"/>
        <v>5.8736456012897946E-2</v>
      </c>
      <c r="AL155" s="140">
        <f t="shared" si="451"/>
        <v>5.8947046677414953E-2</v>
      </c>
      <c r="AM155" s="140">
        <f t="shared" si="451"/>
        <v>5.9178696408383663E-2</v>
      </c>
      <c r="AN155" s="140">
        <f t="shared" si="451"/>
        <v>5.9431405205804068E-2</v>
      </c>
      <c r="AO155" s="140">
        <f t="shared" si="451"/>
        <v>5.9696701776338075E-2</v>
      </c>
      <c r="AP155" s="140">
        <f t="shared" si="451"/>
        <v>0.06</v>
      </c>
      <c r="AQ155" s="140">
        <f t="shared" si="451"/>
        <v>0.06</v>
      </c>
      <c r="AR155" s="140">
        <f t="shared" si="451"/>
        <v>0.06</v>
      </c>
      <c r="AS155" s="140">
        <f t="shared" si="451"/>
        <v>0.06</v>
      </c>
      <c r="AT155" s="140">
        <f t="shared" si="451"/>
        <v>0.06</v>
      </c>
      <c r="AU155" s="140">
        <f t="shared" si="451"/>
        <v>0.06</v>
      </c>
      <c r="AV155" s="140">
        <f t="shared" si="451"/>
        <v>0.06</v>
      </c>
      <c r="AW155" s="140">
        <f t="shared" si="451"/>
        <v>0.06</v>
      </c>
      <c r="AX155" s="140">
        <f t="shared" si="451"/>
        <v>0.06</v>
      </c>
      <c r="AY155" s="140">
        <f t="shared" ref="AY155:CD155" si="452">+AY112/-(AY279+AY272)</f>
        <v>0.06</v>
      </c>
      <c r="AZ155" s="140">
        <f t="shared" si="452"/>
        <v>0.06</v>
      </c>
      <c r="BA155" s="140">
        <f t="shared" si="452"/>
        <v>0.06</v>
      </c>
      <c r="BB155" s="140">
        <f t="shared" si="452"/>
        <v>0.06</v>
      </c>
      <c r="BC155" s="140">
        <f t="shared" si="452"/>
        <v>0.06</v>
      </c>
      <c r="BD155" s="140">
        <f t="shared" si="452"/>
        <v>0.06</v>
      </c>
      <c r="BE155" s="140">
        <f t="shared" si="452"/>
        <v>0.06</v>
      </c>
      <c r="BF155" s="140">
        <f t="shared" si="452"/>
        <v>0.06</v>
      </c>
      <c r="BG155" s="140">
        <f t="shared" si="452"/>
        <v>0.06</v>
      </c>
      <c r="BH155" s="140">
        <f t="shared" si="452"/>
        <v>0.06</v>
      </c>
      <c r="BI155" s="140">
        <f t="shared" si="452"/>
        <v>0.06</v>
      </c>
      <c r="BJ155" s="140">
        <f t="shared" si="452"/>
        <v>5.9999999999999991E-2</v>
      </c>
      <c r="BK155" s="140">
        <f t="shared" si="452"/>
        <v>6.0000000000000005E-2</v>
      </c>
      <c r="BL155" s="140">
        <f t="shared" si="452"/>
        <v>0.06</v>
      </c>
      <c r="BM155" s="140">
        <f t="shared" si="452"/>
        <v>5.9999999999999991E-2</v>
      </c>
      <c r="BN155" s="140">
        <f t="shared" si="452"/>
        <v>6.0000000000000005E-2</v>
      </c>
      <c r="BO155" s="140">
        <f t="shared" si="452"/>
        <v>0.06</v>
      </c>
      <c r="BP155" s="140">
        <f t="shared" si="452"/>
        <v>0.06</v>
      </c>
      <c r="BQ155" s="140">
        <f t="shared" si="452"/>
        <v>0.06</v>
      </c>
      <c r="BR155" s="140">
        <f t="shared" si="452"/>
        <v>0.06</v>
      </c>
      <c r="BS155" s="140">
        <f t="shared" si="452"/>
        <v>0.06</v>
      </c>
      <c r="BT155" s="140">
        <f t="shared" si="452"/>
        <v>0.06</v>
      </c>
      <c r="BU155" s="140">
        <f t="shared" si="452"/>
        <v>0.06</v>
      </c>
      <c r="BV155" s="140">
        <f t="shared" si="452"/>
        <v>0.06</v>
      </c>
      <c r="BW155" s="140">
        <f t="shared" si="452"/>
        <v>6.0000000000000005E-2</v>
      </c>
      <c r="BX155" s="140">
        <f t="shared" si="452"/>
        <v>0.06</v>
      </c>
      <c r="BY155" s="140">
        <f t="shared" si="452"/>
        <v>0.06</v>
      </c>
      <c r="BZ155" s="140">
        <f t="shared" si="452"/>
        <v>0.06</v>
      </c>
      <c r="CA155" s="140">
        <f t="shared" si="452"/>
        <v>0.06</v>
      </c>
      <c r="CB155" s="140">
        <f t="shared" si="452"/>
        <v>0.06</v>
      </c>
      <c r="CC155" s="140">
        <f t="shared" si="452"/>
        <v>5.9999999999999991E-2</v>
      </c>
      <c r="CD155" s="140">
        <f t="shared" si="452"/>
        <v>0.06</v>
      </c>
      <c r="CE155" s="140">
        <f t="shared" ref="CE155:CP155" si="453">+CE112/-(CE279+CE272)</f>
        <v>6.0000000000000005E-2</v>
      </c>
      <c r="CF155" s="140">
        <f t="shared" si="453"/>
        <v>0.06</v>
      </c>
      <c r="CG155" s="140">
        <f t="shared" si="453"/>
        <v>5.9999999999999991E-2</v>
      </c>
      <c r="CH155" s="140">
        <f t="shared" si="453"/>
        <v>0.06</v>
      </c>
      <c r="CI155" s="140">
        <f t="shared" si="453"/>
        <v>0.06</v>
      </c>
      <c r="CJ155" s="140">
        <f t="shared" si="453"/>
        <v>0.06</v>
      </c>
      <c r="CK155" s="140">
        <f t="shared" si="453"/>
        <v>0.06</v>
      </c>
      <c r="CL155" s="140">
        <f t="shared" si="453"/>
        <v>5.9999999999999991E-2</v>
      </c>
      <c r="CM155" s="140">
        <f t="shared" si="453"/>
        <v>5.9999999999999991E-2</v>
      </c>
      <c r="CN155" s="140">
        <f t="shared" si="453"/>
        <v>0.06</v>
      </c>
      <c r="CO155" s="140">
        <f t="shared" si="453"/>
        <v>0.06</v>
      </c>
      <c r="CP155" s="140">
        <f t="shared" si="453"/>
        <v>0.06</v>
      </c>
      <c r="CQ155" s="362" t="s">
        <v>77</v>
      </c>
      <c r="CU155"/>
      <c r="CV155"/>
      <c r="CW155"/>
      <c r="CX155"/>
      <c r="CY155"/>
      <c r="CZ155"/>
      <c r="DM155" s="471"/>
      <c r="DO155" s="471"/>
      <c r="DQ155" s="471"/>
      <c r="DR155" s="471"/>
      <c r="DS155" s="471"/>
      <c r="DT155" s="471"/>
    </row>
    <row r="156" spans="2:140" s="468" customFormat="1" outlineLevel="1" x14ac:dyDescent="0.2">
      <c r="B156" s="467" t="s">
        <v>488</v>
      </c>
      <c r="D156" s="469"/>
      <c r="E156" s="469"/>
      <c r="F156" s="469"/>
      <c r="G156" s="469"/>
      <c r="H156" s="469"/>
      <c r="I156" s="469"/>
      <c r="J156" s="469"/>
      <c r="K156" s="469"/>
      <c r="L156" s="469"/>
      <c r="M156" s="469"/>
      <c r="N156" s="469"/>
      <c r="O156" s="469"/>
      <c r="P156" s="469"/>
      <c r="Q156" s="469"/>
      <c r="R156" s="469"/>
      <c r="S156" s="469"/>
      <c r="T156" s="140"/>
      <c r="U156" s="470">
        <v>3.9507452136605885E-2</v>
      </c>
      <c r="V156" s="279">
        <f>V155</f>
        <v>5.2585806012668192E-2</v>
      </c>
      <c r="W156" s="156">
        <v>5.1499999999999997E-2</v>
      </c>
      <c r="X156" s="997">
        <v>4.8500000000000001E-2</v>
      </c>
      <c r="Y156" s="279">
        <f t="shared" ref="Y156:BD156" si="454">X156</f>
        <v>4.8500000000000001E-2</v>
      </c>
      <c r="Z156" s="279">
        <f t="shared" si="454"/>
        <v>4.8500000000000001E-2</v>
      </c>
      <c r="AA156" s="279">
        <f t="shared" si="454"/>
        <v>4.8500000000000001E-2</v>
      </c>
      <c r="AB156" s="251">
        <v>0.06</v>
      </c>
      <c r="AC156" s="279">
        <f t="shared" si="454"/>
        <v>0.06</v>
      </c>
      <c r="AD156" s="279">
        <f t="shared" si="454"/>
        <v>0.06</v>
      </c>
      <c r="AE156" s="279">
        <f t="shared" si="454"/>
        <v>0.06</v>
      </c>
      <c r="AF156" s="279">
        <f t="shared" si="454"/>
        <v>0.06</v>
      </c>
      <c r="AG156" s="279">
        <f t="shared" si="454"/>
        <v>0.06</v>
      </c>
      <c r="AH156" s="279">
        <f t="shared" si="454"/>
        <v>0.06</v>
      </c>
      <c r="AI156" s="279">
        <f t="shared" si="454"/>
        <v>0.06</v>
      </c>
      <c r="AJ156" s="279">
        <f t="shared" si="454"/>
        <v>0.06</v>
      </c>
      <c r="AK156" s="279">
        <f t="shared" si="454"/>
        <v>0.06</v>
      </c>
      <c r="AL156" s="279">
        <f t="shared" si="454"/>
        <v>0.06</v>
      </c>
      <c r="AM156" s="279">
        <f t="shared" si="454"/>
        <v>0.06</v>
      </c>
      <c r="AN156" s="279">
        <f t="shared" si="454"/>
        <v>0.06</v>
      </c>
      <c r="AO156" s="279">
        <f t="shared" si="454"/>
        <v>0.06</v>
      </c>
      <c r="AP156" s="279">
        <f t="shared" si="454"/>
        <v>0.06</v>
      </c>
      <c r="AQ156" s="279">
        <f t="shared" si="454"/>
        <v>0.06</v>
      </c>
      <c r="AR156" s="279">
        <f t="shared" si="454"/>
        <v>0.06</v>
      </c>
      <c r="AS156" s="279">
        <f t="shared" si="454"/>
        <v>0.06</v>
      </c>
      <c r="AT156" s="279">
        <f t="shared" si="454"/>
        <v>0.06</v>
      </c>
      <c r="AU156" s="279">
        <f t="shared" si="454"/>
        <v>0.06</v>
      </c>
      <c r="AV156" s="279">
        <f t="shared" si="454"/>
        <v>0.06</v>
      </c>
      <c r="AW156" s="279">
        <f t="shared" si="454"/>
        <v>0.06</v>
      </c>
      <c r="AX156" s="279">
        <f t="shared" si="454"/>
        <v>0.06</v>
      </c>
      <c r="AY156" s="279">
        <f t="shared" si="454"/>
        <v>0.06</v>
      </c>
      <c r="AZ156" s="279">
        <f t="shared" si="454"/>
        <v>0.06</v>
      </c>
      <c r="BA156" s="279">
        <f t="shared" si="454"/>
        <v>0.06</v>
      </c>
      <c r="BB156" s="279">
        <f t="shared" si="454"/>
        <v>0.06</v>
      </c>
      <c r="BC156" s="279">
        <f t="shared" si="454"/>
        <v>0.06</v>
      </c>
      <c r="BD156" s="279">
        <f t="shared" si="454"/>
        <v>0.06</v>
      </c>
      <c r="BE156" s="279">
        <f t="shared" ref="BE156:CP156" si="455">BD156</f>
        <v>0.06</v>
      </c>
      <c r="BF156" s="279">
        <f t="shared" si="455"/>
        <v>0.06</v>
      </c>
      <c r="BG156" s="279">
        <f t="shared" si="455"/>
        <v>0.06</v>
      </c>
      <c r="BH156" s="279">
        <f t="shared" si="455"/>
        <v>0.06</v>
      </c>
      <c r="BI156" s="279">
        <f t="shared" si="455"/>
        <v>0.06</v>
      </c>
      <c r="BJ156" s="279">
        <f t="shared" si="455"/>
        <v>0.06</v>
      </c>
      <c r="BK156" s="279">
        <f t="shared" si="455"/>
        <v>0.06</v>
      </c>
      <c r="BL156" s="279">
        <f t="shared" si="455"/>
        <v>0.06</v>
      </c>
      <c r="BM156" s="279">
        <f t="shared" si="455"/>
        <v>0.06</v>
      </c>
      <c r="BN156" s="279">
        <f t="shared" si="455"/>
        <v>0.06</v>
      </c>
      <c r="BO156" s="279">
        <f t="shared" si="455"/>
        <v>0.06</v>
      </c>
      <c r="BP156" s="279">
        <f t="shared" si="455"/>
        <v>0.06</v>
      </c>
      <c r="BQ156" s="279">
        <f t="shared" si="455"/>
        <v>0.06</v>
      </c>
      <c r="BR156" s="279">
        <f t="shared" si="455"/>
        <v>0.06</v>
      </c>
      <c r="BS156" s="279">
        <f t="shared" si="455"/>
        <v>0.06</v>
      </c>
      <c r="BT156" s="279">
        <f t="shared" si="455"/>
        <v>0.06</v>
      </c>
      <c r="BU156" s="279">
        <f t="shared" si="455"/>
        <v>0.06</v>
      </c>
      <c r="BV156" s="279">
        <f t="shared" si="455"/>
        <v>0.06</v>
      </c>
      <c r="BW156" s="279">
        <f t="shared" si="455"/>
        <v>0.06</v>
      </c>
      <c r="BX156" s="279">
        <f t="shared" si="455"/>
        <v>0.06</v>
      </c>
      <c r="BY156" s="279">
        <f t="shared" si="455"/>
        <v>0.06</v>
      </c>
      <c r="BZ156" s="279">
        <f t="shared" si="455"/>
        <v>0.06</v>
      </c>
      <c r="CA156" s="279">
        <f t="shared" si="455"/>
        <v>0.06</v>
      </c>
      <c r="CB156" s="279">
        <f t="shared" si="455"/>
        <v>0.06</v>
      </c>
      <c r="CC156" s="279">
        <f t="shared" si="455"/>
        <v>0.06</v>
      </c>
      <c r="CD156" s="279">
        <f t="shared" si="455"/>
        <v>0.06</v>
      </c>
      <c r="CE156" s="279">
        <f t="shared" si="455"/>
        <v>0.06</v>
      </c>
      <c r="CF156" s="279">
        <f t="shared" si="455"/>
        <v>0.06</v>
      </c>
      <c r="CG156" s="279">
        <f t="shared" si="455"/>
        <v>0.06</v>
      </c>
      <c r="CH156" s="279">
        <f t="shared" si="455"/>
        <v>0.06</v>
      </c>
      <c r="CI156" s="279">
        <f t="shared" si="455"/>
        <v>0.06</v>
      </c>
      <c r="CJ156" s="279">
        <f t="shared" si="455"/>
        <v>0.06</v>
      </c>
      <c r="CK156" s="279">
        <f t="shared" si="455"/>
        <v>0.06</v>
      </c>
      <c r="CL156" s="279">
        <f t="shared" si="455"/>
        <v>0.06</v>
      </c>
      <c r="CM156" s="279">
        <f t="shared" si="455"/>
        <v>0.06</v>
      </c>
      <c r="CN156" s="279">
        <f t="shared" si="455"/>
        <v>0.06</v>
      </c>
      <c r="CO156" s="279">
        <f t="shared" si="455"/>
        <v>0.06</v>
      </c>
      <c r="CP156" s="279">
        <f t="shared" si="455"/>
        <v>0.06</v>
      </c>
      <c r="CQ156" s="362" t="s">
        <v>77</v>
      </c>
      <c r="CU156"/>
      <c r="CV156"/>
      <c r="CW156"/>
      <c r="CX156"/>
      <c r="CY156"/>
      <c r="CZ156"/>
      <c r="DM156" s="471"/>
      <c r="DO156" s="471"/>
      <c r="DQ156" s="471"/>
      <c r="DR156" s="471"/>
      <c r="DS156" s="471"/>
      <c r="DT156" s="471"/>
    </row>
    <row r="157" spans="2:140" s="468" customFormat="1" outlineLevel="1" x14ac:dyDescent="0.2">
      <c r="B157" s="467" t="s">
        <v>489</v>
      </c>
      <c r="D157" s="469"/>
      <c r="E157" s="469"/>
      <c r="F157" s="469"/>
      <c r="G157" s="469"/>
      <c r="H157" s="469"/>
      <c r="I157" s="469"/>
      <c r="J157" s="469"/>
      <c r="K157" s="469"/>
      <c r="L157" s="469"/>
      <c r="M157" s="469"/>
      <c r="N157" s="469"/>
      <c r="O157" s="469"/>
      <c r="P157" s="469"/>
      <c r="Q157" s="469"/>
      <c r="R157" s="469"/>
      <c r="S157" s="469"/>
      <c r="T157" s="140"/>
      <c r="U157" s="470">
        <v>4.4999999999999998E-2</v>
      </c>
      <c r="V157" s="156">
        <v>4.2500000000000003E-2</v>
      </c>
      <c r="W157" s="156">
        <v>4.2500000000000003E-2</v>
      </c>
      <c r="X157" s="279">
        <f t="shared" ref="X157:BD157" si="456">W157</f>
        <v>4.2500000000000003E-2</v>
      </c>
      <c r="Y157" s="279">
        <f t="shared" si="456"/>
        <v>4.2500000000000003E-2</v>
      </c>
      <c r="Z157" s="279">
        <f t="shared" si="456"/>
        <v>4.2500000000000003E-2</v>
      </c>
      <c r="AA157" s="279">
        <f t="shared" si="456"/>
        <v>4.2500000000000003E-2</v>
      </c>
      <c r="AB157" s="279">
        <f t="shared" si="456"/>
        <v>4.2500000000000003E-2</v>
      </c>
      <c r="AC157" s="279">
        <f t="shared" si="456"/>
        <v>4.2500000000000003E-2</v>
      </c>
      <c r="AD157" s="279">
        <f t="shared" si="456"/>
        <v>4.2500000000000003E-2</v>
      </c>
      <c r="AE157" s="279">
        <f t="shared" si="456"/>
        <v>4.2500000000000003E-2</v>
      </c>
      <c r="AF157" s="279">
        <f t="shared" si="456"/>
        <v>4.2500000000000003E-2</v>
      </c>
      <c r="AG157" s="279">
        <f t="shared" si="456"/>
        <v>4.2500000000000003E-2</v>
      </c>
      <c r="AH157" s="279">
        <f t="shared" si="456"/>
        <v>4.2500000000000003E-2</v>
      </c>
      <c r="AI157" s="279">
        <f t="shared" si="456"/>
        <v>4.2500000000000003E-2</v>
      </c>
      <c r="AJ157" s="279">
        <f t="shared" si="456"/>
        <v>4.2500000000000003E-2</v>
      </c>
      <c r="AK157" s="279">
        <f t="shared" si="456"/>
        <v>4.2500000000000003E-2</v>
      </c>
      <c r="AL157" s="279">
        <f t="shared" si="456"/>
        <v>4.2500000000000003E-2</v>
      </c>
      <c r="AM157" s="279">
        <f t="shared" si="456"/>
        <v>4.2500000000000003E-2</v>
      </c>
      <c r="AN157" s="279">
        <f t="shared" si="456"/>
        <v>4.2500000000000003E-2</v>
      </c>
      <c r="AO157" s="279">
        <f t="shared" si="456"/>
        <v>4.2500000000000003E-2</v>
      </c>
      <c r="AP157" s="279">
        <f t="shared" si="456"/>
        <v>4.2500000000000003E-2</v>
      </c>
      <c r="AQ157" s="279">
        <f t="shared" si="456"/>
        <v>4.2500000000000003E-2</v>
      </c>
      <c r="AR157" s="279">
        <f t="shared" si="456"/>
        <v>4.2500000000000003E-2</v>
      </c>
      <c r="AS157" s="279">
        <f t="shared" si="456"/>
        <v>4.2500000000000003E-2</v>
      </c>
      <c r="AT157" s="279">
        <f t="shared" si="456"/>
        <v>4.2500000000000003E-2</v>
      </c>
      <c r="AU157" s="279">
        <f t="shared" si="456"/>
        <v>4.2500000000000003E-2</v>
      </c>
      <c r="AV157" s="279">
        <f t="shared" si="456"/>
        <v>4.2500000000000003E-2</v>
      </c>
      <c r="AW157" s="279">
        <f t="shared" si="456"/>
        <v>4.2500000000000003E-2</v>
      </c>
      <c r="AX157" s="279">
        <f t="shared" si="456"/>
        <v>4.2500000000000003E-2</v>
      </c>
      <c r="AY157" s="279">
        <f t="shared" si="456"/>
        <v>4.2500000000000003E-2</v>
      </c>
      <c r="AZ157" s="279">
        <f t="shared" si="456"/>
        <v>4.2500000000000003E-2</v>
      </c>
      <c r="BA157" s="279">
        <f t="shared" si="456"/>
        <v>4.2500000000000003E-2</v>
      </c>
      <c r="BB157" s="279">
        <f t="shared" si="456"/>
        <v>4.2500000000000003E-2</v>
      </c>
      <c r="BC157" s="279">
        <f t="shared" si="456"/>
        <v>4.2500000000000003E-2</v>
      </c>
      <c r="BD157" s="279">
        <f t="shared" si="456"/>
        <v>4.2500000000000003E-2</v>
      </c>
      <c r="BE157" s="279">
        <f t="shared" ref="BE157:CP157" si="457">BD157</f>
        <v>4.2500000000000003E-2</v>
      </c>
      <c r="BF157" s="279">
        <f t="shared" si="457"/>
        <v>4.2500000000000003E-2</v>
      </c>
      <c r="BG157" s="279">
        <f t="shared" si="457"/>
        <v>4.2500000000000003E-2</v>
      </c>
      <c r="BH157" s="279">
        <f t="shared" si="457"/>
        <v>4.2500000000000003E-2</v>
      </c>
      <c r="BI157" s="279">
        <f t="shared" si="457"/>
        <v>4.2500000000000003E-2</v>
      </c>
      <c r="BJ157" s="279">
        <f t="shared" si="457"/>
        <v>4.2500000000000003E-2</v>
      </c>
      <c r="BK157" s="279">
        <f t="shared" si="457"/>
        <v>4.2500000000000003E-2</v>
      </c>
      <c r="BL157" s="279">
        <f t="shared" si="457"/>
        <v>4.2500000000000003E-2</v>
      </c>
      <c r="BM157" s="279">
        <f t="shared" si="457"/>
        <v>4.2500000000000003E-2</v>
      </c>
      <c r="BN157" s="279">
        <f t="shared" si="457"/>
        <v>4.2500000000000003E-2</v>
      </c>
      <c r="BO157" s="279">
        <f t="shared" si="457"/>
        <v>4.2500000000000003E-2</v>
      </c>
      <c r="BP157" s="279">
        <f t="shared" si="457"/>
        <v>4.2500000000000003E-2</v>
      </c>
      <c r="BQ157" s="279">
        <f t="shared" si="457"/>
        <v>4.2500000000000003E-2</v>
      </c>
      <c r="BR157" s="279">
        <f t="shared" si="457"/>
        <v>4.2500000000000003E-2</v>
      </c>
      <c r="BS157" s="279">
        <f t="shared" si="457"/>
        <v>4.2500000000000003E-2</v>
      </c>
      <c r="BT157" s="279">
        <f t="shared" si="457"/>
        <v>4.2500000000000003E-2</v>
      </c>
      <c r="BU157" s="279">
        <f t="shared" si="457"/>
        <v>4.2500000000000003E-2</v>
      </c>
      <c r="BV157" s="279">
        <f t="shared" si="457"/>
        <v>4.2500000000000003E-2</v>
      </c>
      <c r="BW157" s="279">
        <f t="shared" si="457"/>
        <v>4.2500000000000003E-2</v>
      </c>
      <c r="BX157" s="279">
        <f t="shared" si="457"/>
        <v>4.2500000000000003E-2</v>
      </c>
      <c r="BY157" s="279">
        <f t="shared" si="457"/>
        <v>4.2500000000000003E-2</v>
      </c>
      <c r="BZ157" s="279">
        <f t="shared" si="457"/>
        <v>4.2500000000000003E-2</v>
      </c>
      <c r="CA157" s="279">
        <f t="shared" si="457"/>
        <v>4.2500000000000003E-2</v>
      </c>
      <c r="CB157" s="279">
        <f t="shared" si="457"/>
        <v>4.2500000000000003E-2</v>
      </c>
      <c r="CC157" s="279">
        <f t="shared" si="457"/>
        <v>4.2500000000000003E-2</v>
      </c>
      <c r="CD157" s="279">
        <f t="shared" si="457"/>
        <v>4.2500000000000003E-2</v>
      </c>
      <c r="CE157" s="279">
        <f t="shared" si="457"/>
        <v>4.2500000000000003E-2</v>
      </c>
      <c r="CF157" s="279">
        <f t="shared" si="457"/>
        <v>4.2500000000000003E-2</v>
      </c>
      <c r="CG157" s="279">
        <f t="shared" si="457"/>
        <v>4.2500000000000003E-2</v>
      </c>
      <c r="CH157" s="279">
        <f t="shared" si="457"/>
        <v>4.2500000000000003E-2</v>
      </c>
      <c r="CI157" s="279">
        <f t="shared" si="457"/>
        <v>4.2500000000000003E-2</v>
      </c>
      <c r="CJ157" s="279">
        <f t="shared" si="457"/>
        <v>4.2500000000000003E-2</v>
      </c>
      <c r="CK157" s="279">
        <f t="shared" si="457"/>
        <v>4.2500000000000003E-2</v>
      </c>
      <c r="CL157" s="279">
        <f t="shared" si="457"/>
        <v>4.2500000000000003E-2</v>
      </c>
      <c r="CM157" s="279">
        <f t="shared" si="457"/>
        <v>4.2500000000000003E-2</v>
      </c>
      <c r="CN157" s="279">
        <f t="shared" si="457"/>
        <v>4.2500000000000003E-2</v>
      </c>
      <c r="CO157" s="279">
        <f t="shared" si="457"/>
        <v>4.2500000000000003E-2</v>
      </c>
      <c r="CP157" s="279">
        <f t="shared" si="457"/>
        <v>4.2500000000000003E-2</v>
      </c>
      <c r="CQ157" s="362" t="s">
        <v>77</v>
      </c>
      <c r="CU157"/>
      <c r="CV157"/>
      <c r="CW157"/>
      <c r="CX157"/>
      <c r="CY157"/>
      <c r="CZ157"/>
      <c r="DM157" s="471"/>
      <c r="DO157" s="471"/>
      <c r="DQ157" s="471"/>
      <c r="DR157" s="471"/>
      <c r="DS157" s="471"/>
      <c r="DT157" s="471"/>
    </row>
    <row r="158" spans="2:140" outlineLevel="1" x14ac:dyDescent="0.2">
      <c r="B158" s="11" t="s">
        <v>490</v>
      </c>
      <c r="K158" s="10"/>
      <c r="L158" s="10"/>
      <c r="M158" s="10"/>
      <c r="N158" s="10"/>
      <c r="O158" s="10"/>
      <c r="P158" s="10"/>
      <c r="Q158" s="10"/>
      <c r="R158" s="10"/>
      <c r="S158" s="10"/>
      <c r="T158" s="59"/>
      <c r="U158" s="622">
        <f>Debt!U19</f>
        <v>0.40650716880694465</v>
      </c>
      <c r="V158" s="622">
        <f>Debt!V19</f>
        <v>0.38901852685105737</v>
      </c>
      <c r="W158" s="622">
        <f>Debt!W19</f>
        <v>0.38995839367741675</v>
      </c>
      <c r="X158" s="622">
        <f>Debt!X19</f>
        <v>0.38208105503383888</v>
      </c>
      <c r="Y158" s="622">
        <f>Debt!Y19</f>
        <v>0.37826053675314897</v>
      </c>
      <c r="Z158" s="622">
        <f>Debt!Z19</f>
        <v>0.37451566657001778</v>
      </c>
      <c r="AA158" s="622">
        <f>Debt!AA19</f>
        <v>0.38016119733931064</v>
      </c>
      <c r="AB158" s="622">
        <f>Debt!AB19</f>
        <v>0.38597953698941928</v>
      </c>
      <c r="AC158" s="622">
        <f>Debt!AC19</f>
        <v>0.38824561243795697</v>
      </c>
      <c r="AD158" s="622">
        <f>Debt!AD19</f>
        <v>0.38679117208721492</v>
      </c>
      <c r="AE158" s="622">
        <f>Debt!AE19</f>
        <v>0.38143716832882346</v>
      </c>
      <c r="AF158" s="622">
        <f>Debt!AF19</f>
        <v>0.37199287750736459</v>
      </c>
      <c r="AG158" s="622">
        <f>Debt!AG19</f>
        <v>0.35825493237395056</v>
      </c>
      <c r="AH158" s="622">
        <f>Debt!AH19</f>
        <v>0.33071724489413556</v>
      </c>
      <c r="AI158" s="622">
        <f>Debt!AI19</f>
        <v>0.30820966962447571</v>
      </c>
      <c r="AJ158" s="622">
        <f>Debt!AJ19</f>
        <v>0.28086863176675664</v>
      </c>
      <c r="AK158" s="622">
        <f>Debt!AK19</f>
        <v>0.2415049591111314</v>
      </c>
      <c r="AL158" s="622">
        <f>Debt!AL19</f>
        <v>0.20125413259260949</v>
      </c>
      <c r="AM158" s="622">
        <f>Debt!AM19</f>
        <v>0.15697822342223539</v>
      </c>
      <c r="AN158" s="622">
        <f>Debt!AN19</f>
        <v>0.10867723160000911</v>
      </c>
      <c r="AO158" s="622">
        <f>Debt!AO19</f>
        <v>5.7970300877253959E-2</v>
      </c>
      <c r="AP158" s="622">
        <f>Debt!AP19</f>
        <v>0</v>
      </c>
      <c r="AQ158" s="622">
        <f>Debt!AQ19</f>
        <v>0</v>
      </c>
      <c r="AR158" s="622">
        <f>Debt!AR19</f>
        <v>0</v>
      </c>
      <c r="AS158" s="622">
        <f>Debt!AS19</f>
        <v>0</v>
      </c>
      <c r="AT158" s="622">
        <f>Debt!AT19</f>
        <v>0</v>
      </c>
      <c r="AU158" s="622">
        <f>Debt!AU19</f>
        <v>0</v>
      </c>
      <c r="AV158" s="622">
        <f>Debt!AV19</f>
        <v>0</v>
      </c>
      <c r="AW158" s="622">
        <f>Debt!AW19</f>
        <v>0</v>
      </c>
      <c r="AX158" s="622">
        <f>Debt!AX19</f>
        <v>0</v>
      </c>
      <c r="AY158" s="622">
        <f>Debt!AY19</f>
        <v>0</v>
      </c>
      <c r="AZ158" s="622">
        <f>Debt!AZ19</f>
        <v>0</v>
      </c>
      <c r="BA158" s="622">
        <f>Debt!BA19</f>
        <v>0</v>
      </c>
      <c r="BB158" s="622">
        <f>Debt!BB19</f>
        <v>0</v>
      </c>
      <c r="BC158" s="622">
        <f>Debt!BC19</f>
        <v>0</v>
      </c>
      <c r="BD158" s="622">
        <f>Debt!BD19</f>
        <v>0</v>
      </c>
      <c r="BE158" s="622">
        <f>Debt!BE19</f>
        <v>0</v>
      </c>
      <c r="BF158" s="622">
        <f>Debt!BF19</f>
        <v>0</v>
      </c>
      <c r="BG158" s="622">
        <f>Debt!BG19</f>
        <v>0</v>
      </c>
      <c r="BH158" s="622">
        <f>Debt!BH19</f>
        <v>0</v>
      </c>
      <c r="BI158" s="622">
        <f>Debt!BI19</f>
        <v>0</v>
      </c>
      <c r="BJ158" s="622">
        <f>Debt!BJ19</f>
        <v>0</v>
      </c>
      <c r="BK158" s="622">
        <f>Debt!BK19</f>
        <v>0</v>
      </c>
      <c r="BL158" s="622">
        <f>Debt!BL19</f>
        <v>0</v>
      </c>
      <c r="BM158" s="622">
        <f>Debt!BM19</f>
        <v>0</v>
      </c>
      <c r="BN158" s="622">
        <f>Debt!BN19</f>
        <v>0</v>
      </c>
      <c r="BO158" s="622">
        <f>Debt!BO19</f>
        <v>0</v>
      </c>
      <c r="BP158" s="622">
        <f>Debt!BP19</f>
        <v>0</v>
      </c>
      <c r="BQ158" s="622">
        <f>Debt!BQ19</f>
        <v>0</v>
      </c>
      <c r="BR158" s="622">
        <f>Debt!BR19</f>
        <v>0</v>
      </c>
      <c r="BS158" s="622">
        <f>Debt!BS19</f>
        <v>0</v>
      </c>
      <c r="BT158" s="622">
        <f>Debt!BT19</f>
        <v>0</v>
      </c>
      <c r="BU158" s="622">
        <f>Debt!BU19</f>
        <v>0</v>
      </c>
      <c r="BV158" s="622">
        <f>Debt!BV19</f>
        <v>0</v>
      </c>
      <c r="BW158" s="622">
        <f>Debt!BW19</f>
        <v>0</v>
      </c>
      <c r="BX158" s="622">
        <f>Debt!BX19</f>
        <v>0</v>
      </c>
      <c r="BY158" s="622">
        <f>Debt!BY19</f>
        <v>0</v>
      </c>
      <c r="BZ158" s="622">
        <f>Debt!BZ19</f>
        <v>0</v>
      </c>
      <c r="CA158" s="622">
        <f>Debt!CA19</f>
        <v>0</v>
      </c>
      <c r="CB158" s="622">
        <f>Debt!CB19</f>
        <v>0</v>
      </c>
      <c r="CC158" s="622">
        <f>Debt!CC19</f>
        <v>0</v>
      </c>
      <c r="CD158" s="622">
        <f>Debt!CD19</f>
        <v>0</v>
      </c>
      <c r="CE158" s="622">
        <f>Debt!CE19</f>
        <v>0</v>
      </c>
      <c r="CF158" s="622">
        <f>Debt!CF19</f>
        <v>0</v>
      </c>
      <c r="CG158" s="622">
        <f>Debt!CG19</f>
        <v>0</v>
      </c>
      <c r="CH158" s="622">
        <f>Debt!CH19</f>
        <v>0</v>
      </c>
      <c r="CI158" s="622">
        <f>Debt!CI19</f>
        <v>0</v>
      </c>
      <c r="CJ158" s="622">
        <f>Debt!CJ19</f>
        <v>0</v>
      </c>
      <c r="CK158" s="622">
        <f>Debt!CK19</f>
        <v>0</v>
      </c>
      <c r="CL158" s="622">
        <f>Debt!CL19</f>
        <v>0</v>
      </c>
      <c r="CM158" s="622">
        <f>Debt!CM19</f>
        <v>0</v>
      </c>
      <c r="CN158" s="622">
        <f>Debt!CN19</f>
        <v>0</v>
      </c>
      <c r="CO158" s="622">
        <f>Debt!CO19</f>
        <v>0</v>
      </c>
      <c r="CP158" s="622">
        <f>Debt!CP19</f>
        <v>0</v>
      </c>
      <c r="CQ158" s="362" t="s">
        <v>77</v>
      </c>
      <c r="DD158" s="8"/>
      <c r="DE158" s="8"/>
      <c r="DF158" s="8"/>
      <c r="DG158" s="8"/>
      <c r="DH158" s="8"/>
      <c r="DI158" s="8"/>
      <c r="DJ158" s="8"/>
      <c r="DK158" s="8"/>
      <c r="DM158" s="413"/>
      <c r="DO158" s="413"/>
      <c r="DQ158" s="413"/>
      <c r="DR158" s="413"/>
      <c r="DS158" s="413"/>
      <c r="DT158" s="413"/>
    </row>
    <row r="159" spans="2:140" outlineLevel="1" x14ac:dyDescent="0.2">
      <c r="B159" s="11" t="s">
        <v>513</v>
      </c>
      <c r="K159" s="10"/>
      <c r="L159" s="10"/>
      <c r="M159" s="10"/>
      <c r="N159" s="10"/>
      <c r="O159" s="10"/>
      <c r="P159" s="10"/>
      <c r="Q159" s="10"/>
      <c r="R159" s="10"/>
      <c r="S159" s="10"/>
      <c r="T159" s="59"/>
      <c r="U159" s="623">
        <f>U157*Debt!U17/Debt!U20</f>
        <v>239.76093402520388</v>
      </c>
      <c r="V159" s="623">
        <f>V157*Debt!V17/Debt!V20</f>
        <v>212.18559629904905</v>
      </c>
      <c r="W159" s="623">
        <f>W157*Debt!W17/Debt!W20</f>
        <v>217.82011423355843</v>
      </c>
      <c r="X159" s="623">
        <f>X157*Debt!X17/Debt!X20</f>
        <v>220.78141488023823</v>
      </c>
      <c r="Y159" s="623">
        <f>Y157*Debt!Y17/Debt!Y20</f>
        <v>222.12355114090838</v>
      </c>
      <c r="Z159" s="623">
        <f>Z157*Debt!Z17/Debt!Z20</f>
        <v>217.26084637268849</v>
      </c>
      <c r="AA159" s="623">
        <f>AA157*Debt!AA17/Debt!AA20</f>
        <v>207.18173494302766</v>
      </c>
      <c r="AB159" s="623">
        <f>AB157*Debt!AB17/Debt!AB20</f>
        <v>207.18173494302766</v>
      </c>
      <c r="AC159" s="623">
        <f>AC157*Debt!AC17/Debt!AC20</f>
        <v>205.20857556261788</v>
      </c>
      <c r="AD159" s="623">
        <f>AD157*Debt!AD17/Debt!AD20</f>
        <v>201.26225680179832</v>
      </c>
      <c r="AE159" s="623">
        <f>AE157*Debt!AE17/Debt!AE20</f>
        <v>195.34277866056894</v>
      </c>
      <c r="AF159" s="623">
        <f>AF157*Debt!AF17/Debt!AF20</f>
        <v>187.45014113892978</v>
      </c>
      <c r="AG159" s="623">
        <f>AG157*Debt!AG17/Debt!AG20</f>
        <v>177.58434423688084</v>
      </c>
      <c r="AH159" s="623">
        <f>AH157*Debt!AH17/Debt!AH20</f>
        <v>165.74538795442214</v>
      </c>
      <c r="AI159" s="623">
        <f>AI157*Debt!AI17/Debt!AI20</f>
        <v>151.93327229155364</v>
      </c>
      <c r="AJ159" s="623">
        <f>AJ157*Debt!AJ17/Debt!AJ20</f>
        <v>136.14799724827535</v>
      </c>
      <c r="AK159" s="623">
        <f>AK157*Debt!AK17/Debt!AK20</f>
        <v>118.38956282458726</v>
      </c>
      <c r="AL159" s="623">
        <f>AL157*Debt!AL17/Debt!AL20</f>
        <v>98.657969020489361</v>
      </c>
      <c r="AM159" s="623">
        <f>AM157*Debt!AM17/Debt!AM20</f>
        <v>76.953215835981695</v>
      </c>
      <c r="AN159" s="623">
        <f>AN157*Debt!AN17/Debt!AN20</f>
        <v>53.275303271064253</v>
      </c>
      <c r="AO159" s="623">
        <f>AO157*Debt!AO17/Debt!AO20</f>
        <v>27.624231325737011</v>
      </c>
      <c r="AP159" s="623">
        <f>AP157*Debt!AP17/Debt!AP20</f>
        <v>0</v>
      </c>
      <c r="AQ159" s="623">
        <f>AQ157*Debt!AQ17/Debt!AQ20</f>
        <v>0</v>
      </c>
      <c r="AR159" s="623">
        <f>AR157*Debt!AR17/Debt!AR20</f>
        <v>0</v>
      </c>
      <c r="AS159" s="623">
        <f>AS157*Debt!AS17/Debt!AS20</f>
        <v>0</v>
      </c>
      <c r="AT159" s="623">
        <f>AT157*Debt!AT17/Debt!AT20</f>
        <v>0</v>
      </c>
      <c r="AU159" s="623">
        <f>AU157*Debt!AU17/Debt!AU20</f>
        <v>0</v>
      </c>
      <c r="AV159" s="623">
        <f>AV157*Debt!AV17/Debt!AV20</f>
        <v>0</v>
      </c>
      <c r="AW159" s="623">
        <f>AW157*Debt!AW17/Debt!AW20</f>
        <v>0</v>
      </c>
      <c r="AX159" s="623">
        <f>AX157*Debt!AX17/Debt!AX20</f>
        <v>0</v>
      </c>
      <c r="AY159" s="623">
        <f>AY157*Debt!AY17/Debt!AY20</f>
        <v>0</v>
      </c>
      <c r="AZ159" s="623">
        <f>AZ157*Debt!AZ17/Debt!AZ20</f>
        <v>0</v>
      </c>
      <c r="BA159" s="623">
        <f>BA157*Debt!BA17/Debt!BA20</f>
        <v>0</v>
      </c>
      <c r="BB159" s="623">
        <f>BB157*Debt!BB17/Debt!BB20</f>
        <v>0</v>
      </c>
      <c r="BC159" s="623">
        <f>BC157*Debt!BC17/Debt!BC20</f>
        <v>0</v>
      </c>
      <c r="BD159" s="623">
        <f>BD157*Debt!BD17/Debt!BD20</f>
        <v>0</v>
      </c>
      <c r="BE159" s="623">
        <f>BE157*Debt!BE17/Debt!BE20</f>
        <v>0</v>
      </c>
      <c r="BF159" s="623">
        <f>BF157*Debt!BF17/Debt!BF20</f>
        <v>0</v>
      </c>
      <c r="BG159" s="623">
        <f>BG157*Debt!BG17/Debt!BG20</f>
        <v>0</v>
      </c>
      <c r="BH159" s="623">
        <f>BH157*Debt!BH17/Debt!BH20</f>
        <v>0</v>
      </c>
      <c r="BI159" s="623">
        <f>BI157*Debt!BI17/Debt!BI20</f>
        <v>0</v>
      </c>
      <c r="BJ159" s="623">
        <f>BJ157*Debt!BJ17/Debt!BJ20</f>
        <v>0</v>
      </c>
      <c r="BK159" s="623">
        <f>BK157*Debt!BK17/Debt!BK20</f>
        <v>0</v>
      </c>
      <c r="BL159" s="623">
        <f>BL157*Debt!BL17/Debt!BL20</f>
        <v>0</v>
      </c>
      <c r="BM159" s="623">
        <f>BM157*Debt!BM17/Debt!BM20</f>
        <v>0</v>
      </c>
      <c r="BN159" s="623">
        <f>BN157*Debt!BN17/Debt!BN20</f>
        <v>0</v>
      </c>
      <c r="BO159" s="623">
        <f>BO157*Debt!BO17/Debt!BO20</f>
        <v>0</v>
      </c>
      <c r="BP159" s="623">
        <f>BP157*Debt!BP17/Debt!BP20</f>
        <v>0</v>
      </c>
      <c r="BQ159" s="623">
        <f>BQ157*Debt!BQ17/Debt!BQ20</f>
        <v>0</v>
      </c>
      <c r="BR159" s="623">
        <f>BR157*Debt!BR17/Debt!BR20</f>
        <v>0</v>
      </c>
      <c r="BS159" s="623">
        <f>BS157*Debt!BS17/Debt!BS20</f>
        <v>0</v>
      </c>
      <c r="BT159" s="623">
        <f>BT157*Debt!BT17/Debt!BT20</f>
        <v>0</v>
      </c>
      <c r="BU159" s="623">
        <f>BU157*Debt!BU17/Debt!BU20</f>
        <v>0</v>
      </c>
      <c r="BV159" s="623">
        <f>BV157*Debt!BV17/Debt!BV20</f>
        <v>0</v>
      </c>
      <c r="BW159" s="623">
        <f>BW157*Debt!BW17/Debt!BW20</f>
        <v>0</v>
      </c>
      <c r="BX159" s="623">
        <f>BX157*Debt!BX17/Debt!BX20</f>
        <v>0</v>
      </c>
      <c r="BY159" s="623">
        <f>BY157*Debt!BY17/Debt!BY20</f>
        <v>0</v>
      </c>
      <c r="BZ159" s="623">
        <f>BZ157*Debt!BZ17/Debt!BZ20</f>
        <v>0</v>
      </c>
      <c r="CA159" s="623">
        <f>CA157*Debt!CA17/Debt!CA20</f>
        <v>0</v>
      </c>
      <c r="CB159" s="623">
        <f>CB157*Debt!CB17/Debt!CB20</f>
        <v>0</v>
      </c>
      <c r="CC159" s="623">
        <f>CC157*Debt!CC17/Debt!CC20</f>
        <v>0</v>
      </c>
      <c r="CD159" s="623">
        <f>CD157*Debt!CD17/Debt!CD20</f>
        <v>0</v>
      </c>
      <c r="CE159" s="623">
        <f>CE157*Debt!CE17/Debt!CE20</f>
        <v>0</v>
      </c>
      <c r="CF159" s="623">
        <f>CF157*Debt!CF17/Debt!CF20</f>
        <v>0</v>
      </c>
      <c r="CG159" s="623">
        <f>CG157*Debt!CG17/Debt!CG20</f>
        <v>0</v>
      </c>
      <c r="CH159" s="623">
        <f>CH157*Debt!CH17/Debt!CH20</f>
        <v>0</v>
      </c>
      <c r="CI159" s="623">
        <f>CI157*Debt!CI17/Debt!CI20</f>
        <v>0</v>
      </c>
      <c r="CJ159" s="623">
        <f>CJ157*Debt!CJ17/Debt!CJ20</f>
        <v>0</v>
      </c>
      <c r="CK159" s="623">
        <f>CK157*Debt!CK17/Debt!CK20</f>
        <v>0</v>
      </c>
      <c r="CL159" s="623">
        <f>CL157*Debt!CL17/Debt!CL20</f>
        <v>0</v>
      </c>
      <c r="CM159" s="623">
        <f>CM157*Debt!CM17/Debt!CM20</f>
        <v>0</v>
      </c>
      <c r="CN159" s="623">
        <f>CN157*Debt!CN17/Debt!CN20</f>
        <v>0</v>
      </c>
      <c r="CO159" s="623">
        <f>CO157*Debt!CO17/Debt!CO20</f>
        <v>0</v>
      </c>
      <c r="CP159" s="623">
        <f>CP157*Debt!CP17/Debt!CP20</f>
        <v>0</v>
      </c>
      <c r="CQ159" s="362" t="s">
        <v>77</v>
      </c>
      <c r="DD159" s="8"/>
      <c r="DE159" s="8"/>
      <c r="DF159" s="8"/>
      <c r="DG159" s="8"/>
      <c r="DH159" s="8"/>
      <c r="DI159" s="8"/>
      <c r="DJ159" s="8"/>
      <c r="DK159" s="8"/>
      <c r="DM159" s="413"/>
      <c r="DO159" s="413"/>
      <c r="DQ159" s="413"/>
      <c r="DR159" s="413"/>
      <c r="DS159" s="413"/>
      <c r="DT159" s="413"/>
    </row>
    <row r="160" spans="2:140" outlineLevel="1" x14ac:dyDescent="0.2">
      <c r="B160" s="11" t="s">
        <v>511</v>
      </c>
      <c r="K160" s="10"/>
      <c r="L160" s="10"/>
      <c r="M160" s="10"/>
      <c r="N160" s="10"/>
      <c r="O160" s="10"/>
      <c r="P160" s="10"/>
      <c r="Q160" s="10"/>
      <c r="R160" s="10"/>
      <c r="S160" s="10"/>
      <c r="T160" s="59"/>
      <c r="U160" s="623">
        <f>U156*Debt!U16</f>
        <v>218.19789071182603</v>
      </c>
      <c r="V160" s="623">
        <f>V156*Debt!V16</f>
        <v>312.4284312020776</v>
      </c>
      <c r="W160" s="623">
        <f>W156*Debt!W16</f>
        <v>304.77031855263152</v>
      </c>
      <c r="X160" s="623">
        <f>X156*Debt!X16</f>
        <v>296.7167077631579</v>
      </c>
      <c r="Y160" s="623">
        <f>Y156*Debt!Y16</f>
        <v>301.56670776315786</v>
      </c>
      <c r="Z160" s="623">
        <f>Z156*Debt!Z16</f>
        <v>306.41670776315789</v>
      </c>
      <c r="AA160" s="623">
        <f>AA156*Debt!AA16</f>
        <v>299.14170776315791</v>
      </c>
      <c r="AB160" s="623">
        <f>AB156*Debt!AB16</f>
        <v>361.07221578947366</v>
      </c>
      <c r="AC160" s="623">
        <f>AC156*Debt!AC16</f>
        <v>354.23386992481198</v>
      </c>
      <c r="AD160" s="623">
        <f>AD156*Debt!AD16</f>
        <v>349.55717819548869</v>
      </c>
      <c r="AE160" s="623">
        <f>AE156*Debt!AE16</f>
        <v>347.04214060150372</v>
      </c>
      <c r="AF160" s="623">
        <f>AF156*Debt!AF16</f>
        <v>346.68875714285707</v>
      </c>
      <c r="AG160" s="623">
        <f>AG156*Debt!AG16</f>
        <v>348.4970278195488</v>
      </c>
      <c r="AH160" s="623">
        <f>AH156*Debt!AH16</f>
        <v>367.46695263157892</v>
      </c>
      <c r="AI160" s="623">
        <f>AI156*Debt!AI16</f>
        <v>373.5985315789473</v>
      </c>
      <c r="AJ160" s="623">
        <f>AJ156*Debt!AJ16</f>
        <v>381.89176466165412</v>
      </c>
      <c r="AK160" s="623">
        <f>AK156*Debt!AK16</f>
        <v>407.34665187969921</v>
      </c>
      <c r="AL160" s="623">
        <f>AL156*Debt!AL16</f>
        <v>428.96319323308268</v>
      </c>
      <c r="AM160" s="623">
        <f>AM156*Debt!AM16</f>
        <v>452.74138872180447</v>
      </c>
      <c r="AN160" s="623">
        <f>AN156*Debt!AN16</f>
        <v>478.68123834586459</v>
      </c>
      <c r="AO160" s="623">
        <f>AO156*Debt!AO16</f>
        <v>491.78274210526314</v>
      </c>
      <c r="AP160" s="623">
        <f>AP156*Debt!AP16</f>
        <v>510.04589999999996</v>
      </c>
      <c r="AQ160" s="623">
        <f>AQ156*Debt!AQ16</f>
        <v>498.04589999999996</v>
      </c>
      <c r="AR160" s="623">
        <f>AR156*Debt!AR16</f>
        <v>486.04589999999996</v>
      </c>
      <c r="AS160" s="623">
        <f>AS156*Debt!AS16</f>
        <v>477.04589999999996</v>
      </c>
      <c r="AT160" s="623">
        <f>AT156*Debt!AT16</f>
        <v>468.04589999999996</v>
      </c>
      <c r="AU160" s="623">
        <f>AU156*Debt!AU16</f>
        <v>459.04589999999996</v>
      </c>
      <c r="AV160" s="623">
        <f>AV156*Debt!AV16</f>
        <v>462.81296935246894</v>
      </c>
      <c r="AW160" s="623">
        <f>AW156*Debt!AW16</f>
        <v>466.58114821630369</v>
      </c>
      <c r="AX160" s="623">
        <f>AX156*Debt!AX16</f>
        <v>470.35043819633364</v>
      </c>
      <c r="AY160" s="623">
        <f>AY156*Debt!AY16</f>
        <v>474.12084089970949</v>
      </c>
      <c r="AZ160" s="623">
        <f>AZ156*Debt!AZ16</f>
        <v>477.8923579359066</v>
      </c>
      <c r="BA160" s="623">
        <f>BA156*Debt!BA16</f>
        <v>481.66499091672824</v>
      </c>
      <c r="BB160" s="623">
        <f>BB156*Debt!BB16</f>
        <v>485.43874145630912</v>
      </c>
      <c r="BC160" s="623">
        <f>BC156*Debt!BC16</f>
        <v>489.2136111711186</v>
      </c>
      <c r="BD160" s="623">
        <f>BD156*Debt!BD16</f>
        <v>492.98960167996421</v>
      </c>
      <c r="BE160" s="623">
        <f>BE156*Debt!BE16</f>
        <v>496.76671460399513</v>
      </c>
      <c r="BF160" s="623">
        <f>BF156*Debt!BF16</f>
        <v>500.54495156670509</v>
      </c>
      <c r="BG160" s="623">
        <f>BG156*Debt!BG16</f>
        <v>504.32431419393623</v>
      </c>
      <c r="BH160" s="623">
        <f>BH156*Debt!BH16</f>
        <v>508.10480411388249</v>
      </c>
      <c r="BI160" s="623">
        <f>BI156*Debt!BI16</f>
        <v>511.88642295709269</v>
      </c>
      <c r="BJ160" s="623">
        <f>BJ156*Debt!BJ16</f>
        <v>515.66917235647406</v>
      </c>
      <c r="BK160" s="623">
        <f>BK156*Debt!BK16</f>
        <v>519.4530539472961</v>
      </c>
      <c r="BL160" s="623">
        <f>BL156*Debt!BL16</f>
        <v>523.23806936719313</v>
      </c>
      <c r="BM160" s="623">
        <f>BM156*Debt!BM16</f>
        <v>527.02422025616852</v>
      </c>
      <c r="BN160" s="623">
        <f>BN156*Debt!BN16</f>
        <v>530.81150825659779</v>
      </c>
      <c r="BO160" s="623">
        <f>BO156*Debt!BO16</f>
        <v>534.59993501323174</v>
      </c>
      <c r="BP160" s="623">
        <f>BP156*Debt!BP16</f>
        <v>538.38950217320053</v>
      </c>
      <c r="BQ160" s="623">
        <f>BQ156*Debt!BQ16</f>
        <v>542.18021138601659</v>
      </c>
      <c r="BR160" s="623">
        <f>BR156*Debt!BR16</f>
        <v>545.97206430357824</v>
      </c>
      <c r="BS160" s="623">
        <f>BS156*Debt!BS16</f>
        <v>549.76506258017321</v>
      </c>
      <c r="BT160" s="623">
        <f>BT156*Debt!BT16</f>
        <v>553.55920787248215</v>
      </c>
      <c r="BU160" s="623">
        <f>BU156*Debt!BU16</f>
        <v>557.35450183958176</v>
      </c>
      <c r="BV160" s="623">
        <f>BV156*Debt!BV16</f>
        <v>561.15094614294856</v>
      </c>
      <c r="BW160" s="623">
        <f>BW156*Debt!BW16</f>
        <v>564.9485424464624</v>
      </c>
      <c r="BX160" s="623">
        <f>BX156*Debt!BX16</f>
        <v>568.74729241640955</v>
      </c>
      <c r="BY160" s="623">
        <f>BY156*Debt!BY16</f>
        <v>572.54719772148678</v>
      </c>
      <c r="BZ160" s="623">
        <f>BZ156*Debt!BZ16</f>
        <v>576.34826003280421</v>
      </c>
      <c r="CA160" s="623">
        <f>CA156*Debt!CA16</f>
        <v>580.15048102388937</v>
      </c>
      <c r="CB160" s="623">
        <f>CB156*Debt!CB16</f>
        <v>583.95386237069022</v>
      </c>
      <c r="CC160" s="623">
        <f>CC156*Debt!CC16</f>
        <v>587.75840575157895</v>
      </c>
      <c r="CD160" s="623">
        <f>CD156*Debt!CD16</f>
        <v>591.56411284735543</v>
      </c>
      <c r="CE160" s="623">
        <f>CE156*Debt!CE16</f>
        <v>595.3709853412505</v>
      </c>
      <c r="CF160" s="623">
        <f>CF156*Debt!CF16</f>
        <v>599.17902491892983</v>
      </c>
      <c r="CG160" s="623">
        <f>CG156*Debt!CG16</f>
        <v>602.98823326849731</v>
      </c>
      <c r="CH160" s="623">
        <f>CH156*Debt!CH16</f>
        <v>606.79861208049863</v>
      </c>
      <c r="CI160" s="623">
        <f>CI156*Debt!CI16</f>
        <v>610.61016304792452</v>
      </c>
      <c r="CJ160" s="623">
        <f>CJ156*Debt!CJ16</f>
        <v>614.42288786621452</v>
      </c>
      <c r="CK160" s="623">
        <f>CK156*Debt!CK16</f>
        <v>618.23678823326054</v>
      </c>
      <c r="CL160" s="623">
        <f>CL156*Debt!CL16</f>
        <v>622.05186584941055</v>
      </c>
      <c r="CM160" s="623">
        <f>CM156*Debt!CM16</f>
        <v>625.8681224174718</v>
      </c>
      <c r="CN160" s="623">
        <f>CN156*Debt!CN16</f>
        <v>629.68555964271445</v>
      </c>
      <c r="CO160" s="623">
        <f>CO156*Debt!CO16</f>
        <v>633.50417923287534</v>
      </c>
      <c r="CP160" s="623">
        <f>CP156*Debt!CP16</f>
        <v>637.32398289816138</v>
      </c>
      <c r="CQ160" s="362" t="s">
        <v>77</v>
      </c>
      <c r="DD160" s="8"/>
      <c r="DE160" s="8"/>
      <c r="DF160" s="8"/>
      <c r="DG160" s="8"/>
      <c r="DH160" s="8"/>
      <c r="DI160" s="8"/>
      <c r="DJ160" s="8"/>
      <c r="DK160" s="8"/>
      <c r="DM160" s="413"/>
      <c r="DO160" s="413"/>
      <c r="DQ160" s="413"/>
      <c r="DR160" s="413"/>
      <c r="DS160" s="413"/>
      <c r="DT160" s="413"/>
    </row>
    <row r="161" spans="2:124" outlineLevel="1" x14ac:dyDescent="0.2">
      <c r="B161" s="1" t="s">
        <v>514</v>
      </c>
      <c r="D161" s="3"/>
      <c r="E161" s="3"/>
      <c r="F161" s="3"/>
      <c r="G161" s="3"/>
      <c r="H161" s="3"/>
      <c r="I161" s="3"/>
      <c r="J161" s="3"/>
      <c r="K161" s="21"/>
      <c r="L161" s="21"/>
      <c r="M161" s="21"/>
      <c r="N161" s="21"/>
      <c r="O161" s="21"/>
      <c r="P161" s="21"/>
      <c r="Q161" s="21"/>
      <c r="R161" s="21"/>
      <c r="S161" s="21"/>
      <c r="T161" s="48"/>
      <c r="U161" s="48">
        <f>SUM(U159:U160)</f>
        <v>457.95882473702989</v>
      </c>
      <c r="V161" s="48">
        <f>SUM(V159:V160)</f>
        <v>524.61402750112666</v>
      </c>
      <c r="W161" s="48">
        <f>SUM(W159:W160)</f>
        <v>522.59043278618992</v>
      </c>
      <c r="X161" s="48">
        <f t="shared" ref="X161:BD161" si="458">SUM(X159:X160)</f>
        <v>517.49812264339607</v>
      </c>
      <c r="Y161" s="48">
        <f t="shared" si="458"/>
        <v>523.69025890406624</v>
      </c>
      <c r="Z161" s="48">
        <f t="shared" si="458"/>
        <v>523.67755413584632</v>
      </c>
      <c r="AA161" s="48">
        <f t="shared" si="458"/>
        <v>506.32344270618557</v>
      </c>
      <c r="AB161" s="48">
        <f t="shared" si="458"/>
        <v>568.25395073250138</v>
      </c>
      <c r="AC161" s="48">
        <f t="shared" si="458"/>
        <v>559.44244548742984</v>
      </c>
      <c r="AD161" s="48">
        <f t="shared" si="458"/>
        <v>550.81943499728698</v>
      </c>
      <c r="AE161" s="48">
        <f t="shared" si="458"/>
        <v>542.38491926207269</v>
      </c>
      <c r="AF161" s="48">
        <f t="shared" si="458"/>
        <v>534.13889828178685</v>
      </c>
      <c r="AG161" s="48">
        <f t="shared" si="458"/>
        <v>526.0813720564297</v>
      </c>
      <c r="AH161" s="48">
        <f t="shared" si="458"/>
        <v>533.21234058600112</v>
      </c>
      <c r="AI161" s="48">
        <f t="shared" si="458"/>
        <v>525.53180387050088</v>
      </c>
      <c r="AJ161" s="48">
        <f t="shared" si="458"/>
        <v>518.03976190992944</v>
      </c>
      <c r="AK161" s="48">
        <f t="shared" si="458"/>
        <v>525.73621470428645</v>
      </c>
      <c r="AL161" s="48">
        <f t="shared" si="458"/>
        <v>527.62116225357204</v>
      </c>
      <c r="AM161" s="48">
        <f t="shared" si="458"/>
        <v>529.69460455778619</v>
      </c>
      <c r="AN161" s="48">
        <f t="shared" si="458"/>
        <v>531.9565416169288</v>
      </c>
      <c r="AO161" s="48">
        <f t="shared" si="458"/>
        <v>519.4069734310001</v>
      </c>
      <c r="AP161" s="48">
        <f t="shared" si="458"/>
        <v>510.04589999999996</v>
      </c>
      <c r="AQ161" s="48">
        <f t="shared" si="458"/>
        <v>498.04589999999996</v>
      </c>
      <c r="AR161" s="48">
        <f t="shared" si="458"/>
        <v>486.04589999999996</v>
      </c>
      <c r="AS161" s="48">
        <f t="shared" si="458"/>
        <v>477.04589999999996</v>
      </c>
      <c r="AT161" s="48">
        <f t="shared" si="458"/>
        <v>468.04589999999996</v>
      </c>
      <c r="AU161" s="48">
        <f t="shared" si="458"/>
        <v>459.04589999999996</v>
      </c>
      <c r="AV161" s="48">
        <f t="shared" si="458"/>
        <v>462.81296935246894</v>
      </c>
      <c r="AW161" s="48">
        <f t="shared" si="458"/>
        <v>466.58114821630369</v>
      </c>
      <c r="AX161" s="48">
        <f t="shared" si="458"/>
        <v>470.35043819633364</v>
      </c>
      <c r="AY161" s="48">
        <f t="shared" si="458"/>
        <v>474.12084089970949</v>
      </c>
      <c r="AZ161" s="48">
        <f t="shared" si="458"/>
        <v>477.8923579359066</v>
      </c>
      <c r="BA161" s="48">
        <f t="shared" si="458"/>
        <v>481.66499091672824</v>
      </c>
      <c r="BB161" s="48">
        <f t="shared" si="458"/>
        <v>485.43874145630912</v>
      </c>
      <c r="BC161" s="48">
        <f t="shared" si="458"/>
        <v>489.2136111711186</v>
      </c>
      <c r="BD161" s="48">
        <f t="shared" si="458"/>
        <v>492.98960167996421</v>
      </c>
      <c r="BE161" s="48">
        <f t="shared" ref="BE161:CP161" si="459">SUM(BE159:BE160)</f>
        <v>496.76671460399513</v>
      </c>
      <c r="BF161" s="48">
        <f t="shared" si="459"/>
        <v>500.54495156670509</v>
      </c>
      <c r="BG161" s="48">
        <f t="shared" si="459"/>
        <v>504.32431419393623</v>
      </c>
      <c r="BH161" s="48">
        <f t="shared" si="459"/>
        <v>508.10480411388249</v>
      </c>
      <c r="BI161" s="48">
        <f t="shared" si="459"/>
        <v>511.88642295709269</v>
      </c>
      <c r="BJ161" s="48">
        <f t="shared" si="459"/>
        <v>515.66917235647406</v>
      </c>
      <c r="BK161" s="48">
        <f t="shared" si="459"/>
        <v>519.4530539472961</v>
      </c>
      <c r="BL161" s="48">
        <f t="shared" si="459"/>
        <v>523.23806936719313</v>
      </c>
      <c r="BM161" s="48">
        <f t="shared" si="459"/>
        <v>527.02422025616852</v>
      </c>
      <c r="BN161" s="48">
        <f t="shared" si="459"/>
        <v>530.81150825659779</v>
      </c>
      <c r="BO161" s="48">
        <f t="shared" si="459"/>
        <v>534.59993501323174</v>
      </c>
      <c r="BP161" s="48">
        <f t="shared" si="459"/>
        <v>538.38950217320053</v>
      </c>
      <c r="BQ161" s="48">
        <f t="shared" si="459"/>
        <v>542.18021138601659</v>
      </c>
      <c r="BR161" s="48">
        <f t="shared" si="459"/>
        <v>545.97206430357824</v>
      </c>
      <c r="BS161" s="48">
        <f t="shared" si="459"/>
        <v>549.76506258017321</v>
      </c>
      <c r="BT161" s="48">
        <f t="shared" si="459"/>
        <v>553.55920787248215</v>
      </c>
      <c r="BU161" s="48">
        <f t="shared" si="459"/>
        <v>557.35450183958176</v>
      </c>
      <c r="BV161" s="48">
        <f t="shared" si="459"/>
        <v>561.15094614294856</v>
      </c>
      <c r="BW161" s="48">
        <f t="shared" si="459"/>
        <v>564.9485424464624</v>
      </c>
      <c r="BX161" s="48">
        <f t="shared" si="459"/>
        <v>568.74729241640955</v>
      </c>
      <c r="BY161" s="48">
        <f t="shared" si="459"/>
        <v>572.54719772148678</v>
      </c>
      <c r="BZ161" s="48">
        <f t="shared" si="459"/>
        <v>576.34826003280421</v>
      </c>
      <c r="CA161" s="48">
        <f t="shared" si="459"/>
        <v>580.15048102388937</v>
      </c>
      <c r="CB161" s="48">
        <f t="shared" si="459"/>
        <v>583.95386237069022</v>
      </c>
      <c r="CC161" s="48">
        <f t="shared" si="459"/>
        <v>587.75840575157895</v>
      </c>
      <c r="CD161" s="48">
        <f t="shared" si="459"/>
        <v>591.56411284735543</v>
      </c>
      <c r="CE161" s="48">
        <f t="shared" si="459"/>
        <v>595.3709853412505</v>
      </c>
      <c r="CF161" s="48">
        <f t="shared" si="459"/>
        <v>599.17902491892983</v>
      </c>
      <c r="CG161" s="48">
        <f t="shared" si="459"/>
        <v>602.98823326849731</v>
      </c>
      <c r="CH161" s="48">
        <f t="shared" si="459"/>
        <v>606.79861208049863</v>
      </c>
      <c r="CI161" s="48">
        <f t="shared" si="459"/>
        <v>610.61016304792452</v>
      </c>
      <c r="CJ161" s="48">
        <f t="shared" si="459"/>
        <v>614.42288786621452</v>
      </c>
      <c r="CK161" s="48">
        <f t="shared" si="459"/>
        <v>618.23678823326054</v>
      </c>
      <c r="CL161" s="48">
        <f t="shared" si="459"/>
        <v>622.05186584941055</v>
      </c>
      <c r="CM161" s="48">
        <f t="shared" si="459"/>
        <v>625.8681224174718</v>
      </c>
      <c r="CN161" s="48">
        <f t="shared" si="459"/>
        <v>629.68555964271445</v>
      </c>
      <c r="CO161" s="48">
        <f t="shared" si="459"/>
        <v>633.50417923287534</v>
      </c>
      <c r="CP161" s="48">
        <f t="shared" si="459"/>
        <v>637.32398289816138</v>
      </c>
      <c r="CQ161" s="362" t="s">
        <v>77</v>
      </c>
      <c r="DD161" s="8"/>
      <c r="DE161" s="8"/>
      <c r="DF161" s="8"/>
      <c r="DG161" s="8"/>
      <c r="DH161" s="8"/>
      <c r="DI161" s="8"/>
      <c r="DJ161" s="8"/>
      <c r="DK161" s="8"/>
      <c r="DM161" s="413"/>
      <c r="DO161" s="413"/>
      <c r="DQ161" s="413"/>
      <c r="DR161" s="413"/>
      <c r="DS161" s="413"/>
      <c r="DT161" s="413"/>
    </row>
    <row r="162" spans="2:124" outlineLevel="1" x14ac:dyDescent="0.2">
      <c r="B162" s="1" t="s">
        <v>515</v>
      </c>
      <c r="D162" s="3"/>
      <c r="E162" s="3"/>
      <c r="F162" s="3"/>
      <c r="G162" s="3"/>
      <c r="H162" s="3"/>
      <c r="I162" s="3"/>
      <c r="J162" s="3"/>
      <c r="K162" s="19"/>
      <c r="L162" s="19"/>
      <c r="M162" s="19"/>
      <c r="N162" s="19"/>
      <c r="O162" s="19"/>
      <c r="P162" s="19"/>
      <c r="Q162" s="19"/>
      <c r="R162" s="19"/>
      <c r="S162" s="19"/>
      <c r="T162" s="46"/>
      <c r="U162" s="38">
        <f t="shared" ref="U162:BD162" si="460">U158*U157+(1-U158)*U156</f>
        <v>4.1740212218090864E-2</v>
      </c>
      <c r="V162" s="38">
        <f>V158*V157+(1-V158)*V156</f>
        <v>4.8662240615514482E-2</v>
      </c>
      <c r="W162" s="38">
        <f>W158*W157+(1-W158)*W156</f>
        <v>4.7990374456903254E-2</v>
      </c>
      <c r="X162" s="38">
        <f t="shared" si="460"/>
        <v>4.6207513669796967E-2</v>
      </c>
      <c r="Y162" s="38">
        <f t="shared" si="460"/>
        <v>4.6230436779481104E-2</v>
      </c>
      <c r="Z162" s="38">
        <f t="shared" si="460"/>
        <v>4.6252906000579894E-2</v>
      </c>
      <c r="AA162" s="38">
        <f t="shared" si="460"/>
        <v>4.6219032815964137E-2</v>
      </c>
      <c r="AB162" s="38">
        <f t="shared" si="460"/>
        <v>5.3245358102685166E-2</v>
      </c>
      <c r="AC162" s="38">
        <f t="shared" si="460"/>
        <v>5.3205701782335753E-2</v>
      </c>
      <c r="AD162" s="38">
        <f t="shared" si="460"/>
        <v>5.3231154488473736E-2</v>
      </c>
      <c r="AE162" s="38">
        <f t="shared" si="460"/>
        <v>5.3324849554245587E-2</v>
      </c>
      <c r="AF162" s="38">
        <f t="shared" si="460"/>
        <v>5.3490124643621115E-2</v>
      </c>
      <c r="AG162" s="38">
        <f t="shared" si="460"/>
        <v>5.3730538683455863E-2</v>
      </c>
      <c r="AH162" s="38">
        <f t="shared" si="460"/>
        <v>5.4212448214352629E-2</v>
      </c>
      <c r="AI162" s="38">
        <f t="shared" si="460"/>
        <v>5.4606330781571677E-2</v>
      </c>
      <c r="AJ162" s="38">
        <f t="shared" si="460"/>
        <v>5.5084798944081761E-2</v>
      </c>
      <c r="AK162" s="38">
        <f t="shared" si="460"/>
        <v>5.5773663215555207E-2</v>
      </c>
      <c r="AL162" s="38">
        <f t="shared" si="460"/>
        <v>5.6478052679629333E-2</v>
      </c>
      <c r="AM162" s="38">
        <f t="shared" si="460"/>
        <v>5.7252881090110876E-2</v>
      </c>
      <c r="AN162" s="38">
        <f t="shared" si="460"/>
        <v>5.8098148446999842E-2</v>
      </c>
      <c r="AO162" s="38">
        <f t="shared" si="460"/>
        <v>5.8985519734648058E-2</v>
      </c>
      <c r="AP162" s="38">
        <f t="shared" si="460"/>
        <v>0.06</v>
      </c>
      <c r="AQ162" s="38">
        <f t="shared" si="460"/>
        <v>0.06</v>
      </c>
      <c r="AR162" s="38">
        <f t="shared" si="460"/>
        <v>0.06</v>
      </c>
      <c r="AS162" s="38">
        <f t="shared" si="460"/>
        <v>0.06</v>
      </c>
      <c r="AT162" s="38">
        <f t="shared" si="460"/>
        <v>0.06</v>
      </c>
      <c r="AU162" s="38">
        <f t="shared" si="460"/>
        <v>0.06</v>
      </c>
      <c r="AV162" s="38">
        <f t="shared" si="460"/>
        <v>0.06</v>
      </c>
      <c r="AW162" s="38">
        <f t="shared" si="460"/>
        <v>0.06</v>
      </c>
      <c r="AX162" s="38">
        <f t="shared" si="460"/>
        <v>0.06</v>
      </c>
      <c r="AY162" s="38">
        <f t="shared" si="460"/>
        <v>0.06</v>
      </c>
      <c r="AZ162" s="38">
        <f t="shared" si="460"/>
        <v>0.06</v>
      </c>
      <c r="BA162" s="38">
        <f t="shared" si="460"/>
        <v>0.06</v>
      </c>
      <c r="BB162" s="38">
        <f t="shared" si="460"/>
        <v>0.06</v>
      </c>
      <c r="BC162" s="38">
        <f t="shared" si="460"/>
        <v>0.06</v>
      </c>
      <c r="BD162" s="38">
        <f t="shared" si="460"/>
        <v>0.06</v>
      </c>
      <c r="BE162" s="38">
        <f t="shared" ref="BE162:CP162" si="461">BE158*BE157+(1-BE158)*BE156</f>
        <v>0.06</v>
      </c>
      <c r="BF162" s="38">
        <f t="shared" si="461"/>
        <v>0.06</v>
      </c>
      <c r="BG162" s="38">
        <f t="shared" si="461"/>
        <v>0.06</v>
      </c>
      <c r="BH162" s="38">
        <f t="shared" si="461"/>
        <v>0.06</v>
      </c>
      <c r="BI162" s="38">
        <f t="shared" si="461"/>
        <v>0.06</v>
      </c>
      <c r="BJ162" s="38">
        <f t="shared" si="461"/>
        <v>0.06</v>
      </c>
      <c r="BK162" s="38">
        <f t="shared" si="461"/>
        <v>0.06</v>
      </c>
      <c r="BL162" s="38">
        <f t="shared" si="461"/>
        <v>0.06</v>
      </c>
      <c r="BM162" s="38">
        <f t="shared" si="461"/>
        <v>0.06</v>
      </c>
      <c r="BN162" s="38">
        <f t="shared" si="461"/>
        <v>0.06</v>
      </c>
      <c r="BO162" s="38">
        <f t="shared" si="461"/>
        <v>0.06</v>
      </c>
      <c r="BP162" s="38">
        <f t="shared" si="461"/>
        <v>0.06</v>
      </c>
      <c r="BQ162" s="38">
        <f t="shared" si="461"/>
        <v>0.06</v>
      </c>
      <c r="BR162" s="38">
        <f t="shared" si="461"/>
        <v>0.06</v>
      </c>
      <c r="BS162" s="38">
        <f t="shared" si="461"/>
        <v>0.06</v>
      </c>
      <c r="BT162" s="38">
        <f t="shared" si="461"/>
        <v>0.06</v>
      </c>
      <c r="BU162" s="38">
        <f t="shared" si="461"/>
        <v>0.06</v>
      </c>
      <c r="BV162" s="38">
        <f t="shared" si="461"/>
        <v>0.06</v>
      </c>
      <c r="BW162" s="38">
        <f t="shared" si="461"/>
        <v>0.06</v>
      </c>
      <c r="BX162" s="38">
        <f t="shared" si="461"/>
        <v>0.06</v>
      </c>
      <c r="BY162" s="38">
        <f t="shared" si="461"/>
        <v>0.06</v>
      </c>
      <c r="BZ162" s="38">
        <f t="shared" si="461"/>
        <v>0.06</v>
      </c>
      <c r="CA162" s="38">
        <f t="shared" si="461"/>
        <v>0.06</v>
      </c>
      <c r="CB162" s="38">
        <f t="shared" si="461"/>
        <v>0.06</v>
      </c>
      <c r="CC162" s="38">
        <f t="shared" si="461"/>
        <v>0.06</v>
      </c>
      <c r="CD162" s="38">
        <f t="shared" si="461"/>
        <v>0.06</v>
      </c>
      <c r="CE162" s="38">
        <f t="shared" si="461"/>
        <v>0.06</v>
      </c>
      <c r="CF162" s="38">
        <f t="shared" si="461"/>
        <v>0.06</v>
      </c>
      <c r="CG162" s="38">
        <f t="shared" si="461"/>
        <v>0.06</v>
      </c>
      <c r="CH162" s="38">
        <f t="shared" si="461"/>
        <v>0.06</v>
      </c>
      <c r="CI162" s="38">
        <f t="shared" si="461"/>
        <v>0.06</v>
      </c>
      <c r="CJ162" s="38">
        <f t="shared" si="461"/>
        <v>0.06</v>
      </c>
      <c r="CK162" s="38">
        <f t="shared" si="461"/>
        <v>0.06</v>
      </c>
      <c r="CL162" s="38">
        <f t="shared" si="461"/>
        <v>0.06</v>
      </c>
      <c r="CM162" s="38">
        <f t="shared" si="461"/>
        <v>0.06</v>
      </c>
      <c r="CN162" s="38">
        <f t="shared" si="461"/>
        <v>0.06</v>
      </c>
      <c r="CO162" s="38">
        <f t="shared" si="461"/>
        <v>0.06</v>
      </c>
      <c r="CP162" s="38">
        <f t="shared" si="461"/>
        <v>0.06</v>
      </c>
      <c r="CQ162" s="362" t="s">
        <v>77</v>
      </c>
      <c r="DD162" s="8"/>
      <c r="DE162" s="8"/>
      <c r="DF162" s="8"/>
      <c r="DG162" s="8"/>
      <c r="DH162" s="8"/>
      <c r="DI162" s="8"/>
      <c r="DJ162" s="8"/>
      <c r="DK162" s="8"/>
      <c r="DM162" s="413"/>
      <c r="DO162" s="413"/>
      <c r="DQ162" s="413"/>
      <c r="DR162" s="413"/>
      <c r="DS162" s="413"/>
      <c r="DT162" s="413"/>
    </row>
    <row r="163" spans="2:124" x14ac:dyDescent="0.2"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  <c r="AY163" s="10"/>
      <c r="AZ163" s="10"/>
      <c r="BA163" s="10"/>
      <c r="BB163" s="10"/>
      <c r="BC163" s="10"/>
      <c r="BD163" s="10"/>
      <c r="BE163" s="10"/>
      <c r="BF163" s="10"/>
      <c r="BG163" s="10"/>
      <c r="BH163" s="10"/>
      <c r="BI163" s="10"/>
      <c r="BJ163" s="10"/>
      <c r="BK163" s="10"/>
      <c r="BL163" s="10"/>
      <c r="BM163" s="10"/>
      <c r="BN163" s="10"/>
      <c r="BO163" s="10"/>
      <c r="BP163" s="10"/>
      <c r="BQ163" s="10"/>
      <c r="BR163" s="10"/>
      <c r="BS163" s="10"/>
      <c r="BT163" s="10"/>
      <c r="BU163" s="10"/>
      <c r="BV163" s="10"/>
      <c r="BW163" s="10"/>
      <c r="BX163" s="10"/>
      <c r="BY163" s="10"/>
      <c r="BZ163" s="10"/>
      <c r="CA163" s="10"/>
      <c r="CB163" s="10"/>
      <c r="CC163" s="10"/>
      <c r="CD163" s="10"/>
      <c r="CE163" s="10"/>
      <c r="CF163" s="10"/>
      <c r="CG163" s="10"/>
      <c r="CH163" s="10"/>
      <c r="CI163" s="10"/>
      <c r="CJ163" s="10"/>
      <c r="CK163" s="10"/>
      <c r="CL163" s="10"/>
      <c r="CM163" s="10"/>
      <c r="CN163" s="10"/>
      <c r="CO163" s="10"/>
      <c r="CP163" s="10"/>
      <c r="CQ163" s="362" t="s">
        <v>77</v>
      </c>
      <c r="DD163" s="8"/>
      <c r="DE163" s="8"/>
      <c r="DF163" s="8"/>
      <c r="DG163" s="8"/>
      <c r="DH163" s="8"/>
      <c r="DI163" s="8"/>
      <c r="DJ163" s="8"/>
      <c r="DK163" s="8"/>
      <c r="DM163" s="413"/>
      <c r="DO163" s="413"/>
      <c r="DQ163" s="413"/>
      <c r="DR163" s="413"/>
      <c r="DS163" s="413"/>
      <c r="DT163" s="413"/>
    </row>
    <row r="164" spans="2:124" s="233" customFormat="1" x14ac:dyDescent="0.2">
      <c r="B164" s="728" t="s">
        <v>103</v>
      </c>
      <c r="C164" s="312"/>
      <c r="D164" s="308"/>
      <c r="E164" s="308"/>
      <c r="F164" s="312">
        <f t="shared" ref="F164:BQ164" si="462">Fiscal_Year</f>
        <v>36707</v>
      </c>
      <c r="G164" s="312">
        <f t="shared" si="462"/>
        <v>37072</v>
      </c>
      <c r="H164" s="312">
        <f t="shared" si="462"/>
        <v>37437</v>
      </c>
      <c r="I164" s="312">
        <f t="shared" si="462"/>
        <v>37802</v>
      </c>
      <c r="J164" s="312">
        <f t="shared" si="462"/>
        <v>38168</v>
      </c>
      <c r="K164" s="312">
        <f t="shared" si="462"/>
        <v>38533</v>
      </c>
      <c r="L164" s="312">
        <f t="shared" si="462"/>
        <v>38898</v>
      </c>
      <c r="M164" s="312">
        <f t="shared" si="462"/>
        <v>39263</v>
      </c>
      <c r="N164" s="312">
        <f t="shared" si="462"/>
        <v>39629</v>
      </c>
      <c r="O164" s="312">
        <f t="shared" si="462"/>
        <v>39994</v>
      </c>
      <c r="P164" s="312">
        <f t="shared" si="462"/>
        <v>40359</v>
      </c>
      <c r="Q164" s="312">
        <f t="shared" si="462"/>
        <v>40724</v>
      </c>
      <c r="R164" s="312">
        <f t="shared" si="462"/>
        <v>41090</v>
      </c>
      <c r="S164" s="312">
        <f t="shared" si="462"/>
        <v>41455</v>
      </c>
      <c r="T164" s="312">
        <f t="shared" si="462"/>
        <v>41820</v>
      </c>
      <c r="U164" s="312">
        <f t="shared" si="462"/>
        <v>42185</v>
      </c>
      <c r="V164" s="312">
        <f t="shared" si="462"/>
        <v>42551</v>
      </c>
      <c r="W164" s="312">
        <f t="shared" si="462"/>
        <v>42916</v>
      </c>
      <c r="X164" s="312">
        <f t="shared" si="462"/>
        <v>43281</v>
      </c>
      <c r="Y164" s="312">
        <f t="shared" si="462"/>
        <v>43646</v>
      </c>
      <c r="Z164" s="312">
        <f t="shared" si="462"/>
        <v>44012</v>
      </c>
      <c r="AA164" s="312">
        <f t="shared" si="462"/>
        <v>44377</v>
      </c>
      <c r="AB164" s="312">
        <f t="shared" si="462"/>
        <v>44742</v>
      </c>
      <c r="AC164" s="312">
        <f t="shared" si="462"/>
        <v>45107</v>
      </c>
      <c r="AD164" s="312">
        <f t="shared" si="462"/>
        <v>45473</v>
      </c>
      <c r="AE164" s="312">
        <f t="shared" si="462"/>
        <v>45838</v>
      </c>
      <c r="AF164" s="312">
        <f t="shared" si="462"/>
        <v>46203</v>
      </c>
      <c r="AG164" s="312">
        <f t="shared" si="462"/>
        <v>46568</v>
      </c>
      <c r="AH164" s="312">
        <f t="shared" si="462"/>
        <v>46934</v>
      </c>
      <c r="AI164" s="312">
        <f t="shared" si="462"/>
        <v>47299</v>
      </c>
      <c r="AJ164" s="312">
        <f t="shared" si="462"/>
        <v>47664</v>
      </c>
      <c r="AK164" s="312">
        <f t="shared" si="462"/>
        <v>48029</v>
      </c>
      <c r="AL164" s="312">
        <f t="shared" si="462"/>
        <v>48395</v>
      </c>
      <c r="AM164" s="312">
        <f t="shared" si="462"/>
        <v>48760</v>
      </c>
      <c r="AN164" s="312">
        <f t="shared" si="462"/>
        <v>49125</v>
      </c>
      <c r="AO164" s="312">
        <f t="shared" si="462"/>
        <v>49490</v>
      </c>
      <c r="AP164" s="312">
        <f t="shared" si="462"/>
        <v>49856</v>
      </c>
      <c r="AQ164" s="312">
        <f t="shared" si="462"/>
        <v>50221</v>
      </c>
      <c r="AR164" s="312">
        <f t="shared" si="462"/>
        <v>50586</v>
      </c>
      <c r="AS164" s="312">
        <f t="shared" si="462"/>
        <v>50951</v>
      </c>
      <c r="AT164" s="312">
        <f t="shared" si="462"/>
        <v>51317</v>
      </c>
      <c r="AU164" s="312">
        <f t="shared" si="462"/>
        <v>51682</v>
      </c>
      <c r="AV164" s="312">
        <f t="shared" si="462"/>
        <v>52047</v>
      </c>
      <c r="AW164" s="312">
        <f t="shared" si="462"/>
        <v>52412</v>
      </c>
      <c r="AX164" s="312">
        <f t="shared" si="462"/>
        <v>52778</v>
      </c>
      <c r="AY164" s="312">
        <f t="shared" si="462"/>
        <v>53143</v>
      </c>
      <c r="AZ164" s="312">
        <f t="shared" si="462"/>
        <v>53508</v>
      </c>
      <c r="BA164" s="312">
        <f t="shared" si="462"/>
        <v>53873</v>
      </c>
      <c r="BB164" s="312">
        <f t="shared" si="462"/>
        <v>54239</v>
      </c>
      <c r="BC164" s="312">
        <f t="shared" si="462"/>
        <v>54604</v>
      </c>
      <c r="BD164" s="312">
        <f t="shared" si="462"/>
        <v>54969</v>
      </c>
      <c r="BE164" s="312">
        <f t="shared" si="462"/>
        <v>55334</v>
      </c>
      <c r="BF164" s="312">
        <f t="shared" si="462"/>
        <v>55700</v>
      </c>
      <c r="BG164" s="312">
        <f t="shared" si="462"/>
        <v>56065</v>
      </c>
      <c r="BH164" s="312">
        <f t="shared" si="462"/>
        <v>56430</v>
      </c>
      <c r="BI164" s="312">
        <f t="shared" si="462"/>
        <v>56795</v>
      </c>
      <c r="BJ164" s="312">
        <f t="shared" si="462"/>
        <v>57161</v>
      </c>
      <c r="BK164" s="312">
        <f t="shared" si="462"/>
        <v>57526</v>
      </c>
      <c r="BL164" s="312">
        <f t="shared" si="462"/>
        <v>57891</v>
      </c>
      <c r="BM164" s="312">
        <f t="shared" si="462"/>
        <v>58256</v>
      </c>
      <c r="BN164" s="312">
        <f t="shared" si="462"/>
        <v>58622</v>
      </c>
      <c r="BO164" s="312">
        <f t="shared" si="462"/>
        <v>58987</v>
      </c>
      <c r="BP164" s="312">
        <f t="shared" si="462"/>
        <v>59352</v>
      </c>
      <c r="BQ164" s="312">
        <f t="shared" si="462"/>
        <v>59717</v>
      </c>
      <c r="BR164" s="312">
        <f t="shared" ref="BR164:CP164" si="463">Fiscal_Year</f>
        <v>60083</v>
      </c>
      <c r="BS164" s="312">
        <f t="shared" si="463"/>
        <v>60448</v>
      </c>
      <c r="BT164" s="312">
        <f t="shared" si="463"/>
        <v>60813</v>
      </c>
      <c r="BU164" s="312">
        <f t="shared" si="463"/>
        <v>61178</v>
      </c>
      <c r="BV164" s="312">
        <f t="shared" si="463"/>
        <v>61544</v>
      </c>
      <c r="BW164" s="312">
        <f t="shared" si="463"/>
        <v>61909</v>
      </c>
      <c r="BX164" s="312">
        <f t="shared" si="463"/>
        <v>62274</v>
      </c>
      <c r="BY164" s="312">
        <f t="shared" si="463"/>
        <v>62639</v>
      </c>
      <c r="BZ164" s="312">
        <f t="shared" si="463"/>
        <v>63005</v>
      </c>
      <c r="CA164" s="312">
        <f t="shared" si="463"/>
        <v>63370</v>
      </c>
      <c r="CB164" s="312">
        <f t="shared" si="463"/>
        <v>63735</v>
      </c>
      <c r="CC164" s="312">
        <f t="shared" si="463"/>
        <v>64100</v>
      </c>
      <c r="CD164" s="312">
        <f t="shared" si="463"/>
        <v>64466</v>
      </c>
      <c r="CE164" s="312">
        <f t="shared" si="463"/>
        <v>64831</v>
      </c>
      <c r="CF164" s="312">
        <f t="shared" si="463"/>
        <v>65196</v>
      </c>
      <c r="CG164" s="312">
        <f t="shared" si="463"/>
        <v>65561</v>
      </c>
      <c r="CH164" s="312">
        <f t="shared" si="463"/>
        <v>65927</v>
      </c>
      <c r="CI164" s="312">
        <f t="shared" si="463"/>
        <v>66292</v>
      </c>
      <c r="CJ164" s="312">
        <f t="shared" si="463"/>
        <v>66657</v>
      </c>
      <c r="CK164" s="312">
        <f t="shared" si="463"/>
        <v>67022</v>
      </c>
      <c r="CL164" s="312">
        <f t="shared" si="463"/>
        <v>67388</v>
      </c>
      <c r="CM164" s="312">
        <f t="shared" si="463"/>
        <v>67753</v>
      </c>
      <c r="CN164" s="312">
        <f t="shared" si="463"/>
        <v>68118</v>
      </c>
      <c r="CO164" s="312">
        <f t="shared" si="463"/>
        <v>68483</v>
      </c>
      <c r="CP164" s="312">
        <f t="shared" si="463"/>
        <v>68849</v>
      </c>
      <c r="CQ164" s="362" t="s">
        <v>77</v>
      </c>
      <c r="CS164" s="8"/>
      <c r="CT164" s="8"/>
      <c r="CU164"/>
      <c r="CV164"/>
      <c r="CW164"/>
      <c r="CX164"/>
      <c r="CY164"/>
      <c r="CZ164"/>
      <c r="DB164" s="728" t="s">
        <v>103</v>
      </c>
      <c r="DC164" s="8"/>
      <c r="DD164" s="312">
        <f t="shared" ref="DD164:DQ164" si="464">+DD$3</f>
        <v>40908</v>
      </c>
      <c r="DE164" s="312">
        <f t="shared" si="464"/>
        <v>41090</v>
      </c>
      <c r="DF164" s="312">
        <f t="shared" si="464"/>
        <v>41274</v>
      </c>
      <c r="DG164" s="312">
        <f t="shared" si="464"/>
        <v>41455</v>
      </c>
      <c r="DH164" s="312">
        <f t="shared" si="464"/>
        <v>41639</v>
      </c>
      <c r="DI164" s="312">
        <f t="shared" si="464"/>
        <v>41820</v>
      </c>
      <c r="DJ164" s="312">
        <f t="shared" si="464"/>
        <v>42004</v>
      </c>
      <c r="DK164" s="312">
        <f t="shared" si="464"/>
        <v>42185</v>
      </c>
      <c r="DL164" s="312">
        <f t="shared" si="464"/>
        <v>42369</v>
      </c>
      <c r="DM164" s="312">
        <f t="shared" si="464"/>
        <v>42551</v>
      </c>
      <c r="DN164" s="312">
        <f t="shared" si="464"/>
        <v>42735</v>
      </c>
      <c r="DO164" s="312">
        <f t="shared" si="464"/>
        <v>42916</v>
      </c>
      <c r="DP164" s="312">
        <f t="shared" si="464"/>
        <v>43100</v>
      </c>
      <c r="DQ164" s="312">
        <f t="shared" si="464"/>
        <v>43281</v>
      </c>
      <c r="DR164" s="312"/>
      <c r="DS164" s="312"/>
      <c r="DT164" s="413"/>
    </row>
    <row r="165" spans="2:124" ht="5.0999999999999996" customHeight="1" x14ac:dyDescent="0.2">
      <c r="B165" s="107"/>
      <c r="D165" s="108"/>
      <c r="E165" s="108"/>
      <c r="F165" s="108"/>
      <c r="G165" s="108"/>
      <c r="H165" s="108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108"/>
      <c r="Y165" s="108"/>
      <c r="Z165" s="108"/>
      <c r="AA165" s="108"/>
      <c r="AB165" s="108"/>
      <c r="AC165" s="108"/>
      <c r="AD165" s="108"/>
      <c r="AE165" s="108"/>
      <c r="AF165" s="108"/>
      <c r="AG165" s="108"/>
      <c r="AH165" s="108"/>
      <c r="AI165" s="108"/>
      <c r="AJ165" s="108"/>
      <c r="AK165" s="108"/>
      <c r="AL165" s="108"/>
      <c r="AM165" s="108"/>
      <c r="AN165" s="108"/>
      <c r="AO165" s="108"/>
      <c r="AP165" s="108"/>
      <c r="AQ165" s="108"/>
      <c r="AR165" s="108"/>
      <c r="AS165" s="108"/>
      <c r="AT165" s="108"/>
      <c r="AU165" s="108"/>
      <c r="AV165" s="108"/>
      <c r="AW165" s="108"/>
      <c r="AX165" s="108"/>
      <c r="AY165" s="108"/>
      <c r="AZ165" s="108"/>
      <c r="BA165" s="108"/>
      <c r="BB165" s="108"/>
      <c r="BC165" s="108"/>
      <c r="BD165" s="108"/>
      <c r="BE165" s="108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362" t="s">
        <v>77</v>
      </c>
      <c r="DB165" s="107"/>
      <c r="DD165" s="108"/>
      <c r="DE165" s="108"/>
      <c r="DF165" s="108"/>
      <c r="DG165" s="108"/>
      <c r="DH165" s="108"/>
      <c r="DI165" s="108"/>
      <c r="DJ165" s="108"/>
      <c r="DK165" s="108"/>
      <c r="DM165" s="413"/>
      <c r="DO165" s="413"/>
      <c r="DQ165" s="413"/>
      <c r="DR165" s="413"/>
      <c r="DS165" s="413"/>
      <c r="DT165" s="413"/>
    </row>
    <row r="166" spans="2:124" ht="11.25" customHeight="1" outlineLevel="1" x14ac:dyDescent="0.2">
      <c r="B166" s="358" t="s">
        <v>88</v>
      </c>
      <c r="C166" s="218"/>
      <c r="D166" s="66"/>
      <c r="E166" s="66"/>
      <c r="F166" s="66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  <c r="Y166" s="66"/>
      <c r="Z166" s="66"/>
      <c r="AA166" s="66"/>
      <c r="AB166" s="66"/>
      <c r="AC166" s="66"/>
      <c r="AD166" s="66"/>
      <c r="AE166" s="66"/>
      <c r="AF166" s="66"/>
      <c r="AG166" s="66"/>
      <c r="AH166" s="66"/>
      <c r="AI166" s="66"/>
      <c r="AJ166" s="66"/>
      <c r="AK166" s="66"/>
      <c r="AL166" s="66"/>
      <c r="AM166" s="66"/>
      <c r="AN166" s="66"/>
      <c r="AO166" s="66"/>
      <c r="AP166" s="66"/>
      <c r="AQ166" s="66"/>
      <c r="AR166" s="66"/>
      <c r="AS166" s="66"/>
      <c r="AT166" s="66"/>
      <c r="AU166" s="66"/>
      <c r="AV166" s="66"/>
      <c r="AW166" s="66"/>
      <c r="AX166" s="66"/>
      <c r="AY166" s="66"/>
      <c r="AZ166" s="66"/>
      <c r="BA166" s="66"/>
      <c r="BB166" s="66"/>
      <c r="BC166" s="66"/>
      <c r="BD166" s="66"/>
      <c r="BE166" s="66"/>
      <c r="BF166" s="66"/>
      <c r="BG166" s="66"/>
      <c r="BH166" s="66"/>
      <c r="BI166" s="66"/>
      <c r="BJ166" s="66"/>
      <c r="BK166" s="66"/>
      <c r="BL166" s="66"/>
      <c r="BM166" s="66"/>
      <c r="BN166" s="66"/>
      <c r="BO166" s="66"/>
      <c r="BP166" s="66"/>
      <c r="BQ166" s="66"/>
      <c r="BR166" s="66"/>
      <c r="BS166" s="66"/>
      <c r="BT166" s="66"/>
      <c r="BU166" s="66"/>
      <c r="BV166" s="66"/>
      <c r="BW166" s="66"/>
      <c r="BX166" s="66"/>
      <c r="BY166" s="66"/>
      <c r="BZ166" s="66"/>
      <c r="CA166" s="66"/>
      <c r="CB166" s="66"/>
      <c r="CC166" s="66"/>
      <c r="CD166" s="66"/>
      <c r="CE166" s="66"/>
      <c r="CF166" s="66"/>
      <c r="CG166" s="66"/>
      <c r="CH166" s="66"/>
      <c r="CI166" s="66"/>
      <c r="CJ166" s="66"/>
      <c r="CK166" s="66"/>
      <c r="CL166" s="66"/>
      <c r="CM166" s="66"/>
      <c r="CN166" s="66"/>
      <c r="CO166" s="66"/>
      <c r="CP166" s="66"/>
      <c r="CQ166" s="362" t="s">
        <v>77</v>
      </c>
      <c r="DB166" s="358" t="s">
        <v>88</v>
      </c>
      <c r="DC166" s="218"/>
      <c r="DD166" s="66"/>
      <c r="DE166" s="66"/>
      <c r="DF166" s="66"/>
      <c r="DG166" s="66"/>
      <c r="DH166" s="66"/>
      <c r="DI166" s="66"/>
      <c r="DJ166" s="66"/>
      <c r="DK166" s="66"/>
      <c r="DL166" s="66"/>
      <c r="DM166" s="66"/>
      <c r="DN166" s="66"/>
      <c r="DO166" s="66"/>
      <c r="DP166" s="66"/>
      <c r="DQ166" s="66"/>
      <c r="DR166" s="66"/>
      <c r="DS166" s="66"/>
      <c r="DT166" s="413"/>
    </row>
    <row r="167" spans="2:124" ht="11.25" customHeight="1" outlineLevel="1" x14ac:dyDescent="0.2">
      <c r="B167" s="13" t="s">
        <v>106</v>
      </c>
      <c r="C167" s="24"/>
      <c r="D167" s="236"/>
      <c r="E167" s="236"/>
      <c r="F167" s="236"/>
      <c r="G167" s="236"/>
      <c r="H167" s="236"/>
      <c r="I167" s="236"/>
      <c r="J167" s="236"/>
      <c r="K167" s="236">
        <v>250.33600000000001</v>
      </c>
      <c r="L167" s="236">
        <v>278.89499999999998</v>
      </c>
      <c r="M167" s="236">
        <v>280.18099999999998</v>
      </c>
      <c r="N167" s="236">
        <v>431.702</v>
      </c>
      <c r="O167" s="51">
        <f t="shared" ref="O167:T167" si="465">+N170</f>
        <v>468.24099999999999</v>
      </c>
      <c r="P167" s="51">
        <f t="shared" si="465"/>
        <v>498.66399999999999</v>
      </c>
      <c r="Q167" s="51">
        <f t="shared" si="465"/>
        <v>542.31899999999996</v>
      </c>
      <c r="R167" s="51">
        <f t="shared" si="465"/>
        <v>634.11599999999999</v>
      </c>
      <c r="S167" s="51">
        <f t="shared" si="465"/>
        <v>644.48599999999999</v>
      </c>
      <c r="T167" s="51">
        <f t="shared" si="465"/>
        <v>835.75099999999998</v>
      </c>
      <c r="U167" s="51">
        <f>+T170</f>
        <v>835.75099999999998</v>
      </c>
      <c r="V167" s="51">
        <f t="shared" ref="V167:BD167" si="466">+U170</f>
        <v>1114.307</v>
      </c>
      <c r="W167" s="51">
        <f t="shared" si="466"/>
        <v>1114.307</v>
      </c>
      <c r="X167" s="51">
        <f t="shared" si="466"/>
        <v>1114.307</v>
      </c>
      <c r="Y167" s="51">
        <f t="shared" si="466"/>
        <v>1179.854493</v>
      </c>
      <c r="Z167" s="51">
        <f t="shared" si="466"/>
        <v>1179.854493</v>
      </c>
      <c r="AA167" s="51">
        <f t="shared" si="466"/>
        <v>1179.854493</v>
      </c>
      <c r="AB167" s="51">
        <f t="shared" si="466"/>
        <v>1179.854493</v>
      </c>
      <c r="AC167" s="51">
        <f t="shared" si="466"/>
        <v>1179.854493</v>
      </c>
      <c r="AD167" s="51">
        <f t="shared" si="466"/>
        <v>1179.854493</v>
      </c>
      <c r="AE167" s="51">
        <f t="shared" si="466"/>
        <v>1179.854493</v>
      </c>
      <c r="AF167" s="51">
        <f t="shared" si="466"/>
        <v>1179.854493</v>
      </c>
      <c r="AG167" s="51">
        <f t="shared" si="466"/>
        <v>1179.854493</v>
      </c>
      <c r="AH167" s="51">
        <f t="shared" si="466"/>
        <v>1179.854493</v>
      </c>
      <c r="AI167" s="51">
        <f t="shared" si="466"/>
        <v>1179.854493</v>
      </c>
      <c r="AJ167" s="51">
        <f t="shared" si="466"/>
        <v>1179.854493</v>
      </c>
      <c r="AK167" s="51">
        <f t="shared" si="466"/>
        <v>1179.854493</v>
      </c>
      <c r="AL167" s="51">
        <f t="shared" si="466"/>
        <v>1179.854493</v>
      </c>
      <c r="AM167" s="51">
        <f t="shared" si="466"/>
        <v>1179.854493</v>
      </c>
      <c r="AN167" s="51">
        <f t="shared" si="466"/>
        <v>1179.854493</v>
      </c>
      <c r="AO167" s="51">
        <f t="shared" si="466"/>
        <v>1179.854493</v>
      </c>
      <c r="AP167" s="51">
        <f t="shared" si="466"/>
        <v>1179.854493</v>
      </c>
      <c r="AQ167" s="51">
        <f t="shared" si="466"/>
        <v>1179.854493</v>
      </c>
      <c r="AR167" s="51">
        <f t="shared" si="466"/>
        <v>1179.854493</v>
      </c>
      <c r="AS167" s="51">
        <f t="shared" si="466"/>
        <v>1179.854493</v>
      </c>
      <c r="AT167" s="51">
        <f t="shared" si="466"/>
        <v>1179.854493</v>
      </c>
      <c r="AU167" s="51">
        <f t="shared" si="466"/>
        <v>1179.854493</v>
      </c>
      <c r="AV167" s="51">
        <f t="shared" si="466"/>
        <v>1179.854493</v>
      </c>
      <c r="AW167" s="51">
        <f t="shared" si="466"/>
        <v>1179.854493</v>
      </c>
      <c r="AX167" s="51">
        <f t="shared" si="466"/>
        <v>1179.854493</v>
      </c>
      <c r="AY167" s="51">
        <f t="shared" si="466"/>
        <v>1179.854493</v>
      </c>
      <c r="AZ167" s="51">
        <f t="shared" si="466"/>
        <v>1179.854493</v>
      </c>
      <c r="BA167" s="51">
        <f t="shared" si="466"/>
        <v>1179.854493</v>
      </c>
      <c r="BB167" s="51">
        <f t="shared" si="466"/>
        <v>1179.854493</v>
      </c>
      <c r="BC167" s="51">
        <f t="shared" si="466"/>
        <v>1179.854493</v>
      </c>
      <c r="BD167" s="51">
        <f t="shared" si="466"/>
        <v>1179.854493</v>
      </c>
      <c r="BE167" s="51">
        <f t="shared" ref="BE167:CP167" si="467">+BD170</f>
        <v>1179.854493</v>
      </c>
      <c r="BF167" s="51">
        <f t="shared" si="467"/>
        <v>1179.854493</v>
      </c>
      <c r="BG167" s="51">
        <f t="shared" si="467"/>
        <v>1179.854493</v>
      </c>
      <c r="BH167" s="51">
        <f t="shared" si="467"/>
        <v>1179.854493</v>
      </c>
      <c r="BI167" s="51">
        <f t="shared" si="467"/>
        <v>1179.854493</v>
      </c>
      <c r="BJ167" s="51">
        <f t="shared" si="467"/>
        <v>1179.854493</v>
      </c>
      <c r="BK167" s="51">
        <f t="shared" si="467"/>
        <v>1179.854493</v>
      </c>
      <c r="BL167" s="51">
        <f t="shared" si="467"/>
        <v>1179.854493</v>
      </c>
      <c r="BM167" s="51">
        <f t="shared" si="467"/>
        <v>1179.854493</v>
      </c>
      <c r="BN167" s="51">
        <f t="shared" si="467"/>
        <v>1179.854493</v>
      </c>
      <c r="BO167" s="51">
        <f t="shared" si="467"/>
        <v>1179.854493</v>
      </c>
      <c r="BP167" s="51">
        <f t="shared" si="467"/>
        <v>1179.854493</v>
      </c>
      <c r="BQ167" s="51">
        <f t="shared" si="467"/>
        <v>1179.854493</v>
      </c>
      <c r="BR167" s="51">
        <f t="shared" si="467"/>
        <v>1179.854493</v>
      </c>
      <c r="BS167" s="51">
        <f t="shared" si="467"/>
        <v>1179.854493</v>
      </c>
      <c r="BT167" s="51">
        <f t="shared" si="467"/>
        <v>1179.854493</v>
      </c>
      <c r="BU167" s="51">
        <f t="shared" si="467"/>
        <v>1179.854493</v>
      </c>
      <c r="BV167" s="51">
        <f t="shared" si="467"/>
        <v>1179.854493</v>
      </c>
      <c r="BW167" s="51">
        <f t="shared" si="467"/>
        <v>1179.854493</v>
      </c>
      <c r="BX167" s="51">
        <f t="shared" si="467"/>
        <v>1179.854493</v>
      </c>
      <c r="BY167" s="51">
        <f t="shared" si="467"/>
        <v>1179.854493</v>
      </c>
      <c r="BZ167" s="51">
        <f t="shared" si="467"/>
        <v>1179.854493</v>
      </c>
      <c r="CA167" s="51">
        <f t="shared" si="467"/>
        <v>1179.854493</v>
      </c>
      <c r="CB167" s="51">
        <f t="shared" si="467"/>
        <v>1179.854493</v>
      </c>
      <c r="CC167" s="51">
        <f t="shared" si="467"/>
        <v>1179.854493</v>
      </c>
      <c r="CD167" s="51">
        <f t="shared" si="467"/>
        <v>1179.854493</v>
      </c>
      <c r="CE167" s="51">
        <f t="shared" si="467"/>
        <v>1179.854493</v>
      </c>
      <c r="CF167" s="51">
        <f t="shared" si="467"/>
        <v>1179.854493</v>
      </c>
      <c r="CG167" s="51">
        <f t="shared" si="467"/>
        <v>1179.854493</v>
      </c>
      <c r="CH167" s="51">
        <f t="shared" si="467"/>
        <v>1179.854493</v>
      </c>
      <c r="CI167" s="51">
        <f t="shared" si="467"/>
        <v>1179.854493</v>
      </c>
      <c r="CJ167" s="51">
        <f t="shared" si="467"/>
        <v>1179.854493</v>
      </c>
      <c r="CK167" s="51">
        <f t="shared" si="467"/>
        <v>1179.854493</v>
      </c>
      <c r="CL167" s="51">
        <f t="shared" si="467"/>
        <v>1179.854493</v>
      </c>
      <c r="CM167" s="51">
        <f t="shared" si="467"/>
        <v>1179.854493</v>
      </c>
      <c r="CN167" s="51">
        <f t="shared" si="467"/>
        <v>1179.854493</v>
      </c>
      <c r="CO167" s="51">
        <f t="shared" si="467"/>
        <v>1179.854493</v>
      </c>
      <c r="CP167" s="51">
        <f t="shared" si="467"/>
        <v>1179.854493</v>
      </c>
      <c r="CQ167" s="362" t="s">
        <v>77</v>
      </c>
      <c r="DB167" s="13" t="s">
        <v>106</v>
      </c>
      <c r="DC167" s="24"/>
      <c r="DH167" s="39"/>
      <c r="DI167" s="39"/>
      <c r="DJ167" s="51">
        <f t="shared" ref="DJ167:DO167" si="468">DI170</f>
        <v>835.75099999999998</v>
      </c>
      <c r="DK167" s="51">
        <f t="shared" si="468"/>
        <v>1114.3073690000001</v>
      </c>
      <c r="DL167" s="8">
        <f t="shared" si="468"/>
        <v>1114.307</v>
      </c>
      <c r="DM167" s="8">
        <f t="shared" si="468"/>
        <v>1114.307</v>
      </c>
      <c r="DN167" s="8">
        <f t="shared" si="468"/>
        <v>1114.307</v>
      </c>
      <c r="DO167" s="8">
        <f t="shared" si="468"/>
        <v>1114.307</v>
      </c>
      <c r="DP167" s="8">
        <f t="shared" ref="DP167" si="469">DO170</f>
        <v>1114.307</v>
      </c>
      <c r="DQ167" s="8">
        <f t="shared" ref="DQ167" si="470">DP170</f>
        <v>1114.3073690000001</v>
      </c>
      <c r="DT167" s="413"/>
    </row>
    <row r="168" spans="2:124" ht="11.25" customHeight="1" outlineLevel="1" x14ac:dyDescent="0.2">
      <c r="B168" s="13" t="s">
        <v>108</v>
      </c>
      <c r="C168" s="24"/>
      <c r="K168" s="9">
        <f t="shared" ref="K168:R168" si="471">+K177</f>
        <v>4.0590000000000002</v>
      </c>
      <c r="L168" s="9">
        <f t="shared" si="471"/>
        <v>1.286</v>
      </c>
      <c r="M168" s="9">
        <f t="shared" si="471"/>
        <v>5.8650000000000002</v>
      </c>
      <c r="N168" s="9">
        <f t="shared" si="471"/>
        <v>12.881</v>
      </c>
      <c r="O168" s="9">
        <f t="shared" si="471"/>
        <v>18.717621000000001</v>
      </c>
      <c r="P168" s="9">
        <f t="shared" si="471"/>
        <v>18.377077</v>
      </c>
      <c r="Q168" s="9">
        <f t="shared" si="471"/>
        <v>13.875321999999999</v>
      </c>
      <c r="R168" s="9">
        <f t="shared" si="471"/>
        <v>10.369554000000001</v>
      </c>
      <c r="S168" s="9">
        <f>+S177</f>
        <v>15.547967</v>
      </c>
      <c r="T168" s="51">
        <f>+T177</f>
        <v>0</v>
      </c>
      <c r="U168" s="51">
        <f>+U177</f>
        <v>0</v>
      </c>
      <c r="V168" s="51">
        <f>+V177</f>
        <v>0</v>
      </c>
      <c r="W168" s="51">
        <f t="shared" ref="W168:BD168" si="472">+W177</f>
        <v>0</v>
      </c>
      <c r="X168" s="51">
        <f t="shared" si="472"/>
        <v>0</v>
      </c>
      <c r="Y168" s="51">
        <f t="shared" si="472"/>
        <v>0</v>
      </c>
      <c r="Z168" s="51">
        <f t="shared" si="472"/>
        <v>0</v>
      </c>
      <c r="AA168" s="51">
        <f t="shared" si="472"/>
        <v>0</v>
      </c>
      <c r="AB168" s="51">
        <f t="shared" si="472"/>
        <v>0</v>
      </c>
      <c r="AC168" s="51">
        <f t="shared" si="472"/>
        <v>0</v>
      </c>
      <c r="AD168" s="51">
        <f t="shared" si="472"/>
        <v>0</v>
      </c>
      <c r="AE168" s="51">
        <f t="shared" si="472"/>
        <v>0</v>
      </c>
      <c r="AF168" s="51">
        <f t="shared" si="472"/>
        <v>0</v>
      </c>
      <c r="AG168" s="51">
        <f t="shared" si="472"/>
        <v>0</v>
      </c>
      <c r="AH168" s="51">
        <f t="shared" si="472"/>
        <v>0</v>
      </c>
      <c r="AI168" s="51">
        <f t="shared" si="472"/>
        <v>0</v>
      </c>
      <c r="AJ168" s="51">
        <f t="shared" si="472"/>
        <v>0</v>
      </c>
      <c r="AK168" s="51">
        <f t="shared" si="472"/>
        <v>0</v>
      </c>
      <c r="AL168" s="51">
        <f t="shared" si="472"/>
        <v>0</v>
      </c>
      <c r="AM168" s="51">
        <f t="shared" si="472"/>
        <v>0</v>
      </c>
      <c r="AN168" s="51">
        <f t="shared" si="472"/>
        <v>0</v>
      </c>
      <c r="AO168" s="51">
        <f t="shared" si="472"/>
        <v>0</v>
      </c>
      <c r="AP168" s="51">
        <f t="shared" si="472"/>
        <v>0</v>
      </c>
      <c r="AQ168" s="51">
        <f t="shared" si="472"/>
        <v>0</v>
      </c>
      <c r="AR168" s="51">
        <f t="shared" si="472"/>
        <v>0</v>
      </c>
      <c r="AS168" s="51">
        <f t="shared" si="472"/>
        <v>0</v>
      </c>
      <c r="AT168" s="51">
        <f t="shared" si="472"/>
        <v>0</v>
      </c>
      <c r="AU168" s="51">
        <f t="shared" si="472"/>
        <v>0</v>
      </c>
      <c r="AV168" s="51">
        <f t="shared" si="472"/>
        <v>0</v>
      </c>
      <c r="AW168" s="51">
        <f t="shared" si="472"/>
        <v>0</v>
      </c>
      <c r="AX168" s="51">
        <f t="shared" si="472"/>
        <v>0</v>
      </c>
      <c r="AY168" s="51">
        <f t="shared" si="472"/>
        <v>0</v>
      </c>
      <c r="AZ168" s="51">
        <f t="shared" si="472"/>
        <v>0</v>
      </c>
      <c r="BA168" s="51">
        <f t="shared" si="472"/>
        <v>0</v>
      </c>
      <c r="BB168" s="51">
        <f t="shared" si="472"/>
        <v>0</v>
      </c>
      <c r="BC168" s="51">
        <f t="shared" si="472"/>
        <v>0</v>
      </c>
      <c r="BD168" s="51">
        <f t="shared" si="472"/>
        <v>0</v>
      </c>
      <c r="BE168" s="51">
        <f t="shared" ref="BE168:CP168" si="473">+BE177</f>
        <v>0</v>
      </c>
      <c r="BF168" s="51">
        <f t="shared" si="473"/>
        <v>0</v>
      </c>
      <c r="BG168" s="51">
        <f t="shared" si="473"/>
        <v>0</v>
      </c>
      <c r="BH168" s="51">
        <f t="shared" si="473"/>
        <v>0</v>
      </c>
      <c r="BI168" s="51">
        <f t="shared" si="473"/>
        <v>0</v>
      </c>
      <c r="BJ168" s="51">
        <f t="shared" si="473"/>
        <v>0</v>
      </c>
      <c r="BK168" s="51">
        <f t="shared" si="473"/>
        <v>0</v>
      </c>
      <c r="BL168" s="51">
        <f t="shared" si="473"/>
        <v>0</v>
      </c>
      <c r="BM168" s="51">
        <f t="shared" si="473"/>
        <v>0</v>
      </c>
      <c r="BN168" s="51">
        <f t="shared" si="473"/>
        <v>0</v>
      </c>
      <c r="BO168" s="51">
        <f t="shared" si="473"/>
        <v>0</v>
      </c>
      <c r="BP168" s="51">
        <f t="shared" si="473"/>
        <v>0</v>
      </c>
      <c r="BQ168" s="51">
        <f t="shared" si="473"/>
        <v>0</v>
      </c>
      <c r="BR168" s="51">
        <f t="shared" si="473"/>
        <v>0</v>
      </c>
      <c r="BS168" s="51">
        <f t="shared" si="473"/>
        <v>0</v>
      </c>
      <c r="BT168" s="51">
        <f t="shared" si="473"/>
        <v>0</v>
      </c>
      <c r="BU168" s="51">
        <f t="shared" si="473"/>
        <v>0</v>
      </c>
      <c r="BV168" s="51">
        <f t="shared" si="473"/>
        <v>0</v>
      </c>
      <c r="BW168" s="51">
        <f t="shared" si="473"/>
        <v>0</v>
      </c>
      <c r="BX168" s="51">
        <f t="shared" si="473"/>
        <v>0</v>
      </c>
      <c r="BY168" s="51">
        <f t="shared" si="473"/>
        <v>0</v>
      </c>
      <c r="BZ168" s="51">
        <f t="shared" si="473"/>
        <v>0</v>
      </c>
      <c r="CA168" s="51">
        <f t="shared" si="473"/>
        <v>0</v>
      </c>
      <c r="CB168" s="51">
        <f t="shared" si="473"/>
        <v>0</v>
      </c>
      <c r="CC168" s="51">
        <f t="shared" si="473"/>
        <v>0</v>
      </c>
      <c r="CD168" s="51">
        <f t="shared" si="473"/>
        <v>0</v>
      </c>
      <c r="CE168" s="51">
        <f t="shared" si="473"/>
        <v>0</v>
      </c>
      <c r="CF168" s="51">
        <f t="shared" si="473"/>
        <v>0</v>
      </c>
      <c r="CG168" s="51">
        <f t="shared" si="473"/>
        <v>0</v>
      </c>
      <c r="CH168" s="51">
        <f t="shared" si="473"/>
        <v>0</v>
      </c>
      <c r="CI168" s="51">
        <f t="shared" si="473"/>
        <v>0</v>
      </c>
      <c r="CJ168" s="51">
        <f t="shared" si="473"/>
        <v>0</v>
      </c>
      <c r="CK168" s="51">
        <f t="shared" si="473"/>
        <v>0</v>
      </c>
      <c r="CL168" s="51">
        <f t="shared" si="473"/>
        <v>0</v>
      </c>
      <c r="CM168" s="51">
        <f t="shared" si="473"/>
        <v>0</v>
      </c>
      <c r="CN168" s="51">
        <f t="shared" si="473"/>
        <v>0</v>
      </c>
      <c r="CO168" s="51">
        <f t="shared" si="473"/>
        <v>0</v>
      </c>
      <c r="CP168" s="51">
        <f t="shared" si="473"/>
        <v>0</v>
      </c>
      <c r="CQ168" s="362" t="s">
        <v>77</v>
      </c>
      <c r="DB168" s="13" t="s">
        <v>108</v>
      </c>
      <c r="DC168" s="24"/>
      <c r="DH168" s="39"/>
      <c r="DI168" s="39"/>
      <c r="DJ168" s="39"/>
      <c r="DK168" s="39"/>
      <c r="DM168" s="413"/>
      <c r="DO168" s="413"/>
      <c r="DQ168" s="413"/>
      <c r="DR168" s="413"/>
      <c r="DS168" s="413"/>
      <c r="DT168" s="413"/>
    </row>
    <row r="169" spans="2:124" ht="11.25" customHeight="1" outlineLevel="1" x14ac:dyDescent="0.2">
      <c r="B169" s="13" t="s">
        <v>109</v>
      </c>
      <c r="C169" s="24"/>
      <c r="K169" s="9">
        <f t="shared" ref="K169:R169" si="474">+K170-K167-K168</f>
        <v>24.499999999999968</v>
      </c>
      <c r="L169" s="9">
        <f t="shared" si="474"/>
        <v>0</v>
      </c>
      <c r="M169" s="9">
        <f t="shared" si="474"/>
        <v>145.65500000000003</v>
      </c>
      <c r="N169" s="9">
        <f t="shared" si="474"/>
        <v>23.657999999999987</v>
      </c>
      <c r="O169" s="9">
        <f t="shared" si="474"/>
        <v>11.705379000000001</v>
      </c>
      <c r="P169" s="9">
        <f t="shared" si="474"/>
        <v>25.277922999999973</v>
      </c>
      <c r="Q169" s="9">
        <f t="shared" si="474"/>
        <v>77.921678000000028</v>
      </c>
      <c r="R169" s="9">
        <f t="shared" si="474"/>
        <v>4.460000000037212E-4</v>
      </c>
      <c r="S169" s="9">
        <f>+S170-S167-S168</f>
        <v>175.71703299999999</v>
      </c>
      <c r="T169" s="51">
        <v>0</v>
      </c>
      <c r="U169" s="51">
        <f>U170-U167</f>
        <v>278.55600000000004</v>
      </c>
      <c r="V169" s="51">
        <f>V170-V167</f>
        <v>0</v>
      </c>
      <c r="W169" s="51">
        <f>W170-W167</f>
        <v>0</v>
      </c>
      <c r="X169" s="157">
        <v>65.547493000000003</v>
      </c>
      <c r="Y169" s="157">
        <v>0</v>
      </c>
      <c r="Z169" s="157">
        <v>0</v>
      </c>
      <c r="AA169" s="157">
        <v>0</v>
      </c>
      <c r="AB169" s="157">
        <v>0</v>
      </c>
      <c r="AC169" s="157">
        <v>0</v>
      </c>
      <c r="AD169" s="157">
        <v>0</v>
      </c>
      <c r="AE169" s="157">
        <v>0</v>
      </c>
      <c r="AF169" s="157">
        <v>0</v>
      </c>
      <c r="AG169" s="157">
        <v>0</v>
      </c>
      <c r="AH169" s="157">
        <v>0</v>
      </c>
      <c r="AI169" s="157">
        <v>0</v>
      </c>
      <c r="AJ169" s="157">
        <v>0</v>
      </c>
      <c r="AK169" s="157">
        <v>0</v>
      </c>
      <c r="AL169" s="157">
        <v>0</v>
      </c>
      <c r="AM169" s="157">
        <v>0</v>
      </c>
      <c r="AN169" s="157">
        <v>0</v>
      </c>
      <c r="AO169" s="157">
        <v>0</v>
      </c>
      <c r="AP169" s="157">
        <v>0</v>
      </c>
      <c r="AQ169" s="157">
        <v>0</v>
      </c>
      <c r="AR169" s="157">
        <v>0</v>
      </c>
      <c r="AS169" s="157">
        <v>0</v>
      </c>
      <c r="AT169" s="157">
        <v>0</v>
      </c>
      <c r="AU169" s="157">
        <v>0</v>
      </c>
      <c r="AV169" s="157">
        <v>0</v>
      </c>
      <c r="AW169" s="157">
        <v>0</v>
      </c>
      <c r="AX169" s="157">
        <v>0</v>
      </c>
      <c r="AY169" s="157">
        <v>0</v>
      </c>
      <c r="AZ169" s="157">
        <v>0</v>
      </c>
      <c r="BA169" s="157">
        <v>0</v>
      </c>
      <c r="BB169" s="157">
        <v>0</v>
      </c>
      <c r="BC169" s="157">
        <v>0</v>
      </c>
      <c r="BD169" s="157">
        <v>0</v>
      </c>
      <c r="BE169" s="157">
        <v>0</v>
      </c>
      <c r="BF169" s="157">
        <v>0</v>
      </c>
      <c r="BG169" s="157">
        <v>0</v>
      </c>
      <c r="BH169" s="157">
        <v>0</v>
      </c>
      <c r="BI169" s="157">
        <v>0</v>
      </c>
      <c r="BJ169" s="157">
        <v>0</v>
      </c>
      <c r="BK169" s="157">
        <v>0</v>
      </c>
      <c r="BL169" s="157">
        <v>0</v>
      </c>
      <c r="BM169" s="157">
        <v>0</v>
      </c>
      <c r="BN169" s="157">
        <v>0</v>
      </c>
      <c r="BO169" s="157">
        <v>0</v>
      </c>
      <c r="BP169" s="157">
        <v>0</v>
      </c>
      <c r="BQ169" s="157">
        <v>0</v>
      </c>
      <c r="BR169" s="157">
        <v>0</v>
      </c>
      <c r="BS169" s="157">
        <v>0</v>
      </c>
      <c r="BT169" s="157">
        <v>0</v>
      </c>
      <c r="BU169" s="157">
        <v>0</v>
      </c>
      <c r="BV169" s="157">
        <v>0</v>
      </c>
      <c r="BW169" s="157">
        <v>0</v>
      </c>
      <c r="BX169" s="157">
        <v>0</v>
      </c>
      <c r="BY169" s="157">
        <v>0</v>
      </c>
      <c r="BZ169" s="157">
        <v>0</v>
      </c>
      <c r="CA169" s="157">
        <v>0</v>
      </c>
      <c r="CB169" s="157">
        <v>0</v>
      </c>
      <c r="CC169" s="157">
        <v>0</v>
      </c>
      <c r="CD169" s="157">
        <v>0</v>
      </c>
      <c r="CE169" s="157">
        <v>0</v>
      </c>
      <c r="CF169" s="157">
        <v>0</v>
      </c>
      <c r="CG169" s="157">
        <v>0</v>
      </c>
      <c r="CH169" s="157">
        <v>0</v>
      </c>
      <c r="CI169" s="157">
        <v>0</v>
      </c>
      <c r="CJ169" s="157">
        <v>0</v>
      </c>
      <c r="CK169" s="157">
        <v>0</v>
      </c>
      <c r="CL169" s="157">
        <v>0</v>
      </c>
      <c r="CM169" s="157">
        <v>0</v>
      </c>
      <c r="CN169" s="157">
        <v>0</v>
      </c>
      <c r="CO169" s="157">
        <v>0</v>
      </c>
      <c r="CP169" s="157">
        <v>0</v>
      </c>
      <c r="CQ169" s="362" t="s">
        <v>77</v>
      </c>
      <c r="DB169" s="13" t="s">
        <v>109</v>
      </c>
      <c r="DC169" s="24"/>
      <c r="DH169" s="39"/>
      <c r="DI169" s="39"/>
      <c r="DJ169" s="51">
        <f>DJ170-DJ167</f>
        <v>278.55636900000013</v>
      </c>
      <c r="DK169" s="39"/>
      <c r="DM169" s="413"/>
      <c r="DO169" s="413"/>
      <c r="DQ169" s="413"/>
      <c r="DR169" s="413"/>
      <c r="DS169" s="413"/>
      <c r="DT169" s="413"/>
    </row>
    <row r="170" spans="2:124" ht="11.25" customHeight="1" outlineLevel="1" x14ac:dyDescent="0.2">
      <c r="B170" s="13" t="s">
        <v>105</v>
      </c>
      <c r="C170" s="472"/>
      <c r="D170" s="473"/>
      <c r="E170" s="473"/>
      <c r="F170" s="473"/>
      <c r="G170" s="473"/>
      <c r="H170" s="473"/>
      <c r="I170" s="473"/>
      <c r="J170" s="473"/>
      <c r="K170" s="473">
        <v>278.89499999999998</v>
      </c>
      <c r="L170" s="473">
        <v>280.18099999999998</v>
      </c>
      <c r="M170" s="473">
        <v>431.70100000000002</v>
      </c>
      <c r="N170" s="473">
        <v>468.24099999999999</v>
      </c>
      <c r="O170" s="473">
        <v>498.66399999999999</v>
      </c>
      <c r="P170" s="52">
        <v>542.31899999999996</v>
      </c>
      <c r="Q170" s="52">
        <v>634.11599999999999</v>
      </c>
      <c r="R170" s="52">
        <v>644.48599999999999</v>
      </c>
      <c r="S170" s="52">
        <v>835.75099999999998</v>
      </c>
      <c r="T170" s="250">
        <f>+T167+T168+T169</f>
        <v>835.75099999999998</v>
      </c>
      <c r="U170" s="186">
        <v>1114.307</v>
      </c>
      <c r="V170" s="186">
        <v>1114.307</v>
      </c>
      <c r="W170" s="186">
        <v>1114.307</v>
      </c>
      <c r="X170" s="51">
        <f t="shared" ref="X170:BD170" si="475">+X167+X168+X169</f>
        <v>1179.854493</v>
      </c>
      <c r="Y170" s="51">
        <f t="shared" si="475"/>
        <v>1179.854493</v>
      </c>
      <c r="Z170" s="51">
        <f t="shared" si="475"/>
        <v>1179.854493</v>
      </c>
      <c r="AA170" s="51">
        <f t="shared" si="475"/>
        <v>1179.854493</v>
      </c>
      <c r="AB170" s="51">
        <f t="shared" si="475"/>
        <v>1179.854493</v>
      </c>
      <c r="AC170" s="51">
        <f t="shared" si="475"/>
        <v>1179.854493</v>
      </c>
      <c r="AD170" s="51">
        <f t="shared" si="475"/>
        <v>1179.854493</v>
      </c>
      <c r="AE170" s="51">
        <f t="shared" si="475"/>
        <v>1179.854493</v>
      </c>
      <c r="AF170" s="51">
        <f t="shared" si="475"/>
        <v>1179.854493</v>
      </c>
      <c r="AG170" s="51">
        <f t="shared" si="475"/>
        <v>1179.854493</v>
      </c>
      <c r="AH170" s="51">
        <f t="shared" si="475"/>
        <v>1179.854493</v>
      </c>
      <c r="AI170" s="51">
        <f t="shared" si="475"/>
        <v>1179.854493</v>
      </c>
      <c r="AJ170" s="51">
        <f t="shared" si="475"/>
        <v>1179.854493</v>
      </c>
      <c r="AK170" s="51">
        <f t="shared" si="475"/>
        <v>1179.854493</v>
      </c>
      <c r="AL170" s="51">
        <f t="shared" si="475"/>
        <v>1179.854493</v>
      </c>
      <c r="AM170" s="51">
        <f t="shared" si="475"/>
        <v>1179.854493</v>
      </c>
      <c r="AN170" s="51">
        <f t="shared" si="475"/>
        <v>1179.854493</v>
      </c>
      <c r="AO170" s="51">
        <f t="shared" si="475"/>
        <v>1179.854493</v>
      </c>
      <c r="AP170" s="51">
        <f t="shared" si="475"/>
        <v>1179.854493</v>
      </c>
      <c r="AQ170" s="51">
        <f t="shared" si="475"/>
        <v>1179.854493</v>
      </c>
      <c r="AR170" s="51">
        <f t="shared" si="475"/>
        <v>1179.854493</v>
      </c>
      <c r="AS170" s="51">
        <f t="shared" si="475"/>
        <v>1179.854493</v>
      </c>
      <c r="AT170" s="51">
        <f t="shared" si="475"/>
        <v>1179.854493</v>
      </c>
      <c r="AU170" s="51">
        <f t="shared" si="475"/>
        <v>1179.854493</v>
      </c>
      <c r="AV170" s="51">
        <f t="shared" si="475"/>
        <v>1179.854493</v>
      </c>
      <c r="AW170" s="51">
        <f t="shared" si="475"/>
        <v>1179.854493</v>
      </c>
      <c r="AX170" s="51">
        <f t="shared" si="475"/>
        <v>1179.854493</v>
      </c>
      <c r="AY170" s="51">
        <f t="shared" si="475"/>
        <v>1179.854493</v>
      </c>
      <c r="AZ170" s="51">
        <f t="shared" si="475"/>
        <v>1179.854493</v>
      </c>
      <c r="BA170" s="51">
        <f t="shared" si="475"/>
        <v>1179.854493</v>
      </c>
      <c r="BB170" s="51">
        <f t="shared" si="475"/>
        <v>1179.854493</v>
      </c>
      <c r="BC170" s="51">
        <f t="shared" si="475"/>
        <v>1179.854493</v>
      </c>
      <c r="BD170" s="51">
        <f t="shared" si="475"/>
        <v>1179.854493</v>
      </c>
      <c r="BE170" s="51">
        <f t="shared" ref="BE170:CP170" si="476">+BE167+BE168+BE169</f>
        <v>1179.854493</v>
      </c>
      <c r="BF170" s="51">
        <f t="shared" si="476"/>
        <v>1179.854493</v>
      </c>
      <c r="BG170" s="51">
        <f t="shared" si="476"/>
        <v>1179.854493</v>
      </c>
      <c r="BH170" s="51">
        <f t="shared" si="476"/>
        <v>1179.854493</v>
      </c>
      <c r="BI170" s="51">
        <f t="shared" si="476"/>
        <v>1179.854493</v>
      </c>
      <c r="BJ170" s="51">
        <f t="shared" si="476"/>
        <v>1179.854493</v>
      </c>
      <c r="BK170" s="51">
        <f t="shared" si="476"/>
        <v>1179.854493</v>
      </c>
      <c r="BL170" s="51">
        <f t="shared" si="476"/>
        <v>1179.854493</v>
      </c>
      <c r="BM170" s="51">
        <f t="shared" si="476"/>
        <v>1179.854493</v>
      </c>
      <c r="BN170" s="51">
        <f t="shared" si="476"/>
        <v>1179.854493</v>
      </c>
      <c r="BO170" s="51">
        <f t="shared" si="476"/>
        <v>1179.854493</v>
      </c>
      <c r="BP170" s="51">
        <f t="shared" si="476"/>
        <v>1179.854493</v>
      </c>
      <c r="BQ170" s="51">
        <f t="shared" si="476"/>
        <v>1179.854493</v>
      </c>
      <c r="BR170" s="51">
        <f t="shared" si="476"/>
        <v>1179.854493</v>
      </c>
      <c r="BS170" s="51">
        <f t="shared" si="476"/>
        <v>1179.854493</v>
      </c>
      <c r="BT170" s="51">
        <f t="shared" si="476"/>
        <v>1179.854493</v>
      </c>
      <c r="BU170" s="51">
        <f t="shared" si="476"/>
        <v>1179.854493</v>
      </c>
      <c r="BV170" s="51">
        <f t="shared" si="476"/>
        <v>1179.854493</v>
      </c>
      <c r="BW170" s="51">
        <f t="shared" si="476"/>
        <v>1179.854493</v>
      </c>
      <c r="BX170" s="51">
        <f t="shared" si="476"/>
        <v>1179.854493</v>
      </c>
      <c r="BY170" s="51">
        <f t="shared" si="476"/>
        <v>1179.854493</v>
      </c>
      <c r="BZ170" s="51">
        <f t="shared" si="476"/>
        <v>1179.854493</v>
      </c>
      <c r="CA170" s="51">
        <f t="shared" si="476"/>
        <v>1179.854493</v>
      </c>
      <c r="CB170" s="51">
        <f t="shared" si="476"/>
        <v>1179.854493</v>
      </c>
      <c r="CC170" s="51">
        <f t="shared" si="476"/>
        <v>1179.854493</v>
      </c>
      <c r="CD170" s="51">
        <f t="shared" si="476"/>
        <v>1179.854493</v>
      </c>
      <c r="CE170" s="51">
        <f t="shared" si="476"/>
        <v>1179.854493</v>
      </c>
      <c r="CF170" s="51">
        <f t="shared" si="476"/>
        <v>1179.854493</v>
      </c>
      <c r="CG170" s="51">
        <f t="shared" si="476"/>
        <v>1179.854493</v>
      </c>
      <c r="CH170" s="51">
        <f t="shared" si="476"/>
        <v>1179.854493</v>
      </c>
      <c r="CI170" s="51">
        <f t="shared" si="476"/>
        <v>1179.854493</v>
      </c>
      <c r="CJ170" s="51">
        <f t="shared" si="476"/>
        <v>1179.854493</v>
      </c>
      <c r="CK170" s="51">
        <f t="shared" si="476"/>
        <v>1179.854493</v>
      </c>
      <c r="CL170" s="51">
        <f t="shared" si="476"/>
        <v>1179.854493</v>
      </c>
      <c r="CM170" s="51">
        <f t="shared" si="476"/>
        <v>1179.854493</v>
      </c>
      <c r="CN170" s="51">
        <f t="shared" si="476"/>
        <v>1179.854493</v>
      </c>
      <c r="CO170" s="51">
        <f t="shared" si="476"/>
        <v>1179.854493</v>
      </c>
      <c r="CP170" s="51">
        <f t="shared" si="476"/>
        <v>1179.854493</v>
      </c>
      <c r="CQ170" s="362" t="s">
        <v>77</v>
      </c>
      <c r="DB170" s="13" t="s">
        <v>105</v>
      </c>
      <c r="DC170" s="472"/>
      <c r="DD170" s="6"/>
      <c r="DE170" s="6"/>
      <c r="DF170" s="6"/>
      <c r="DG170" s="6"/>
      <c r="DH170" s="62"/>
      <c r="DI170" s="62">
        <f>T170</f>
        <v>835.75099999999998</v>
      </c>
      <c r="DJ170" s="186">
        <v>1114.3073690000001</v>
      </c>
      <c r="DK170" s="62">
        <f>U170</f>
        <v>1114.307</v>
      </c>
      <c r="DL170" s="62">
        <f>DL167</f>
        <v>1114.307</v>
      </c>
      <c r="DM170" s="62">
        <f t="shared" ref="DM170:DN172" si="477">V170</f>
        <v>1114.307</v>
      </c>
      <c r="DN170" s="62">
        <f t="shared" si="477"/>
        <v>1114.307</v>
      </c>
      <c r="DO170" s="62">
        <f>W170</f>
        <v>1114.307</v>
      </c>
      <c r="DP170" s="186">
        <v>1114.3073690000001</v>
      </c>
      <c r="DQ170" s="62">
        <f>X170</f>
        <v>1179.854493</v>
      </c>
      <c r="DR170" s="62"/>
      <c r="DS170" s="62"/>
      <c r="DT170" s="413"/>
    </row>
    <row r="171" spans="2:124" ht="11.25" customHeight="1" outlineLevel="1" x14ac:dyDescent="0.2">
      <c r="B171" s="7" t="s">
        <v>1</v>
      </c>
      <c r="C171" s="474"/>
      <c r="D171" s="6"/>
      <c r="E171" s="6"/>
      <c r="F171" s="6"/>
      <c r="G171" s="6"/>
      <c r="H171" s="6"/>
      <c r="I171" s="6"/>
      <c r="J171" s="6"/>
      <c r="K171" s="6">
        <v>278.89999999999998</v>
      </c>
      <c r="L171" s="6">
        <v>289.61399999999998</v>
      </c>
      <c r="M171" s="6">
        <v>379.55099999999999</v>
      </c>
      <c r="N171" s="6">
        <v>450.262</v>
      </c>
      <c r="O171" s="6">
        <v>485.077</v>
      </c>
      <c r="P171" s="6">
        <v>516.24300000000005</v>
      </c>
      <c r="Q171" s="6">
        <v>551.22199999999998</v>
      </c>
      <c r="R171" s="6">
        <v>639.74300000000005</v>
      </c>
      <c r="S171" s="6">
        <v>772.31399999999996</v>
      </c>
      <c r="T171" s="51">
        <f>AVERAGE(T167,T170)</f>
        <v>835.75099999999998</v>
      </c>
      <c r="U171" s="62">
        <f t="shared" ref="U171:BD171" si="478">AVERAGE(U167,U170)</f>
        <v>975.029</v>
      </c>
      <c r="V171" s="62">
        <f t="shared" si="478"/>
        <v>1114.307</v>
      </c>
      <c r="W171" s="62">
        <f t="shared" si="478"/>
        <v>1114.307</v>
      </c>
      <c r="X171" s="62">
        <f t="shared" si="478"/>
        <v>1147.0807465</v>
      </c>
      <c r="Y171" s="62">
        <f t="shared" si="478"/>
        <v>1179.854493</v>
      </c>
      <c r="Z171" s="62">
        <f t="shared" si="478"/>
        <v>1179.854493</v>
      </c>
      <c r="AA171" s="62">
        <f t="shared" si="478"/>
        <v>1179.854493</v>
      </c>
      <c r="AB171" s="62">
        <f t="shared" si="478"/>
        <v>1179.854493</v>
      </c>
      <c r="AC171" s="62">
        <f t="shared" si="478"/>
        <v>1179.854493</v>
      </c>
      <c r="AD171" s="62">
        <f t="shared" si="478"/>
        <v>1179.854493</v>
      </c>
      <c r="AE171" s="62">
        <f t="shared" si="478"/>
        <v>1179.854493</v>
      </c>
      <c r="AF171" s="62">
        <f t="shared" si="478"/>
        <v>1179.854493</v>
      </c>
      <c r="AG171" s="62">
        <f t="shared" si="478"/>
        <v>1179.854493</v>
      </c>
      <c r="AH171" s="62">
        <f t="shared" si="478"/>
        <v>1179.854493</v>
      </c>
      <c r="AI171" s="62">
        <f t="shared" si="478"/>
        <v>1179.854493</v>
      </c>
      <c r="AJ171" s="62">
        <f t="shared" si="478"/>
        <v>1179.854493</v>
      </c>
      <c r="AK171" s="62">
        <f t="shared" si="478"/>
        <v>1179.854493</v>
      </c>
      <c r="AL171" s="62">
        <f t="shared" si="478"/>
        <v>1179.854493</v>
      </c>
      <c r="AM171" s="62">
        <f t="shared" si="478"/>
        <v>1179.854493</v>
      </c>
      <c r="AN171" s="62">
        <f t="shared" si="478"/>
        <v>1179.854493</v>
      </c>
      <c r="AO171" s="62">
        <f t="shared" si="478"/>
        <v>1179.854493</v>
      </c>
      <c r="AP171" s="62">
        <f t="shared" si="478"/>
        <v>1179.854493</v>
      </c>
      <c r="AQ171" s="62">
        <f t="shared" si="478"/>
        <v>1179.854493</v>
      </c>
      <c r="AR171" s="62">
        <f t="shared" si="478"/>
        <v>1179.854493</v>
      </c>
      <c r="AS171" s="62">
        <f t="shared" si="478"/>
        <v>1179.854493</v>
      </c>
      <c r="AT171" s="62">
        <f t="shared" si="478"/>
        <v>1179.854493</v>
      </c>
      <c r="AU171" s="62">
        <f t="shared" si="478"/>
        <v>1179.854493</v>
      </c>
      <c r="AV171" s="62">
        <f t="shared" si="478"/>
        <v>1179.854493</v>
      </c>
      <c r="AW171" s="62">
        <f t="shared" si="478"/>
        <v>1179.854493</v>
      </c>
      <c r="AX171" s="62">
        <f t="shared" si="478"/>
        <v>1179.854493</v>
      </c>
      <c r="AY171" s="62">
        <f t="shared" si="478"/>
        <v>1179.854493</v>
      </c>
      <c r="AZ171" s="62">
        <f t="shared" si="478"/>
        <v>1179.854493</v>
      </c>
      <c r="BA171" s="62">
        <f t="shared" si="478"/>
        <v>1179.854493</v>
      </c>
      <c r="BB171" s="62">
        <f t="shared" si="478"/>
        <v>1179.854493</v>
      </c>
      <c r="BC171" s="62">
        <f t="shared" si="478"/>
        <v>1179.854493</v>
      </c>
      <c r="BD171" s="62">
        <f t="shared" si="478"/>
        <v>1179.854493</v>
      </c>
      <c r="BE171" s="62">
        <f t="shared" ref="BE171:CP171" si="479">AVERAGE(BE167,BE170)</f>
        <v>1179.854493</v>
      </c>
      <c r="BF171" s="62">
        <f t="shared" si="479"/>
        <v>1179.854493</v>
      </c>
      <c r="BG171" s="62">
        <f t="shared" si="479"/>
        <v>1179.854493</v>
      </c>
      <c r="BH171" s="62">
        <f t="shared" si="479"/>
        <v>1179.854493</v>
      </c>
      <c r="BI171" s="62">
        <f t="shared" si="479"/>
        <v>1179.854493</v>
      </c>
      <c r="BJ171" s="62">
        <f t="shared" si="479"/>
        <v>1179.854493</v>
      </c>
      <c r="BK171" s="62">
        <f t="shared" si="479"/>
        <v>1179.854493</v>
      </c>
      <c r="BL171" s="62">
        <f t="shared" si="479"/>
        <v>1179.854493</v>
      </c>
      <c r="BM171" s="62">
        <f t="shared" si="479"/>
        <v>1179.854493</v>
      </c>
      <c r="BN171" s="62">
        <f t="shared" si="479"/>
        <v>1179.854493</v>
      </c>
      <c r="BO171" s="62">
        <f t="shared" si="479"/>
        <v>1179.854493</v>
      </c>
      <c r="BP171" s="62">
        <f t="shared" si="479"/>
        <v>1179.854493</v>
      </c>
      <c r="BQ171" s="62">
        <f t="shared" si="479"/>
        <v>1179.854493</v>
      </c>
      <c r="BR171" s="62">
        <f t="shared" si="479"/>
        <v>1179.854493</v>
      </c>
      <c r="BS171" s="62">
        <f t="shared" si="479"/>
        <v>1179.854493</v>
      </c>
      <c r="BT171" s="62">
        <f t="shared" si="479"/>
        <v>1179.854493</v>
      </c>
      <c r="BU171" s="62">
        <f t="shared" si="479"/>
        <v>1179.854493</v>
      </c>
      <c r="BV171" s="62">
        <f t="shared" si="479"/>
        <v>1179.854493</v>
      </c>
      <c r="BW171" s="62">
        <f t="shared" si="479"/>
        <v>1179.854493</v>
      </c>
      <c r="BX171" s="62">
        <f t="shared" si="479"/>
        <v>1179.854493</v>
      </c>
      <c r="BY171" s="62">
        <f t="shared" si="479"/>
        <v>1179.854493</v>
      </c>
      <c r="BZ171" s="62">
        <f t="shared" si="479"/>
        <v>1179.854493</v>
      </c>
      <c r="CA171" s="62">
        <f t="shared" si="479"/>
        <v>1179.854493</v>
      </c>
      <c r="CB171" s="62">
        <f t="shared" si="479"/>
        <v>1179.854493</v>
      </c>
      <c r="CC171" s="62">
        <f t="shared" si="479"/>
        <v>1179.854493</v>
      </c>
      <c r="CD171" s="62">
        <f t="shared" si="479"/>
        <v>1179.854493</v>
      </c>
      <c r="CE171" s="62">
        <f t="shared" si="479"/>
        <v>1179.854493</v>
      </c>
      <c r="CF171" s="62">
        <f t="shared" si="479"/>
        <v>1179.854493</v>
      </c>
      <c r="CG171" s="62">
        <f t="shared" si="479"/>
        <v>1179.854493</v>
      </c>
      <c r="CH171" s="62">
        <f t="shared" si="479"/>
        <v>1179.854493</v>
      </c>
      <c r="CI171" s="62">
        <f t="shared" si="479"/>
        <v>1179.854493</v>
      </c>
      <c r="CJ171" s="62">
        <f t="shared" si="479"/>
        <v>1179.854493</v>
      </c>
      <c r="CK171" s="62">
        <f t="shared" si="479"/>
        <v>1179.854493</v>
      </c>
      <c r="CL171" s="62">
        <f t="shared" si="479"/>
        <v>1179.854493</v>
      </c>
      <c r="CM171" s="62">
        <f t="shared" si="479"/>
        <v>1179.854493</v>
      </c>
      <c r="CN171" s="62">
        <f t="shared" si="479"/>
        <v>1179.854493</v>
      </c>
      <c r="CO171" s="62">
        <f t="shared" si="479"/>
        <v>1179.854493</v>
      </c>
      <c r="CP171" s="62">
        <f t="shared" si="479"/>
        <v>1179.854493</v>
      </c>
      <c r="CQ171" s="362" t="s">
        <v>77</v>
      </c>
      <c r="DB171" s="7" t="s">
        <v>1</v>
      </c>
      <c r="DC171" s="474"/>
      <c r="DD171" s="6">
        <f>+R171</f>
        <v>639.74300000000005</v>
      </c>
      <c r="DE171" s="6">
        <f>+DD171</f>
        <v>639.74300000000005</v>
      </c>
      <c r="DF171" s="6">
        <f>+S171</f>
        <v>772.31399999999996</v>
      </c>
      <c r="DG171" s="6">
        <f>+DF171</f>
        <v>772.31399999999996</v>
      </c>
      <c r="DH171" s="62">
        <f>+T171</f>
        <v>835.75099999999998</v>
      </c>
      <c r="DI171" s="6">
        <f>+DH171</f>
        <v>835.75099999999998</v>
      </c>
      <c r="DJ171" s="62">
        <f>+U171</f>
        <v>975.029</v>
      </c>
      <c r="DK171" s="6">
        <f>+DJ171</f>
        <v>975.029</v>
      </c>
      <c r="DL171" s="62">
        <f>+V171</f>
        <v>1114.307</v>
      </c>
      <c r="DM171" s="62">
        <f t="shared" si="477"/>
        <v>1114.307</v>
      </c>
      <c r="DN171" s="62">
        <f t="shared" si="477"/>
        <v>1114.307</v>
      </c>
      <c r="DO171" s="62">
        <f>X171</f>
        <v>1147.0807465</v>
      </c>
      <c r="DP171" s="87">
        <f>AVERAGE(DP170,DP167)</f>
        <v>1114.3071844999999</v>
      </c>
      <c r="DQ171" s="62">
        <f>X171</f>
        <v>1147.0807465</v>
      </c>
      <c r="DR171" s="62"/>
      <c r="DS171" s="62"/>
      <c r="DT171" s="413"/>
    </row>
    <row r="172" spans="2:124" ht="11.25" customHeight="1" outlineLevel="1" x14ac:dyDescent="0.2">
      <c r="B172" s="7" t="s">
        <v>2</v>
      </c>
      <c r="C172" s="474"/>
      <c r="D172" s="6"/>
      <c r="E172" s="6"/>
      <c r="F172" s="6"/>
      <c r="G172" s="6"/>
      <c r="H172" s="6"/>
      <c r="I172" s="6"/>
      <c r="J172" s="6"/>
      <c r="K172" s="6">
        <f t="shared" ref="K172:S172" si="480">+K171+0</f>
        <v>278.89999999999998</v>
      </c>
      <c r="L172" s="6">
        <f t="shared" si="480"/>
        <v>289.61399999999998</v>
      </c>
      <c r="M172" s="6">
        <f t="shared" si="480"/>
        <v>379.55099999999999</v>
      </c>
      <c r="N172" s="6">
        <f t="shared" si="480"/>
        <v>450.262</v>
      </c>
      <c r="O172" s="6">
        <f t="shared" si="480"/>
        <v>485.077</v>
      </c>
      <c r="P172" s="6">
        <f t="shared" si="480"/>
        <v>516.24300000000005</v>
      </c>
      <c r="Q172" s="6">
        <f t="shared" si="480"/>
        <v>551.22199999999998</v>
      </c>
      <c r="R172" s="6">
        <f t="shared" si="480"/>
        <v>639.74300000000005</v>
      </c>
      <c r="S172" s="6">
        <f t="shared" si="480"/>
        <v>772.31399999999996</v>
      </c>
      <c r="T172" s="51">
        <f>+T171+S172-S171</f>
        <v>835.75100000000009</v>
      </c>
      <c r="U172" s="62">
        <f>+U171+T172-T171</f>
        <v>975.02900000000022</v>
      </c>
      <c r="V172" s="62">
        <f t="shared" ref="V172:BD172" si="481">+V171+U172-U171</f>
        <v>1114.3070000000002</v>
      </c>
      <c r="W172" s="62">
        <f t="shared" si="481"/>
        <v>1114.3070000000005</v>
      </c>
      <c r="X172" s="62">
        <f t="shared" si="481"/>
        <v>1147.0807465000005</v>
      </c>
      <c r="Y172" s="62">
        <f t="shared" si="481"/>
        <v>1179.8544930000005</v>
      </c>
      <c r="Z172" s="62">
        <f t="shared" si="481"/>
        <v>1179.8544930000005</v>
      </c>
      <c r="AA172" s="62">
        <f t="shared" si="481"/>
        <v>1179.8544930000005</v>
      </c>
      <c r="AB172" s="62">
        <f t="shared" si="481"/>
        <v>1179.8544930000005</v>
      </c>
      <c r="AC172" s="62">
        <f t="shared" si="481"/>
        <v>1179.8544930000005</v>
      </c>
      <c r="AD172" s="62">
        <f t="shared" si="481"/>
        <v>1179.8544930000005</v>
      </c>
      <c r="AE172" s="62">
        <f t="shared" si="481"/>
        <v>1179.8544930000005</v>
      </c>
      <c r="AF172" s="62">
        <f t="shared" si="481"/>
        <v>1179.8544930000005</v>
      </c>
      <c r="AG172" s="62">
        <f t="shared" si="481"/>
        <v>1179.8544930000005</v>
      </c>
      <c r="AH172" s="62">
        <f t="shared" si="481"/>
        <v>1179.8544930000005</v>
      </c>
      <c r="AI172" s="62">
        <f t="shared" si="481"/>
        <v>1179.8544930000005</v>
      </c>
      <c r="AJ172" s="62">
        <f t="shared" si="481"/>
        <v>1179.8544930000005</v>
      </c>
      <c r="AK172" s="62">
        <f t="shared" si="481"/>
        <v>1179.8544930000005</v>
      </c>
      <c r="AL172" s="62">
        <f t="shared" si="481"/>
        <v>1179.8544930000005</v>
      </c>
      <c r="AM172" s="62">
        <f t="shared" si="481"/>
        <v>1179.8544930000005</v>
      </c>
      <c r="AN172" s="62">
        <f t="shared" si="481"/>
        <v>1179.8544930000005</v>
      </c>
      <c r="AO172" s="62">
        <f t="shared" si="481"/>
        <v>1179.8544930000005</v>
      </c>
      <c r="AP172" s="62">
        <f t="shared" si="481"/>
        <v>1179.8544930000005</v>
      </c>
      <c r="AQ172" s="62">
        <f t="shared" si="481"/>
        <v>1179.8544930000005</v>
      </c>
      <c r="AR172" s="62">
        <f t="shared" si="481"/>
        <v>1179.8544930000005</v>
      </c>
      <c r="AS172" s="62">
        <f t="shared" si="481"/>
        <v>1179.8544930000005</v>
      </c>
      <c r="AT172" s="62">
        <f t="shared" si="481"/>
        <v>1179.8544930000005</v>
      </c>
      <c r="AU172" s="62">
        <f t="shared" si="481"/>
        <v>1179.8544930000005</v>
      </c>
      <c r="AV172" s="62">
        <f t="shared" si="481"/>
        <v>1179.8544930000005</v>
      </c>
      <c r="AW172" s="62">
        <f t="shared" si="481"/>
        <v>1179.8544930000005</v>
      </c>
      <c r="AX172" s="62">
        <f t="shared" si="481"/>
        <v>1179.8544930000005</v>
      </c>
      <c r="AY172" s="62">
        <f t="shared" si="481"/>
        <v>1179.8544930000005</v>
      </c>
      <c r="AZ172" s="62">
        <f t="shared" si="481"/>
        <v>1179.8544930000005</v>
      </c>
      <c r="BA172" s="62">
        <f t="shared" si="481"/>
        <v>1179.8544930000005</v>
      </c>
      <c r="BB172" s="62">
        <f t="shared" si="481"/>
        <v>1179.8544930000005</v>
      </c>
      <c r="BC172" s="62">
        <f t="shared" si="481"/>
        <v>1179.8544930000005</v>
      </c>
      <c r="BD172" s="62">
        <f t="shared" si="481"/>
        <v>1179.8544930000005</v>
      </c>
      <c r="BE172" s="62">
        <f t="shared" ref="BE172:CP172" si="482">+BE171+BD172-BD171</f>
        <v>1179.8544930000005</v>
      </c>
      <c r="BF172" s="62">
        <f t="shared" si="482"/>
        <v>1179.8544930000005</v>
      </c>
      <c r="BG172" s="62">
        <f t="shared" si="482"/>
        <v>1179.8544930000005</v>
      </c>
      <c r="BH172" s="62">
        <f t="shared" si="482"/>
        <v>1179.8544930000005</v>
      </c>
      <c r="BI172" s="62">
        <f t="shared" si="482"/>
        <v>1179.8544930000005</v>
      </c>
      <c r="BJ172" s="62">
        <f t="shared" si="482"/>
        <v>1179.8544930000005</v>
      </c>
      <c r="BK172" s="62">
        <f t="shared" si="482"/>
        <v>1179.8544930000005</v>
      </c>
      <c r="BL172" s="62">
        <f t="shared" si="482"/>
        <v>1179.8544930000005</v>
      </c>
      <c r="BM172" s="62">
        <f t="shared" si="482"/>
        <v>1179.8544930000005</v>
      </c>
      <c r="BN172" s="62">
        <f t="shared" si="482"/>
        <v>1179.8544930000005</v>
      </c>
      <c r="BO172" s="62">
        <f t="shared" si="482"/>
        <v>1179.8544930000005</v>
      </c>
      <c r="BP172" s="62">
        <f t="shared" si="482"/>
        <v>1179.8544930000005</v>
      </c>
      <c r="BQ172" s="62">
        <f t="shared" si="482"/>
        <v>1179.8544930000005</v>
      </c>
      <c r="BR172" s="62">
        <f t="shared" si="482"/>
        <v>1179.8544930000005</v>
      </c>
      <c r="BS172" s="62">
        <f t="shared" si="482"/>
        <v>1179.8544930000005</v>
      </c>
      <c r="BT172" s="62">
        <f t="shared" si="482"/>
        <v>1179.8544930000005</v>
      </c>
      <c r="BU172" s="62">
        <f t="shared" si="482"/>
        <v>1179.8544930000005</v>
      </c>
      <c r="BV172" s="62">
        <f t="shared" si="482"/>
        <v>1179.8544930000005</v>
      </c>
      <c r="BW172" s="62">
        <f t="shared" si="482"/>
        <v>1179.8544930000005</v>
      </c>
      <c r="BX172" s="62">
        <f t="shared" si="482"/>
        <v>1179.8544930000005</v>
      </c>
      <c r="BY172" s="62">
        <f t="shared" si="482"/>
        <v>1179.8544930000005</v>
      </c>
      <c r="BZ172" s="62">
        <f t="shared" si="482"/>
        <v>1179.8544930000005</v>
      </c>
      <c r="CA172" s="62">
        <f t="shared" si="482"/>
        <v>1179.8544930000005</v>
      </c>
      <c r="CB172" s="62">
        <f t="shared" si="482"/>
        <v>1179.8544930000005</v>
      </c>
      <c r="CC172" s="62">
        <f t="shared" si="482"/>
        <v>1179.8544930000005</v>
      </c>
      <c r="CD172" s="62">
        <f t="shared" si="482"/>
        <v>1179.8544930000005</v>
      </c>
      <c r="CE172" s="62">
        <f t="shared" si="482"/>
        <v>1179.8544930000005</v>
      </c>
      <c r="CF172" s="62">
        <f t="shared" si="482"/>
        <v>1179.8544930000005</v>
      </c>
      <c r="CG172" s="62">
        <f t="shared" si="482"/>
        <v>1179.8544930000005</v>
      </c>
      <c r="CH172" s="62">
        <f t="shared" si="482"/>
        <v>1179.8544930000005</v>
      </c>
      <c r="CI172" s="62">
        <f t="shared" si="482"/>
        <v>1179.8544930000005</v>
      </c>
      <c r="CJ172" s="62">
        <f t="shared" si="482"/>
        <v>1179.8544930000005</v>
      </c>
      <c r="CK172" s="62">
        <f t="shared" si="482"/>
        <v>1179.8544930000005</v>
      </c>
      <c r="CL172" s="62">
        <f t="shared" si="482"/>
        <v>1179.8544930000005</v>
      </c>
      <c r="CM172" s="62">
        <f t="shared" si="482"/>
        <v>1179.8544930000005</v>
      </c>
      <c r="CN172" s="62">
        <f t="shared" si="482"/>
        <v>1179.8544930000005</v>
      </c>
      <c r="CO172" s="62">
        <f t="shared" si="482"/>
        <v>1179.8544930000005</v>
      </c>
      <c r="CP172" s="62">
        <f t="shared" si="482"/>
        <v>1179.8544930000005</v>
      </c>
      <c r="CQ172" s="362" t="s">
        <v>77</v>
      </c>
      <c r="DB172" s="7" t="s">
        <v>2</v>
      </c>
      <c r="DC172" s="474"/>
      <c r="DD172" s="6">
        <f>+R172</f>
        <v>639.74300000000005</v>
      </c>
      <c r="DE172" s="6">
        <f>+DD172</f>
        <v>639.74300000000005</v>
      </c>
      <c r="DF172" s="6">
        <f>+S172</f>
        <v>772.31399999999996</v>
      </c>
      <c r="DG172" s="6">
        <f>+DF172</f>
        <v>772.31399999999996</v>
      </c>
      <c r="DH172" s="62">
        <f>+T172</f>
        <v>835.75100000000009</v>
      </c>
      <c r="DI172" s="6">
        <f>+DH172</f>
        <v>835.75100000000009</v>
      </c>
      <c r="DJ172" s="62">
        <f>+U172</f>
        <v>975.02900000000022</v>
      </c>
      <c r="DK172" s="6">
        <f>+DJ172</f>
        <v>975.02900000000022</v>
      </c>
      <c r="DL172" s="62">
        <f>+V172</f>
        <v>1114.3070000000002</v>
      </c>
      <c r="DM172" s="62">
        <f t="shared" si="477"/>
        <v>1114.3070000000002</v>
      </c>
      <c r="DN172" s="62">
        <f t="shared" si="477"/>
        <v>1114.3070000000005</v>
      </c>
      <c r="DO172" s="62">
        <f>X172</f>
        <v>1147.0807465000005</v>
      </c>
      <c r="DP172" s="62">
        <f>X172</f>
        <v>1147.0807465000005</v>
      </c>
      <c r="DQ172" s="62">
        <f>X172</f>
        <v>1147.0807465000005</v>
      </c>
      <c r="DR172" s="62"/>
      <c r="DS172" s="62"/>
      <c r="DT172" s="413"/>
    </row>
    <row r="173" spans="2:124" ht="11.25" customHeight="1" outlineLevel="1" x14ac:dyDescent="0.2">
      <c r="B173" s="13" t="s">
        <v>421</v>
      </c>
      <c r="K173" s="6">
        <f>+K170-K167</f>
        <v>28.558999999999969</v>
      </c>
      <c r="L173" s="6">
        <f t="shared" ref="L173:BD173" si="483">+L170-L167</f>
        <v>1.2860000000000014</v>
      </c>
      <c r="M173" s="6">
        <f t="shared" si="483"/>
        <v>151.52000000000004</v>
      </c>
      <c r="N173" s="6">
        <f t="shared" si="483"/>
        <v>36.538999999999987</v>
      </c>
      <c r="O173" s="6">
        <f t="shared" si="483"/>
        <v>30.423000000000002</v>
      </c>
      <c r="P173" s="6">
        <f t="shared" si="483"/>
        <v>43.654999999999973</v>
      </c>
      <c r="Q173" s="6">
        <f t="shared" si="483"/>
        <v>91.797000000000025</v>
      </c>
      <c r="R173" s="6">
        <f t="shared" si="483"/>
        <v>10.370000000000005</v>
      </c>
      <c r="S173" s="6">
        <f t="shared" si="483"/>
        <v>191.26499999999999</v>
      </c>
      <c r="T173" s="62">
        <f t="shared" si="483"/>
        <v>0</v>
      </c>
      <c r="U173" s="62">
        <f t="shared" si="483"/>
        <v>278.55600000000004</v>
      </c>
      <c r="V173" s="62">
        <f t="shared" si="483"/>
        <v>0</v>
      </c>
      <c r="W173" s="62">
        <f t="shared" si="483"/>
        <v>0</v>
      </c>
      <c r="X173" s="62">
        <f t="shared" si="483"/>
        <v>65.547493000000031</v>
      </c>
      <c r="Y173" s="62">
        <f t="shared" si="483"/>
        <v>0</v>
      </c>
      <c r="Z173" s="62">
        <f t="shared" si="483"/>
        <v>0</v>
      </c>
      <c r="AA173" s="62">
        <f t="shared" si="483"/>
        <v>0</v>
      </c>
      <c r="AB173" s="62">
        <f t="shared" si="483"/>
        <v>0</v>
      </c>
      <c r="AC173" s="62">
        <f t="shared" si="483"/>
        <v>0</v>
      </c>
      <c r="AD173" s="62">
        <f t="shared" si="483"/>
        <v>0</v>
      </c>
      <c r="AE173" s="62">
        <f t="shared" si="483"/>
        <v>0</v>
      </c>
      <c r="AF173" s="62">
        <f t="shared" si="483"/>
        <v>0</v>
      </c>
      <c r="AG173" s="62">
        <f t="shared" si="483"/>
        <v>0</v>
      </c>
      <c r="AH173" s="62">
        <f t="shared" si="483"/>
        <v>0</v>
      </c>
      <c r="AI173" s="62">
        <f t="shared" si="483"/>
        <v>0</v>
      </c>
      <c r="AJ173" s="62">
        <f t="shared" si="483"/>
        <v>0</v>
      </c>
      <c r="AK173" s="62">
        <f t="shared" si="483"/>
        <v>0</v>
      </c>
      <c r="AL173" s="62">
        <f t="shared" si="483"/>
        <v>0</v>
      </c>
      <c r="AM173" s="62">
        <f t="shared" si="483"/>
        <v>0</v>
      </c>
      <c r="AN173" s="62">
        <f t="shared" si="483"/>
        <v>0</v>
      </c>
      <c r="AO173" s="62">
        <f t="shared" si="483"/>
        <v>0</v>
      </c>
      <c r="AP173" s="62">
        <f t="shared" si="483"/>
        <v>0</v>
      </c>
      <c r="AQ173" s="62">
        <f t="shared" si="483"/>
        <v>0</v>
      </c>
      <c r="AR173" s="62">
        <f t="shared" si="483"/>
        <v>0</v>
      </c>
      <c r="AS173" s="62">
        <f t="shared" si="483"/>
        <v>0</v>
      </c>
      <c r="AT173" s="62">
        <f t="shared" si="483"/>
        <v>0</v>
      </c>
      <c r="AU173" s="62">
        <f t="shared" si="483"/>
        <v>0</v>
      </c>
      <c r="AV173" s="62">
        <f t="shared" si="483"/>
        <v>0</v>
      </c>
      <c r="AW173" s="62">
        <f t="shared" si="483"/>
        <v>0</v>
      </c>
      <c r="AX173" s="62">
        <f t="shared" si="483"/>
        <v>0</v>
      </c>
      <c r="AY173" s="62">
        <f t="shared" si="483"/>
        <v>0</v>
      </c>
      <c r="AZ173" s="62">
        <f t="shared" si="483"/>
        <v>0</v>
      </c>
      <c r="BA173" s="62">
        <f t="shared" si="483"/>
        <v>0</v>
      </c>
      <c r="BB173" s="62">
        <f t="shared" si="483"/>
        <v>0</v>
      </c>
      <c r="BC173" s="62">
        <f t="shared" si="483"/>
        <v>0</v>
      </c>
      <c r="BD173" s="62">
        <f t="shared" si="483"/>
        <v>0</v>
      </c>
      <c r="BE173" s="62">
        <f t="shared" ref="BE173:CP173" si="484">+BE170-BE167</f>
        <v>0</v>
      </c>
      <c r="BF173" s="62">
        <f t="shared" si="484"/>
        <v>0</v>
      </c>
      <c r="BG173" s="62">
        <f t="shared" si="484"/>
        <v>0</v>
      </c>
      <c r="BH173" s="62">
        <f t="shared" si="484"/>
        <v>0</v>
      </c>
      <c r="BI173" s="62">
        <f t="shared" si="484"/>
        <v>0</v>
      </c>
      <c r="BJ173" s="62">
        <f t="shared" si="484"/>
        <v>0</v>
      </c>
      <c r="BK173" s="62">
        <f t="shared" si="484"/>
        <v>0</v>
      </c>
      <c r="BL173" s="62">
        <f t="shared" si="484"/>
        <v>0</v>
      </c>
      <c r="BM173" s="62">
        <f t="shared" si="484"/>
        <v>0</v>
      </c>
      <c r="BN173" s="62">
        <f t="shared" si="484"/>
        <v>0</v>
      </c>
      <c r="BO173" s="62">
        <f t="shared" si="484"/>
        <v>0</v>
      </c>
      <c r="BP173" s="62">
        <f t="shared" si="484"/>
        <v>0</v>
      </c>
      <c r="BQ173" s="62">
        <f t="shared" si="484"/>
        <v>0</v>
      </c>
      <c r="BR173" s="62">
        <f t="shared" si="484"/>
        <v>0</v>
      </c>
      <c r="BS173" s="62">
        <f t="shared" si="484"/>
        <v>0</v>
      </c>
      <c r="BT173" s="62">
        <f t="shared" si="484"/>
        <v>0</v>
      </c>
      <c r="BU173" s="62">
        <f t="shared" si="484"/>
        <v>0</v>
      </c>
      <c r="BV173" s="62">
        <f t="shared" si="484"/>
        <v>0</v>
      </c>
      <c r="BW173" s="62">
        <f t="shared" si="484"/>
        <v>0</v>
      </c>
      <c r="BX173" s="62">
        <f t="shared" si="484"/>
        <v>0</v>
      </c>
      <c r="BY173" s="62">
        <f t="shared" si="484"/>
        <v>0</v>
      </c>
      <c r="BZ173" s="62">
        <f t="shared" si="484"/>
        <v>0</v>
      </c>
      <c r="CA173" s="62">
        <f t="shared" si="484"/>
        <v>0</v>
      </c>
      <c r="CB173" s="62">
        <f t="shared" si="484"/>
        <v>0</v>
      </c>
      <c r="CC173" s="62">
        <f t="shared" si="484"/>
        <v>0</v>
      </c>
      <c r="CD173" s="62">
        <f t="shared" si="484"/>
        <v>0</v>
      </c>
      <c r="CE173" s="62">
        <f t="shared" si="484"/>
        <v>0</v>
      </c>
      <c r="CF173" s="62">
        <f t="shared" si="484"/>
        <v>0</v>
      </c>
      <c r="CG173" s="62">
        <f t="shared" si="484"/>
        <v>0</v>
      </c>
      <c r="CH173" s="62">
        <f t="shared" si="484"/>
        <v>0</v>
      </c>
      <c r="CI173" s="62">
        <f t="shared" si="484"/>
        <v>0</v>
      </c>
      <c r="CJ173" s="62">
        <f t="shared" si="484"/>
        <v>0</v>
      </c>
      <c r="CK173" s="62">
        <f t="shared" si="484"/>
        <v>0</v>
      </c>
      <c r="CL173" s="62">
        <f t="shared" si="484"/>
        <v>0</v>
      </c>
      <c r="CM173" s="62">
        <f t="shared" si="484"/>
        <v>0</v>
      </c>
      <c r="CN173" s="62">
        <f t="shared" si="484"/>
        <v>0</v>
      </c>
      <c r="CO173" s="62">
        <f t="shared" si="484"/>
        <v>0</v>
      </c>
      <c r="CP173" s="62">
        <f t="shared" si="484"/>
        <v>0</v>
      </c>
      <c r="CQ173" s="362" t="s">
        <v>77</v>
      </c>
      <c r="DB173" s="13" t="s">
        <v>421</v>
      </c>
      <c r="DD173" s="6"/>
      <c r="DE173" s="6"/>
      <c r="DF173" s="6"/>
      <c r="DG173" s="6"/>
      <c r="DH173" s="62"/>
      <c r="DI173" s="62"/>
      <c r="DJ173" s="62"/>
      <c r="DK173" s="62"/>
      <c r="DM173" s="413"/>
      <c r="DO173" s="413"/>
      <c r="DQ173" s="413"/>
      <c r="DR173" s="413"/>
      <c r="DS173" s="413"/>
      <c r="DT173" s="413"/>
    </row>
    <row r="174" spans="2:124" ht="11.25" customHeight="1" outlineLevel="1" x14ac:dyDescent="0.2">
      <c r="B174" s="358" t="s">
        <v>504</v>
      </c>
      <c r="C174" s="218"/>
      <c r="D174" s="66"/>
      <c r="E174" s="66"/>
      <c r="F174" s="66"/>
      <c r="G174" s="66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248"/>
      <c r="T174" s="66"/>
      <c r="U174" s="66"/>
      <c r="V174" s="66"/>
      <c r="W174" s="66"/>
      <c r="X174" s="66"/>
      <c r="Y174" s="66"/>
      <c r="Z174" s="66"/>
      <c r="AA174" s="66"/>
      <c r="AB174" s="66"/>
      <c r="AC174" s="66"/>
      <c r="AD174" s="66"/>
      <c r="AE174" s="66"/>
      <c r="AF174" s="66"/>
      <c r="AG174" s="66"/>
      <c r="AH174" s="66"/>
      <c r="AI174" s="66"/>
      <c r="AJ174" s="66"/>
      <c r="AK174" s="66"/>
      <c r="AL174" s="66"/>
      <c r="AM174" s="66"/>
      <c r="AN174" s="66"/>
      <c r="AO174" s="66"/>
      <c r="AP174" s="66"/>
      <c r="AQ174" s="66"/>
      <c r="AR174" s="66"/>
      <c r="AS174" s="66"/>
      <c r="AT174" s="66"/>
      <c r="AU174" s="66"/>
      <c r="AV174" s="66"/>
      <c r="AW174" s="66"/>
      <c r="AX174" s="66"/>
      <c r="AY174" s="66"/>
      <c r="AZ174" s="66"/>
      <c r="BA174" s="66"/>
      <c r="BB174" s="66"/>
      <c r="BC174" s="66"/>
      <c r="BD174" s="66"/>
      <c r="BE174" s="66"/>
      <c r="BF174" s="66"/>
      <c r="BG174" s="66"/>
      <c r="BH174" s="66"/>
      <c r="BI174" s="66"/>
      <c r="BJ174" s="66"/>
      <c r="BK174" s="66"/>
      <c r="BL174" s="66"/>
      <c r="BM174" s="66"/>
      <c r="BN174" s="66"/>
      <c r="BO174" s="66"/>
      <c r="BP174" s="66"/>
      <c r="BQ174" s="66"/>
      <c r="BR174" s="66"/>
      <c r="BS174" s="66"/>
      <c r="BT174" s="66"/>
      <c r="BU174" s="66"/>
      <c r="BV174" s="66"/>
      <c r="BW174" s="66"/>
      <c r="BX174" s="66"/>
      <c r="BY174" s="66"/>
      <c r="BZ174" s="66"/>
      <c r="CA174" s="66"/>
      <c r="CB174" s="66"/>
      <c r="CC174" s="66"/>
      <c r="CD174" s="66"/>
      <c r="CE174" s="66"/>
      <c r="CF174" s="66"/>
      <c r="CG174" s="66"/>
      <c r="CH174" s="66"/>
      <c r="CI174" s="66"/>
      <c r="CJ174" s="66"/>
      <c r="CK174" s="66"/>
      <c r="CL174" s="66"/>
      <c r="CM174" s="66"/>
      <c r="CN174" s="66"/>
      <c r="CO174" s="66"/>
      <c r="CP174" s="66"/>
      <c r="CQ174" s="362" t="s">
        <v>77</v>
      </c>
      <c r="DB174" s="13"/>
      <c r="DD174" s="6"/>
      <c r="DE174" s="6"/>
      <c r="DF174" s="6"/>
      <c r="DG174" s="6"/>
      <c r="DH174" s="62"/>
      <c r="DI174" s="62"/>
      <c r="DJ174" s="62"/>
      <c r="DK174" s="62"/>
      <c r="DM174" s="413"/>
      <c r="DO174" s="413"/>
      <c r="DQ174" s="413"/>
      <c r="DR174" s="413"/>
      <c r="DS174" s="413"/>
      <c r="DT174" s="413"/>
    </row>
    <row r="175" spans="2:124" ht="11.25" customHeight="1" outlineLevel="1" x14ac:dyDescent="0.2">
      <c r="B175" s="13" t="s">
        <v>504</v>
      </c>
      <c r="K175" s="6"/>
      <c r="L175" s="6"/>
      <c r="M175" s="6"/>
      <c r="N175" s="6"/>
      <c r="O175" s="6"/>
      <c r="P175" s="6"/>
      <c r="Q175" s="6"/>
      <c r="R175" s="6"/>
      <c r="S175" s="6"/>
      <c r="T175" s="62"/>
      <c r="X175" s="465">
        <f>X170</f>
        <v>1179.854493</v>
      </c>
      <c r="DB175" s="13"/>
      <c r="DD175" s="6"/>
      <c r="DE175" s="6"/>
      <c r="DF175" s="6"/>
      <c r="DG175" s="6"/>
      <c r="DH175" s="62"/>
      <c r="DI175" s="62"/>
      <c r="DJ175" s="62"/>
      <c r="DK175" s="62"/>
      <c r="DM175" s="413"/>
      <c r="DO175" s="413"/>
      <c r="DQ175" s="413"/>
      <c r="DR175" s="413"/>
      <c r="DS175" s="413"/>
      <c r="DT175" s="413"/>
    </row>
    <row r="176" spans="2:124" ht="11.25" customHeight="1" outlineLevel="1" x14ac:dyDescent="0.2">
      <c r="B176" s="358" t="s">
        <v>110</v>
      </c>
      <c r="C176" s="218"/>
      <c r="D176" s="66"/>
      <c r="E176" s="66"/>
      <c r="F176" s="66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248"/>
      <c r="T176" s="66"/>
      <c r="U176" s="66"/>
      <c r="V176" s="66"/>
      <c r="W176" s="66"/>
      <c r="X176" s="66"/>
      <c r="Y176" s="66"/>
      <c r="Z176" s="66"/>
      <c r="AA176" s="66"/>
      <c r="AB176" s="66"/>
      <c r="AC176" s="66"/>
      <c r="AD176" s="66"/>
      <c r="AE176" s="66"/>
      <c r="AF176" s="66"/>
      <c r="AG176" s="66"/>
      <c r="AH176" s="66"/>
      <c r="AI176" s="66"/>
      <c r="AJ176" s="66"/>
      <c r="AK176" s="66"/>
      <c r="AL176" s="66"/>
      <c r="AM176" s="66"/>
      <c r="AN176" s="66"/>
      <c r="AO176" s="66"/>
      <c r="AP176" s="66"/>
      <c r="AQ176" s="66"/>
      <c r="AR176" s="66"/>
      <c r="AS176" s="66"/>
      <c r="AT176" s="66"/>
      <c r="AU176" s="66"/>
      <c r="AV176" s="66"/>
      <c r="AW176" s="66"/>
      <c r="AX176" s="66"/>
      <c r="AY176" s="66"/>
      <c r="AZ176" s="66"/>
      <c r="BA176" s="66"/>
      <c r="BB176" s="66"/>
      <c r="BC176" s="66"/>
      <c r="BD176" s="66"/>
      <c r="BE176" s="66"/>
      <c r="BF176" s="66"/>
      <c r="BG176" s="66"/>
      <c r="BH176" s="66"/>
      <c r="BI176" s="66"/>
      <c r="BJ176" s="66"/>
      <c r="BK176" s="66"/>
      <c r="BL176" s="66"/>
      <c r="BM176" s="66"/>
      <c r="BN176" s="66"/>
      <c r="BO176" s="66"/>
      <c r="BP176" s="66"/>
      <c r="BQ176" s="66"/>
      <c r="BR176" s="66"/>
      <c r="BS176" s="66"/>
      <c r="BT176" s="66"/>
      <c r="BU176" s="66"/>
      <c r="BV176" s="66"/>
      <c r="BW176" s="66"/>
      <c r="BX176" s="66"/>
      <c r="BY176" s="66"/>
      <c r="BZ176" s="66"/>
      <c r="CA176" s="66"/>
      <c r="CB176" s="66"/>
      <c r="CC176" s="66"/>
      <c r="CD176" s="66"/>
      <c r="CE176" s="66"/>
      <c r="CF176" s="66"/>
      <c r="CG176" s="66"/>
      <c r="CH176" s="66"/>
      <c r="CI176" s="66"/>
      <c r="CJ176" s="66"/>
      <c r="CK176" s="66"/>
      <c r="CL176" s="66"/>
      <c r="CM176" s="66"/>
      <c r="CN176" s="66"/>
      <c r="CO176" s="66"/>
      <c r="CP176" s="66"/>
      <c r="CQ176" s="23" t="s">
        <v>77</v>
      </c>
      <c r="DB176" s="358" t="s">
        <v>110</v>
      </c>
      <c r="DC176" s="218"/>
      <c r="DD176" s="66"/>
      <c r="DE176" s="66"/>
      <c r="DF176" s="66"/>
      <c r="DG176" s="66"/>
      <c r="DH176" s="66"/>
      <c r="DI176" s="66"/>
      <c r="DJ176" s="66"/>
      <c r="DK176" s="66"/>
      <c r="DL176" s="66"/>
      <c r="DM176" s="66"/>
      <c r="DN176" s="66"/>
      <c r="DO176" s="66"/>
      <c r="DP176" s="66"/>
      <c r="DQ176" s="66"/>
      <c r="DR176" s="66"/>
      <c r="DS176" s="66"/>
      <c r="DT176" s="413"/>
    </row>
    <row r="177" spans="2:124" s="463" customFormat="1" ht="11.25" customHeight="1" outlineLevel="1" x14ac:dyDescent="0.2">
      <c r="B177" s="463" t="s">
        <v>104</v>
      </c>
      <c r="D177" s="452"/>
      <c r="E177" s="452"/>
      <c r="F177" s="452"/>
      <c r="G177" s="452"/>
      <c r="H177" s="452"/>
      <c r="I177" s="452"/>
      <c r="J177" s="452"/>
      <c r="K177" s="452">
        <v>4.0590000000000002</v>
      </c>
      <c r="L177" s="452">
        <v>1.286</v>
      </c>
      <c r="M177" s="452">
        <v>5.8650000000000002</v>
      </c>
      <c r="N177" s="452">
        <v>12.881</v>
      </c>
      <c r="O177" s="452">
        <f>9.995267+8.722354</f>
        <v>18.717621000000001</v>
      </c>
      <c r="P177" s="452">
        <f>10.153368+8.223709</f>
        <v>18.377077</v>
      </c>
      <c r="Q177" s="452">
        <f>9.370489+4.504833</f>
        <v>13.875321999999999</v>
      </c>
      <c r="R177" s="452">
        <f>5.218596+5.150958</f>
        <v>10.369554000000001</v>
      </c>
      <c r="S177" s="452">
        <f>7.147485+8.400482</f>
        <v>15.547967</v>
      </c>
      <c r="T177" s="466">
        <v>0</v>
      </c>
      <c r="U177" s="96">
        <v>0</v>
      </c>
      <c r="V177" s="96">
        <v>0</v>
      </c>
      <c r="W177" s="96">
        <v>0</v>
      </c>
      <c r="X177" s="154">
        <v>0</v>
      </c>
      <c r="Y177" s="154">
        <v>0</v>
      </c>
      <c r="Z177" s="154">
        <f>+Z167*0%</f>
        <v>0</v>
      </c>
      <c r="AA177" s="154">
        <f t="shared" ref="AA177:BD177" si="485">+AA167*0%</f>
        <v>0</v>
      </c>
      <c r="AB177" s="154">
        <f t="shared" si="485"/>
        <v>0</v>
      </c>
      <c r="AC177" s="154">
        <f t="shared" si="485"/>
        <v>0</v>
      </c>
      <c r="AD177" s="154">
        <f t="shared" si="485"/>
        <v>0</v>
      </c>
      <c r="AE177" s="154">
        <f t="shared" si="485"/>
        <v>0</v>
      </c>
      <c r="AF177" s="154">
        <f t="shared" si="485"/>
        <v>0</v>
      </c>
      <c r="AG177" s="154">
        <f t="shared" si="485"/>
        <v>0</v>
      </c>
      <c r="AH177" s="154">
        <f t="shared" si="485"/>
        <v>0</v>
      </c>
      <c r="AI177" s="154">
        <f t="shared" si="485"/>
        <v>0</v>
      </c>
      <c r="AJ177" s="154">
        <f t="shared" si="485"/>
        <v>0</v>
      </c>
      <c r="AK177" s="154">
        <f t="shared" si="485"/>
        <v>0</v>
      </c>
      <c r="AL177" s="154">
        <f t="shared" si="485"/>
        <v>0</v>
      </c>
      <c r="AM177" s="154">
        <f t="shared" si="485"/>
        <v>0</v>
      </c>
      <c r="AN177" s="154">
        <f t="shared" si="485"/>
        <v>0</v>
      </c>
      <c r="AO177" s="154">
        <f t="shared" si="485"/>
        <v>0</v>
      </c>
      <c r="AP177" s="154">
        <f t="shared" si="485"/>
        <v>0</v>
      </c>
      <c r="AQ177" s="154">
        <f t="shared" si="485"/>
        <v>0</v>
      </c>
      <c r="AR177" s="154">
        <f t="shared" si="485"/>
        <v>0</v>
      </c>
      <c r="AS177" s="154">
        <f t="shared" si="485"/>
        <v>0</v>
      </c>
      <c r="AT177" s="154">
        <f t="shared" si="485"/>
        <v>0</v>
      </c>
      <c r="AU177" s="154">
        <f t="shared" si="485"/>
        <v>0</v>
      </c>
      <c r="AV177" s="154">
        <f t="shared" si="485"/>
        <v>0</v>
      </c>
      <c r="AW177" s="154">
        <f t="shared" si="485"/>
        <v>0</v>
      </c>
      <c r="AX177" s="154">
        <f t="shared" si="485"/>
        <v>0</v>
      </c>
      <c r="AY177" s="154">
        <f t="shared" si="485"/>
        <v>0</v>
      </c>
      <c r="AZ177" s="154">
        <f t="shared" si="485"/>
        <v>0</v>
      </c>
      <c r="BA177" s="154">
        <f t="shared" si="485"/>
        <v>0</v>
      </c>
      <c r="BB177" s="154">
        <f t="shared" si="485"/>
        <v>0</v>
      </c>
      <c r="BC177" s="154">
        <f t="shared" si="485"/>
        <v>0</v>
      </c>
      <c r="BD177" s="154">
        <f t="shared" si="485"/>
        <v>0</v>
      </c>
      <c r="BE177" s="154">
        <f t="shared" ref="BE177:CP177" si="486">+BE167*0%</f>
        <v>0</v>
      </c>
      <c r="BF177" s="154">
        <f t="shared" si="486"/>
        <v>0</v>
      </c>
      <c r="BG177" s="154">
        <f t="shared" si="486"/>
        <v>0</v>
      </c>
      <c r="BH177" s="154">
        <f t="shared" si="486"/>
        <v>0</v>
      </c>
      <c r="BI177" s="154">
        <f t="shared" si="486"/>
        <v>0</v>
      </c>
      <c r="BJ177" s="154">
        <f t="shared" si="486"/>
        <v>0</v>
      </c>
      <c r="BK177" s="154">
        <f t="shared" si="486"/>
        <v>0</v>
      </c>
      <c r="BL177" s="154">
        <f t="shared" si="486"/>
        <v>0</v>
      </c>
      <c r="BM177" s="154">
        <f t="shared" si="486"/>
        <v>0</v>
      </c>
      <c r="BN177" s="154">
        <f t="shared" si="486"/>
        <v>0</v>
      </c>
      <c r="BO177" s="154">
        <f t="shared" si="486"/>
        <v>0</v>
      </c>
      <c r="BP177" s="154">
        <f t="shared" si="486"/>
        <v>0</v>
      </c>
      <c r="BQ177" s="154">
        <f t="shared" si="486"/>
        <v>0</v>
      </c>
      <c r="BR177" s="154">
        <f t="shared" si="486"/>
        <v>0</v>
      </c>
      <c r="BS177" s="154">
        <f t="shared" si="486"/>
        <v>0</v>
      </c>
      <c r="BT177" s="154">
        <f t="shared" si="486"/>
        <v>0</v>
      </c>
      <c r="BU177" s="154">
        <f t="shared" si="486"/>
        <v>0</v>
      </c>
      <c r="BV177" s="154">
        <f t="shared" si="486"/>
        <v>0</v>
      </c>
      <c r="BW177" s="154">
        <f t="shared" si="486"/>
        <v>0</v>
      </c>
      <c r="BX177" s="154">
        <f t="shared" si="486"/>
        <v>0</v>
      </c>
      <c r="BY177" s="154">
        <f t="shared" si="486"/>
        <v>0</v>
      </c>
      <c r="BZ177" s="154">
        <f t="shared" si="486"/>
        <v>0</v>
      </c>
      <c r="CA177" s="154">
        <f t="shared" si="486"/>
        <v>0</v>
      </c>
      <c r="CB177" s="154">
        <f t="shared" si="486"/>
        <v>0</v>
      </c>
      <c r="CC177" s="154">
        <f t="shared" si="486"/>
        <v>0</v>
      </c>
      <c r="CD177" s="154">
        <f t="shared" si="486"/>
        <v>0</v>
      </c>
      <c r="CE177" s="154">
        <f t="shared" si="486"/>
        <v>0</v>
      </c>
      <c r="CF177" s="154">
        <f t="shared" si="486"/>
        <v>0</v>
      </c>
      <c r="CG177" s="154">
        <f t="shared" si="486"/>
        <v>0</v>
      </c>
      <c r="CH177" s="154">
        <f t="shared" si="486"/>
        <v>0</v>
      </c>
      <c r="CI177" s="154">
        <f t="shared" si="486"/>
        <v>0</v>
      </c>
      <c r="CJ177" s="154">
        <f t="shared" si="486"/>
        <v>0</v>
      </c>
      <c r="CK177" s="154">
        <f t="shared" si="486"/>
        <v>0</v>
      </c>
      <c r="CL177" s="154">
        <f t="shared" si="486"/>
        <v>0</v>
      </c>
      <c r="CM177" s="154">
        <f t="shared" si="486"/>
        <v>0</v>
      </c>
      <c r="CN177" s="154">
        <f t="shared" si="486"/>
        <v>0</v>
      </c>
      <c r="CO177" s="154">
        <f t="shared" si="486"/>
        <v>0</v>
      </c>
      <c r="CP177" s="154">
        <f t="shared" si="486"/>
        <v>0</v>
      </c>
      <c r="CQ177" s="454" t="s">
        <v>77</v>
      </c>
      <c r="CU177"/>
      <c r="CV177"/>
      <c r="CW177"/>
      <c r="CX177"/>
      <c r="CY177"/>
      <c r="CZ177"/>
      <c r="DB177" s="463" t="s">
        <v>104</v>
      </c>
      <c r="DD177" s="365"/>
      <c r="DE177" s="365"/>
      <c r="DF177" s="365"/>
      <c r="DG177" s="365"/>
      <c r="DH177" s="96"/>
      <c r="DI177" s="96"/>
      <c r="DJ177" s="96"/>
      <c r="DK177" s="96"/>
      <c r="DM177" s="476"/>
      <c r="DO177" s="476"/>
      <c r="DQ177" s="476"/>
      <c r="DR177" s="476"/>
      <c r="DS177" s="476"/>
      <c r="DT177" s="476"/>
    </row>
    <row r="178" spans="2:124" ht="11.25" customHeight="1" outlineLevel="1" x14ac:dyDescent="0.2">
      <c r="B178" s="8" t="s">
        <v>112</v>
      </c>
      <c r="D178" s="459"/>
      <c r="E178" s="459"/>
      <c r="F178" s="459"/>
      <c r="G178" s="459"/>
      <c r="H178" s="459"/>
      <c r="I178" s="459"/>
      <c r="J178" s="459"/>
      <c r="K178" s="459">
        <f t="shared" ref="K178:S178" si="487">+K179/K177</f>
        <v>2.8425720620842569</v>
      </c>
      <c r="L178" s="459">
        <f t="shared" si="487"/>
        <v>4.0886469673405905</v>
      </c>
      <c r="M178" s="459">
        <f t="shared" si="487"/>
        <v>3.7338448422847401</v>
      </c>
      <c r="N178" s="459">
        <f t="shared" si="487"/>
        <v>2.7450000000000001</v>
      </c>
      <c r="O178" s="459">
        <f t="shared" si="487"/>
        <v>2.5987403372469178</v>
      </c>
      <c r="P178" s="459">
        <f t="shared" si="487"/>
        <v>3.0937491032986371</v>
      </c>
      <c r="Q178" s="459">
        <f t="shared" si="487"/>
        <v>3.7744129296602988</v>
      </c>
      <c r="R178" s="459">
        <f t="shared" si="487"/>
        <v>4.3022278315923712</v>
      </c>
      <c r="S178" s="459">
        <f t="shared" si="487"/>
        <v>5.3491593640506183</v>
      </c>
      <c r="T178" s="459">
        <v>0</v>
      </c>
      <c r="U178" s="459">
        <v>0</v>
      </c>
      <c r="V178" s="459">
        <f t="shared" ref="V178:BD178" si="488">+U178</f>
        <v>0</v>
      </c>
      <c r="W178" s="459">
        <f t="shared" si="488"/>
        <v>0</v>
      </c>
      <c r="X178" s="280">
        <f t="shared" si="488"/>
        <v>0</v>
      </c>
      <c r="Y178" s="280">
        <f t="shared" si="488"/>
        <v>0</v>
      </c>
      <c r="Z178" s="280">
        <f t="shared" si="488"/>
        <v>0</v>
      </c>
      <c r="AA178" s="280">
        <f t="shared" si="488"/>
        <v>0</v>
      </c>
      <c r="AB178" s="280">
        <f t="shared" si="488"/>
        <v>0</v>
      </c>
      <c r="AC178" s="280">
        <f t="shared" si="488"/>
        <v>0</v>
      </c>
      <c r="AD178" s="280">
        <f t="shared" si="488"/>
        <v>0</v>
      </c>
      <c r="AE178" s="280">
        <f t="shared" si="488"/>
        <v>0</v>
      </c>
      <c r="AF178" s="280">
        <f t="shared" si="488"/>
        <v>0</v>
      </c>
      <c r="AG178" s="280">
        <f t="shared" si="488"/>
        <v>0</v>
      </c>
      <c r="AH178" s="280">
        <f t="shared" si="488"/>
        <v>0</v>
      </c>
      <c r="AI178" s="280">
        <f t="shared" si="488"/>
        <v>0</v>
      </c>
      <c r="AJ178" s="280">
        <f t="shared" si="488"/>
        <v>0</v>
      </c>
      <c r="AK178" s="280">
        <f t="shared" si="488"/>
        <v>0</v>
      </c>
      <c r="AL178" s="280">
        <f t="shared" si="488"/>
        <v>0</v>
      </c>
      <c r="AM178" s="280">
        <f t="shared" si="488"/>
        <v>0</v>
      </c>
      <c r="AN178" s="280">
        <f t="shared" si="488"/>
        <v>0</v>
      </c>
      <c r="AO178" s="280">
        <f t="shared" si="488"/>
        <v>0</v>
      </c>
      <c r="AP178" s="280">
        <f t="shared" si="488"/>
        <v>0</v>
      </c>
      <c r="AQ178" s="280">
        <f t="shared" si="488"/>
        <v>0</v>
      </c>
      <c r="AR178" s="280">
        <f t="shared" si="488"/>
        <v>0</v>
      </c>
      <c r="AS178" s="280">
        <f t="shared" si="488"/>
        <v>0</v>
      </c>
      <c r="AT178" s="280">
        <f t="shared" si="488"/>
        <v>0</v>
      </c>
      <c r="AU178" s="280">
        <f t="shared" si="488"/>
        <v>0</v>
      </c>
      <c r="AV178" s="280">
        <f t="shared" si="488"/>
        <v>0</v>
      </c>
      <c r="AW178" s="280">
        <f t="shared" si="488"/>
        <v>0</v>
      </c>
      <c r="AX178" s="280">
        <f t="shared" si="488"/>
        <v>0</v>
      </c>
      <c r="AY178" s="280">
        <f t="shared" si="488"/>
        <v>0</v>
      </c>
      <c r="AZ178" s="280">
        <f t="shared" si="488"/>
        <v>0</v>
      </c>
      <c r="BA178" s="280">
        <f t="shared" si="488"/>
        <v>0</v>
      </c>
      <c r="BB178" s="280">
        <f t="shared" si="488"/>
        <v>0</v>
      </c>
      <c r="BC178" s="280">
        <f t="shared" si="488"/>
        <v>0</v>
      </c>
      <c r="BD178" s="280">
        <f t="shared" si="488"/>
        <v>0</v>
      </c>
      <c r="BE178" s="280">
        <f t="shared" ref="BE178:CP178" si="489">+BD178</f>
        <v>0</v>
      </c>
      <c r="BF178" s="280">
        <f t="shared" si="489"/>
        <v>0</v>
      </c>
      <c r="BG178" s="280">
        <f t="shared" si="489"/>
        <v>0</v>
      </c>
      <c r="BH178" s="280">
        <f t="shared" si="489"/>
        <v>0</v>
      </c>
      <c r="BI178" s="280">
        <f t="shared" si="489"/>
        <v>0</v>
      </c>
      <c r="BJ178" s="280">
        <f t="shared" si="489"/>
        <v>0</v>
      </c>
      <c r="BK178" s="280">
        <f t="shared" si="489"/>
        <v>0</v>
      </c>
      <c r="BL178" s="280">
        <f t="shared" si="489"/>
        <v>0</v>
      </c>
      <c r="BM178" s="280">
        <f t="shared" si="489"/>
        <v>0</v>
      </c>
      <c r="BN178" s="280">
        <f t="shared" si="489"/>
        <v>0</v>
      </c>
      <c r="BO178" s="280">
        <f t="shared" si="489"/>
        <v>0</v>
      </c>
      <c r="BP178" s="280">
        <f t="shared" si="489"/>
        <v>0</v>
      </c>
      <c r="BQ178" s="280">
        <f t="shared" si="489"/>
        <v>0</v>
      </c>
      <c r="BR178" s="280">
        <f t="shared" si="489"/>
        <v>0</v>
      </c>
      <c r="BS178" s="280">
        <f t="shared" si="489"/>
        <v>0</v>
      </c>
      <c r="BT178" s="280">
        <f t="shared" si="489"/>
        <v>0</v>
      </c>
      <c r="BU178" s="280">
        <f t="shared" si="489"/>
        <v>0</v>
      </c>
      <c r="BV178" s="280">
        <f t="shared" si="489"/>
        <v>0</v>
      </c>
      <c r="BW178" s="280">
        <f t="shared" si="489"/>
        <v>0</v>
      </c>
      <c r="BX178" s="280">
        <f t="shared" si="489"/>
        <v>0</v>
      </c>
      <c r="BY178" s="280">
        <f t="shared" si="489"/>
        <v>0</v>
      </c>
      <c r="BZ178" s="280">
        <f t="shared" si="489"/>
        <v>0</v>
      </c>
      <c r="CA178" s="280">
        <f t="shared" si="489"/>
        <v>0</v>
      </c>
      <c r="CB178" s="280">
        <f t="shared" si="489"/>
        <v>0</v>
      </c>
      <c r="CC178" s="280">
        <f t="shared" si="489"/>
        <v>0</v>
      </c>
      <c r="CD178" s="280">
        <f t="shared" si="489"/>
        <v>0</v>
      </c>
      <c r="CE178" s="280">
        <f t="shared" si="489"/>
        <v>0</v>
      </c>
      <c r="CF178" s="280">
        <f t="shared" si="489"/>
        <v>0</v>
      </c>
      <c r="CG178" s="280">
        <f t="shared" si="489"/>
        <v>0</v>
      </c>
      <c r="CH178" s="280">
        <f t="shared" si="489"/>
        <v>0</v>
      </c>
      <c r="CI178" s="280">
        <f t="shared" si="489"/>
        <v>0</v>
      </c>
      <c r="CJ178" s="280">
        <f t="shared" si="489"/>
        <v>0</v>
      </c>
      <c r="CK178" s="280">
        <f t="shared" si="489"/>
        <v>0</v>
      </c>
      <c r="CL178" s="280">
        <f t="shared" si="489"/>
        <v>0</v>
      </c>
      <c r="CM178" s="280">
        <f t="shared" si="489"/>
        <v>0</v>
      </c>
      <c r="CN178" s="280">
        <f t="shared" si="489"/>
        <v>0</v>
      </c>
      <c r="CO178" s="280">
        <f t="shared" si="489"/>
        <v>0</v>
      </c>
      <c r="CP178" s="280">
        <f t="shared" si="489"/>
        <v>0</v>
      </c>
      <c r="CQ178" s="23" t="s">
        <v>77</v>
      </c>
      <c r="DB178" s="8" t="s">
        <v>112</v>
      </c>
      <c r="DD178" s="459"/>
      <c r="DE178" s="459"/>
      <c r="DF178" s="459"/>
      <c r="DG178" s="459"/>
      <c r="DH178" s="97"/>
      <c r="DI178" s="97"/>
      <c r="DJ178" s="97"/>
      <c r="DK178" s="97"/>
      <c r="DM178" s="413"/>
      <c r="DO178" s="413"/>
      <c r="DQ178" s="413"/>
      <c r="DR178" s="413"/>
      <c r="DS178" s="413"/>
      <c r="DT178" s="413"/>
    </row>
    <row r="179" spans="2:124" s="463" customFormat="1" ht="11.25" customHeight="1" outlineLevel="1" x14ac:dyDescent="0.2">
      <c r="B179" s="463" t="s">
        <v>102</v>
      </c>
      <c r="D179" s="365"/>
      <c r="E179" s="365"/>
      <c r="F179" s="365"/>
      <c r="G179" s="365"/>
      <c r="H179" s="365"/>
      <c r="I179" s="365"/>
      <c r="J179" s="365"/>
      <c r="K179" s="365">
        <v>11.538</v>
      </c>
      <c r="L179" s="365">
        <v>5.258</v>
      </c>
      <c r="M179" s="365">
        <v>21.899000000000001</v>
      </c>
      <c r="N179" s="365">
        <f>12.881*(2.84+2.65)/2</f>
        <v>35.358345</v>
      </c>
      <c r="O179" s="365">
        <f>9.995267*2.65+8.722354*2.54</f>
        <v>48.642236709999992</v>
      </c>
      <c r="P179" s="365">
        <f>10.153368*2.87+8.223709*3.37</f>
        <v>56.854065490000004</v>
      </c>
      <c r="Q179" s="365">
        <f>9.370489*3.69+4.504833*3.95</f>
        <v>52.371194759999995</v>
      </c>
      <c r="R179" s="365">
        <f>5.218596*3.88+5.150958*4.73</f>
        <v>44.612183819999998</v>
      </c>
      <c r="S179" s="365">
        <f>7.147485*4.69+8.400482*5.91</f>
        <v>83.168553270000004</v>
      </c>
      <c r="T179" s="61">
        <v>0</v>
      </c>
      <c r="U179" s="61">
        <f t="shared" ref="U179:BD179" si="490">+U177*U178</f>
        <v>0</v>
      </c>
      <c r="V179" s="61">
        <f t="shared" si="490"/>
        <v>0</v>
      </c>
      <c r="W179" s="61">
        <f t="shared" si="490"/>
        <v>0</v>
      </c>
      <c r="X179" s="61">
        <f t="shared" si="490"/>
        <v>0</v>
      </c>
      <c r="Y179" s="61">
        <f t="shared" si="490"/>
        <v>0</v>
      </c>
      <c r="Z179" s="61">
        <f t="shared" si="490"/>
        <v>0</v>
      </c>
      <c r="AA179" s="61">
        <f t="shared" si="490"/>
        <v>0</v>
      </c>
      <c r="AB179" s="61">
        <f t="shared" si="490"/>
        <v>0</v>
      </c>
      <c r="AC179" s="61">
        <f t="shared" si="490"/>
        <v>0</v>
      </c>
      <c r="AD179" s="61">
        <f t="shared" si="490"/>
        <v>0</v>
      </c>
      <c r="AE179" s="61">
        <f t="shared" si="490"/>
        <v>0</v>
      </c>
      <c r="AF179" s="61">
        <f t="shared" si="490"/>
        <v>0</v>
      </c>
      <c r="AG179" s="61">
        <f t="shared" si="490"/>
        <v>0</v>
      </c>
      <c r="AH179" s="61">
        <f t="shared" si="490"/>
        <v>0</v>
      </c>
      <c r="AI179" s="61">
        <f t="shared" si="490"/>
        <v>0</v>
      </c>
      <c r="AJ179" s="61">
        <f t="shared" si="490"/>
        <v>0</v>
      </c>
      <c r="AK179" s="61">
        <f t="shared" si="490"/>
        <v>0</v>
      </c>
      <c r="AL179" s="61">
        <f t="shared" si="490"/>
        <v>0</v>
      </c>
      <c r="AM179" s="61">
        <f t="shared" si="490"/>
        <v>0</v>
      </c>
      <c r="AN179" s="61">
        <f t="shared" si="490"/>
        <v>0</v>
      </c>
      <c r="AO179" s="61">
        <f t="shared" si="490"/>
        <v>0</v>
      </c>
      <c r="AP179" s="61">
        <f t="shared" si="490"/>
        <v>0</v>
      </c>
      <c r="AQ179" s="61">
        <f t="shared" si="490"/>
        <v>0</v>
      </c>
      <c r="AR179" s="61">
        <f t="shared" si="490"/>
        <v>0</v>
      </c>
      <c r="AS179" s="61">
        <f t="shared" si="490"/>
        <v>0</v>
      </c>
      <c r="AT179" s="61">
        <f t="shared" si="490"/>
        <v>0</v>
      </c>
      <c r="AU179" s="61">
        <f t="shared" si="490"/>
        <v>0</v>
      </c>
      <c r="AV179" s="61">
        <f t="shared" si="490"/>
        <v>0</v>
      </c>
      <c r="AW179" s="61">
        <f t="shared" si="490"/>
        <v>0</v>
      </c>
      <c r="AX179" s="61">
        <f t="shared" si="490"/>
        <v>0</v>
      </c>
      <c r="AY179" s="61">
        <f t="shared" si="490"/>
        <v>0</v>
      </c>
      <c r="AZ179" s="61">
        <f t="shared" si="490"/>
        <v>0</v>
      </c>
      <c r="BA179" s="61">
        <f t="shared" si="490"/>
        <v>0</v>
      </c>
      <c r="BB179" s="61">
        <f t="shared" si="490"/>
        <v>0</v>
      </c>
      <c r="BC179" s="61">
        <f t="shared" si="490"/>
        <v>0</v>
      </c>
      <c r="BD179" s="61">
        <f t="shared" si="490"/>
        <v>0</v>
      </c>
      <c r="BE179" s="61">
        <f t="shared" ref="BE179:CP179" si="491">+BE177*BE178</f>
        <v>0</v>
      </c>
      <c r="BF179" s="61">
        <f t="shared" si="491"/>
        <v>0</v>
      </c>
      <c r="BG179" s="61">
        <f t="shared" si="491"/>
        <v>0</v>
      </c>
      <c r="BH179" s="61">
        <f t="shared" si="491"/>
        <v>0</v>
      </c>
      <c r="BI179" s="61">
        <f t="shared" si="491"/>
        <v>0</v>
      </c>
      <c r="BJ179" s="61">
        <f t="shared" si="491"/>
        <v>0</v>
      </c>
      <c r="BK179" s="61">
        <f t="shared" si="491"/>
        <v>0</v>
      </c>
      <c r="BL179" s="61">
        <f t="shared" si="491"/>
        <v>0</v>
      </c>
      <c r="BM179" s="61">
        <f t="shared" si="491"/>
        <v>0</v>
      </c>
      <c r="BN179" s="61">
        <f t="shared" si="491"/>
        <v>0</v>
      </c>
      <c r="BO179" s="61">
        <f t="shared" si="491"/>
        <v>0</v>
      </c>
      <c r="BP179" s="61">
        <f t="shared" si="491"/>
        <v>0</v>
      </c>
      <c r="BQ179" s="61">
        <f t="shared" si="491"/>
        <v>0</v>
      </c>
      <c r="BR179" s="61">
        <f t="shared" si="491"/>
        <v>0</v>
      </c>
      <c r="BS179" s="61">
        <f t="shared" si="491"/>
        <v>0</v>
      </c>
      <c r="BT179" s="61">
        <f t="shared" si="491"/>
        <v>0</v>
      </c>
      <c r="BU179" s="61">
        <f t="shared" si="491"/>
        <v>0</v>
      </c>
      <c r="BV179" s="61">
        <f t="shared" si="491"/>
        <v>0</v>
      </c>
      <c r="BW179" s="61">
        <f t="shared" si="491"/>
        <v>0</v>
      </c>
      <c r="BX179" s="61">
        <f t="shared" si="491"/>
        <v>0</v>
      </c>
      <c r="BY179" s="61">
        <f t="shared" si="491"/>
        <v>0</v>
      </c>
      <c r="BZ179" s="61">
        <f t="shared" si="491"/>
        <v>0</v>
      </c>
      <c r="CA179" s="61">
        <f t="shared" si="491"/>
        <v>0</v>
      </c>
      <c r="CB179" s="61">
        <f t="shared" si="491"/>
        <v>0</v>
      </c>
      <c r="CC179" s="61">
        <f t="shared" si="491"/>
        <v>0</v>
      </c>
      <c r="CD179" s="61">
        <f t="shared" si="491"/>
        <v>0</v>
      </c>
      <c r="CE179" s="61">
        <f t="shared" si="491"/>
        <v>0</v>
      </c>
      <c r="CF179" s="61">
        <f t="shared" si="491"/>
        <v>0</v>
      </c>
      <c r="CG179" s="61">
        <f t="shared" si="491"/>
        <v>0</v>
      </c>
      <c r="CH179" s="61">
        <f t="shared" si="491"/>
        <v>0</v>
      </c>
      <c r="CI179" s="61">
        <f t="shared" si="491"/>
        <v>0</v>
      </c>
      <c r="CJ179" s="61">
        <f t="shared" si="491"/>
        <v>0</v>
      </c>
      <c r="CK179" s="61">
        <f t="shared" si="491"/>
        <v>0</v>
      </c>
      <c r="CL179" s="61">
        <f t="shared" si="491"/>
        <v>0</v>
      </c>
      <c r="CM179" s="61">
        <f t="shared" si="491"/>
        <v>0</v>
      </c>
      <c r="CN179" s="61">
        <f t="shared" si="491"/>
        <v>0</v>
      </c>
      <c r="CO179" s="61">
        <f t="shared" si="491"/>
        <v>0</v>
      </c>
      <c r="CP179" s="61">
        <f t="shared" si="491"/>
        <v>0</v>
      </c>
      <c r="CQ179" s="454" t="s">
        <v>77</v>
      </c>
      <c r="CU179"/>
      <c r="CV179"/>
      <c r="CW179"/>
      <c r="CX179"/>
      <c r="CY179"/>
      <c r="CZ179"/>
      <c r="DB179" s="463" t="s">
        <v>102</v>
      </c>
      <c r="DD179" s="365"/>
      <c r="DE179" s="365"/>
      <c r="DF179" s="365"/>
      <c r="DG179" s="365"/>
      <c r="DH179" s="61"/>
      <c r="DI179" s="61"/>
      <c r="DJ179" s="61"/>
      <c r="DK179" s="61"/>
      <c r="DM179" s="476"/>
      <c r="DO179" s="476"/>
      <c r="DQ179" s="476"/>
      <c r="DR179" s="476"/>
      <c r="DS179" s="476"/>
      <c r="DT179" s="476"/>
    </row>
    <row r="180" spans="2:124" ht="11.25" customHeight="1" outlineLevel="1" x14ac:dyDescent="0.2">
      <c r="B180" s="8" t="s">
        <v>107</v>
      </c>
      <c r="D180" s="10"/>
      <c r="E180" s="10"/>
      <c r="F180" s="10"/>
      <c r="G180" s="10"/>
      <c r="H180" s="10"/>
      <c r="I180" s="10"/>
      <c r="J180" s="10"/>
      <c r="K180" s="10">
        <f t="shared" ref="K180:BD180" si="492">+K177/K167</f>
        <v>1.621420810430781E-2</v>
      </c>
      <c r="L180" s="10">
        <f t="shared" si="492"/>
        <v>4.6110543394467457E-3</v>
      </c>
      <c r="M180" s="10">
        <f t="shared" si="492"/>
        <v>2.0932896948758127E-2</v>
      </c>
      <c r="N180" s="10">
        <f t="shared" si="492"/>
        <v>2.9837712125493975E-2</v>
      </c>
      <c r="O180" s="10">
        <f t="shared" si="492"/>
        <v>3.9974331594200427E-2</v>
      </c>
      <c r="P180" s="10">
        <f t="shared" si="492"/>
        <v>3.6852624211894183E-2</v>
      </c>
      <c r="Q180" s="10">
        <f t="shared" si="492"/>
        <v>2.5585166663900767E-2</v>
      </c>
      <c r="R180" s="10">
        <f t="shared" si="492"/>
        <v>1.6352771417217041E-2</v>
      </c>
      <c r="S180" s="10">
        <f t="shared" si="492"/>
        <v>2.412460006889211E-2</v>
      </c>
      <c r="T180" s="10">
        <f t="shared" si="492"/>
        <v>0</v>
      </c>
      <c r="U180" s="10">
        <f t="shared" si="492"/>
        <v>0</v>
      </c>
      <c r="V180" s="10">
        <f t="shared" si="492"/>
        <v>0</v>
      </c>
      <c r="W180" s="10">
        <f t="shared" si="492"/>
        <v>0</v>
      </c>
      <c r="X180" s="10">
        <f t="shared" si="492"/>
        <v>0</v>
      </c>
      <c r="Y180" s="10">
        <f t="shared" si="492"/>
        <v>0</v>
      </c>
      <c r="Z180" s="10">
        <f t="shared" si="492"/>
        <v>0</v>
      </c>
      <c r="AA180" s="10">
        <f t="shared" si="492"/>
        <v>0</v>
      </c>
      <c r="AB180" s="10">
        <f t="shared" si="492"/>
        <v>0</v>
      </c>
      <c r="AC180" s="10">
        <f t="shared" si="492"/>
        <v>0</v>
      </c>
      <c r="AD180" s="10">
        <f t="shared" si="492"/>
        <v>0</v>
      </c>
      <c r="AE180" s="10">
        <f t="shared" si="492"/>
        <v>0</v>
      </c>
      <c r="AF180" s="10">
        <f t="shared" si="492"/>
        <v>0</v>
      </c>
      <c r="AG180" s="10">
        <f t="shared" si="492"/>
        <v>0</v>
      </c>
      <c r="AH180" s="10">
        <f t="shared" si="492"/>
        <v>0</v>
      </c>
      <c r="AI180" s="10">
        <f t="shared" si="492"/>
        <v>0</v>
      </c>
      <c r="AJ180" s="10">
        <f t="shared" si="492"/>
        <v>0</v>
      </c>
      <c r="AK180" s="10">
        <f t="shared" si="492"/>
        <v>0</v>
      </c>
      <c r="AL180" s="10">
        <f t="shared" si="492"/>
        <v>0</v>
      </c>
      <c r="AM180" s="10">
        <f t="shared" si="492"/>
        <v>0</v>
      </c>
      <c r="AN180" s="10">
        <f t="shared" si="492"/>
        <v>0</v>
      </c>
      <c r="AO180" s="10">
        <f t="shared" si="492"/>
        <v>0</v>
      </c>
      <c r="AP180" s="10">
        <f t="shared" si="492"/>
        <v>0</v>
      </c>
      <c r="AQ180" s="10">
        <f t="shared" si="492"/>
        <v>0</v>
      </c>
      <c r="AR180" s="10">
        <f t="shared" si="492"/>
        <v>0</v>
      </c>
      <c r="AS180" s="10">
        <f t="shared" si="492"/>
        <v>0</v>
      </c>
      <c r="AT180" s="10">
        <f t="shared" si="492"/>
        <v>0</v>
      </c>
      <c r="AU180" s="10">
        <f t="shared" si="492"/>
        <v>0</v>
      </c>
      <c r="AV180" s="10">
        <f t="shared" si="492"/>
        <v>0</v>
      </c>
      <c r="AW180" s="10">
        <f t="shared" si="492"/>
        <v>0</v>
      </c>
      <c r="AX180" s="10">
        <f t="shared" si="492"/>
        <v>0</v>
      </c>
      <c r="AY180" s="10">
        <f t="shared" si="492"/>
        <v>0</v>
      </c>
      <c r="AZ180" s="10">
        <f t="shared" si="492"/>
        <v>0</v>
      </c>
      <c r="BA180" s="10">
        <f t="shared" si="492"/>
        <v>0</v>
      </c>
      <c r="BB180" s="10">
        <f t="shared" si="492"/>
        <v>0</v>
      </c>
      <c r="BC180" s="10">
        <f t="shared" si="492"/>
        <v>0</v>
      </c>
      <c r="BD180" s="10">
        <f t="shared" si="492"/>
        <v>0</v>
      </c>
      <c r="BE180" s="10">
        <f t="shared" ref="BE180:CP180" si="493">+BE177/BE167</f>
        <v>0</v>
      </c>
      <c r="BF180" s="10">
        <f t="shared" si="493"/>
        <v>0</v>
      </c>
      <c r="BG180" s="10">
        <f t="shared" si="493"/>
        <v>0</v>
      </c>
      <c r="BH180" s="10">
        <f t="shared" si="493"/>
        <v>0</v>
      </c>
      <c r="BI180" s="10">
        <f t="shared" si="493"/>
        <v>0</v>
      </c>
      <c r="BJ180" s="10">
        <f t="shared" si="493"/>
        <v>0</v>
      </c>
      <c r="BK180" s="10">
        <f t="shared" si="493"/>
        <v>0</v>
      </c>
      <c r="BL180" s="10">
        <f t="shared" si="493"/>
        <v>0</v>
      </c>
      <c r="BM180" s="10">
        <f t="shared" si="493"/>
        <v>0</v>
      </c>
      <c r="BN180" s="10">
        <f t="shared" si="493"/>
        <v>0</v>
      </c>
      <c r="BO180" s="10">
        <f t="shared" si="493"/>
        <v>0</v>
      </c>
      <c r="BP180" s="10">
        <f t="shared" si="493"/>
        <v>0</v>
      </c>
      <c r="BQ180" s="10">
        <f t="shared" si="493"/>
        <v>0</v>
      </c>
      <c r="BR180" s="10">
        <f t="shared" si="493"/>
        <v>0</v>
      </c>
      <c r="BS180" s="10">
        <f t="shared" si="493"/>
        <v>0</v>
      </c>
      <c r="BT180" s="10">
        <f t="shared" si="493"/>
        <v>0</v>
      </c>
      <c r="BU180" s="10">
        <f t="shared" si="493"/>
        <v>0</v>
      </c>
      <c r="BV180" s="10">
        <f t="shared" si="493"/>
        <v>0</v>
      </c>
      <c r="BW180" s="10">
        <f t="shared" si="493"/>
        <v>0</v>
      </c>
      <c r="BX180" s="10">
        <f t="shared" si="493"/>
        <v>0</v>
      </c>
      <c r="BY180" s="10">
        <f t="shared" si="493"/>
        <v>0</v>
      </c>
      <c r="BZ180" s="10">
        <f t="shared" si="493"/>
        <v>0</v>
      </c>
      <c r="CA180" s="10">
        <f t="shared" si="493"/>
        <v>0</v>
      </c>
      <c r="CB180" s="10">
        <f t="shared" si="493"/>
        <v>0</v>
      </c>
      <c r="CC180" s="10">
        <f t="shared" si="493"/>
        <v>0</v>
      </c>
      <c r="CD180" s="10">
        <f t="shared" si="493"/>
        <v>0</v>
      </c>
      <c r="CE180" s="10">
        <f t="shared" si="493"/>
        <v>0</v>
      </c>
      <c r="CF180" s="10">
        <f t="shared" si="493"/>
        <v>0</v>
      </c>
      <c r="CG180" s="10">
        <f t="shared" si="493"/>
        <v>0</v>
      </c>
      <c r="CH180" s="10">
        <f t="shared" si="493"/>
        <v>0</v>
      </c>
      <c r="CI180" s="10">
        <f t="shared" si="493"/>
        <v>0</v>
      </c>
      <c r="CJ180" s="10">
        <f t="shared" si="493"/>
        <v>0</v>
      </c>
      <c r="CK180" s="10">
        <f t="shared" si="493"/>
        <v>0</v>
      </c>
      <c r="CL180" s="10">
        <f t="shared" si="493"/>
        <v>0</v>
      </c>
      <c r="CM180" s="10">
        <f t="shared" si="493"/>
        <v>0</v>
      </c>
      <c r="CN180" s="10">
        <f t="shared" si="493"/>
        <v>0</v>
      </c>
      <c r="CO180" s="10">
        <f t="shared" si="493"/>
        <v>0</v>
      </c>
      <c r="CP180" s="10">
        <f t="shared" si="493"/>
        <v>0</v>
      </c>
      <c r="CQ180" s="23" t="s">
        <v>77</v>
      </c>
      <c r="DB180" s="8" t="s">
        <v>107</v>
      </c>
      <c r="DD180" s="10"/>
      <c r="DE180" s="10"/>
      <c r="DF180" s="10"/>
      <c r="DG180" s="10"/>
      <c r="DH180" s="10"/>
      <c r="DI180" s="10"/>
      <c r="DJ180" s="10"/>
      <c r="DK180" s="10"/>
      <c r="DM180" s="413"/>
      <c r="DO180" s="413"/>
      <c r="DQ180" s="413"/>
      <c r="DR180" s="413"/>
      <c r="DS180" s="413"/>
      <c r="DT180" s="413"/>
    </row>
    <row r="181" spans="2:124" x14ac:dyDescent="0.2">
      <c r="Q181" s="9">
        <f>Q192-P192</f>
        <v>34.799999999999983</v>
      </c>
      <c r="CQ181" s="23" t="s">
        <v>77</v>
      </c>
      <c r="DM181" s="413"/>
      <c r="DO181" s="413"/>
      <c r="DQ181" s="413"/>
      <c r="DR181" s="413"/>
      <c r="DS181" s="413"/>
      <c r="DT181" s="413"/>
    </row>
    <row r="182" spans="2:124" s="233" customFormat="1" x14ac:dyDescent="0.2">
      <c r="B182" s="728" t="s">
        <v>365</v>
      </c>
      <c r="C182" s="312"/>
      <c r="D182" s="308"/>
      <c r="E182" s="308"/>
      <c r="F182" s="312">
        <f t="shared" ref="F182:AK182" si="494">Fiscal_Year</f>
        <v>36707</v>
      </c>
      <c r="G182" s="312">
        <f t="shared" si="494"/>
        <v>37072</v>
      </c>
      <c r="H182" s="312">
        <f t="shared" si="494"/>
        <v>37437</v>
      </c>
      <c r="I182" s="312">
        <f t="shared" si="494"/>
        <v>37802</v>
      </c>
      <c r="J182" s="312">
        <f t="shared" si="494"/>
        <v>38168</v>
      </c>
      <c r="K182" s="312">
        <f t="shared" si="494"/>
        <v>38533</v>
      </c>
      <c r="L182" s="312">
        <f t="shared" si="494"/>
        <v>38898</v>
      </c>
      <c r="M182" s="312">
        <f t="shared" si="494"/>
        <v>39263</v>
      </c>
      <c r="N182" s="312">
        <f t="shared" si="494"/>
        <v>39629</v>
      </c>
      <c r="O182" s="312">
        <f t="shared" si="494"/>
        <v>39994</v>
      </c>
      <c r="P182" s="312">
        <f t="shared" si="494"/>
        <v>40359</v>
      </c>
      <c r="Q182" s="312">
        <f t="shared" si="494"/>
        <v>40724</v>
      </c>
      <c r="R182" s="312">
        <f t="shared" si="494"/>
        <v>41090</v>
      </c>
      <c r="S182" s="312">
        <f t="shared" si="494"/>
        <v>41455</v>
      </c>
      <c r="T182" s="312">
        <f t="shared" si="494"/>
        <v>41820</v>
      </c>
      <c r="U182" s="312">
        <f t="shared" si="494"/>
        <v>42185</v>
      </c>
      <c r="V182" s="312">
        <f t="shared" si="494"/>
        <v>42551</v>
      </c>
      <c r="W182" s="312">
        <f t="shared" si="494"/>
        <v>42916</v>
      </c>
      <c r="X182" s="312">
        <f t="shared" si="494"/>
        <v>43281</v>
      </c>
      <c r="Y182" s="312">
        <f t="shared" si="494"/>
        <v>43646</v>
      </c>
      <c r="Z182" s="312">
        <f t="shared" si="494"/>
        <v>44012</v>
      </c>
      <c r="AA182" s="312">
        <f t="shared" si="494"/>
        <v>44377</v>
      </c>
      <c r="AB182" s="312">
        <f t="shared" si="494"/>
        <v>44742</v>
      </c>
      <c r="AC182" s="312">
        <f t="shared" si="494"/>
        <v>45107</v>
      </c>
      <c r="AD182" s="312">
        <f t="shared" si="494"/>
        <v>45473</v>
      </c>
      <c r="AE182" s="312">
        <f t="shared" si="494"/>
        <v>45838</v>
      </c>
      <c r="AF182" s="312">
        <f t="shared" si="494"/>
        <v>46203</v>
      </c>
      <c r="AG182" s="312">
        <f t="shared" si="494"/>
        <v>46568</v>
      </c>
      <c r="AH182" s="312">
        <f t="shared" si="494"/>
        <v>46934</v>
      </c>
      <c r="AI182" s="312">
        <f t="shared" si="494"/>
        <v>47299</v>
      </c>
      <c r="AJ182" s="312">
        <f t="shared" si="494"/>
        <v>47664</v>
      </c>
      <c r="AK182" s="312">
        <f t="shared" si="494"/>
        <v>48029</v>
      </c>
      <c r="AL182" s="312">
        <f t="shared" ref="AL182:CP182" si="495">Fiscal_Year</f>
        <v>48395</v>
      </c>
      <c r="AM182" s="312">
        <f t="shared" si="495"/>
        <v>48760</v>
      </c>
      <c r="AN182" s="312">
        <f t="shared" si="495"/>
        <v>49125</v>
      </c>
      <c r="AO182" s="312">
        <f t="shared" si="495"/>
        <v>49490</v>
      </c>
      <c r="AP182" s="312">
        <f t="shared" si="495"/>
        <v>49856</v>
      </c>
      <c r="AQ182" s="312">
        <f t="shared" si="495"/>
        <v>50221</v>
      </c>
      <c r="AR182" s="312">
        <f t="shared" si="495"/>
        <v>50586</v>
      </c>
      <c r="AS182" s="312">
        <f t="shared" si="495"/>
        <v>50951</v>
      </c>
      <c r="AT182" s="312">
        <f t="shared" si="495"/>
        <v>51317</v>
      </c>
      <c r="AU182" s="312">
        <f t="shared" si="495"/>
        <v>51682</v>
      </c>
      <c r="AV182" s="312">
        <f t="shared" si="495"/>
        <v>52047</v>
      </c>
      <c r="AW182" s="312">
        <f t="shared" si="495"/>
        <v>52412</v>
      </c>
      <c r="AX182" s="312">
        <f t="shared" si="495"/>
        <v>52778</v>
      </c>
      <c r="AY182" s="312">
        <f t="shared" si="495"/>
        <v>53143</v>
      </c>
      <c r="AZ182" s="312">
        <f t="shared" si="495"/>
        <v>53508</v>
      </c>
      <c r="BA182" s="312">
        <f t="shared" si="495"/>
        <v>53873</v>
      </c>
      <c r="BB182" s="312">
        <f t="shared" si="495"/>
        <v>54239</v>
      </c>
      <c r="BC182" s="312">
        <f t="shared" si="495"/>
        <v>54604</v>
      </c>
      <c r="BD182" s="312">
        <f t="shared" si="495"/>
        <v>54969</v>
      </c>
      <c r="BE182" s="312">
        <f t="shared" si="495"/>
        <v>55334</v>
      </c>
      <c r="BF182" s="312">
        <f t="shared" si="495"/>
        <v>55700</v>
      </c>
      <c r="BG182" s="312">
        <f t="shared" si="495"/>
        <v>56065</v>
      </c>
      <c r="BH182" s="312">
        <f t="shared" si="495"/>
        <v>56430</v>
      </c>
      <c r="BI182" s="312">
        <f t="shared" si="495"/>
        <v>56795</v>
      </c>
      <c r="BJ182" s="312">
        <f t="shared" si="495"/>
        <v>57161</v>
      </c>
      <c r="BK182" s="312">
        <f t="shared" si="495"/>
        <v>57526</v>
      </c>
      <c r="BL182" s="312">
        <f t="shared" si="495"/>
        <v>57891</v>
      </c>
      <c r="BM182" s="312">
        <f t="shared" si="495"/>
        <v>58256</v>
      </c>
      <c r="BN182" s="312">
        <f t="shared" si="495"/>
        <v>58622</v>
      </c>
      <c r="BO182" s="312">
        <f t="shared" si="495"/>
        <v>58987</v>
      </c>
      <c r="BP182" s="312">
        <f t="shared" si="495"/>
        <v>59352</v>
      </c>
      <c r="BQ182" s="312">
        <f t="shared" si="495"/>
        <v>59717</v>
      </c>
      <c r="BR182" s="312">
        <f t="shared" si="495"/>
        <v>60083</v>
      </c>
      <c r="BS182" s="312">
        <f t="shared" si="495"/>
        <v>60448</v>
      </c>
      <c r="BT182" s="312">
        <f t="shared" si="495"/>
        <v>60813</v>
      </c>
      <c r="BU182" s="312">
        <f t="shared" si="495"/>
        <v>61178</v>
      </c>
      <c r="BV182" s="312">
        <f t="shared" si="495"/>
        <v>61544</v>
      </c>
      <c r="BW182" s="312">
        <f t="shared" si="495"/>
        <v>61909</v>
      </c>
      <c r="BX182" s="312">
        <f t="shared" si="495"/>
        <v>62274</v>
      </c>
      <c r="BY182" s="312">
        <f t="shared" si="495"/>
        <v>62639</v>
      </c>
      <c r="BZ182" s="312">
        <f t="shared" si="495"/>
        <v>63005</v>
      </c>
      <c r="CA182" s="312">
        <f t="shared" si="495"/>
        <v>63370</v>
      </c>
      <c r="CB182" s="312">
        <f t="shared" si="495"/>
        <v>63735</v>
      </c>
      <c r="CC182" s="312">
        <f t="shared" si="495"/>
        <v>64100</v>
      </c>
      <c r="CD182" s="312">
        <f t="shared" si="495"/>
        <v>64466</v>
      </c>
      <c r="CE182" s="312">
        <f t="shared" si="495"/>
        <v>64831</v>
      </c>
      <c r="CF182" s="312">
        <f t="shared" si="495"/>
        <v>65196</v>
      </c>
      <c r="CG182" s="312">
        <f t="shared" si="495"/>
        <v>65561</v>
      </c>
      <c r="CH182" s="312">
        <f t="shared" si="495"/>
        <v>65927</v>
      </c>
      <c r="CI182" s="312">
        <f t="shared" si="495"/>
        <v>66292</v>
      </c>
      <c r="CJ182" s="312">
        <f t="shared" si="495"/>
        <v>66657</v>
      </c>
      <c r="CK182" s="312">
        <f t="shared" si="495"/>
        <v>67022</v>
      </c>
      <c r="CL182" s="312">
        <f t="shared" si="495"/>
        <v>67388</v>
      </c>
      <c r="CM182" s="312">
        <f t="shared" si="495"/>
        <v>67753</v>
      </c>
      <c r="CN182" s="312">
        <f t="shared" si="495"/>
        <v>68118</v>
      </c>
      <c r="CO182" s="312">
        <f t="shared" si="495"/>
        <v>68483</v>
      </c>
      <c r="CP182" s="312">
        <f t="shared" si="495"/>
        <v>68849</v>
      </c>
      <c r="CQ182" s="23" t="s">
        <v>77</v>
      </c>
      <c r="CS182" s="8"/>
      <c r="CT182" s="8"/>
      <c r="CU182"/>
      <c r="CV182"/>
      <c r="CW182"/>
      <c r="CX182"/>
      <c r="CY182"/>
      <c r="CZ182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M182" s="413"/>
      <c r="DO182" s="413"/>
      <c r="DQ182" s="413"/>
      <c r="DR182" s="413"/>
      <c r="DS182" s="413"/>
      <c r="DT182" s="413"/>
    </row>
    <row r="183" spans="2:124" ht="5.0999999999999996" customHeight="1" x14ac:dyDescent="0.2">
      <c r="B183" s="107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W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AT183" s="108"/>
      <c r="AU183" s="108"/>
      <c r="AV183" s="108"/>
      <c r="AW183" s="108"/>
      <c r="AX183" s="108"/>
      <c r="AY183" s="108"/>
      <c r="AZ183" s="108"/>
      <c r="BA183" s="108"/>
      <c r="BB183" s="108"/>
      <c r="BC183" s="108"/>
      <c r="BD183" s="108"/>
      <c r="BE183" s="108"/>
      <c r="BF183" s="108"/>
      <c r="BG183" s="108"/>
      <c r="BH183" s="108"/>
      <c r="BI183" s="108"/>
      <c r="BJ183" s="108"/>
      <c r="BK183" s="108"/>
      <c r="BL183" s="108"/>
      <c r="BM183" s="108"/>
      <c r="BN183" s="108"/>
      <c r="BO183" s="108"/>
      <c r="BP183" s="108"/>
      <c r="BQ183" s="108"/>
      <c r="BR183" s="1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N183" s="108"/>
      <c r="CO183" s="108"/>
      <c r="CP183" s="108"/>
      <c r="CQ183" s="23" t="s">
        <v>77</v>
      </c>
      <c r="DD183" s="8"/>
      <c r="DE183" s="8"/>
      <c r="DF183" s="8"/>
      <c r="DG183" s="8"/>
      <c r="DH183" s="8"/>
      <c r="DI183" s="8"/>
      <c r="DJ183" s="8"/>
      <c r="DK183" s="8"/>
      <c r="DM183" s="413"/>
      <c r="DO183" s="413"/>
      <c r="DQ183" s="413"/>
      <c r="DR183" s="413"/>
      <c r="DS183" s="413"/>
      <c r="DT183" s="413"/>
    </row>
    <row r="184" spans="2:124" s="233" customFormat="1" outlineLevel="1" x14ac:dyDescent="0.2">
      <c r="B184" s="439" t="s">
        <v>366</v>
      </c>
      <c r="C184" s="8"/>
      <c r="D184" s="9"/>
      <c r="E184" s="9"/>
      <c r="F184" s="9"/>
      <c r="G184" s="9"/>
      <c r="H184" s="9"/>
      <c r="I184" s="9"/>
      <c r="J184" s="9"/>
      <c r="K184" s="9"/>
      <c r="L184" s="8"/>
      <c r="M184" s="8"/>
      <c r="N184" s="8"/>
      <c r="O184" s="8"/>
      <c r="P184" s="8"/>
      <c r="Q184" s="464"/>
      <c r="R184" s="8"/>
      <c r="S184" s="8"/>
      <c r="T184" s="8"/>
      <c r="U184" s="186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23" t="s">
        <v>77</v>
      </c>
      <c r="CR184" s="55"/>
      <c r="CS184" s="55"/>
      <c r="CT184" s="55"/>
      <c r="CU184"/>
      <c r="CV184"/>
      <c r="CW184"/>
      <c r="CX184"/>
      <c r="CY184"/>
      <c r="CZ184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M184" s="413"/>
      <c r="DO184" s="413"/>
      <c r="DQ184" s="413"/>
      <c r="DR184" s="413"/>
      <c r="DS184" s="413"/>
      <c r="DT184" s="413"/>
    </row>
    <row r="185" spans="2:124" s="233" customFormat="1" outlineLevel="1" x14ac:dyDescent="0.2">
      <c r="B185" s="7" t="s">
        <v>355</v>
      </c>
      <c r="C185" s="8"/>
      <c r="D185" s="52"/>
      <c r="E185" s="52"/>
      <c r="F185" s="52"/>
      <c r="G185" s="52"/>
      <c r="H185" s="52"/>
      <c r="I185" s="52"/>
      <c r="J185" s="52"/>
      <c r="K185" s="52" t="s">
        <v>78</v>
      </c>
      <c r="L185" s="52" t="s">
        <v>78</v>
      </c>
      <c r="M185" s="52" t="s">
        <v>78</v>
      </c>
      <c r="N185" s="52">
        <v>79.099999999999994</v>
      </c>
      <c r="O185" s="52">
        <v>21.3</v>
      </c>
      <c r="P185" s="52">
        <v>32.299999999999997</v>
      </c>
      <c r="Q185" s="52">
        <v>33.4</v>
      </c>
      <c r="R185" s="52">
        <v>35.1</v>
      </c>
      <c r="S185" s="52">
        <v>22.6</v>
      </c>
      <c r="T185" s="186">
        <f>65.5</f>
        <v>65.5</v>
      </c>
      <c r="U185" s="186">
        <v>136.1</v>
      </c>
      <c r="V185" s="186">
        <v>130.9</v>
      </c>
      <c r="W185" s="186">
        <v>106.1</v>
      </c>
      <c r="X185" s="618">
        <f>+'VIC&amp;SA'!V75*0.5+'VIC&amp;SA'!U75*0.5</f>
        <v>64.3</v>
      </c>
      <c r="Y185" s="618">
        <f>+'VIC&amp;SA'!W75*0.5+'VIC&amp;SA'!V75*0.5</f>
        <v>62.150000000000006</v>
      </c>
      <c r="Z185" s="618">
        <f>+'VIC&amp;SA'!X75*0.5+'VIC&amp;SA'!W75*0.5</f>
        <v>62.663987829050122</v>
      </c>
      <c r="AA185" s="618">
        <f>+'VIC&amp;SA'!Y75*0.5+'VIC&amp;SA'!X75*0.5</f>
        <v>71.584227744835601</v>
      </c>
      <c r="AB185" s="618">
        <f>+'VIC&amp;SA'!Z75*0.5+'VIC&amp;SA'!Y75*0.5</f>
        <v>77.895017026286553</v>
      </c>
      <c r="AC185" s="618">
        <f>+'VIC&amp;SA'!AA75*0.5+'VIC&amp;SA'!Z75*0.5</f>
        <v>47.726741563484779</v>
      </c>
      <c r="AD185" s="618">
        <f>+'VIC&amp;SA'!AB75*0.5+'VIC&amp;SA'!AA75*0.5</f>
        <v>18.450840273000274</v>
      </c>
      <c r="AE185" s="618">
        <f>+'VIC&amp;SA'!AC75*0.5+'VIC&amp;SA'!AB75*0.5</f>
        <v>18.711274125250597</v>
      </c>
      <c r="AF185" s="618">
        <f>+'VIC&amp;SA'!AD75*0.5+'VIC&amp;SA'!AC75*0.5</f>
        <v>18.738338655000462</v>
      </c>
      <c r="AG185" s="618">
        <f>+'VIC&amp;SA'!AE75*0.5+'VIC&amp;SA'!AD75*0.5</f>
        <v>18.765442331671352</v>
      </c>
      <c r="AH185" s="618">
        <f>+'VIC&amp;SA'!AF75*0.5+'VIC&amp;SA'!AE75*0.5</f>
        <v>18.792585211886518</v>
      </c>
      <c r="AI185" s="618">
        <f>+'VIC&amp;SA'!AG75*0.5+'VIC&amp;SA'!AF75*0.5</f>
        <v>18.819767352351104</v>
      </c>
      <c r="AJ185" s="618">
        <f>+'VIC&amp;SA'!AH75*0.5+'VIC&amp;SA'!AG75*0.5</f>
        <v>18.84698880985227</v>
      </c>
      <c r="AK185" s="618">
        <f>+'VIC&amp;SA'!AI75*0.5+'VIC&amp;SA'!AH75*0.5</f>
        <v>18.874249641259322</v>
      </c>
      <c r="AL185" s="618">
        <f>+'VIC&amp;SA'!AJ75*0.5+'VIC&amp;SA'!AI75*0.5</f>
        <v>18.901549903523815</v>
      </c>
      <c r="AM185" s="618">
        <f>+'VIC&amp;SA'!AK75*0.5+'VIC&amp;SA'!AJ75*0.5</f>
        <v>18.92888965367969</v>
      </c>
      <c r="AN185" s="618">
        <f>+'VIC&amp;SA'!AL75*0.5+'VIC&amp;SA'!AK75*0.5</f>
        <v>18.95626894884337</v>
      </c>
      <c r="AO185" s="618">
        <f>+'VIC&amp;SA'!AM75*0.5+'VIC&amp;SA'!AL75*0.5</f>
        <v>18.983687846213911</v>
      </c>
      <c r="AP185" s="618">
        <f>+'VIC&amp;SA'!AN75*0.5+'VIC&amp;SA'!AM75*0.5</f>
        <v>19.011146403073091</v>
      </c>
      <c r="AQ185" s="618">
        <f>+'VIC&amp;SA'!AO75*0.5+'VIC&amp;SA'!AN75*0.5</f>
        <v>19.038644676785548</v>
      </c>
      <c r="AR185" s="618">
        <f>+'VIC&amp;SA'!AP75*0.5+'VIC&amp;SA'!AO75*0.5</f>
        <v>19.066182724798885</v>
      </c>
      <c r="AS185" s="618">
        <f>+'VIC&amp;SA'!AQ75*0.5+'VIC&amp;SA'!AP75*0.5</f>
        <v>19.093760604643812</v>
      </c>
      <c r="AT185" s="618">
        <f>+'VIC&amp;SA'!AR75*0.5+'VIC&amp;SA'!AQ75*0.5</f>
        <v>19.121378373934242</v>
      </c>
      <c r="AU185" s="618">
        <f>+'VIC&amp;SA'!AS75*0.5+'VIC&amp;SA'!AR75*0.5</f>
        <v>19.149036090367424</v>
      </c>
      <c r="AV185" s="618">
        <f>+'VIC&amp;SA'!AT75*0.5+'VIC&amp;SA'!AS75*0.5</f>
        <v>19.176733811724066</v>
      </c>
      <c r="AW185" s="618">
        <f>+'VIC&amp;SA'!AU75*0.5+'VIC&amp;SA'!AT75*0.5</f>
        <v>19.204471595868448</v>
      </c>
      <c r="AX185" s="618">
        <f>+'VIC&amp;SA'!AV75*0.5+'VIC&amp;SA'!AU75*0.5</f>
        <v>19.232249500748551</v>
      </c>
      <c r="AY185" s="618">
        <f>+'VIC&amp;SA'!AW75*0.5+'VIC&amp;SA'!AV75*0.5</f>
        <v>19.260067584396175</v>
      </c>
      <c r="AZ185" s="618">
        <f>+'VIC&amp;SA'!AX75*0.5+'VIC&amp;SA'!AW75*0.5</f>
        <v>19.287925904927043</v>
      </c>
      <c r="BA185" s="618">
        <f>+'VIC&amp;SA'!AY75*0.5+'VIC&amp;SA'!AX75*0.5</f>
        <v>19.315824520540957</v>
      </c>
      <c r="BB185" s="618">
        <f>+'VIC&amp;SA'!AZ75*0.5+'VIC&amp;SA'!AY75*0.5</f>
        <v>19.343763489521898</v>
      </c>
      <c r="BC185" s="618">
        <f>+'VIC&amp;SA'!BA75*0.5+'VIC&amp;SA'!AZ75*0.5</f>
        <v>19.371742870238148</v>
      </c>
      <c r="BD185" s="618">
        <f>+'VIC&amp;SA'!BB75*0.5+'VIC&amp;SA'!BA75*0.5</f>
        <v>19.399762721142405</v>
      </c>
      <c r="BE185" s="618">
        <f>+'VIC&amp;SA'!BC75*0.5+'VIC&amp;SA'!BB75*0.5</f>
        <v>19.427823100771931</v>
      </c>
      <c r="BF185" s="618">
        <f>+'VIC&amp;SA'!BD75*0.5+'VIC&amp;SA'!BC75*0.5</f>
        <v>19.455924067748644</v>
      </c>
      <c r="BG185" s="618">
        <f>+'VIC&amp;SA'!BE75*0.5+'VIC&amp;SA'!BD75*0.5</f>
        <v>19.484065680779263</v>
      </c>
      <c r="BH185" s="618">
        <f>+'VIC&amp;SA'!BF75*0.5+'VIC&amp;SA'!BE75*0.5</f>
        <v>19.512247998655418</v>
      </c>
      <c r="BI185" s="618">
        <f>+'VIC&amp;SA'!BG75*0.5+'VIC&amp;SA'!BF75*0.5</f>
        <v>19.540471080253781</v>
      </c>
      <c r="BJ185" s="618">
        <f>+'VIC&amp;SA'!BH75*0.5+'VIC&amp;SA'!BG75*0.5</f>
        <v>19.568734984536185</v>
      </c>
      <c r="BK185" s="618">
        <f>+'VIC&amp;SA'!BI75*0.5+'VIC&amp;SA'!BH75*0.5</f>
        <v>19.597039770549742</v>
      </c>
      <c r="BL185" s="618">
        <f>+'VIC&amp;SA'!BJ75*0.5+'VIC&amp;SA'!BI75*0.5</f>
        <v>19.625385497426969</v>
      </c>
      <c r="BM185" s="618">
        <f>+'VIC&amp;SA'!BK75*0.5+'VIC&amp;SA'!BJ75*0.5</f>
        <v>19.653772224385921</v>
      </c>
      <c r="BN185" s="618">
        <f>+'VIC&amp;SA'!BL75*0.5+'VIC&amp;SA'!BK75*0.5</f>
        <v>19.682200010730313</v>
      </c>
      <c r="BO185" s="618">
        <f>+'VIC&amp;SA'!BM75*0.5+'VIC&amp;SA'!BL75*0.5</f>
        <v>19.710668915849624</v>
      </c>
      <c r="BP185" s="618">
        <f>+'VIC&amp;SA'!BN75*0.5+'VIC&amp;SA'!BM75*0.5</f>
        <v>19.739178999219241</v>
      </c>
      <c r="BQ185" s="618">
        <f>+'VIC&amp;SA'!BO75*0.5+'VIC&amp;SA'!BN75*0.5</f>
        <v>19.767730320400588</v>
      </c>
      <c r="BR185" s="618">
        <f>+'VIC&amp;SA'!BP75*0.5+'VIC&amp;SA'!BO75*0.5</f>
        <v>19.796322939041225</v>
      </c>
      <c r="BS185" s="618">
        <f>+'VIC&amp;SA'!BQ75*0.5+'VIC&amp;SA'!BP75*0.5</f>
        <v>19.824956914874999</v>
      </c>
      <c r="BT185" s="618">
        <f>+'VIC&amp;SA'!BR75*0.5+'VIC&amp;SA'!BQ75*0.5</f>
        <v>19.853632307722155</v>
      </c>
      <c r="BU185" s="618">
        <f>+'VIC&amp;SA'!BS75*0.5+'VIC&amp;SA'!BR75*0.5</f>
        <v>19.882349177489459</v>
      </c>
      <c r="BV185" s="618">
        <f>+'VIC&amp;SA'!BT75*0.5+'VIC&amp;SA'!BS75*0.5</f>
        <v>19.911107584170335</v>
      </c>
      <c r="BW185" s="618">
        <f>+'VIC&amp;SA'!BU75*0.5+'VIC&amp;SA'!BT75*0.5</f>
        <v>19.939907587844978</v>
      </c>
      <c r="BX185" s="618">
        <f>+'VIC&amp;SA'!BV75*0.5+'VIC&amp;SA'!BU75*0.5</f>
        <v>19.968749248680489</v>
      </c>
      <c r="BY185" s="618">
        <f>+'VIC&amp;SA'!BW75*0.5+'VIC&amp;SA'!BV75*0.5</f>
        <v>19.997632626930994</v>
      </c>
      <c r="BZ185" s="618">
        <f>+'VIC&amp;SA'!BX75*0.5+'VIC&amp;SA'!BW75*0.5</f>
        <v>20.026557782937768</v>
      </c>
      <c r="CA185" s="618">
        <f>+'VIC&amp;SA'!BY75*0.5+'VIC&amp;SA'!BX75*0.5</f>
        <v>20.055524777129371</v>
      </c>
      <c r="CB185" s="618">
        <f>+'VIC&amp;SA'!BZ75*0.5+'VIC&amp;SA'!BY75*0.5</f>
        <v>20.08453367002177</v>
      </c>
      <c r="CC185" s="618">
        <f>+'VIC&amp;SA'!CA75*0.5+'VIC&amp;SA'!BZ75*0.5</f>
        <v>20.113584522218463</v>
      </c>
      <c r="CD185" s="618">
        <f>+'VIC&amp;SA'!CB75*0.5+'VIC&amp;SA'!CA75*0.5</f>
        <v>20.142677394410605</v>
      </c>
      <c r="CE185" s="618">
        <f>+'VIC&amp;SA'!CC75*0.5+'VIC&amp;SA'!CB75*0.5</f>
        <v>20.171812347377127</v>
      </c>
      <c r="CF185" s="618">
        <f>+'VIC&amp;SA'!CD75*0.5+'VIC&amp;SA'!CC75*0.5</f>
        <v>20.200989441984888</v>
      </c>
      <c r="CG185" s="618">
        <f>+'VIC&amp;SA'!CE75*0.5+'VIC&amp;SA'!CD75*0.5</f>
        <v>20.230208739188782</v>
      </c>
      <c r="CH185" s="618">
        <f>+'VIC&amp;SA'!CF75*0.5+'VIC&amp;SA'!CE75*0.5</f>
        <v>20.259470300031872</v>
      </c>
      <c r="CI185" s="618">
        <f>+'VIC&amp;SA'!CG75*0.5+'VIC&amp;SA'!CF75*0.5</f>
        <v>20.288774185645501</v>
      </c>
      <c r="CJ185" s="618">
        <f>+'VIC&amp;SA'!CH75*0.5+'VIC&amp;SA'!CG75*0.5</f>
        <v>20.318120457249456</v>
      </c>
      <c r="CK185" s="618">
        <f>+'VIC&amp;SA'!CI75*0.5+'VIC&amp;SA'!CH75*0.5</f>
        <v>20.347509176152059</v>
      </c>
      <c r="CL185" s="618">
        <f>+'VIC&amp;SA'!CJ75*0.5+'VIC&amp;SA'!CI75*0.5</f>
        <v>20.376940403750314</v>
      </c>
      <c r="CM185" s="618">
        <f>+'VIC&amp;SA'!CK75*0.5+'VIC&amp;SA'!CJ75*0.5</f>
        <v>20.40641420153003</v>
      </c>
      <c r="CN185" s="618">
        <f>+'VIC&amp;SA'!CL75*0.5+'VIC&amp;SA'!CK75*0.5</f>
        <v>20.435930631065951</v>
      </c>
      <c r="CO185" s="618">
        <f>+'VIC&amp;SA'!CM75*0.5+'VIC&amp;SA'!CL75*0.5</f>
        <v>20.465489754021892</v>
      </c>
      <c r="CP185" s="618">
        <f>+'VIC&amp;SA'!CN75*0.5+'VIC&amp;SA'!CM75*0.5</f>
        <v>20.495091632150853</v>
      </c>
      <c r="CQ185" s="23" t="s">
        <v>77</v>
      </c>
      <c r="CR185" s="8"/>
      <c r="CS185" s="8"/>
      <c r="CT185" s="8"/>
      <c r="CU185"/>
      <c r="CV185"/>
      <c r="CW185"/>
      <c r="CX185"/>
      <c r="CY185"/>
      <c r="CZ185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M185" s="413"/>
      <c r="DO185" s="413"/>
      <c r="DQ185" s="413"/>
      <c r="DR185" s="413"/>
      <c r="DS185" s="413"/>
      <c r="DT185" s="413"/>
    </row>
    <row r="186" spans="2:124" s="233" customFormat="1" outlineLevel="1" x14ac:dyDescent="0.2">
      <c r="B186" s="7" t="s">
        <v>369</v>
      </c>
      <c r="C186" s="8"/>
      <c r="D186" s="52"/>
      <c r="E186" s="52"/>
      <c r="F186" s="52"/>
      <c r="G186" s="52"/>
      <c r="H186" s="52"/>
      <c r="I186" s="52"/>
      <c r="J186" s="52"/>
      <c r="K186" s="52" t="s">
        <v>78</v>
      </c>
      <c r="L186" s="52" t="s">
        <v>78</v>
      </c>
      <c r="M186" s="52" t="s">
        <v>78</v>
      </c>
      <c r="N186" s="52">
        <v>15.9</v>
      </c>
      <c r="O186" s="52">
        <v>18.8</v>
      </c>
      <c r="P186" s="52">
        <v>21.2</v>
      </c>
      <c r="Q186" s="52">
        <v>16.100000000000001</v>
      </c>
      <c r="R186" s="52">
        <v>8.4</v>
      </c>
      <c r="S186" s="52">
        <v>0</v>
      </c>
      <c r="T186" s="186">
        <v>0</v>
      </c>
      <c r="U186" s="186">
        <v>0</v>
      </c>
      <c r="V186" s="186">
        <v>0</v>
      </c>
      <c r="W186" s="186">
        <v>0</v>
      </c>
      <c r="X186" s="158">
        <v>0</v>
      </c>
      <c r="Y186" s="158">
        <v>0</v>
      </c>
      <c r="Z186" s="158">
        <v>0</v>
      </c>
      <c r="AA186" s="158">
        <v>0</v>
      </c>
      <c r="AB186" s="158">
        <v>0</v>
      </c>
      <c r="AC186" s="158">
        <v>0</v>
      </c>
      <c r="AD186" s="158">
        <v>0</v>
      </c>
      <c r="AE186" s="158">
        <v>0</v>
      </c>
      <c r="AF186" s="158">
        <v>0</v>
      </c>
      <c r="AG186" s="158">
        <v>0</v>
      </c>
      <c r="AH186" s="158">
        <v>0</v>
      </c>
      <c r="AI186" s="158">
        <v>0</v>
      </c>
      <c r="AJ186" s="158">
        <v>0</v>
      </c>
      <c r="AK186" s="158">
        <v>0</v>
      </c>
      <c r="AL186" s="158">
        <v>0</v>
      </c>
      <c r="AM186" s="158">
        <v>0</v>
      </c>
      <c r="AN186" s="158">
        <v>0</v>
      </c>
      <c r="AO186" s="158">
        <v>0</v>
      </c>
      <c r="AP186" s="158">
        <v>0</v>
      </c>
      <c r="AQ186" s="158">
        <v>0</v>
      </c>
      <c r="AR186" s="158">
        <v>0</v>
      </c>
      <c r="AS186" s="158">
        <v>0</v>
      </c>
      <c r="AT186" s="158">
        <v>0</v>
      </c>
      <c r="AU186" s="158">
        <v>0</v>
      </c>
      <c r="AV186" s="158">
        <v>0</v>
      </c>
      <c r="AW186" s="158">
        <v>0</v>
      </c>
      <c r="AX186" s="158">
        <v>0</v>
      </c>
      <c r="AY186" s="158">
        <v>0</v>
      </c>
      <c r="AZ186" s="158">
        <v>0</v>
      </c>
      <c r="BA186" s="158">
        <v>0</v>
      </c>
      <c r="BB186" s="158">
        <v>0</v>
      </c>
      <c r="BC186" s="158">
        <v>0</v>
      </c>
      <c r="BD186" s="158">
        <v>0</v>
      </c>
      <c r="BE186" s="158">
        <v>0</v>
      </c>
      <c r="BF186" s="158">
        <v>0</v>
      </c>
      <c r="BG186" s="158">
        <v>0</v>
      </c>
      <c r="BH186" s="158">
        <v>0</v>
      </c>
      <c r="BI186" s="158">
        <v>0</v>
      </c>
      <c r="BJ186" s="158">
        <v>0</v>
      </c>
      <c r="BK186" s="158">
        <v>0</v>
      </c>
      <c r="BL186" s="158">
        <v>0</v>
      </c>
      <c r="BM186" s="158">
        <v>0</v>
      </c>
      <c r="BN186" s="158">
        <v>0</v>
      </c>
      <c r="BO186" s="158">
        <v>0</v>
      </c>
      <c r="BP186" s="158">
        <v>0</v>
      </c>
      <c r="BQ186" s="158">
        <v>0</v>
      </c>
      <c r="BR186" s="158">
        <v>0</v>
      </c>
      <c r="BS186" s="158">
        <v>0</v>
      </c>
      <c r="BT186" s="158">
        <v>0</v>
      </c>
      <c r="BU186" s="158">
        <v>0</v>
      </c>
      <c r="BV186" s="158">
        <v>0</v>
      </c>
      <c r="BW186" s="158">
        <v>0</v>
      </c>
      <c r="BX186" s="158">
        <v>0</v>
      </c>
      <c r="BY186" s="158">
        <v>0</v>
      </c>
      <c r="BZ186" s="158">
        <v>0</v>
      </c>
      <c r="CA186" s="158">
        <v>0</v>
      </c>
      <c r="CB186" s="158">
        <v>0</v>
      </c>
      <c r="CC186" s="158">
        <v>0</v>
      </c>
      <c r="CD186" s="158">
        <v>0</v>
      </c>
      <c r="CE186" s="158">
        <v>0</v>
      </c>
      <c r="CF186" s="158">
        <v>0</v>
      </c>
      <c r="CG186" s="158">
        <v>0</v>
      </c>
      <c r="CH186" s="158">
        <v>0</v>
      </c>
      <c r="CI186" s="158">
        <v>0</v>
      </c>
      <c r="CJ186" s="158">
        <v>0</v>
      </c>
      <c r="CK186" s="158">
        <v>0</v>
      </c>
      <c r="CL186" s="158">
        <v>0</v>
      </c>
      <c r="CM186" s="158">
        <v>0</v>
      </c>
      <c r="CN186" s="158">
        <v>0</v>
      </c>
      <c r="CO186" s="158">
        <v>0</v>
      </c>
      <c r="CP186" s="158">
        <v>0</v>
      </c>
      <c r="CQ186" s="23" t="s">
        <v>77</v>
      </c>
      <c r="CR186" s="8"/>
      <c r="CS186" s="8"/>
      <c r="CT186" s="8"/>
      <c r="CU186"/>
      <c r="CV186"/>
      <c r="CW186"/>
      <c r="CX186"/>
      <c r="CY186"/>
      <c r="CZ186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M186" s="413"/>
      <c r="DO186" s="413"/>
      <c r="DQ186" s="413"/>
      <c r="DR186" s="413"/>
      <c r="DS186" s="413"/>
      <c r="DT186" s="413"/>
    </row>
    <row r="187" spans="2:124" s="233" customFormat="1" outlineLevel="1" x14ac:dyDescent="0.2">
      <c r="B187" s="439" t="s">
        <v>367</v>
      </c>
      <c r="C187" s="8"/>
      <c r="D187" s="52"/>
      <c r="E187" s="52"/>
      <c r="F187" s="52"/>
      <c r="G187" s="52"/>
      <c r="H187" s="52"/>
      <c r="I187" s="52"/>
      <c r="J187" s="52"/>
      <c r="K187" s="52"/>
      <c r="L187" s="55"/>
      <c r="M187" s="55"/>
      <c r="N187" s="55"/>
      <c r="O187" s="55"/>
      <c r="P187" s="55"/>
      <c r="Q187" s="55"/>
      <c r="R187" s="55"/>
      <c r="S187" s="55"/>
      <c r="T187" s="55"/>
      <c r="U187" s="186"/>
      <c r="V187" s="186"/>
      <c r="W187" s="186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23" t="s">
        <v>77</v>
      </c>
      <c r="CR187" s="8"/>
      <c r="CS187" s="8"/>
      <c r="CT187" s="8"/>
      <c r="CU187"/>
      <c r="CV187"/>
      <c r="CW187"/>
      <c r="CX187"/>
      <c r="CY187"/>
      <c r="CZ187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M187" s="413"/>
      <c r="DO187" s="413"/>
      <c r="DQ187" s="413"/>
      <c r="DR187" s="413"/>
      <c r="DS187" s="413"/>
      <c r="DT187" s="413"/>
    </row>
    <row r="188" spans="2:124" s="233" customFormat="1" outlineLevel="1" x14ac:dyDescent="0.2">
      <c r="B188" s="7" t="s">
        <v>301</v>
      </c>
      <c r="C188" s="8"/>
      <c r="D188" s="52"/>
      <c r="E188" s="52"/>
      <c r="F188" s="52"/>
      <c r="G188" s="52"/>
      <c r="H188" s="52"/>
      <c r="I188" s="52"/>
      <c r="J188" s="477">
        <f>9.75-9.37</f>
        <v>0.38000000000000078</v>
      </c>
      <c r="K188" s="52" t="s">
        <v>78</v>
      </c>
      <c r="L188" s="52" t="s">
        <v>78</v>
      </c>
      <c r="M188" s="52" t="s">
        <v>78</v>
      </c>
      <c r="N188" s="52">
        <v>4.0999999999999996</v>
      </c>
      <c r="O188" s="52">
        <v>28.8</v>
      </c>
      <c r="P188" s="52">
        <v>11.6</v>
      </c>
      <c r="Q188" s="52">
        <v>19.600000000000001</v>
      </c>
      <c r="R188" s="52">
        <v>35.700000000000003</v>
      </c>
      <c r="S188" s="52">
        <v>80.8</v>
      </c>
      <c r="T188" s="186">
        <v>206.6</v>
      </c>
      <c r="U188" s="186">
        <v>104.4</v>
      </c>
      <c r="V188" s="186">
        <v>14</v>
      </c>
      <c r="W188" s="186">
        <v>78.3</v>
      </c>
      <c r="X188" s="158">
        <v>80</v>
      </c>
      <c r="Y188" s="158">
        <v>0</v>
      </c>
      <c r="Z188" s="158">
        <v>0</v>
      </c>
      <c r="AA188" s="158">
        <v>0</v>
      </c>
      <c r="AB188" s="158">
        <v>0</v>
      </c>
      <c r="AC188" s="158">
        <v>0</v>
      </c>
      <c r="AD188" s="158">
        <v>0</v>
      </c>
      <c r="AE188" s="158">
        <f t="shared" ref="AE188:BD188" si="496">+AD188*(1-8%)</f>
        <v>0</v>
      </c>
      <c r="AF188" s="158">
        <f t="shared" si="496"/>
        <v>0</v>
      </c>
      <c r="AG188" s="158">
        <f t="shared" si="496"/>
        <v>0</v>
      </c>
      <c r="AH188" s="158">
        <f t="shared" si="496"/>
        <v>0</v>
      </c>
      <c r="AI188" s="158">
        <f t="shared" si="496"/>
        <v>0</v>
      </c>
      <c r="AJ188" s="158">
        <f t="shared" si="496"/>
        <v>0</v>
      </c>
      <c r="AK188" s="158">
        <f t="shared" si="496"/>
        <v>0</v>
      </c>
      <c r="AL188" s="158">
        <f t="shared" si="496"/>
        <v>0</v>
      </c>
      <c r="AM188" s="158">
        <f t="shared" si="496"/>
        <v>0</v>
      </c>
      <c r="AN188" s="158">
        <f t="shared" si="496"/>
        <v>0</v>
      </c>
      <c r="AO188" s="158">
        <f t="shared" si="496"/>
        <v>0</v>
      </c>
      <c r="AP188" s="158">
        <f t="shared" si="496"/>
        <v>0</v>
      </c>
      <c r="AQ188" s="158">
        <f t="shared" si="496"/>
        <v>0</v>
      </c>
      <c r="AR188" s="158">
        <f t="shared" si="496"/>
        <v>0</v>
      </c>
      <c r="AS188" s="158">
        <f t="shared" si="496"/>
        <v>0</v>
      </c>
      <c r="AT188" s="158">
        <f t="shared" si="496"/>
        <v>0</v>
      </c>
      <c r="AU188" s="158">
        <f t="shared" si="496"/>
        <v>0</v>
      </c>
      <c r="AV188" s="158">
        <f t="shared" si="496"/>
        <v>0</v>
      </c>
      <c r="AW188" s="158">
        <f t="shared" si="496"/>
        <v>0</v>
      </c>
      <c r="AX188" s="158">
        <f t="shared" si="496"/>
        <v>0</v>
      </c>
      <c r="AY188" s="158">
        <f t="shared" si="496"/>
        <v>0</v>
      </c>
      <c r="AZ188" s="158">
        <f t="shared" si="496"/>
        <v>0</v>
      </c>
      <c r="BA188" s="158">
        <f t="shared" si="496"/>
        <v>0</v>
      </c>
      <c r="BB188" s="158">
        <f t="shared" si="496"/>
        <v>0</v>
      </c>
      <c r="BC188" s="158">
        <f t="shared" si="496"/>
        <v>0</v>
      </c>
      <c r="BD188" s="158">
        <f t="shared" si="496"/>
        <v>0</v>
      </c>
      <c r="BE188" s="158">
        <f t="shared" ref="BE188:CP188" si="497">+BD188*(1-8%)</f>
        <v>0</v>
      </c>
      <c r="BF188" s="158">
        <f t="shared" si="497"/>
        <v>0</v>
      </c>
      <c r="BG188" s="158">
        <f t="shared" si="497"/>
        <v>0</v>
      </c>
      <c r="BH188" s="158">
        <f t="shared" si="497"/>
        <v>0</v>
      </c>
      <c r="BI188" s="158">
        <f t="shared" si="497"/>
        <v>0</v>
      </c>
      <c r="BJ188" s="158">
        <f t="shared" si="497"/>
        <v>0</v>
      </c>
      <c r="BK188" s="158">
        <f t="shared" si="497"/>
        <v>0</v>
      </c>
      <c r="BL188" s="158">
        <f t="shared" si="497"/>
        <v>0</v>
      </c>
      <c r="BM188" s="158">
        <f t="shared" si="497"/>
        <v>0</v>
      </c>
      <c r="BN188" s="158">
        <f t="shared" si="497"/>
        <v>0</v>
      </c>
      <c r="BO188" s="158">
        <f t="shared" si="497"/>
        <v>0</v>
      </c>
      <c r="BP188" s="158">
        <f t="shared" si="497"/>
        <v>0</v>
      </c>
      <c r="BQ188" s="158">
        <f t="shared" si="497"/>
        <v>0</v>
      </c>
      <c r="BR188" s="158">
        <f t="shared" si="497"/>
        <v>0</v>
      </c>
      <c r="BS188" s="158">
        <f t="shared" si="497"/>
        <v>0</v>
      </c>
      <c r="BT188" s="158">
        <f t="shared" si="497"/>
        <v>0</v>
      </c>
      <c r="BU188" s="158">
        <f t="shared" si="497"/>
        <v>0</v>
      </c>
      <c r="BV188" s="158">
        <f t="shared" si="497"/>
        <v>0</v>
      </c>
      <c r="BW188" s="158">
        <f t="shared" si="497"/>
        <v>0</v>
      </c>
      <c r="BX188" s="158">
        <f t="shared" si="497"/>
        <v>0</v>
      </c>
      <c r="BY188" s="158">
        <f t="shared" si="497"/>
        <v>0</v>
      </c>
      <c r="BZ188" s="158">
        <f t="shared" si="497"/>
        <v>0</v>
      </c>
      <c r="CA188" s="158">
        <f t="shared" si="497"/>
        <v>0</v>
      </c>
      <c r="CB188" s="158">
        <f t="shared" si="497"/>
        <v>0</v>
      </c>
      <c r="CC188" s="158">
        <f t="shared" si="497"/>
        <v>0</v>
      </c>
      <c r="CD188" s="158">
        <f t="shared" si="497"/>
        <v>0</v>
      </c>
      <c r="CE188" s="158">
        <f t="shared" si="497"/>
        <v>0</v>
      </c>
      <c r="CF188" s="158">
        <f t="shared" si="497"/>
        <v>0</v>
      </c>
      <c r="CG188" s="158">
        <f t="shared" si="497"/>
        <v>0</v>
      </c>
      <c r="CH188" s="158">
        <f t="shared" si="497"/>
        <v>0</v>
      </c>
      <c r="CI188" s="158">
        <f t="shared" si="497"/>
        <v>0</v>
      </c>
      <c r="CJ188" s="158">
        <f t="shared" si="497"/>
        <v>0</v>
      </c>
      <c r="CK188" s="158">
        <f t="shared" si="497"/>
        <v>0</v>
      </c>
      <c r="CL188" s="158">
        <f t="shared" si="497"/>
        <v>0</v>
      </c>
      <c r="CM188" s="158">
        <f t="shared" si="497"/>
        <v>0</v>
      </c>
      <c r="CN188" s="158">
        <f t="shared" si="497"/>
        <v>0</v>
      </c>
      <c r="CO188" s="158">
        <f t="shared" si="497"/>
        <v>0</v>
      </c>
      <c r="CP188" s="158">
        <f t="shared" si="497"/>
        <v>0</v>
      </c>
      <c r="CQ188" s="23" t="s">
        <v>77</v>
      </c>
      <c r="CR188" s="8"/>
      <c r="CS188" s="8"/>
      <c r="CT188" s="8"/>
      <c r="CU188"/>
      <c r="CV188"/>
      <c r="CW188"/>
      <c r="CX188"/>
      <c r="CY188"/>
      <c r="CZ18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M188" s="413"/>
      <c r="DO188" s="413"/>
      <c r="DQ188" s="413"/>
      <c r="DR188" s="413"/>
      <c r="DS188" s="413"/>
      <c r="DT188" s="413"/>
    </row>
    <row r="189" spans="2:124" s="233" customFormat="1" outlineLevel="1" x14ac:dyDescent="0.2">
      <c r="B189" s="7" t="s">
        <v>302</v>
      </c>
      <c r="C189" s="8"/>
      <c r="D189" s="52"/>
      <c r="E189" s="52"/>
      <c r="F189" s="52"/>
      <c r="G189" s="52"/>
      <c r="H189" s="52"/>
      <c r="I189" s="52"/>
      <c r="J189" s="52"/>
      <c r="K189" s="52" t="s">
        <v>78</v>
      </c>
      <c r="L189" s="52" t="s">
        <v>78</v>
      </c>
      <c r="M189" s="52" t="s">
        <v>78</v>
      </c>
      <c r="N189" s="52">
        <v>40.299999999999997</v>
      </c>
      <c r="O189" s="52">
        <v>12.4</v>
      </c>
      <c r="P189" s="52">
        <v>31.1</v>
      </c>
      <c r="Q189" s="52">
        <v>34.299999999999997</v>
      </c>
      <c r="R189" s="52">
        <v>18.899999999999999</v>
      </c>
      <c r="S189" s="52">
        <v>24.1</v>
      </c>
      <c r="T189" s="186">
        <v>13.2</v>
      </c>
      <c r="U189" s="186">
        <v>12.1</v>
      </c>
      <c r="V189" s="186">
        <v>4.8</v>
      </c>
      <c r="W189" s="186">
        <v>0.4</v>
      </c>
      <c r="X189" s="158">
        <v>0</v>
      </c>
      <c r="Y189" s="158">
        <v>0</v>
      </c>
      <c r="Z189" s="158">
        <v>0</v>
      </c>
      <c r="AA189" s="158">
        <v>0</v>
      </c>
      <c r="AB189" s="158">
        <v>0</v>
      </c>
      <c r="AC189" s="158">
        <f>+AB189*(1-3%)</f>
        <v>0</v>
      </c>
      <c r="AD189" s="158">
        <f>+AC189*(1-3%)</f>
        <v>0</v>
      </c>
      <c r="AE189" s="158">
        <f>+AD189*(1-3%)</f>
        <v>0</v>
      </c>
      <c r="AF189" s="158">
        <f>+AE189*(1-3%)</f>
        <v>0</v>
      </c>
      <c r="AG189" s="158">
        <f t="shared" ref="AG189:BD189" si="498">+AF189*(1-3%)</f>
        <v>0</v>
      </c>
      <c r="AH189" s="158">
        <f t="shared" si="498"/>
        <v>0</v>
      </c>
      <c r="AI189" s="158">
        <f t="shared" si="498"/>
        <v>0</v>
      </c>
      <c r="AJ189" s="158">
        <f t="shared" si="498"/>
        <v>0</v>
      </c>
      <c r="AK189" s="158">
        <f t="shared" si="498"/>
        <v>0</v>
      </c>
      <c r="AL189" s="158">
        <f t="shared" si="498"/>
        <v>0</v>
      </c>
      <c r="AM189" s="158">
        <f t="shared" si="498"/>
        <v>0</v>
      </c>
      <c r="AN189" s="158">
        <f t="shared" si="498"/>
        <v>0</v>
      </c>
      <c r="AO189" s="158">
        <f t="shared" si="498"/>
        <v>0</v>
      </c>
      <c r="AP189" s="158">
        <f t="shared" si="498"/>
        <v>0</v>
      </c>
      <c r="AQ189" s="158">
        <f t="shared" si="498"/>
        <v>0</v>
      </c>
      <c r="AR189" s="158">
        <f t="shared" si="498"/>
        <v>0</v>
      </c>
      <c r="AS189" s="158">
        <f t="shared" si="498"/>
        <v>0</v>
      </c>
      <c r="AT189" s="158">
        <f t="shared" si="498"/>
        <v>0</v>
      </c>
      <c r="AU189" s="158">
        <f t="shared" si="498"/>
        <v>0</v>
      </c>
      <c r="AV189" s="158">
        <f t="shared" si="498"/>
        <v>0</v>
      </c>
      <c r="AW189" s="158">
        <f t="shared" si="498"/>
        <v>0</v>
      </c>
      <c r="AX189" s="158">
        <f t="shared" si="498"/>
        <v>0</v>
      </c>
      <c r="AY189" s="158">
        <f t="shared" si="498"/>
        <v>0</v>
      </c>
      <c r="AZ189" s="158">
        <f t="shared" si="498"/>
        <v>0</v>
      </c>
      <c r="BA189" s="158">
        <f t="shared" si="498"/>
        <v>0</v>
      </c>
      <c r="BB189" s="158">
        <f t="shared" si="498"/>
        <v>0</v>
      </c>
      <c r="BC189" s="158">
        <f t="shared" si="498"/>
        <v>0</v>
      </c>
      <c r="BD189" s="158">
        <f t="shared" si="498"/>
        <v>0</v>
      </c>
      <c r="BE189" s="158">
        <f t="shared" ref="BE189:CP189" si="499">+BD189*(1-3%)</f>
        <v>0</v>
      </c>
      <c r="BF189" s="158">
        <f t="shared" si="499"/>
        <v>0</v>
      </c>
      <c r="BG189" s="158">
        <f t="shared" si="499"/>
        <v>0</v>
      </c>
      <c r="BH189" s="158">
        <f t="shared" si="499"/>
        <v>0</v>
      </c>
      <c r="BI189" s="158">
        <f t="shared" si="499"/>
        <v>0</v>
      </c>
      <c r="BJ189" s="158">
        <f t="shared" si="499"/>
        <v>0</v>
      </c>
      <c r="BK189" s="158">
        <f t="shared" si="499"/>
        <v>0</v>
      </c>
      <c r="BL189" s="158">
        <f t="shared" si="499"/>
        <v>0</v>
      </c>
      <c r="BM189" s="158">
        <f t="shared" si="499"/>
        <v>0</v>
      </c>
      <c r="BN189" s="158">
        <f t="shared" si="499"/>
        <v>0</v>
      </c>
      <c r="BO189" s="158">
        <f t="shared" si="499"/>
        <v>0</v>
      </c>
      <c r="BP189" s="158">
        <f t="shared" si="499"/>
        <v>0</v>
      </c>
      <c r="BQ189" s="158">
        <f t="shared" si="499"/>
        <v>0</v>
      </c>
      <c r="BR189" s="158">
        <f t="shared" si="499"/>
        <v>0</v>
      </c>
      <c r="BS189" s="158">
        <f t="shared" si="499"/>
        <v>0</v>
      </c>
      <c r="BT189" s="158">
        <f t="shared" si="499"/>
        <v>0</v>
      </c>
      <c r="BU189" s="158">
        <f t="shared" si="499"/>
        <v>0</v>
      </c>
      <c r="BV189" s="158">
        <f t="shared" si="499"/>
        <v>0</v>
      </c>
      <c r="BW189" s="158">
        <f t="shared" si="499"/>
        <v>0</v>
      </c>
      <c r="BX189" s="158">
        <f t="shared" si="499"/>
        <v>0</v>
      </c>
      <c r="BY189" s="158">
        <f t="shared" si="499"/>
        <v>0</v>
      </c>
      <c r="BZ189" s="158">
        <f t="shared" si="499"/>
        <v>0</v>
      </c>
      <c r="CA189" s="158">
        <f t="shared" si="499"/>
        <v>0</v>
      </c>
      <c r="CB189" s="158">
        <f t="shared" si="499"/>
        <v>0</v>
      </c>
      <c r="CC189" s="158">
        <f t="shared" si="499"/>
        <v>0</v>
      </c>
      <c r="CD189" s="158">
        <f t="shared" si="499"/>
        <v>0</v>
      </c>
      <c r="CE189" s="158">
        <f t="shared" si="499"/>
        <v>0</v>
      </c>
      <c r="CF189" s="158">
        <f t="shared" si="499"/>
        <v>0</v>
      </c>
      <c r="CG189" s="158">
        <f t="shared" si="499"/>
        <v>0</v>
      </c>
      <c r="CH189" s="158">
        <f t="shared" si="499"/>
        <v>0</v>
      </c>
      <c r="CI189" s="158">
        <f t="shared" si="499"/>
        <v>0</v>
      </c>
      <c r="CJ189" s="158">
        <f t="shared" si="499"/>
        <v>0</v>
      </c>
      <c r="CK189" s="158">
        <f t="shared" si="499"/>
        <v>0</v>
      </c>
      <c r="CL189" s="158">
        <f t="shared" si="499"/>
        <v>0</v>
      </c>
      <c r="CM189" s="158">
        <f t="shared" si="499"/>
        <v>0</v>
      </c>
      <c r="CN189" s="158">
        <f t="shared" si="499"/>
        <v>0</v>
      </c>
      <c r="CO189" s="158">
        <f t="shared" si="499"/>
        <v>0</v>
      </c>
      <c r="CP189" s="158">
        <f t="shared" si="499"/>
        <v>0</v>
      </c>
      <c r="CQ189" s="23" t="s">
        <v>77</v>
      </c>
      <c r="CR189" s="8"/>
      <c r="CS189" s="8"/>
      <c r="CT189" s="8"/>
      <c r="CU189"/>
      <c r="CV189"/>
      <c r="CW189"/>
      <c r="CX189"/>
      <c r="CY189"/>
      <c r="CZ189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M189" s="413"/>
      <c r="DO189" s="413"/>
      <c r="DQ189" s="413"/>
      <c r="DR189" s="413"/>
      <c r="DS189" s="413"/>
      <c r="DT189" s="413"/>
    </row>
    <row r="190" spans="2:124" s="233" customFormat="1" outlineLevel="1" x14ac:dyDescent="0.2">
      <c r="B190" s="7" t="s">
        <v>560</v>
      </c>
      <c r="C190" s="8"/>
      <c r="D190" s="52"/>
      <c r="E190" s="52"/>
      <c r="F190" s="52"/>
      <c r="G190" s="52"/>
      <c r="H190" s="52"/>
      <c r="I190" s="52"/>
      <c r="J190" s="52"/>
      <c r="K190" s="52" t="s">
        <v>78</v>
      </c>
      <c r="L190" s="52" t="s">
        <v>78</v>
      </c>
      <c r="M190" s="52" t="s">
        <v>78</v>
      </c>
      <c r="N190" s="52">
        <v>53.8</v>
      </c>
      <c r="O190" s="52">
        <v>13.1</v>
      </c>
      <c r="P190" s="52">
        <v>14.4</v>
      </c>
      <c r="Q190" s="52">
        <v>39.799999999999997</v>
      </c>
      <c r="R190" s="52">
        <v>116.4</v>
      </c>
      <c r="S190" s="52">
        <v>213.7</v>
      </c>
      <c r="T190" s="186">
        <v>73.400000000000006</v>
      </c>
      <c r="U190" s="186">
        <v>64.2</v>
      </c>
      <c r="V190" s="186">
        <v>97.6</v>
      </c>
      <c r="W190" s="186">
        <v>30.6</v>
      </c>
      <c r="X190" s="158">
        <f>315/2+170+180/2</f>
        <v>417.5</v>
      </c>
      <c r="Y190" s="158">
        <f>315/2+90</f>
        <v>247.5</v>
      </c>
      <c r="Z190" s="158">
        <v>0</v>
      </c>
      <c r="AA190" s="158">
        <v>0</v>
      </c>
      <c r="AB190" s="158">
        <v>0</v>
      </c>
      <c r="AC190" s="158">
        <v>0</v>
      </c>
      <c r="AD190" s="158">
        <f t="shared" ref="AD190:BD191" si="500">AC190*(1.025)</f>
        <v>0</v>
      </c>
      <c r="AE190" s="158">
        <f t="shared" si="500"/>
        <v>0</v>
      </c>
      <c r="AF190" s="158">
        <f t="shared" si="500"/>
        <v>0</v>
      </c>
      <c r="AG190" s="158">
        <f t="shared" si="500"/>
        <v>0</v>
      </c>
      <c r="AH190" s="158">
        <f t="shared" si="500"/>
        <v>0</v>
      </c>
      <c r="AI190" s="158">
        <f t="shared" si="500"/>
        <v>0</v>
      </c>
      <c r="AJ190" s="158">
        <f t="shared" si="500"/>
        <v>0</v>
      </c>
      <c r="AK190" s="158">
        <f t="shared" si="500"/>
        <v>0</v>
      </c>
      <c r="AL190" s="158">
        <f t="shared" si="500"/>
        <v>0</v>
      </c>
      <c r="AM190" s="158">
        <f t="shared" si="500"/>
        <v>0</v>
      </c>
      <c r="AN190" s="158">
        <f t="shared" si="500"/>
        <v>0</v>
      </c>
      <c r="AO190" s="158">
        <f t="shared" si="500"/>
        <v>0</v>
      </c>
      <c r="AP190" s="158">
        <f t="shared" si="500"/>
        <v>0</v>
      </c>
      <c r="AQ190" s="158">
        <f t="shared" si="500"/>
        <v>0</v>
      </c>
      <c r="AR190" s="158">
        <f t="shared" si="500"/>
        <v>0</v>
      </c>
      <c r="AS190" s="158">
        <f t="shared" si="500"/>
        <v>0</v>
      </c>
      <c r="AT190" s="158">
        <f t="shared" si="500"/>
        <v>0</v>
      </c>
      <c r="AU190" s="158">
        <f t="shared" si="500"/>
        <v>0</v>
      </c>
      <c r="AV190" s="158">
        <f t="shared" si="500"/>
        <v>0</v>
      </c>
      <c r="AW190" s="158">
        <f t="shared" si="500"/>
        <v>0</v>
      </c>
      <c r="AX190" s="158">
        <f t="shared" si="500"/>
        <v>0</v>
      </c>
      <c r="AY190" s="158">
        <f t="shared" si="500"/>
        <v>0</v>
      </c>
      <c r="AZ190" s="158">
        <f t="shared" si="500"/>
        <v>0</v>
      </c>
      <c r="BA190" s="158">
        <f t="shared" si="500"/>
        <v>0</v>
      </c>
      <c r="BB190" s="158">
        <f t="shared" si="500"/>
        <v>0</v>
      </c>
      <c r="BC190" s="158">
        <f t="shared" si="500"/>
        <v>0</v>
      </c>
      <c r="BD190" s="158">
        <f t="shared" si="500"/>
        <v>0</v>
      </c>
      <c r="BE190" s="158">
        <f t="shared" ref="BE190:CP190" si="501">BD190*(1.025)</f>
        <v>0</v>
      </c>
      <c r="BF190" s="158">
        <f t="shared" si="501"/>
        <v>0</v>
      </c>
      <c r="BG190" s="158">
        <f t="shared" si="501"/>
        <v>0</v>
      </c>
      <c r="BH190" s="158">
        <f t="shared" si="501"/>
        <v>0</v>
      </c>
      <c r="BI190" s="158">
        <f t="shared" si="501"/>
        <v>0</v>
      </c>
      <c r="BJ190" s="158">
        <f t="shared" si="501"/>
        <v>0</v>
      </c>
      <c r="BK190" s="158">
        <f t="shared" si="501"/>
        <v>0</v>
      </c>
      <c r="BL190" s="158">
        <f t="shared" si="501"/>
        <v>0</v>
      </c>
      <c r="BM190" s="158">
        <f t="shared" si="501"/>
        <v>0</v>
      </c>
      <c r="BN190" s="158">
        <f t="shared" si="501"/>
        <v>0</v>
      </c>
      <c r="BO190" s="158">
        <f t="shared" si="501"/>
        <v>0</v>
      </c>
      <c r="BP190" s="158">
        <f t="shared" si="501"/>
        <v>0</v>
      </c>
      <c r="BQ190" s="158">
        <f t="shared" si="501"/>
        <v>0</v>
      </c>
      <c r="BR190" s="158">
        <f t="shared" si="501"/>
        <v>0</v>
      </c>
      <c r="BS190" s="158">
        <f t="shared" si="501"/>
        <v>0</v>
      </c>
      <c r="BT190" s="158">
        <f t="shared" si="501"/>
        <v>0</v>
      </c>
      <c r="BU190" s="158">
        <f t="shared" si="501"/>
        <v>0</v>
      </c>
      <c r="BV190" s="158">
        <f t="shared" si="501"/>
        <v>0</v>
      </c>
      <c r="BW190" s="158">
        <f t="shared" si="501"/>
        <v>0</v>
      </c>
      <c r="BX190" s="158">
        <f t="shared" si="501"/>
        <v>0</v>
      </c>
      <c r="BY190" s="158">
        <f t="shared" si="501"/>
        <v>0</v>
      </c>
      <c r="BZ190" s="158">
        <f t="shared" si="501"/>
        <v>0</v>
      </c>
      <c r="CA190" s="158">
        <f t="shared" si="501"/>
        <v>0</v>
      </c>
      <c r="CB190" s="158">
        <f t="shared" si="501"/>
        <v>0</v>
      </c>
      <c r="CC190" s="158">
        <f t="shared" si="501"/>
        <v>0</v>
      </c>
      <c r="CD190" s="158">
        <f t="shared" si="501"/>
        <v>0</v>
      </c>
      <c r="CE190" s="158">
        <f t="shared" si="501"/>
        <v>0</v>
      </c>
      <c r="CF190" s="158">
        <f t="shared" si="501"/>
        <v>0</v>
      </c>
      <c r="CG190" s="158">
        <f t="shared" si="501"/>
        <v>0</v>
      </c>
      <c r="CH190" s="158">
        <f t="shared" si="501"/>
        <v>0</v>
      </c>
      <c r="CI190" s="158">
        <f t="shared" si="501"/>
        <v>0</v>
      </c>
      <c r="CJ190" s="158">
        <f t="shared" si="501"/>
        <v>0</v>
      </c>
      <c r="CK190" s="158">
        <f t="shared" si="501"/>
        <v>0</v>
      </c>
      <c r="CL190" s="158">
        <f t="shared" si="501"/>
        <v>0</v>
      </c>
      <c r="CM190" s="158">
        <f t="shared" si="501"/>
        <v>0</v>
      </c>
      <c r="CN190" s="158">
        <f t="shared" si="501"/>
        <v>0</v>
      </c>
      <c r="CO190" s="158">
        <f t="shared" si="501"/>
        <v>0</v>
      </c>
      <c r="CP190" s="158">
        <f t="shared" si="501"/>
        <v>0</v>
      </c>
      <c r="CQ190" s="23" t="s">
        <v>77</v>
      </c>
      <c r="CR190" s="8"/>
      <c r="CS190" s="8"/>
      <c r="CT190" s="8"/>
      <c r="CU190"/>
      <c r="CV190"/>
      <c r="CW190"/>
      <c r="CX190"/>
      <c r="CY190"/>
      <c r="CZ190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M190" s="413"/>
      <c r="DO190" s="413"/>
      <c r="DQ190" s="413"/>
      <c r="DR190" s="413"/>
      <c r="DS190" s="413"/>
      <c r="DT190" s="413"/>
    </row>
    <row r="191" spans="2:124" s="233" customFormat="1" outlineLevel="1" x14ac:dyDescent="0.2">
      <c r="B191" s="7" t="s">
        <v>418</v>
      </c>
      <c r="C191" s="8"/>
      <c r="D191" s="52"/>
      <c r="E191" s="52"/>
      <c r="F191" s="52"/>
      <c r="G191" s="52"/>
      <c r="H191" s="52"/>
      <c r="I191" s="52"/>
      <c r="J191" s="52"/>
      <c r="K191" s="52" t="s">
        <v>78</v>
      </c>
      <c r="L191" s="52" t="s">
        <v>78</v>
      </c>
      <c r="M191" s="52" t="s">
        <v>78</v>
      </c>
      <c r="N191" s="52">
        <v>122.3</v>
      </c>
      <c r="O191" s="52">
        <f>36.1+21.1</f>
        <v>57.2</v>
      </c>
      <c r="P191" s="52">
        <v>10</v>
      </c>
      <c r="Q191" s="52">
        <v>12.2</v>
      </c>
      <c r="R191" s="52">
        <v>10.199999999999999</v>
      </c>
      <c r="S191" s="52">
        <v>31.5</v>
      </c>
      <c r="T191" s="186">
        <f>23.8+19.2</f>
        <v>43</v>
      </c>
      <c r="U191" s="186">
        <f>26.3+2.7</f>
        <v>29</v>
      </c>
      <c r="V191" s="186">
        <f>28.4+5.3</f>
        <v>33.699999999999996</v>
      </c>
      <c r="W191" s="186">
        <v>56.5</v>
      </c>
      <c r="X191" s="158">
        <f>270/2</f>
        <v>135</v>
      </c>
      <c r="Y191" s="158">
        <f>270/2</f>
        <v>135</v>
      </c>
      <c r="Z191" s="158">
        <v>0</v>
      </c>
      <c r="AA191" s="158">
        <v>0</v>
      </c>
      <c r="AB191" s="158">
        <v>0</v>
      </c>
      <c r="AC191" s="158">
        <v>0</v>
      </c>
      <c r="AD191" s="158">
        <f t="shared" ref="AD191:AP191" si="502">AC191*(1.025)</f>
        <v>0</v>
      </c>
      <c r="AE191" s="158">
        <f t="shared" si="502"/>
        <v>0</v>
      </c>
      <c r="AF191" s="158">
        <f t="shared" si="502"/>
        <v>0</v>
      </c>
      <c r="AG191" s="158">
        <f t="shared" si="502"/>
        <v>0</v>
      </c>
      <c r="AH191" s="158">
        <f t="shared" si="502"/>
        <v>0</v>
      </c>
      <c r="AI191" s="158">
        <f t="shared" si="502"/>
        <v>0</v>
      </c>
      <c r="AJ191" s="158">
        <f t="shared" si="502"/>
        <v>0</v>
      </c>
      <c r="AK191" s="158">
        <f t="shared" si="502"/>
        <v>0</v>
      </c>
      <c r="AL191" s="158">
        <f t="shared" si="502"/>
        <v>0</v>
      </c>
      <c r="AM191" s="158">
        <f t="shared" si="502"/>
        <v>0</v>
      </c>
      <c r="AN191" s="158">
        <f t="shared" si="502"/>
        <v>0</v>
      </c>
      <c r="AO191" s="158">
        <f t="shared" si="502"/>
        <v>0</v>
      </c>
      <c r="AP191" s="158">
        <f t="shared" si="502"/>
        <v>0</v>
      </c>
      <c r="AQ191" s="158">
        <f t="shared" si="500"/>
        <v>0</v>
      </c>
      <c r="AR191" s="158">
        <f t="shared" si="500"/>
        <v>0</v>
      </c>
      <c r="AS191" s="158">
        <f t="shared" si="500"/>
        <v>0</v>
      </c>
      <c r="AT191" s="158">
        <f t="shared" si="500"/>
        <v>0</v>
      </c>
      <c r="AU191" s="158">
        <f t="shared" si="500"/>
        <v>0</v>
      </c>
      <c r="AV191" s="158">
        <f t="shared" si="500"/>
        <v>0</v>
      </c>
      <c r="AW191" s="158">
        <f t="shared" si="500"/>
        <v>0</v>
      </c>
      <c r="AX191" s="158">
        <f t="shared" si="500"/>
        <v>0</v>
      </c>
      <c r="AY191" s="158">
        <f t="shared" si="500"/>
        <v>0</v>
      </c>
      <c r="AZ191" s="158">
        <f t="shared" si="500"/>
        <v>0</v>
      </c>
      <c r="BA191" s="158">
        <f t="shared" si="500"/>
        <v>0</v>
      </c>
      <c r="BB191" s="158">
        <f t="shared" si="500"/>
        <v>0</v>
      </c>
      <c r="BC191" s="158">
        <f t="shared" si="500"/>
        <v>0</v>
      </c>
      <c r="BD191" s="158">
        <f t="shared" si="500"/>
        <v>0</v>
      </c>
      <c r="BE191" s="158">
        <f t="shared" ref="BE191:CP191" si="503">BD191*(1.025)</f>
        <v>0</v>
      </c>
      <c r="BF191" s="158">
        <f t="shared" si="503"/>
        <v>0</v>
      </c>
      <c r="BG191" s="158">
        <f t="shared" si="503"/>
        <v>0</v>
      </c>
      <c r="BH191" s="158">
        <f t="shared" si="503"/>
        <v>0</v>
      </c>
      <c r="BI191" s="158">
        <f t="shared" si="503"/>
        <v>0</v>
      </c>
      <c r="BJ191" s="158">
        <f t="shared" si="503"/>
        <v>0</v>
      </c>
      <c r="BK191" s="158">
        <f t="shared" si="503"/>
        <v>0</v>
      </c>
      <c r="BL191" s="158">
        <f t="shared" si="503"/>
        <v>0</v>
      </c>
      <c r="BM191" s="158">
        <f t="shared" si="503"/>
        <v>0</v>
      </c>
      <c r="BN191" s="158">
        <f t="shared" si="503"/>
        <v>0</v>
      </c>
      <c r="BO191" s="158">
        <f t="shared" si="503"/>
        <v>0</v>
      </c>
      <c r="BP191" s="158">
        <f t="shared" si="503"/>
        <v>0</v>
      </c>
      <c r="BQ191" s="158">
        <f t="shared" si="503"/>
        <v>0</v>
      </c>
      <c r="BR191" s="158">
        <f t="shared" si="503"/>
        <v>0</v>
      </c>
      <c r="BS191" s="158">
        <f t="shared" si="503"/>
        <v>0</v>
      </c>
      <c r="BT191" s="158">
        <f t="shared" si="503"/>
        <v>0</v>
      </c>
      <c r="BU191" s="158">
        <f t="shared" si="503"/>
        <v>0</v>
      </c>
      <c r="BV191" s="158">
        <f t="shared" si="503"/>
        <v>0</v>
      </c>
      <c r="BW191" s="158">
        <f t="shared" si="503"/>
        <v>0</v>
      </c>
      <c r="BX191" s="158">
        <f t="shared" si="503"/>
        <v>0</v>
      </c>
      <c r="BY191" s="158">
        <f t="shared" si="503"/>
        <v>0</v>
      </c>
      <c r="BZ191" s="158">
        <f t="shared" si="503"/>
        <v>0</v>
      </c>
      <c r="CA191" s="158">
        <f t="shared" si="503"/>
        <v>0</v>
      </c>
      <c r="CB191" s="158">
        <f t="shared" si="503"/>
        <v>0</v>
      </c>
      <c r="CC191" s="158">
        <f t="shared" si="503"/>
        <v>0</v>
      </c>
      <c r="CD191" s="158">
        <f t="shared" si="503"/>
        <v>0</v>
      </c>
      <c r="CE191" s="158">
        <f t="shared" si="503"/>
        <v>0</v>
      </c>
      <c r="CF191" s="158">
        <f t="shared" si="503"/>
        <v>0</v>
      </c>
      <c r="CG191" s="158">
        <f t="shared" si="503"/>
        <v>0</v>
      </c>
      <c r="CH191" s="158">
        <f t="shared" si="503"/>
        <v>0</v>
      </c>
      <c r="CI191" s="158">
        <f t="shared" si="503"/>
        <v>0</v>
      </c>
      <c r="CJ191" s="158">
        <f t="shared" si="503"/>
        <v>0</v>
      </c>
      <c r="CK191" s="158">
        <f t="shared" si="503"/>
        <v>0</v>
      </c>
      <c r="CL191" s="158">
        <f t="shared" si="503"/>
        <v>0</v>
      </c>
      <c r="CM191" s="158">
        <f t="shared" si="503"/>
        <v>0</v>
      </c>
      <c r="CN191" s="158">
        <f t="shared" si="503"/>
        <v>0</v>
      </c>
      <c r="CO191" s="158">
        <f t="shared" si="503"/>
        <v>0</v>
      </c>
      <c r="CP191" s="158">
        <f t="shared" si="503"/>
        <v>0</v>
      </c>
      <c r="CQ191" s="23" t="s">
        <v>77</v>
      </c>
      <c r="CR191" s="8"/>
      <c r="CS191" s="8"/>
      <c r="CT191" s="8"/>
      <c r="CU191"/>
      <c r="CV191"/>
      <c r="CW191"/>
      <c r="CX191"/>
      <c r="CY191"/>
      <c r="CZ191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M191" s="413"/>
      <c r="DO191" s="413"/>
      <c r="DQ191" s="413"/>
      <c r="DR191" s="413"/>
      <c r="DS191" s="413"/>
      <c r="DT191" s="413"/>
    </row>
    <row r="192" spans="2:124" s="233" customFormat="1" outlineLevel="1" x14ac:dyDescent="0.2">
      <c r="B192" s="1" t="s">
        <v>398</v>
      </c>
      <c r="C192" s="8"/>
      <c r="D192" s="3"/>
      <c r="E192" s="3"/>
      <c r="F192" s="3"/>
      <c r="G192" s="3"/>
      <c r="H192" s="3"/>
      <c r="I192" s="3"/>
      <c r="J192" s="3"/>
      <c r="K192" s="3">
        <f t="shared" ref="K192:BD192" si="504">SUM(K185:K191)</f>
        <v>0</v>
      </c>
      <c r="L192" s="3">
        <f t="shared" si="504"/>
        <v>0</v>
      </c>
      <c r="M192" s="3">
        <f t="shared" si="504"/>
        <v>0</v>
      </c>
      <c r="N192" s="3">
        <f t="shared" si="504"/>
        <v>315.5</v>
      </c>
      <c r="O192" s="3">
        <f t="shared" si="504"/>
        <v>151.60000000000002</v>
      </c>
      <c r="P192" s="3">
        <f t="shared" si="504"/>
        <v>120.6</v>
      </c>
      <c r="Q192" s="3">
        <f t="shared" si="504"/>
        <v>155.39999999999998</v>
      </c>
      <c r="R192" s="3">
        <f t="shared" si="504"/>
        <v>224.7</v>
      </c>
      <c r="S192" s="3">
        <f t="shared" si="504"/>
        <v>372.7</v>
      </c>
      <c r="T192" s="33">
        <f t="shared" si="504"/>
        <v>401.70000000000005</v>
      </c>
      <c r="U192" s="33">
        <f>SUM(U185:U191)</f>
        <v>345.8</v>
      </c>
      <c r="V192" s="33">
        <f>SUM(V185:V191)</f>
        <v>281</v>
      </c>
      <c r="W192" s="33">
        <f>SUM(W185:W191)</f>
        <v>271.89999999999998</v>
      </c>
      <c r="X192" s="33">
        <f t="shared" si="504"/>
        <v>696.8</v>
      </c>
      <c r="Y192" s="33">
        <f t="shared" si="504"/>
        <v>444.65</v>
      </c>
      <c r="Z192" s="33">
        <f t="shared" si="504"/>
        <v>62.663987829050122</v>
      </c>
      <c r="AA192" s="33">
        <f t="shared" si="504"/>
        <v>71.584227744835601</v>
      </c>
      <c r="AB192" s="33">
        <f t="shared" si="504"/>
        <v>77.895017026286553</v>
      </c>
      <c r="AC192" s="33">
        <f t="shared" si="504"/>
        <v>47.726741563484779</v>
      </c>
      <c r="AD192" s="33">
        <f t="shared" si="504"/>
        <v>18.450840273000274</v>
      </c>
      <c r="AE192" s="33">
        <f t="shared" si="504"/>
        <v>18.711274125250597</v>
      </c>
      <c r="AF192" s="33">
        <f t="shared" si="504"/>
        <v>18.738338655000462</v>
      </c>
      <c r="AG192" s="33">
        <f t="shared" si="504"/>
        <v>18.765442331671352</v>
      </c>
      <c r="AH192" s="33">
        <f t="shared" si="504"/>
        <v>18.792585211886518</v>
      </c>
      <c r="AI192" s="33">
        <f t="shared" si="504"/>
        <v>18.819767352351104</v>
      </c>
      <c r="AJ192" s="33">
        <f t="shared" si="504"/>
        <v>18.84698880985227</v>
      </c>
      <c r="AK192" s="33">
        <f t="shared" si="504"/>
        <v>18.874249641259322</v>
      </c>
      <c r="AL192" s="33">
        <f t="shared" si="504"/>
        <v>18.901549903523815</v>
      </c>
      <c r="AM192" s="33">
        <f t="shared" si="504"/>
        <v>18.92888965367969</v>
      </c>
      <c r="AN192" s="33">
        <f t="shared" si="504"/>
        <v>18.95626894884337</v>
      </c>
      <c r="AO192" s="33">
        <f t="shared" si="504"/>
        <v>18.983687846213911</v>
      </c>
      <c r="AP192" s="33">
        <f t="shared" si="504"/>
        <v>19.011146403073091</v>
      </c>
      <c r="AQ192" s="33">
        <f t="shared" si="504"/>
        <v>19.038644676785548</v>
      </c>
      <c r="AR192" s="33">
        <f t="shared" si="504"/>
        <v>19.066182724798885</v>
      </c>
      <c r="AS192" s="33">
        <f t="shared" si="504"/>
        <v>19.093760604643812</v>
      </c>
      <c r="AT192" s="33">
        <f t="shared" si="504"/>
        <v>19.121378373934242</v>
      </c>
      <c r="AU192" s="33">
        <f t="shared" si="504"/>
        <v>19.149036090367424</v>
      </c>
      <c r="AV192" s="33">
        <f t="shared" si="504"/>
        <v>19.176733811724066</v>
      </c>
      <c r="AW192" s="33">
        <f t="shared" si="504"/>
        <v>19.204471595868448</v>
      </c>
      <c r="AX192" s="33">
        <f t="shared" si="504"/>
        <v>19.232249500748551</v>
      </c>
      <c r="AY192" s="33">
        <f t="shared" si="504"/>
        <v>19.260067584396175</v>
      </c>
      <c r="AZ192" s="33">
        <f t="shared" si="504"/>
        <v>19.287925904927043</v>
      </c>
      <c r="BA192" s="33">
        <f t="shared" si="504"/>
        <v>19.315824520540957</v>
      </c>
      <c r="BB192" s="33">
        <f t="shared" si="504"/>
        <v>19.343763489521898</v>
      </c>
      <c r="BC192" s="33">
        <f t="shared" si="504"/>
        <v>19.371742870238148</v>
      </c>
      <c r="BD192" s="33">
        <f t="shared" si="504"/>
        <v>19.399762721142405</v>
      </c>
      <c r="BE192" s="33">
        <f t="shared" ref="BE192:CP192" si="505">SUM(BE185:BE191)</f>
        <v>19.427823100771931</v>
      </c>
      <c r="BF192" s="33">
        <f t="shared" si="505"/>
        <v>19.455924067748644</v>
      </c>
      <c r="BG192" s="33">
        <f t="shared" si="505"/>
        <v>19.484065680779263</v>
      </c>
      <c r="BH192" s="33">
        <f t="shared" si="505"/>
        <v>19.512247998655418</v>
      </c>
      <c r="BI192" s="33">
        <f t="shared" si="505"/>
        <v>19.540471080253781</v>
      </c>
      <c r="BJ192" s="33">
        <f t="shared" si="505"/>
        <v>19.568734984536185</v>
      </c>
      <c r="BK192" s="33">
        <f t="shared" si="505"/>
        <v>19.597039770549742</v>
      </c>
      <c r="BL192" s="33">
        <f t="shared" si="505"/>
        <v>19.625385497426969</v>
      </c>
      <c r="BM192" s="33">
        <f t="shared" si="505"/>
        <v>19.653772224385921</v>
      </c>
      <c r="BN192" s="33">
        <f t="shared" si="505"/>
        <v>19.682200010730313</v>
      </c>
      <c r="BO192" s="33">
        <f t="shared" si="505"/>
        <v>19.710668915849624</v>
      </c>
      <c r="BP192" s="33">
        <f t="shared" si="505"/>
        <v>19.739178999219241</v>
      </c>
      <c r="BQ192" s="33">
        <f t="shared" si="505"/>
        <v>19.767730320400588</v>
      </c>
      <c r="BR192" s="33">
        <f t="shared" si="505"/>
        <v>19.796322939041225</v>
      </c>
      <c r="BS192" s="33">
        <f t="shared" si="505"/>
        <v>19.824956914874999</v>
      </c>
      <c r="BT192" s="33">
        <f t="shared" si="505"/>
        <v>19.853632307722155</v>
      </c>
      <c r="BU192" s="33">
        <f t="shared" si="505"/>
        <v>19.882349177489459</v>
      </c>
      <c r="BV192" s="33">
        <f t="shared" si="505"/>
        <v>19.911107584170335</v>
      </c>
      <c r="BW192" s="33">
        <f t="shared" si="505"/>
        <v>19.939907587844978</v>
      </c>
      <c r="BX192" s="33">
        <f t="shared" si="505"/>
        <v>19.968749248680489</v>
      </c>
      <c r="BY192" s="33">
        <f t="shared" si="505"/>
        <v>19.997632626930994</v>
      </c>
      <c r="BZ192" s="33">
        <f t="shared" si="505"/>
        <v>20.026557782937768</v>
      </c>
      <c r="CA192" s="33">
        <f t="shared" si="505"/>
        <v>20.055524777129371</v>
      </c>
      <c r="CB192" s="33">
        <f t="shared" si="505"/>
        <v>20.08453367002177</v>
      </c>
      <c r="CC192" s="33">
        <f t="shared" si="505"/>
        <v>20.113584522218463</v>
      </c>
      <c r="CD192" s="33">
        <f t="shared" si="505"/>
        <v>20.142677394410605</v>
      </c>
      <c r="CE192" s="33">
        <f t="shared" si="505"/>
        <v>20.171812347377127</v>
      </c>
      <c r="CF192" s="33">
        <f t="shared" si="505"/>
        <v>20.200989441984888</v>
      </c>
      <c r="CG192" s="33">
        <f t="shared" si="505"/>
        <v>20.230208739188782</v>
      </c>
      <c r="CH192" s="33">
        <f t="shared" si="505"/>
        <v>20.259470300031872</v>
      </c>
      <c r="CI192" s="33">
        <f t="shared" si="505"/>
        <v>20.288774185645501</v>
      </c>
      <c r="CJ192" s="33">
        <f t="shared" si="505"/>
        <v>20.318120457249456</v>
      </c>
      <c r="CK192" s="33">
        <f t="shared" si="505"/>
        <v>20.347509176152059</v>
      </c>
      <c r="CL192" s="33">
        <f t="shared" si="505"/>
        <v>20.376940403750314</v>
      </c>
      <c r="CM192" s="33">
        <f t="shared" si="505"/>
        <v>20.40641420153003</v>
      </c>
      <c r="CN192" s="33">
        <f t="shared" si="505"/>
        <v>20.435930631065951</v>
      </c>
      <c r="CO192" s="33">
        <f t="shared" si="505"/>
        <v>20.465489754021892</v>
      </c>
      <c r="CP192" s="33">
        <f t="shared" si="505"/>
        <v>20.495091632150853</v>
      </c>
      <c r="CQ192" s="23" t="s">
        <v>77</v>
      </c>
      <c r="CU192"/>
      <c r="CV192"/>
      <c r="CW192"/>
      <c r="CX192"/>
      <c r="CY192"/>
      <c r="CZ192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M192" s="413"/>
      <c r="DO192" s="413"/>
      <c r="DQ192" s="413"/>
      <c r="DR192" s="413"/>
      <c r="DS192" s="413"/>
      <c r="DT192" s="413"/>
    </row>
    <row r="193" spans="2:151" outlineLevel="1" x14ac:dyDescent="0.2">
      <c r="B193" s="7" t="s">
        <v>368</v>
      </c>
      <c r="D193" s="52"/>
      <c r="E193" s="52"/>
      <c r="F193" s="52"/>
      <c r="G193" s="52"/>
      <c r="H193" s="52"/>
      <c r="I193" s="52"/>
      <c r="J193" s="52"/>
      <c r="K193" s="52" t="s">
        <v>78</v>
      </c>
      <c r="L193" s="52" t="s">
        <v>78</v>
      </c>
      <c r="M193" s="52" t="s">
        <v>78</v>
      </c>
      <c r="N193" s="52">
        <v>16.399999999999999</v>
      </c>
      <c r="O193" s="52">
        <v>12</v>
      </c>
      <c r="P193" s="52">
        <v>14.7</v>
      </c>
      <c r="Q193" s="52">
        <v>18</v>
      </c>
      <c r="R193" s="52">
        <v>24.4</v>
      </c>
      <c r="S193" s="52">
        <v>24.7</v>
      </c>
      <c r="T193" s="186">
        <v>45.1</v>
      </c>
      <c r="U193" s="186">
        <v>50.6</v>
      </c>
      <c r="V193" s="186">
        <v>52.7</v>
      </c>
      <c r="W193" s="186">
        <f>68.8</f>
        <v>68.8</v>
      </c>
      <c r="X193" s="259">
        <v>90</v>
      </c>
      <c r="Y193" s="618">
        <f>+X193*(1+Qld!Y15%)+3%*X192</f>
        <v>110.9265</v>
      </c>
      <c r="Z193" s="618">
        <f>+Y193*(1+Qld!Z15%)+3%*Y192</f>
        <v>124.29373162500002</v>
      </c>
      <c r="AA193" s="618">
        <f>+Z193*(1+Qld!AA15%)+3%*Z192</f>
        <v>126.20472469277777</v>
      </c>
      <c r="AB193" s="618">
        <f>+AA193*(1+Qld!AB15%)+3%*AA192</f>
        <v>128.38380270629605</v>
      </c>
      <c r="AC193" s="618">
        <f>+AB193*(1+Qld!AC15%)+3%*AB192</f>
        <v>130.75274916776124</v>
      </c>
      <c r="AD193" s="618">
        <f>+AC193*(1+Qld!AD15%)+3%*AC192</f>
        <v>132.21723960195771</v>
      </c>
      <c r="AE193" s="618">
        <f>+AD193*(1+Qld!AE15%)+3%*AD192</f>
        <v>132.80381912004822</v>
      </c>
      <c r="AF193" s="618">
        <f>+AE193*(1+Qld!AF15%)+3%*AE192</f>
        <v>133.39835829858578</v>
      </c>
      <c r="AG193" s="618">
        <f>+AF193*(1+Qld!AG15%)+3%*AF192</f>
        <v>133.99385804781045</v>
      </c>
      <c r="AH193" s="618">
        <f>+AG193*(1+Qld!AH15%)+3%*AG192</f>
        <v>134.59031978227253</v>
      </c>
      <c r="AI193" s="618">
        <f>+AH193*(1+Qld!AI15%)+3%*AH192</f>
        <v>135.18774491857471</v>
      </c>
      <c r="AJ193" s="618">
        <f>+AI193*(1+Qld!AJ15%)+3%*AI192</f>
        <v>135.7861348753749</v>
      </c>
      <c r="AK193" s="618">
        <f>+AJ193*(1+Qld!AK15%)+3%*AJ192</f>
        <v>136.38549107338932</v>
      </c>
      <c r="AL193" s="618">
        <f>+AK193*(1+Qld!AL15%)+3%*AK192</f>
        <v>136.98581493539544</v>
      </c>
      <c r="AM193" s="618">
        <f>+AL193*(1+Qld!AM15%)+3%*AL192</f>
        <v>137.587107886235</v>
      </c>
      <c r="AN193" s="618">
        <f>+AM193*(1+Qld!AN15%)+3%*AM192</f>
        <v>138.18937135281695</v>
      </c>
      <c r="AO193" s="618">
        <f>+AN193*(1+Qld!AO15%)+3%*AN192</f>
        <v>138.79260676412045</v>
      </c>
      <c r="AP193" s="618">
        <f>+AO193*(1+Qld!AP15%)+3%*AO192</f>
        <v>139.3968155511979</v>
      </c>
      <c r="AQ193" s="618">
        <f>+AP193*(1+Qld!AQ15%)+3%*AP192</f>
        <v>140.00199914717791</v>
      </c>
      <c r="AR193" s="618">
        <f>+AQ193*(1+Qld!AR15%)+3%*AQ192</f>
        <v>140.60815898726827</v>
      </c>
      <c r="AS193" s="618">
        <f>+AR193*(1+Qld!AS15%)+3%*AR192</f>
        <v>141.21529650875908</v>
      </c>
      <c r="AT193" s="618">
        <f>+AS193*(1+Qld!AT15%)+3%*AS192</f>
        <v>141.82341315102559</v>
      </c>
      <c r="AU193" s="618">
        <f>+AT193*(1+Qld!AU15%)+3%*AT192</f>
        <v>142.43251035553138</v>
      </c>
      <c r="AV193" s="618">
        <f>+AU193*(1+Qld!AV15%)+3%*AU192</f>
        <v>143.04258956583129</v>
      </c>
      <c r="AW193" s="618">
        <f>+AV193*(1+Qld!AW15%)+3%*AV192</f>
        <v>143.6536522275745</v>
      </c>
      <c r="AX193" s="618">
        <f>+AW193*(1+Qld!AX15%)+3%*AW192</f>
        <v>144.26569978850745</v>
      </c>
      <c r="AY193" s="618">
        <f>+AX193*(1+Qld!AY15%)+3%*AX192</f>
        <v>144.87873369847705</v>
      </c>
      <c r="AZ193" s="618">
        <f>+AY193*(1+Qld!AZ15%)+3%*AY192</f>
        <v>145.49275540943356</v>
      </c>
      <c r="BA193" s="618">
        <f>+AZ193*(1+Qld!BA15%)+3%*AZ192</f>
        <v>146.10776637543373</v>
      </c>
      <c r="BB193" s="618">
        <f>+BA193*(1+Qld!BB15%)+3%*BA192</f>
        <v>146.72376805264383</v>
      </c>
      <c r="BC193" s="618">
        <f>+BB193*(1+Qld!BC15%)+3%*BB192</f>
        <v>147.34076189934265</v>
      </c>
      <c r="BD193" s="618">
        <f>+BC193*(1+Qld!BD15%)+3%*BC192</f>
        <v>147.95874937592464</v>
      </c>
      <c r="BE193" s="618">
        <f>+BD193*(1+Qld!BE15%)+3%*BD192</f>
        <v>148.57773194490292</v>
      </c>
      <c r="BF193" s="618">
        <f>+BE193*(1+Qld!BF15%)+3%*BE192</f>
        <v>149.19771107091231</v>
      </c>
      <c r="BG193" s="618">
        <f>+BF193*(1+Qld!BG15%)+3%*BF192</f>
        <v>149.81868822071252</v>
      </c>
      <c r="BH193" s="618">
        <f>+BG193*(1+Qld!BH15%)+3%*BG192</f>
        <v>150.44066486319107</v>
      </c>
      <c r="BI193" s="618">
        <f>+BH193*(1+Qld!BI15%)+3%*BH192</f>
        <v>151.06364246936656</v>
      </c>
      <c r="BJ193" s="618">
        <f>+BI193*(1+Qld!BJ15%)+3%*BI192</f>
        <v>151.68762251239153</v>
      </c>
      <c r="BK193" s="618">
        <f>+BJ193*(1+Qld!BK15%)+3%*BJ192</f>
        <v>152.31260646755572</v>
      </c>
      <c r="BL193" s="618">
        <f>+BK193*(1+Qld!BL15%)+3%*BK192</f>
        <v>152.93859581228912</v>
      </c>
      <c r="BM193" s="618">
        <f>+BL193*(1+Qld!BM15%)+3%*BL192</f>
        <v>153.56559202616501</v>
      </c>
      <c r="BN193" s="618">
        <f>+BM193*(1+Qld!BN15%)+3%*BM192</f>
        <v>154.19359659090313</v>
      </c>
      <c r="BO193" s="618">
        <f>+BN193*(1+Qld!BO15%)+3%*BN192</f>
        <v>154.82261099037277</v>
      </c>
      <c r="BP193" s="618">
        <f>+BO193*(1+Qld!BP15%)+3%*BO192</f>
        <v>155.45263671059587</v>
      </c>
      <c r="BQ193" s="618">
        <f>+BP193*(1+Qld!BQ15%)+3%*BP192</f>
        <v>156.08367523975011</v>
      </c>
      <c r="BR193" s="618">
        <f>+BQ193*(1+Qld!BR15%)+3%*BQ192</f>
        <v>156.71572806817207</v>
      </c>
      <c r="BS193" s="618">
        <f>+BR193*(1+Qld!BS15%)+3%*BR192</f>
        <v>157.34879668836035</v>
      </c>
      <c r="BT193" s="618">
        <f>+BS193*(1+Qld!BT15%)+3%*BS192</f>
        <v>157.98288259497872</v>
      </c>
      <c r="BU193" s="618">
        <f>+BT193*(1+Qld!BU15%)+3%*BT192</f>
        <v>158.61798728485914</v>
      </c>
      <c r="BV193" s="618">
        <f>+BU193*(1+Qld!BV15%)+3%*BU192</f>
        <v>159.25411225700503</v>
      </c>
      <c r="BW193" s="618">
        <f>+BV193*(1+Qld!BW15%)+3%*BV192</f>
        <v>159.89125901259439</v>
      </c>
      <c r="BX193" s="618">
        <f>+BW193*(1+Qld!BX15%)+3%*BW192</f>
        <v>160.5294290549829</v>
      </c>
      <c r="BY193" s="618">
        <f>+BX193*(1+Qld!BY15%)+3%*BX192</f>
        <v>161.16862388970708</v>
      </c>
      <c r="BZ193" s="618">
        <f>+BY193*(1+Qld!BZ15%)+3%*BY192</f>
        <v>161.80884502448745</v>
      </c>
      <c r="CA193" s="618">
        <f>+BZ193*(1+Qld!CA15%)+3%*BZ192</f>
        <v>162.45009396923172</v>
      </c>
      <c r="CB193" s="618">
        <f>+CA193*(1+Qld!CB15%)+3%*CA192</f>
        <v>163.0923722360379</v>
      </c>
      <c r="CC193" s="618">
        <f>+CB193*(1+Qld!CC15%)+3%*CB192</f>
        <v>163.73568133919758</v>
      </c>
      <c r="CD193" s="618">
        <f>+CC193*(1+Qld!CD15%)+3%*CC192</f>
        <v>164.38002279519895</v>
      </c>
      <c r="CE193" s="618">
        <f>+CD193*(1+Qld!CE15%)+3%*CD192</f>
        <v>165.02539812273008</v>
      </c>
      <c r="CF193" s="618">
        <f>+CE193*(1+Qld!CF15%)+3%*CE192</f>
        <v>165.67180884268208</v>
      </c>
      <c r="CG193" s="618">
        <f>+CF193*(1+Qld!CG15%)+3%*CF192</f>
        <v>166.31925647815231</v>
      </c>
      <c r="CH193" s="618">
        <f>+CG193*(1+Qld!CH15%)+3%*CG192</f>
        <v>166.96774255444754</v>
      </c>
      <c r="CI193" s="618">
        <f>+CH193*(1+Qld!CI15%)+3%*CH192</f>
        <v>167.61726859908711</v>
      </c>
      <c r="CJ193" s="618">
        <f>+CI193*(1+Qld!CJ15%)+3%*CI192</f>
        <v>168.26783614180624</v>
      </c>
      <c r="CK193" s="618">
        <f>+CJ193*(1+Qld!CK15%)+3%*CJ192</f>
        <v>168.91944671455917</v>
      </c>
      <c r="CL193" s="618">
        <f>+CK193*(1+Qld!CL15%)+3%*CK192</f>
        <v>169.5721018515224</v>
      </c>
      <c r="CM193" s="618">
        <f>+CL193*(1+Qld!CM15%)+3%*CL192</f>
        <v>170.22580308909781</v>
      </c>
      <c r="CN193" s="618">
        <f>+CM193*(1+Qld!CN15%)+3%*CM192</f>
        <v>170.880551965916</v>
      </c>
      <c r="CO193" s="618">
        <f>+CN193*(1+Qld!CO15%)+3%*CN192</f>
        <v>171.53635002283949</v>
      </c>
      <c r="CP193" s="618">
        <f>+CO193*(1+Qld!CP15%)+3%*CO192</f>
        <v>172.19319880296587</v>
      </c>
      <c r="CQ193" s="23" t="s">
        <v>77</v>
      </c>
      <c r="CR193" s="478"/>
      <c r="CS193" s="479"/>
      <c r="CT193" s="479"/>
      <c r="DA193" s="479"/>
      <c r="DD193" s="8"/>
      <c r="DE193" s="8"/>
      <c r="DF193" s="8"/>
      <c r="DG193" s="8"/>
      <c r="DH193" s="8"/>
      <c r="DI193" s="8"/>
      <c r="DJ193" s="8"/>
      <c r="DK193" s="8"/>
      <c r="DL193" s="479"/>
      <c r="DM193" s="413"/>
      <c r="DN193" s="479"/>
      <c r="DO193" s="413"/>
      <c r="DP193" s="479"/>
      <c r="DQ193" s="413"/>
      <c r="DR193" s="413"/>
      <c r="DS193" s="413"/>
      <c r="DT193" s="413"/>
      <c r="DU193" s="479"/>
      <c r="DV193" s="479"/>
      <c r="DW193" s="479"/>
      <c r="DX193" s="479"/>
      <c r="DY193" s="479"/>
      <c r="DZ193" s="479"/>
      <c r="EA193" s="479"/>
      <c r="EB193" s="479"/>
      <c r="EC193" s="479"/>
      <c r="ED193" s="479"/>
      <c r="EE193" s="479"/>
      <c r="EF193" s="479"/>
      <c r="EG193" s="479"/>
      <c r="EH193" s="479"/>
      <c r="EI193" s="479"/>
      <c r="EJ193" s="479"/>
      <c r="EK193" s="479"/>
      <c r="EL193" s="479"/>
      <c r="EM193" s="479"/>
      <c r="EN193" s="479"/>
      <c r="EO193" s="479"/>
      <c r="EP193" s="479"/>
      <c r="EQ193" s="479"/>
      <c r="ER193" s="479"/>
      <c r="ES193" s="479"/>
      <c r="ET193" s="479"/>
      <c r="EU193" s="479"/>
    </row>
    <row r="194" spans="2:151" s="233" customFormat="1" outlineLevel="1" x14ac:dyDescent="0.2">
      <c r="B194" s="1" t="s">
        <v>370</v>
      </c>
      <c r="C194" s="8"/>
      <c r="D194" s="3"/>
      <c r="E194" s="3"/>
      <c r="F194" s="3"/>
      <c r="G194" s="3"/>
      <c r="H194" s="3"/>
      <c r="I194" s="3"/>
      <c r="J194" s="3"/>
      <c r="K194" s="35">
        <f t="shared" ref="K194:BD194" si="506">SUM(K192:K193)</f>
        <v>0</v>
      </c>
      <c r="L194" s="3">
        <f t="shared" si="506"/>
        <v>0</v>
      </c>
      <c r="M194" s="3">
        <f t="shared" si="506"/>
        <v>0</v>
      </c>
      <c r="N194" s="3">
        <f t="shared" si="506"/>
        <v>331.9</v>
      </c>
      <c r="O194" s="3">
        <f t="shared" si="506"/>
        <v>163.60000000000002</v>
      </c>
      <c r="P194" s="3">
        <f t="shared" si="506"/>
        <v>135.29999999999998</v>
      </c>
      <c r="Q194" s="3">
        <f t="shared" si="506"/>
        <v>173.39999999999998</v>
      </c>
      <c r="R194" s="3">
        <f t="shared" si="506"/>
        <v>249.1</v>
      </c>
      <c r="S194" s="3">
        <f t="shared" si="506"/>
        <v>397.4</v>
      </c>
      <c r="T194" s="33">
        <f t="shared" si="506"/>
        <v>446.80000000000007</v>
      </c>
      <c r="U194" s="33">
        <f t="shared" si="506"/>
        <v>396.40000000000003</v>
      </c>
      <c r="V194" s="33">
        <f t="shared" si="506"/>
        <v>333.7</v>
      </c>
      <c r="W194" s="33">
        <f>SUM(W192:W193)</f>
        <v>340.7</v>
      </c>
      <c r="X194" s="33">
        <f>SUM(X192:X193)</f>
        <v>786.8</v>
      </c>
      <c r="Y194" s="33">
        <f>SUM(Y192:Y193)</f>
        <v>555.57650000000001</v>
      </c>
      <c r="Z194" s="33">
        <f>SUM(Z192:Z193)</f>
        <v>186.95771945405014</v>
      </c>
      <c r="AA194" s="33">
        <f t="shared" si="506"/>
        <v>197.78895243761337</v>
      </c>
      <c r="AB194" s="33">
        <f t="shared" si="506"/>
        <v>206.2788197325826</v>
      </c>
      <c r="AC194" s="33">
        <f t="shared" si="506"/>
        <v>178.47949073124602</v>
      </c>
      <c r="AD194" s="33">
        <f t="shared" si="506"/>
        <v>150.66807987495798</v>
      </c>
      <c r="AE194" s="33">
        <f t="shared" si="506"/>
        <v>151.51509324529883</v>
      </c>
      <c r="AF194" s="33">
        <f t="shared" si="506"/>
        <v>152.13669695358624</v>
      </c>
      <c r="AG194" s="33">
        <f t="shared" si="506"/>
        <v>152.7593003794818</v>
      </c>
      <c r="AH194" s="33">
        <f t="shared" si="506"/>
        <v>153.38290499415905</v>
      </c>
      <c r="AI194" s="33">
        <f t="shared" si="506"/>
        <v>154.00751227092582</v>
      </c>
      <c r="AJ194" s="33">
        <f t="shared" si="506"/>
        <v>154.63312368522716</v>
      </c>
      <c r="AK194" s="33">
        <f t="shared" si="506"/>
        <v>155.25974071464864</v>
      </c>
      <c r="AL194" s="33">
        <f t="shared" si="506"/>
        <v>155.88736483891927</v>
      </c>
      <c r="AM194" s="33">
        <f t="shared" si="506"/>
        <v>156.51599753991468</v>
      </c>
      <c r="AN194" s="33">
        <f t="shared" si="506"/>
        <v>157.14564030166031</v>
      </c>
      <c r="AO194" s="33">
        <f t="shared" si="506"/>
        <v>157.77629461033436</v>
      </c>
      <c r="AP194" s="33">
        <f t="shared" si="506"/>
        <v>158.407961954271</v>
      </c>
      <c r="AQ194" s="33">
        <f t="shared" si="506"/>
        <v>159.04064382396345</v>
      </c>
      <c r="AR194" s="33">
        <f t="shared" si="506"/>
        <v>159.67434171206716</v>
      </c>
      <c r="AS194" s="33">
        <f t="shared" si="506"/>
        <v>160.3090571134029</v>
      </c>
      <c r="AT194" s="33">
        <f t="shared" si="506"/>
        <v>160.94479152495984</v>
      </c>
      <c r="AU194" s="33">
        <f t="shared" si="506"/>
        <v>161.58154644589879</v>
      </c>
      <c r="AV194" s="33">
        <f t="shared" si="506"/>
        <v>162.21932337755536</v>
      </c>
      <c r="AW194" s="33">
        <f t="shared" si="506"/>
        <v>162.85812382344295</v>
      </c>
      <c r="AX194" s="33">
        <f t="shared" si="506"/>
        <v>163.49794928925598</v>
      </c>
      <c r="AY194" s="33">
        <f t="shared" si="506"/>
        <v>164.13880128287323</v>
      </c>
      <c r="AZ194" s="33">
        <f t="shared" si="506"/>
        <v>164.78068131436061</v>
      </c>
      <c r="BA194" s="33">
        <f t="shared" si="506"/>
        <v>165.42359089597468</v>
      </c>
      <c r="BB194" s="33">
        <f t="shared" si="506"/>
        <v>166.06753154216574</v>
      </c>
      <c r="BC194" s="33">
        <f t="shared" si="506"/>
        <v>166.71250476958079</v>
      </c>
      <c r="BD194" s="33">
        <f t="shared" si="506"/>
        <v>167.35851209706703</v>
      </c>
      <c r="BE194" s="33">
        <f t="shared" ref="BE194:CP194" si="507">SUM(BE192:BE193)</f>
        <v>168.00555504567484</v>
      </c>
      <c r="BF194" s="33">
        <f t="shared" si="507"/>
        <v>168.65363513866095</v>
      </c>
      <c r="BG194" s="33">
        <f t="shared" si="507"/>
        <v>169.30275390149177</v>
      </c>
      <c r="BH194" s="33">
        <f t="shared" si="507"/>
        <v>169.9529128618465</v>
      </c>
      <c r="BI194" s="33">
        <f t="shared" si="507"/>
        <v>170.60411354962034</v>
      </c>
      <c r="BJ194" s="33">
        <f t="shared" si="507"/>
        <v>171.25635749692771</v>
      </c>
      <c r="BK194" s="33">
        <f t="shared" si="507"/>
        <v>171.90964623810547</v>
      </c>
      <c r="BL194" s="33">
        <f t="shared" si="507"/>
        <v>172.5639813097161</v>
      </c>
      <c r="BM194" s="33">
        <f t="shared" si="507"/>
        <v>173.21936425055094</v>
      </c>
      <c r="BN194" s="33">
        <f t="shared" si="507"/>
        <v>173.87579660163345</v>
      </c>
      <c r="BO194" s="33">
        <f t="shared" si="507"/>
        <v>174.53327990622239</v>
      </c>
      <c r="BP194" s="33">
        <f t="shared" si="507"/>
        <v>175.1918157098151</v>
      </c>
      <c r="BQ194" s="33">
        <f t="shared" si="507"/>
        <v>175.85140556015068</v>
      </c>
      <c r="BR194" s="33">
        <f t="shared" si="507"/>
        <v>176.5120510072133</v>
      </c>
      <c r="BS194" s="33">
        <f t="shared" si="507"/>
        <v>177.17375360323535</v>
      </c>
      <c r="BT194" s="33">
        <f t="shared" si="507"/>
        <v>177.83651490270088</v>
      </c>
      <c r="BU194" s="33">
        <f t="shared" si="507"/>
        <v>178.5003364623486</v>
      </c>
      <c r="BV194" s="33">
        <f t="shared" si="507"/>
        <v>179.16521984117537</v>
      </c>
      <c r="BW194" s="33">
        <f t="shared" si="507"/>
        <v>179.83116660043936</v>
      </c>
      <c r="BX194" s="33">
        <f t="shared" si="507"/>
        <v>180.49817830366339</v>
      </c>
      <c r="BY194" s="33">
        <f t="shared" si="507"/>
        <v>181.16625651663807</v>
      </c>
      <c r="BZ194" s="33">
        <f t="shared" si="507"/>
        <v>181.83540280742523</v>
      </c>
      <c r="CA194" s="33">
        <f t="shared" si="507"/>
        <v>182.50561874636108</v>
      </c>
      <c r="CB194" s="33">
        <f t="shared" si="507"/>
        <v>183.17690590605969</v>
      </c>
      <c r="CC194" s="33">
        <f t="shared" si="507"/>
        <v>183.84926586141606</v>
      </c>
      <c r="CD194" s="33">
        <f t="shared" si="507"/>
        <v>184.52270018960957</v>
      </c>
      <c r="CE194" s="33">
        <f t="shared" si="507"/>
        <v>185.19721047010722</v>
      </c>
      <c r="CF194" s="33">
        <f t="shared" si="507"/>
        <v>185.87279828466697</v>
      </c>
      <c r="CG194" s="33">
        <f t="shared" si="507"/>
        <v>186.54946521734109</v>
      </c>
      <c r="CH194" s="33">
        <f t="shared" si="507"/>
        <v>187.2272128544794</v>
      </c>
      <c r="CI194" s="33">
        <f t="shared" si="507"/>
        <v>187.90604278473262</v>
      </c>
      <c r="CJ194" s="33">
        <f t="shared" si="507"/>
        <v>188.58595659905569</v>
      </c>
      <c r="CK194" s="33">
        <f t="shared" si="507"/>
        <v>189.26695589071124</v>
      </c>
      <c r="CL194" s="33">
        <f t="shared" si="507"/>
        <v>189.94904225527273</v>
      </c>
      <c r="CM194" s="33">
        <f t="shared" si="507"/>
        <v>190.63221729062784</v>
      </c>
      <c r="CN194" s="33">
        <f t="shared" si="507"/>
        <v>191.31648259698196</v>
      </c>
      <c r="CO194" s="33">
        <f t="shared" si="507"/>
        <v>192.00183977686137</v>
      </c>
      <c r="CP194" s="33">
        <f t="shared" si="507"/>
        <v>192.68829043511673</v>
      </c>
      <c r="CQ194" s="23" t="s">
        <v>77</v>
      </c>
      <c r="CR194" s="480"/>
      <c r="CS194" s="8"/>
      <c r="CT194" s="8"/>
      <c r="CU194"/>
      <c r="CV194"/>
      <c r="CW194"/>
      <c r="CX194"/>
      <c r="CY194"/>
      <c r="CZ194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M194" s="413"/>
      <c r="DO194" s="413"/>
      <c r="DQ194" s="413"/>
      <c r="DR194" s="413"/>
      <c r="DS194" s="413"/>
      <c r="DT194" s="413"/>
    </row>
    <row r="195" spans="2:151" outlineLevel="1" x14ac:dyDescent="0.2">
      <c r="B195" s="7" t="s">
        <v>371</v>
      </c>
      <c r="D195" s="52"/>
      <c r="E195" s="52"/>
      <c r="F195" s="52"/>
      <c r="G195" s="52"/>
      <c r="H195" s="52"/>
      <c r="I195" s="52"/>
      <c r="J195" s="52"/>
      <c r="K195" s="52" t="s">
        <v>78</v>
      </c>
      <c r="L195" s="52" t="s">
        <v>78</v>
      </c>
      <c r="M195" s="52" t="s">
        <v>78</v>
      </c>
      <c r="N195" s="52" t="s">
        <v>78</v>
      </c>
      <c r="O195" s="52" t="s">
        <v>78</v>
      </c>
      <c r="P195" s="52">
        <v>83.3</v>
      </c>
      <c r="Q195" s="52">
        <v>228.8</v>
      </c>
      <c r="R195" s="52">
        <v>6</v>
      </c>
      <c r="S195" s="52">
        <v>265.3</v>
      </c>
      <c r="T195" s="186">
        <v>0</v>
      </c>
      <c r="U195" s="195">
        <v>0</v>
      </c>
      <c r="V195" s="195">
        <f>339.9-V196</f>
        <v>339.9</v>
      </c>
      <c r="W195" s="195">
        <v>0</v>
      </c>
      <c r="X195" s="158">
        <v>0</v>
      </c>
      <c r="Y195" s="158">
        <v>0</v>
      </c>
      <c r="Z195" s="158">
        <v>0</v>
      </c>
      <c r="AA195" s="158">
        <v>0</v>
      </c>
      <c r="AB195" s="158">
        <v>0</v>
      </c>
      <c r="AC195" s="158">
        <v>0</v>
      </c>
      <c r="AD195" s="158">
        <v>0</v>
      </c>
      <c r="AE195" s="158">
        <v>0</v>
      </c>
      <c r="AF195" s="158">
        <v>0</v>
      </c>
      <c r="AG195" s="158">
        <v>0</v>
      </c>
      <c r="AH195" s="158">
        <v>0</v>
      </c>
      <c r="AI195" s="158">
        <v>0</v>
      </c>
      <c r="AJ195" s="158">
        <v>0</v>
      </c>
      <c r="AK195" s="158">
        <v>0</v>
      </c>
      <c r="AL195" s="158">
        <v>0</v>
      </c>
      <c r="AM195" s="158">
        <v>0</v>
      </c>
      <c r="AN195" s="158">
        <v>0</v>
      </c>
      <c r="AO195" s="158">
        <v>0</v>
      </c>
      <c r="AP195" s="158">
        <v>0</v>
      </c>
      <c r="AQ195" s="158">
        <v>0</v>
      </c>
      <c r="AR195" s="158">
        <v>0</v>
      </c>
      <c r="AS195" s="158">
        <v>0</v>
      </c>
      <c r="AT195" s="158">
        <v>0</v>
      </c>
      <c r="AU195" s="158">
        <v>0</v>
      </c>
      <c r="AV195" s="158">
        <v>0</v>
      </c>
      <c r="AW195" s="158">
        <v>0</v>
      </c>
      <c r="AX195" s="158">
        <v>0</v>
      </c>
      <c r="AY195" s="158">
        <v>0</v>
      </c>
      <c r="AZ195" s="158">
        <v>0</v>
      </c>
      <c r="BA195" s="158">
        <v>0</v>
      </c>
      <c r="BB195" s="158">
        <v>0</v>
      </c>
      <c r="BC195" s="158">
        <v>0</v>
      </c>
      <c r="BD195" s="158">
        <v>0</v>
      </c>
      <c r="BE195" s="158">
        <v>0</v>
      </c>
      <c r="BF195" s="158">
        <v>0</v>
      </c>
      <c r="BG195" s="158">
        <v>0</v>
      </c>
      <c r="BH195" s="158">
        <v>0</v>
      </c>
      <c r="BI195" s="158">
        <v>0</v>
      </c>
      <c r="BJ195" s="158">
        <v>0</v>
      </c>
      <c r="BK195" s="158">
        <v>0</v>
      </c>
      <c r="BL195" s="158">
        <v>0</v>
      </c>
      <c r="BM195" s="158">
        <v>0</v>
      </c>
      <c r="BN195" s="158">
        <v>0</v>
      </c>
      <c r="BO195" s="158">
        <v>0</v>
      </c>
      <c r="BP195" s="158">
        <v>0</v>
      </c>
      <c r="BQ195" s="158">
        <v>0</v>
      </c>
      <c r="BR195" s="158">
        <v>0</v>
      </c>
      <c r="BS195" s="158">
        <v>0</v>
      </c>
      <c r="BT195" s="158">
        <v>0</v>
      </c>
      <c r="BU195" s="158">
        <v>0</v>
      </c>
      <c r="BV195" s="158">
        <v>0</v>
      </c>
      <c r="BW195" s="158">
        <v>0</v>
      </c>
      <c r="BX195" s="158">
        <v>0</v>
      </c>
      <c r="BY195" s="158">
        <v>0</v>
      </c>
      <c r="BZ195" s="158">
        <v>0</v>
      </c>
      <c r="CA195" s="158">
        <v>0</v>
      </c>
      <c r="CB195" s="158">
        <v>0</v>
      </c>
      <c r="CC195" s="158">
        <v>0</v>
      </c>
      <c r="CD195" s="158">
        <v>0</v>
      </c>
      <c r="CE195" s="158">
        <v>0</v>
      </c>
      <c r="CF195" s="158">
        <v>0</v>
      </c>
      <c r="CG195" s="158">
        <v>0</v>
      </c>
      <c r="CH195" s="158">
        <v>0</v>
      </c>
      <c r="CI195" s="158">
        <v>0</v>
      </c>
      <c r="CJ195" s="158">
        <v>0</v>
      </c>
      <c r="CK195" s="158">
        <v>0</v>
      </c>
      <c r="CL195" s="158">
        <v>0</v>
      </c>
      <c r="CM195" s="158">
        <v>0</v>
      </c>
      <c r="CN195" s="158">
        <v>0</v>
      </c>
      <c r="CO195" s="158">
        <v>0</v>
      </c>
      <c r="CP195" s="158">
        <v>0</v>
      </c>
      <c r="CQ195" s="23" t="s">
        <v>77</v>
      </c>
      <c r="DD195" s="8"/>
      <c r="DE195" s="8"/>
      <c r="DF195" s="8"/>
      <c r="DG195" s="8"/>
      <c r="DH195" s="8"/>
      <c r="DI195" s="8"/>
      <c r="DJ195" s="8"/>
      <c r="DK195" s="8"/>
      <c r="DM195" s="413"/>
      <c r="DO195" s="413"/>
      <c r="DQ195" s="413"/>
      <c r="DR195" s="413"/>
      <c r="DS195" s="413"/>
      <c r="DT195" s="413"/>
    </row>
    <row r="196" spans="2:151" outlineLevel="1" x14ac:dyDescent="0.2">
      <c r="B196" s="7" t="s">
        <v>372</v>
      </c>
      <c r="D196" s="52"/>
      <c r="E196" s="52"/>
      <c r="F196" s="52"/>
      <c r="G196" s="52"/>
      <c r="H196" s="52"/>
      <c r="I196" s="52"/>
      <c r="J196" s="52"/>
      <c r="K196" s="52" t="s">
        <v>78</v>
      </c>
      <c r="L196" s="52" t="s">
        <v>78</v>
      </c>
      <c r="M196" s="52" t="s">
        <v>78</v>
      </c>
      <c r="N196" s="52" t="s">
        <v>78</v>
      </c>
      <c r="O196" s="52" t="s">
        <v>78</v>
      </c>
      <c r="P196" s="52">
        <v>137.19999999999999</v>
      </c>
      <c r="Q196" s="52">
        <v>113.9</v>
      </c>
      <c r="R196" s="52">
        <v>40.4</v>
      </c>
      <c r="S196" s="52">
        <v>65.5</v>
      </c>
      <c r="T196" s="186">
        <v>126.1</v>
      </c>
      <c r="U196" s="186">
        <f>5866.8+21.2</f>
        <v>5888</v>
      </c>
      <c r="V196" s="186">
        <v>0</v>
      </c>
      <c r="W196" s="195">
        <v>36.799999999999997</v>
      </c>
      <c r="X196" s="158">
        <v>0</v>
      </c>
      <c r="Y196" s="158">
        <v>0</v>
      </c>
      <c r="Z196" s="158">
        <v>0</v>
      </c>
      <c r="AA196" s="158">
        <v>0</v>
      </c>
      <c r="AB196" s="158">
        <v>0</v>
      </c>
      <c r="AC196" s="158">
        <v>0</v>
      </c>
      <c r="AD196" s="158">
        <v>0</v>
      </c>
      <c r="AE196" s="158">
        <v>0</v>
      </c>
      <c r="AF196" s="158">
        <v>0</v>
      </c>
      <c r="AG196" s="158">
        <v>0</v>
      </c>
      <c r="AH196" s="158">
        <v>0</v>
      </c>
      <c r="AI196" s="158">
        <v>0</v>
      </c>
      <c r="AJ196" s="158">
        <v>0</v>
      </c>
      <c r="AK196" s="158">
        <v>0</v>
      </c>
      <c r="AL196" s="158">
        <v>0</v>
      </c>
      <c r="AM196" s="158">
        <v>0</v>
      </c>
      <c r="AN196" s="158">
        <v>0</v>
      </c>
      <c r="AO196" s="158">
        <v>0</v>
      </c>
      <c r="AP196" s="158">
        <v>0</v>
      </c>
      <c r="AQ196" s="158">
        <v>0</v>
      </c>
      <c r="AR196" s="158">
        <v>0</v>
      </c>
      <c r="AS196" s="158">
        <v>0</v>
      </c>
      <c r="AT196" s="158">
        <v>0</v>
      </c>
      <c r="AU196" s="158">
        <v>0</v>
      </c>
      <c r="AV196" s="158">
        <v>0</v>
      </c>
      <c r="AW196" s="158">
        <v>0</v>
      </c>
      <c r="AX196" s="158">
        <v>0</v>
      </c>
      <c r="AY196" s="158">
        <v>0</v>
      </c>
      <c r="AZ196" s="158">
        <v>0</v>
      </c>
      <c r="BA196" s="158">
        <v>0</v>
      </c>
      <c r="BB196" s="158">
        <v>0</v>
      </c>
      <c r="BC196" s="158">
        <v>0</v>
      </c>
      <c r="BD196" s="158">
        <v>0</v>
      </c>
      <c r="BE196" s="158">
        <v>0</v>
      </c>
      <c r="BF196" s="158">
        <v>0</v>
      </c>
      <c r="BG196" s="158">
        <v>0</v>
      </c>
      <c r="BH196" s="158">
        <v>0</v>
      </c>
      <c r="BI196" s="158">
        <v>0</v>
      </c>
      <c r="BJ196" s="158">
        <v>0</v>
      </c>
      <c r="BK196" s="158">
        <v>0</v>
      </c>
      <c r="BL196" s="158">
        <v>0</v>
      </c>
      <c r="BM196" s="158">
        <v>0</v>
      </c>
      <c r="BN196" s="158">
        <v>0</v>
      </c>
      <c r="BO196" s="158">
        <v>0</v>
      </c>
      <c r="BP196" s="158">
        <v>0</v>
      </c>
      <c r="BQ196" s="158">
        <v>0</v>
      </c>
      <c r="BR196" s="158">
        <v>0</v>
      </c>
      <c r="BS196" s="158">
        <v>0</v>
      </c>
      <c r="BT196" s="158">
        <v>0</v>
      </c>
      <c r="BU196" s="158">
        <v>0</v>
      </c>
      <c r="BV196" s="158">
        <v>0</v>
      </c>
      <c r="BW196" s="158">
        <v>0</v>
      </c>
      <c r="BX196" s="158">
        <v>0</v>
      </c>
      <c r="BY196" s="158">
        <v>0</v>
      </c>
      <c r="BZ196" s="158">
        <v>0</v>
      </c>
      <c r="CA196" s="158">
        <v>0</v>
      </c>
      <c r="CB196" s="158">
        <v>0</v>
      </c>
      <c r="CC196" s="158">
        <v>0</v>
      </c>
      <c r="CD196" s="158">
        <v>0</v>
      </c>
      <c r="CE196" s="158">
        <v>0</v>
      </c>
      <c r="CF196" s="158">
        <v>0</v>
      </c>
      <c r="CG196" s="158">
        <v>0</v>
      </c>
      <c r="CH196" s="158">
        <v>0</v>
      </c>
      <c r="CI196" s="158">
        <v>0</v>
      </c>
      <c r="CJ196" s="158">
        <v>0</v>
      </c>
      <c r="CK196" s="158">
        <v>0</v>
      </c>
      <c r="CL196" s="158">
        <v>0</v>
      </c>
      <c r="CM196" s="158">
        <v>0</v>
      </c>
      <c r="CN196" s="158">
        <v>0</v>
      </c>
      <c r="CO196" s="158">
        <v>0</v>
      </c>
      <c r="CP196" s="158">
        <v>0</v>
      </c>
      <c r="CQ196" s="23" t="s">
        <v>77</v>
      </c>
      <c r="DD196" s="8"/>
      <c r="DE196" s="8"/>
      <c r="DF196" s="8"/>
      <c r="DG196" s="8"/>
      <c r="DH196" s="8"/>
      <c r="DI196" s="8"/>
      <c r="DJ196" s="8"/>
      <c r="DK196" s="8"/>
      <c r="DM196" s="413"/>
      <c r="DO196" s="413"/>
      <c r="DQ196" s="413"/>
      <c r="DR196" s="413"/>
      <c r="DS196" s="413"/>
      <c r="DT196" s="413"/>
    </row>
    <row r="197" spans="2:151" s="233" customFormat="1" outlineLevel="1" x14ac:dyDescent="0.2">
      <c r="B197" s="1" t="s">
        <v>373</v>
      </c>
      <c r="C197" s="8"/>
      <c r="D197" s="3"/>
      <c r="E197" s="3"/>
      <c r="F197" s="3"/>
      <c r="G197" s="3"/>
      <c r="H197" s="3"/>
      <c r="I197" s="3"/>
      <c r="J197" s="3"/>
      <c r="K197" s="35">
        <f>SUM(K195:K196)</f>
        <v>0</v>
      </c>
      <c r="L197" s="3">
        <f t="shared" ref="L197:BD197" si="508">SUM(L195:L196)</f>
        <v>0</v>
      </c>
      <c r="M197" s="3">
        <f t="shared" si="508"/>
        <v>0</v>
      </c>
      <c r="N197" s="3">
        <f t="shared" si="508"/>
        <v>0</v>
      </c>
      <c r="O197" s="3">
        <f t="shared" si="508"/>
        <v>0</v>
      </c>
      <c r="P197" s="3">
        <f t="shared" si="508"/>
        <v>220.5</v>
      </c>
      <c r="Q197" s="3">
        <f t="shared" si="508"/>
        <v>342.70000000000005</v>
      </c>
      <c r="R197" s="3">
        <f t="shared" si="508"/>
        <v>46.4</v>
      </c>
      <c r="S197" s="3">
        <f t="shared" si="508"/>
        <v>330.8</v>
      </c>
      <c r="T197" s="33">
        <f t="shared" si="508"/>
        <v>126.1</v>
      </c>
      <c r="U197" s="33">
        <f t="shared" si="508"/>
        <v>5888</v>
      </c>
      <c r="V197" s="33">
        <f>SUM(V195:V196)</f>
        <v>339.9</v>
      </c>
      <c r="W197" s="33">
        <f t="shared" si="508"/>
        <v>36.799999999999997</v>
      </c>
      <c r="X197" s="33">
        <f t="shared" si="508"/>
        <v>0</v>
      </c>
      <c r="Y197" s="33">
        <f t="shared" si="508"/>
        <v>0</v>
      </c>
      <c r="Z197" s="33">
        <f t="shared" si="508"/>
        <v>0</v>
      </c>
      <c r="AA197" s="33">
        <f t="shared" si="508"/>
        <v>0</v>
      </c>
      <c r="AB197" s="33">
        <f t="shared" si="508"/>
        <v>0</v>
      </c>
      <c r="AC197" s="33">
        <f t="shared" si="508"/>
        <v>0</v>
      </c>
      <c r="AD197" s="33">
        <f t="shared" si="508"/>
        <v>0</v>
      </c>
      <c r="AE197" s="33">
        <f t="shared" si="508"/>
        <v>0</v>
      </c>
      <c r="AF197" s="33">
        <f t="shared" si="508"/>
        <v>0</v>
      </c>
      <c r="AG197" s="33">
        <f t="shared" si="508"/>
        <v>0</v>
      </c>
      <c r="AH197" s="33">
        <f t="shared" si="508"/>
        <v>0</v>
      </c>
      <c r="AI197" s="33">
        <f t="shared" si="508"/>
        <v>0</v>
      </c>
      <c r="AJ197" s="33">
        <f t="shared" si="508"/>
        <v>0</v>
      </c>
      <c r="AK197" s="33">
        <f t="shared" si="508"/>
        <v>0</v>
      </c>
      <c r="AL197" s="33">
        <f t="shared" si="508"/>
        <v>0</v>
      </c>
      <c r="AM197" s="33">
        <f t="shared" si="508"/>
        <v>0</v>
      </c>
      <c r="AN197" s="33">
        <f t="shared" si="508"/>
        <v>0</v>
      </c>
      <c r="AO197" s="33">
        <f t="shared" si="508"/>
        <v>0</v>
      </c>
      <c r="AP197" s="33">
        <f t="shared" si="508"/>
        <v>0</v>
      </c>
      <c r="AQ197" s="33">
        <f t="shared" si="508"/>
        <v>0</v>
      </c>
      <c r="AR197" s="33">
        <f t="shared" si="508"/>
        <v>0</v>
      </c>
      <c r="AS197" s="33">
        <f t="shared" si="508"/>
        <v>0</v>
      </c>
      <c r="AT197" s="33">
        <f t="shared" si="508"/>
        <v>0</v>
      </c>
      <c r="AU197" s="33">
        <f t="shared" si="508"/>
        <v>0</v>
      </c>
      <c r="AV197" s="33">
        <f t="shared" si="508"/>
        <v>0</v>
      </c>
      <c r="AW197" s="33">
        <f t="shared" si="508"/>
        <v>0</v>
      </c>
      <c r="AX197" s="33">
        <f t="shared" si="508"/>
        <v>0</v>
      </c>
      <c r="AY197" s="33">
        <f t="shared" si="508"/>
        <v>0</v>
      </c>
      <c r="AZ197" s="33">
        <f t="shared" si="508"/>
        <v>0</v>
      </c>
      <c r="BA197" s="33">
        <f t="shared" si="508"/>
        <v>0</v>
      </c>
      <c r="BB197" s="33">
        <f t="shared" si="508"/>
        <v>0</v>
      </c>
      <c r="BC197" s="33">
        <f t="shared" si="508"/>
        <v>0</v>
      </c>
      <c r="BD197" s="33">
        <f t="shared" si="508"/>
        <v>0</v>
      </c>
      <c r="BE197" s="33">
        <f t="shared" ref="BE197:CP197" si="509">SUM(BE195:BE196)</f>
        <v>0</v>
      </c>
      <c r="BF197" s="33">
        <f t="shared" si="509"/>
        <v>0</v>
      </c>
      <c r="BG197" s="33">
        <f t="shared" si="509"/>
        <v>0</v>
      </c>
      <c r="BH197" s="33">
        <f t="shared" si="509"/>
        <v>0</v>
      </c>
      <c r="BI197" s="33">
        <f t="shared" si="509"/>
        <v>0</v>
      </c>
      <c r="BJ197" s="33">
        <f t="shared" si="509"/>
        <v>0</v>
      </c>
      <c r="BK197" s="33">
        <f t="shared" si="509"/>
        <v>0</v>
      </c>
      <c r="BL197" s="33">
        <f t="shared" si="509"/>
        <v>0</v>
      </c>
      <c r="BM197" s="33">
        <f t="shared" si="509"/>
        <v>0</v>
      </c>
      <c r="BN197" s="33">
        <f t="shared" si="509"/>
        <v>0</v>
      </c>
      <c r="BO197" s="33">
        <f t="shared" si="509"/>
        <v>0</v>
      </c>
      <c r="BP197" s="33">
        <f t="shared" si="509"/>
        <v>0</v>
      </c>
      <c r="BQ197" s="33">
        <f t="shared" si="509"/>
        <v>0</v>
      </c>
      <c r="BR197" s="33">
        <f t="shared" si="509"/>
        <v>0</v>
      </c>
      <c r="BS197" s="33">
        <f t="shared" si="509"/>
        <v>0</v>
      </c>
      <c r="BT197" s="33">
        <f t="shared" si="509"/>
        <v>0</v>
      </c>
      <c r="BU197" s="33">
        <f t="shared" si="509"/>
        <v>0</v>
      </c>
      <c r="BV197" s="33">
        <f t="shared" si="509"/>
        <v>0</v>
      </c>
      <c r="BW197" s="33">
        <f t="shared" si="509"/>
        <v>0</v>
      </c>
      <c r="BX197" s="33">
        <f t="shared" si="509"/>
        <v>0</v>
      </c>
      <c r="BY197" s="33">
        <f t="shared" si="509"/>
        <v>0</v>
      </c>
      <c r="BZ197" s="33">
        <f t="shared" si="509"/>
        <v>0</v>
      </c>
      <c r="CA197" s="33">
        <f t="shared" si="509"/>
        <v>0</v>
      </c>
      <c r="CB197" s="33">
        <f t="shared" si="509"/>
        <v>0</v>
      </c>
      <c r="CC197" s="33">
        <f t="shared" si="509"/>
        <v>0</v>
      </c>
      <c r="CD197" s="33">
        <f t="shared" si="509"/>
        <v>0</v>
      </c>
      <c r="CE197" s="33">
        <f t="shared" si="509"/>
        <v>0</v>
      </c>
      <c r="CF197" s="33">
        <f t="shared" si="509"/>
        <v>0</v>
      </c>
      <c r="CG197" s="33">
        <f t="shared" si="509"/>
        <v>0</v>
      </c>
      <c r="CH197" s="33">
        <f t="shared" si="509"/>
        <v>0</v>
      </c>
      <c r="CI197" s="33">
        <f t="shared" si="509"/>
        <v>0</v>
      </c>
      <c r="CJ197" s="33">
        <f t="shared" si="509"/>
        <v>0</v>
      </c>
      <c r="CK197" s="33">
        <f t="shared" si="509"/>
        <v>0</v>
      </c>
      <c r="CL197" s="33">
        <f t="shared" si="509"/>
        <v>0</v>
      </c>
      <c r="CM197" s="33">
        <f t="shared" si="509"/>
        <v>0</v>
      </c>
      <c r="CN197" s="33">
        <f t="shared" si="509"/>
        <v>0</v>
      </c>
      <c r="CO197" s="33">
        <f t="shared" si="509"/>
        <v>0</v>
      </c>
      <c r="CP197" s="33">
        <f t="shared" si="509"/>
        <v>0</v>
      </c>
      <c r="CQ197" s="23" t="s">
        <v>77</v>
      </c>
      <c r="CS197" s="8"/>
      <c r="CT197" s="8"/>
      <c r="CU197"/>
      <c r="CV197"/>
      <c r="CW197"/>
      <c r="CX197"/>
      <c r="CY197"/>
      <c r="CZ197"/>
      <c r="DB197" s="8"/>
      <c r="DC197" s="8"/>
      <c r="DD197" s="8"/>
      <c r="DE197" s="8"/>
      <c r="DF197" s="8"/>
      <c r="DG197" s="8"/>
      <c r="DH197" s="8"/>
      <c r="DI197" s="8"/>
      <c r="DJ197" s="8"/>
      <c r="DK197" s="8"/>
    </row>
    <row r="198" spans="2:151" s="233" customFormat="1" outlineLevel="1" x14ac:dyDescent="0.2">
      <c r="B198" s="1" t="s">
        <v>547</v>
      </c>
      <c r="C198" s="8"/>
      <c r="D198" s="3"/>
      <c r="E198" s="3"/>
      <c r="F198" s="3"/>
      <c r="G198" s="3"/>
      <c r="H198" s="3"/>
      <c r="I198" s="3"/>
      <c r="J198" s="3"/>
      <c r="K198" s="35"/>
      <c r="L198" s="3"/>
      <c r="M198" s="3"/>
      <c r="N198" s="3"/>
      <c r="O198" s="3"/>
      <c r="P198" s="3"/>
      <c r="Q198" s="3"/>
      <c r="R198" s="3"/>
      <c r="S198" s="3">
        <f t="shared" ref="S198:BC198" si="510">S194+S197</f>
        <v>728.2</v>
      </c>
      <c r="T198" s="33">
        <f t="shared" si="510"/>
        <v>572.90000000000009</v>
      </c>
      <c r="U198" s="33">
        <f t="shared" si="510"/>
        <v>6284.4</v>
      </c>
      <c r="V198" s="33">
        <f>V194+V197</f>
        <v>673.59999999999991</v>
      </c>
      <c r="W198" s="33">
        <f t="shared" si="510"/>
        <v>377.5</v>
      </c>
      <c r="X198" s="33">
        <f t="shared" si="510"/>
        <v>786.8</v>
      </c>
      <c r="Y198" s="33">
        <f t="shared" si="510"/>
        <v>555.57650000000001</v>
      </c>
      <c r="Z198" s="33">
        <f t="shared" si="510"/>
        <v>186.95771945405014</v>
      </c>
      <c r="AA198" s="33">
        <f t="shared" si="510"/>
        <v>197.78895243761337</v>
      </c>
      <c r="AB198" s="33">
        <f t="shared" si="510"/>
        <v>206.2788197325826</v>
      </c>
      <c r="AC198" s="33">
        <f t="shared" si="510"/>
        <v>178.47949073124602</v>
      </c>
      <c r="AD198" s="33">
        <f t="shared" si="510"/>
        <v>150.66807987495798</v>
      </c>
      <c r="AE198" s="33">
        <f t="shared" si="510"/>
        <v>151.51509324529883</v>
      </c>
      <c r="AF198" s="33">
        <f t="shared" si="510"/>
        <v>152.13669695358624</v>
      </c>
      <c r="AG198" s="33">
        <f t="shared" si="510"/>
        <v>152.7593003794818</v>
      </c>
      <c r="AH198" s="33">
        <f t="shared" si="510"/>
        <v>153.38290499415905</v>
      </c>
      <c r="AI198" s="33">
        <f t="shared" si="510"/>
        <v>154.00751227092582</v>
      </c>
      <c r="AJ198" s="33">
        <f t="shared" si="510"/>
        <v>154.63312368522716</v>
      </c>
      <c r="AK198" s="33">
        <f t="shared" si="510"/>
        <v>155.25974071464864</v>
      </c>
      <c r="AL198" s="33">
        <f t="shared" si="510"/>
        <v>155.88736483891927</v>
      </c>
      <c r="AM198" s="33">
        <f t="shared" si="510"/>
        <v>156.51599753991468</v>
      </c>
      <c r="AN198" s="33">
        <f t="shared" si="510"/>
        <v>157.14564030166031</v>
      </c>
      <c r="AO198" s="33">
        <f t="shared" si="510"/>
        <v>157.77629461033436</v>
      </c>
      <c r="AP198" s="33">
        <f t="shared" si="510"/>
        <v>158.407961954271</v>
      </c>
      <c r="AQ198" s="33">
        <f t="shared" si="510"/>
        <v>159.04064382396345</v>
      </c>
      <c r="AR198" s="33">
        <f t="shared" si="510"/>
        <v>159.67434171206716</v>
      </c>
      <c r="AS198" s="33">
        <f t="shared" si="510"/>
        <v>160.3090571134029</v>
      </c>
      <c r="AT198" s="33">
        <f t="shared" si="510"/>
        <v>160.94479152495984</v>
      </c>
      <c r="AU198" s="33">
        <f t="shared" si="510"/>
        <v>161.58154644589879</v>
      </c>
      <c r="AV198" s="33">
        <f t="shared" si="510"/>
        <v>162.21932337755536</v>
      </c>
      <c r="AW198" s="33">
        <f t="shared" si="510"/>
        <v>162.85812382344295</v>
      </c>
      <c r="AX198" s="33">
        <f t="shared" si="510"/>
        <v>163.49794928925598</v>
      </c>
      <c r="AY198" s="33">
        <f t="shared" si="510"/>
        <v>164.13880128287323</v>
      </c>
      <c r="AZ198" s="33">
        <f t="shared" si="510"/>
        <v>164.78068131436061</v>
      </c>
      <c r="BA198" s="33">
        <f t="shared" si="510"/>
        <v>165.42359089597468</v>
      </c>
      <c r="BB198" s="33">
        <f t="shared" si="510"/>
        <v>166.06753154216574</v>
      </c>
      <c r="BC198" s="33">
        <f t="shared" si="510"/>
        <v>166.71250476958079</v>
      </c>
      <c r="BD198" s="33">
        <f>BD194+BD197</f>
        <v>167.35851209706703</v>
      </c>
      <c r="BE198" s="33">
        <f t="shared" ref="BE198:CP198" si="511">BE194+BE197</f>
        <v>168.00555504567484</v>
      </c>
      <c r="BF198" s="33">
        <f t="shared" si="511"/>
        <v>168.65363513866095</v>
      </c>
      <c r="BG198" s="33">
        <f t="shared" si="511"/>
        <v>169.30275390149177</v>
      </c>
      <c r="BH198" s="33">
        <f t="shared" si="511"/>
        <v>169.9529128618465</v>
      </c>
      <c r="BI198" s="33">
        <f t="shared" si="511"/>
        <v>170.60411354962034</v>
      </c>
      <c r="BJ198" s="33">
        <f t="shared" si="511"/>
        <v>171.25635749692771</v>
      </c>
      <c r="BK198" s="33">
        <f t="shared" si="511"/>
        <v>171.90964623810547</v>
      </c>
      <c r="BL198" s="33">
        <f t="shared" si="511"/>
        <v>172.5639813097161</v>
      </c>
      <c r="BM198" s="33">
        <f t="shared" si="511"/>
        <v>173.21936425055094</v>
      </c>
      <c r="BN198" s="33">
        <f t="shared" si="511"/>
        <v>173.87579660163345</v>
      </c>
      <c r="BO198" s="33">
        <f t="shared" si="511"/>
        <v>174.53327990622239</v>
      </c>
      <c r="BP198" s="33">
        <f t="shared" si="511"/>
        <v>175.1918157098151</v>
      </c>
      <c r="BQ198" s="33">
        <f t="shared" si="511"/>
        <v>175.85140556015068</v>
      </c>
      <c r="BR198" s="33">
        <f t="shared" si="511"/>
        <v>176.5120510072133</v>
      </c>
      <c r="BS198" s="33">
        <f t="shared" si="511"/>
        <v>177.17375360323535</v>
      </c>
      <c r="BT198" s="33">
        <f t="shared" si="511"/>
        <v>177.83651490270088</v>
      </c>
      <c r="BU198" s="33">
        <f t="shared" si="511"/>
        <v>178.5003364623486</v>
      </c>
      <c r="BV198" s="33">
        <f t="shared" si="511"/>
        <v>179.16521984117537</v>
      </c>
      <c r="BW198" s="33">
        <f t="shared" si="511"/>
        <v>179.83116660043936</v>
      </c>
      <c r="BX198" s="33">
        <f t="shared" si="511"/>
        <v>180.49817830366339</v>
      </c>
      <c r="BY198" s="33">
        <f t="shared" si="511"/>
        <v>181.16625651663807</v>
      </c>
      <c r="BZ198" s="33">
        <f t="shared" si="511"/>
        <v>181.83540280742523</v>
      </c>
      <c r="CA198" s="33">
        <f t="shared" si="511"/>
        <v>182.50561874636108</v>
      </c>
      <c r="CB198" s="33">
        <f t="shared" si="511"/>
        <v>183.17690590605969</v>
      </c>
      <c r="CC198" s="33">
        <f t="shared" si="511"/>
        <v>183.84926586141606</v>
      </c>
      <c r="CD198" s="33">
        <f t="shared" si="511"/>
        <v>184.52270018960957</v>
      </c>
      <c r="CE198" s="33">
        <f t="shared" si="511"/>
        <v>185.19721047010722</v>
      </c>
      <c r="CF198" s="33">
        <f t="shared" si="511"/>
        <v>185.87279828466697</v>
      </c>
      <c r="CG198" s="33">
        <f t="shared" si="511"/>
        <v>186.54946521734109</v>
      </c>
      <c r="CH198" s="33">
        <f t="shared" si="511"/>
        <v>187.2272128544794</v>
      </c>
      <c r="CI198" s="33">
        <f t="shared" si="511"/>
        <v>187.90604278473262</v>
      </c>
      <c r="CJ198" s="33">
        <f t="shared" si="511"/>
        <v>188.58595659905569</v>
      </c>
      <c r="CK198" s="33">
        <f t="shared" si="511"/>
        <v>189.26695589071124</v>
      </c>
      <c r="CL198" s="33">
        <f t="shared" si="511"/>
        <v>189.94904225527273</v>
      </c>
      <c r="CM198" s="33">
        <f t="shared" si="511"/>
        <v>190.63221729062784</v>
      </c>
      <c r="CN198" s="33">
        <f t="shared" si="511"/>
        <v>191.31648259698196</v>
      </c>
      <c r="CO198" s="33">
        <f t="shared" si="511"/>
        <v>192.00183977686137</v>
      </c>
      <c r="CP198" s="33">
        <f t="shared" si="511"/>
        <v>192.68829043511673</v>
      </c>
      <c r="CQ198" s="23"/>
      <c r="CS198" s="8"/>
      <c r="CT198" s="8"/>
      <c r="CU198"/>
      <c r="CV198"/>
      <c r="CW198"/>
      <c r="CX198"/>
      <c r="CY198"/>
      <c r="CZ198"/>
      <c r="DB198" s="8"/>
      <c r="DC198" s="8"/>
      <c r="DD198" s="8"/>
      <c r="DE198" s="8"/>
      <c r="DF198" s="8"/>
      <c r="DG198" s="8"/>
      <c r="DH198" s="8"/>
      <c r="DI198" s="8"/>
      <c r="DJ198" s="8"/>
      <c r="DK198" s="8"/>
    </row>
    <row r="199" spans="2:151" x14ac:dyDescent="0.2">
      <c r="B199" s="103"/>
      <c r="K199" s="45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43"/>
      <c r="CB199" s="43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23" t="s">
        <v>77</v>
      </c>
      <c r="DD199" s="8"/>
      <c r="DE199" s="8"/>
      <c r="DF199" s="8"/>
      <c r="DG199" s="8"/>
      <c r="DH199" s="8"/>
      <c r="DI199" s="8"/>
      <c r="DJ199" s="8"/>
      <c r="DK199" s="8"/>
    </row>
    <row r="200" spans="2:151" s="233" customFormat="1" x14ac:dyDescent="0.2">
      <c r="B200" s="728" t="s">
        <v>386</v>
      </c>
      <c r="C200" s="312"/>
      <c r="D200" s="308"/>
      <c r="E200" s="308"/>
      <c r="F200" s="312">
        <f t="shared" ref="F200:BQ200" si="512">Fiscal_Year</f>
        <v>36707</v>
      </c>
      <c r="G200" s="312">
        <f t="shared" si="512"/>
        <v>37072</v>
      </c>
      <c r="H200" s="312">
        <f t="shared" si="512"/>
        <v>37437</v>
      </c>
      <c r="I200" s="312">
        <f t="shared" si="512"/>
        <v>37802</v>
      </c>
      <c r="J200" s="312">
        <f t="shared" si="512"/>
        <v>38168</v>
      </c>
      <c r="K200" s="312">
        <f t="shared" si="512"/>
        <v>38533</v>
      </c>
      <c r="L200" s="312">
        <f t="shared" si="512"/>
        <v>38898</v>
      </c>
      <c r="M200" s="312">
        <f t="shared" si="512"/>
        <v>39263</v>
      </c>
      <c r="N200" s="312">
        <f t="shared" si="512"/>
        <v>39629</v>
      </c>
      <c r="O200" s="312">
        <f t="shared" si="512"/>
        <v>39994</v>
      </c>
      <c r="P200" s="312">
        <f t="shared" si="512"/>
        <v>40359</v>
      </c>
      <c r="Q200" s="312">
        <f t="shared" si="512"/>
        <v>40724</v>
      </c>
      <c r="R200" s="312">
        <f t="shared" si="512"/>
        <v>41090</v>
      </c>
      <c r="S200" s="312">
        <f t="shared" si="512"/>
        <v>41455</v>
      </c>
      <c r="T200" s="312">
        <f t="shared" si="512"/>
        <v>41820</v>
      </c>
      <c r="U200" s="312">
        <f t="shared" si="512"/>
        <v>42185</v>
      </c>
      <c r="V200" s="312">
        <f t="shared" si="512"/>
        <v>42551</v>
      </c>
      <c r="W200" s="312">
        <f t="shared" si="512"/>
        <v>42916</v>
      </c>
      <c r="X200" s="312">
        <f t="shared" si="512"/>
        <v>43281</v>
      </c>
      <c r="Y200" s="312">
        <f t="shared" si="512"/>
        <v>43646</v>
      </c>
      <c r="Z200" s="312">
        <f t="shared" si="512"/>
        <v>44012</v>
      </c>
      <c r="AA200" s="312">
        <f t="shared" si="512"/>
        <v>44377</v>
      </c>
      <c r="AB200" s="312">
        <f t="shared" si="512"/>
        <v>44742</v>
      </c>
      <c r="AC200" s="312">
        <f t="shared" si="512"/>
        <v>45107</v>
      </c>
      <c r="AD200" s="312">
        <f t="shared" si="512"/>
        <v>45473</v>
      </c>
      <c r="AE200" s="312">
        <f t="shared" si="512"/>
        <v>45838</v>
      </c>
      <c r="AF200" s="312">
        <f t="shared" si="512"/>
        <v>46203</v>
      </c>
      <c r="AG200" s="312">
        <f t="shared" si="512"/>
        <v>46568</v>
      </c>
      <c r="AH200" s="312">
        <f t="shared" si="512"/>
        <v>46934</v>
      </c>
      <c r="AI200" s="312">
        <f t="shared" si="512"/>
        <v>47299</v>
      </c>
      <c r="AJ200" s="312">
        <f t="shared" si="512"/>
        <v>47664</v>
      </c>
      <c r="AK200" s="312">
        <f t="shared" si="512"/>
        <v>48029</v>
      </c>
      <c r="AL200" s="312">
        <f t="shared" si="512"/>
        <v>48395</v>
      </c>
      <c r="AM200" s="312">
        <f t="shared" si="512"/>
        <v>48760</v>
      </c>
      <c r="AN200" s="312">
        <f t="shared" si="512"/>
        <v>49125</v>
      </c>
      <c r="AO200" s="312">
        <f t="shared" si="512"/>
        <v>49490</v>
      </c>
      <c r="AP200" s="312">
        <f t="shared" si="512"/>
        <v>49856</v>
      </c>
      <c r="AQ200" s="312">
        <f t="shared" si="512"/>
        <v>50221</v>
      </c>
      <c r="AR200" s="312">
        <f t="shared" si="512"/>
        <v>50586</v>
      </c>
      <c r="AS200" s="312">
        <f t="shared" si="512"/>
        <v>50951</v>
      </c>
      <c r="AT200" s="312">
        <f t="shared" si="512"/>
        <v>51317</v>
      </c>
      <c r="AU200" s="312">
        <f t="shared" si="512"/>
        <v>51682</v>
      </c>
      <c r="AV200" s="312">
        <f t="shared" si="512"/>
        <v>52047</v>
      </c>
      <c r="AW200" s="312">
        <f t="shared" si="512"/>
        <v>52412</v>
      </c>
      <c r="AX200" s="312">
        <f t="shared" si="512"/>
        <v>52778</v>
      </c>
      <c r="AY200" s="312">
        <f t="shared" si="512"/>
        <v>53143</v>
      </c>
      <c r="AZ200" s="312">
        <f t="shared" si="512"/>
        <v>53508</v>
      </c>
      <c r="BA200" s="312">
        <f t="shared" si="512"/>
        <v>53873</v>
      </c>
      <c r="BB200" s="312">
        <f t="shared" si="512"/>
        <v>54239</v>
      </c>
      <c r="BC200" s="312">
        <f t="shared" si="512"/>
        <v>54604</v>
      </c>
      <c r="BD200" s="312">
        <f t="shared" si="512"/>
        <v>54969</v>
      </c>
      <c r="BE200" s="312">
        <f t="shared" si="512"/>
        <v>55334</v>
      </c>
      <c r="BF200" s="312">
        <f t="shared" si="512"/>
        <v>55700</v>
      </c>
      <c r="BG200" s="312">
        <f t="shared" si="512"/>
        <v>56065</v>
      </c>
      <c r="BH200" s="312">
        <f t="shared" si="512"/>
        <v>56430</v>
      </c>
      <c r="BI200" s="312">
        <f t="shared" si="512"/>
        <v>56795</v>
      </c>
      <c r="BJ200" s="312">
        <f t="shared" si="512"/>
        <v>57161</v>
      </c>
      <c r="BK200" s="312">
        <f t="shared" si="512"/>
        <v>57526</v>
      </c>
      <c r="BL200" s="312">
        <f t="shared" si="512"/>
        <v>57891</v>
      </c>
      <c r="BM200" s="312">
        <f t="shared" si="512"/>
        <v>58256</v>
      </c>
      <c r="BN200" s="312">
        <f t="shared" si="512"/>
        <v>58622</v>
      </c>
      <c r="BO200" s="312">
        <f t="shared" si="512"/>
        <v>58987</v>
      </c>
      <c r="BP200" s="312">
        <f t="shared" si="512"/>
        <v>59352</v>
      </c>
      <c r="BQ200" s="312">
        <f t="shared" si="512"/>
        <v>59717</v>
      </c>
      <c r="BR200" s="312">
        <f t="shared" ref="BR200:CP200" si="513">Fiscal_Year</f>
        <v>60083</v>
      </c>
      <c r="BS200" s="312">
        <f t="shared" si="513"/>
        <v>60448</v>
      </c>
      <c r="BT200" s="312">
        <f t="shared" si="513"/>
        <v>60813</v>
      </c>
      <c r="BU200" s="312">
        <f t="shared" si="513"/>
        <v>61178</v>
      </c>
      <c r="BV200" s="312">
        <f t="shared" si="513"/>
        <v>61544</v>
      </c>
      <c r="BW200" s="312">
        <f t="shared" si="513"/>
        <v>61909</v>
      </c>
      <c r="BX200" s="312">
        <f t="shared" si="513"/>
        <v>62274</v>
      </c>
      <c r="BY200" s="312">
        <f t="shared" si="513"/>
        <v>62639</v>
      </c>
      <c r="BZ200" s="312">
        <f t="shared" si="513"/>
        <v>63005</v>
      </c>
      <c r="CA200" s="312">
        <f t="shared" si="513"/>
        <v>63370</v>
      </c>
      <c r="CB200" s="312">
        <f t="shared" si="513"/>
        <v>63735</v>
      </c>
      <c r="CC200" s="312">
        <f t="shared" si="513"/>
        <v>64100</v>
      </c>
      <c r="CD200" s="312">
        <f t="shared" si="513"/>
        <v>64466</v>
      </c>
      <c r="CE200" s="312">
        <f t="shared" si="513"/>
        <v>64831</v>
      </c>
      <c r="CF200" s="312">
        <f t="shared" si="513"/>
        <v>65196</v>
      </c>
      <c r="CG200" s="312">
        <f t="shared" si="513"/>
        <v>65561</v>
      </c>
      <c r="CH200" s="312">
        <f t="shared" si="513"/>
        <v>65927</v>
      </c>
      <c r="CI200" s="312">
        <f t="shared" si="513"/>
        <v>66292</v>
      </c>
      <c r="CJ200" s="312">
        <f t="shared" si="513"/>
        <v>66657</v>
      </c>
      <c r="CK200" s="312">
        <f t="shared" si="513"/>
        <v>67022</v>
      </c>
      <c r="CL200" s="312">
        <f t="shared" si="513"/>
        <v>67388</v>
      </c>
      <c r="CM200" s="312">
        <f t="shared" si="513"/>
        <v>67753</v>
      </c>
      <c r="CN200" s="312">
        <f t="shared" si="513"/>
        <v>68118</v>
      </c>
      <c r="CO200" s="312">
        <f t="shared" si="513"/>
        <v>68483</v>
      </c>
      <c r="CP200" s="312">
        <f t="shared" si="513"/>
        <v>68849</v>
      </c>
      <c r="CQ200" s="23" t="s">
        <v>77</v>
      </c>
      <c r="CU200"/>
      <c r="CV200"/>
      <c r="CW200"/>
      <c r="CX200"/>
      <c r="CY200"/>
      <c r="CZ200"/>
      <c r="DB200" s="8"/>
      <c r="DC200" s="8"/>
      <c r="DD200" s="8"/>
      <c r="DE200" s="8"/>
      <c r="DF200" s="8"/>
      <c r="DG200" s="8"/>
      <c r="DH200" s="8"/>
      <c r="DI200" s="8"/>
      <c r="DJ200" s="8"/>
      <c r="DK200" s="8"/>
    </row>
    <row r="201" spans="2:151" ht="5.0999999999999996" customHeight="1" x14ac:dyDescent="0.2">
      <c r="B201" s="107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W201" s="108"/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  <c r="AT201" s="108"/>
      <c r="AU201" s="108"/>
      <c r="AV201" s="108"/>
      <c r="AW201" s="108"/>
      <c r="AX201" s="108"/>
      <c r="AY201" s="108"/>
      <c r="AZ201" s="108"/>
      <c r="BA201" s="108"/>
      <c r="BB201" s="108"/>
      <c r="BC201" s="108"/>
      <c r="BD201" s="108"/>
      <c r="BE201" s="108"/>
      <c r="BF201" s="108"/>
      <c r="BG201" s="108"/>
      <c r="BH201" s="108"/>
      <c r="BI201" s="108"/>
      <c r="BJ201" s="108"/>
      <c r="BK201" s="108"/>
      <c r="BL201" s="108"/>
      <c r="BM201" s="108"/>
      <c r="BN201" s="108"/>
      <c r="BO201" s="108"/>
      <c r="BP201" s="108"/>
      <c r="BQ201" s="108"/>
      <c r="BR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108"/>
      <c r="CO201" s="108"/>
      <c r="CP201" s="108"/>
      <c r="CQ201" s="23" t="s">
        <v>77</v>
      </c>
      <c r="DD201" s="8"/>
      <c r="DE201" s="8"/>
      <c r="DF201" s="8"/>
      <c r="DG201" s="8"/>
      <c r="DH201" s="8"/>
      <c r="DI201" s="8"/>
      <c r="DJ201" s="8"/>
      <c r="DK201" s="8"/>
    </row>
    <row r="202" spans="2:151" outlineLevel="1" x14ac:dyDescent="0.2">
      <c r="B202" s="11" t="s">
        <v>387</v>
      </c>
      <c r="D202" s="52"/>
      <c r="E202" s="52"/>
      <c r="F202" s="52"/>
      <c r="G202" s="52"/>
      <c r="H202" s="52"/>
      <c r="I202" s="52"/>
      <c r="J202" s="52"/>
      <c r="K202" s="481"/>
      <c r="L202" s="482"/>
      <c r="M202" s="482"/>
      <c r="N202" s="482"/>
      <c r="O202" s="482"/>
      <c r="P202" s="482"/>
      <c r="Q202" s="482"/>
      <c r="R202" s="482"/>
      <c r="S202" s="483">
        <v>268.68700000000001</v>
      </c>
      <c r="T202" s="186">
        <v>340</v>
      </c>
      <c r="U202" s="186">
        <v>333.13799999999998</v>
      </c>
      <c r="V202" s="250">
        <f>+U205</f>
        <v>249.26999999999998</v>
      </c>
      <c r="W202" s="250">
        <f>+V205</f>
        <v>245.13699999999997</v>
      </c>
      <c r="X202" s="272">
        <f t="shared" ref="X202:BD202" si="514">+W205</f>
        <v>221.27699999999999</v>
      </c>
      <c r="Y202" s="272">
        <f t="shared" si="514"/>
        <v>151.50530250645193</v>
      </c>
      <c r="Z202" s="272">
        <f t="shared" si="514"/>
        <v>54.639067202695287</v>
      </c>
      <c r="AA202" s="272">
        <f t="shared" si="514"/>
        <v>0</v>
      </c>
      <c r="AB202" s="272">
        <f t="shared" si="514"/>
        <v>0</v>
      </c>
      <c r="AC202" s="272">
        <f t="shared" si="514"/>
        <v>0</v>
      </c>
      <c r="AD202" s="272">
        <f t="shared" si="514"/>
        <v>0</v>
      </c>
      <c r="AE202" s="272">
        <f t="shared" si="514"/>
        <v>0</v>
      </c>
      <c r="AF202" s="272">
        <f t="shared" si="514"/>
        <v>0</v>
      </c>
      <c r="AG202" s="272">
        <f t="shared" si="514"/>
        <v>0</v>
      </c>
      <c r="AH202" s="272">
        <f t="shared" si="514"/>
        <v>0</v>
      </c>
      <c r="AI202" s="272">
        <f t="shared" si="514"/>
        <v>0</v>
      </c>
      <c r="AJ202" s="272">
        <f t="shared" si="514"/>
        <v>0</v>
      </c>
      <c r="AK202" s="272">
        <f t="shared" si="514"/>
        <v>0</v>
      </c>
      <c r="AL202" s="272">
        <f t="shared" si="514"/>
        <v>0</v>
      </c>
      <c r="AM202" s="272">
        <f t="shared" si="514"/>
        <v>0</v>
      </c>
      <c r="AN202" s="272">
        <f t="shared" si="514"/>
        <v>0</v>
      </c>
      <c r="AO202" s="272">
        <f t="shared" si="514"/>
        <v>0</v>
      </c>
      <c r="AP202" s="272">
        <f t="shared" si="514"/>
        <v>0</v>
      </c>
      <c r="AQ202" s="272">
        <f t="shared" si="514"/>
        <v>0</v>
      </c>
      <c r="AR202" s="272">
        <f t="shared" si="514"/>
        <v>0</v>
      </c>
      <c r="AS202" s="272">
        <f t="shared" si="514"/>
        <v>0</v>
      </c>
      <c r="AT202" s="272">
        <f t="shared" si="514"/>
        <v>0</v>
      </c>
      <c r="AU202" s="272">
        <f t="shared" si="514"/>
        <v>0</v>
      </c>
      <c r="AV202" s="272">
        <f t="shared" si="514"/>
        <v>0</v>
      </c>
      <c r="AW202" s="272">
        <f t="shared" si="514"/>
        <v>0</v>
      </c>
      <c r="AX202" s="272">
        <f t="shared" si="514"/>
        <v>0</v>
      </c>
      <c r="AY202" s="272">
        <f t="shared" si="514"/>
        <v>0</v>
      </c>
      <c r="AZ202" s="272">
        <f t="shared" si="514"/>
        <v>0</v>
      </c>
      <c r="BA202" s="272">
        <f t="shared" si="514"/>
        <v>0</v>
      </c>
      <c r="BB202" s="272">
        <f t="shared" si="514"/>
        <v>27.368502414628512</v>
      </c>
      <c r="BC202" s="272">
        <f t="shared" si="514"/>
        <v>51.602190425654825</v>
      </c>
      <c r="BD202" s="272">
        <f t="shared" si="514"/>
        <v>72.613863614455397</v>
      </c>
      <c r="BE202" s="272">
        <f t="shared" ref="BE202:CP202" si="515">+BD205</f>
        <v>90.309194976002033</v>
      </c>
      <c r="BF202" s="272">
        <f t="shared" si="515"/>
        <v>104.58677413884676</v>
      </c>
      <c r="BG202" s="272">
        <f t="shared" si="515"/>
        <v>115.33904368598677</v>
      </c>
      <c r="BH202" s="272">
        <f t="shared" si="515"/>
        <v>122.45072864924902</v>
      </c>
      <c r="BI202" s="272">
        <f t="shared" si="515"/>
        <v>125.80090232896751</v>
      </c>
      <c r="BJ202" s="272">
        <f t="shared" si="515"/>
        <v>125.26072813399918</v>
      </c>
      <c r="BK202" s="272">
        <f t="shared" si="515"/>
        <v>120.69561038281529</v>
      </c>
      <c r="BL202" s="272">
        <f t="shared" si="515"/>
        <v>111.96338285089509</v>
      </c>
      <c r="BM202" s="272">
        <f t="shared" si="515"/>
        <v>98.915429434010875</v>
      </c>
      <c r="BN202" s="272">
        <f t="shared" si="515"/>
        <v>81.396324835149059</v>
      </c>
      <c r="BO202" s="272">
        <f t="shared" si="515"/>
        <v>59.243936947331932</v>
      </c>
      <c r="BP202" s="272">
        <f t="shared" si="515"/>
        <v>32.289162921875793</v>
      </c>
      <c r="BQ202" s="272">
        <f t="shared" si="515"/>
        <v>0.35601111886568759</v>
      </c>
      <c r="BR202" s="272">
        <f t="shared" si="515"/>
        <v>0</v>
      </c>
      <c r="BS202" s="272">
        <f t="shared" si="515"/>
        <v>0</v>
      </c>
      <c r="BT202" s="272">
        <f t="shared" si="515"/>
        <v>0</v>
      </c>
      <c r="BU202" s="272">
        <f t="shared" si="515"/>
        <v>0</v>
      </c>
      <c r="BV202" s="272">
        <f t="shared" si="515"/>
        <v>0</v>
      </c>
      <c r="BW202" s="272">
        <f t="shared" si="515"/>
        <v>0</v>
      </c>
      <c r="BX202" s="272">
        <f t="shared" si="515"/>
        <v>0</v>
      </c>
      <c r="BY202" s="272">
        <f t="shared" si="515"/>
        <v>0</v>
      </c>
      <c r="BZ202" s="272">
        <f t="shared" si="515"/>
        <v>0</v>
      </c>
      <c r="CA202" s="272">
        <f t="shared" si="515"/>
        <v>0</v>
      </c>
      <c r="CB202" s="272">
        <f t="shared" si="515"/>
        <v>0</v>
      </c>
      <c r="CC202" s="272">
        <f t="shared" si="515"/>
        <v>0</v>
      </c>
      <c r="CD202" s="272">
        <f t="shared" si="515"/>
        <v>0</v>
      </c>
      <c r="CE202" s="272">
        <f t="shared" si="515"/>
        <v>0</v>
      </c>
      <c r="CF202" s="272">
        <f t="shared" si="515"/>
        <v>0</v>
      </c>
      <c r="CG202" s="272">
        <f t="shared" si="515"/>
        <v>0</v>
      </c>
      <c r="CH202" s="272">
        <f t="shared" si="515"/>
        <v>0</v>
      </c>
      <c r="CI202" s="272">
        <f t="shared" si="515"/>
        <v>58.108321405829699</v>
      </c>
      <c r="CJ202" s="272">
        <f t="shared" si="515"/>
        <v>114.43197893292486</v>
      </c>
      <c r="CK202" s="272">
        <f t="shared" si="515"/>
        <v>168.82487098427379</v>
      </c>
      <c r="CL202" s="272">
        <f t="shared" si="515"/>
        <v>221.13661194165658</v>
      </c>
      <c r="CM202" s="272">
        <f t="shared" si="515"/>
        <v>271.2123606300587</v>
      </c>
      <c r="CN202" s="272">
        <f t="shared" si="515"/>
        <v>318.89231827870839</v>
      </c>
      <c r="CO202" s="272">
        <f t="shared" si="515"/>
        <v>364.0117730080508</v>
      </c>
      <c r="CP202" s="272">
        <f t="shared" si="515"/>
        <v>406.40091894867828</v>
      </c>
      <c r="CQ202" s="362" t="s">
        <v>77</v>
      </c>
      <c r="DD202" s="8"/>
      <c r="DE202" s="8"/>
      <c r="DF202" s="8"/>
      <c r="DG202" s="8"/>
      <c r="DH202" s="8"/>
      <c r="DI202" s="8"/>
      <c r="DJ202" s="8"/>
      <c r="DK202" s="8"/>
    </row>
    <row r="203" spans="2:151" outlineLevel="1" x14ac:dyDescent="0.2">
      <c r="B203" s="11" t="s">
        <v>480</v>
      </c>
      <c r="D203" s="52"/>
      <c r="E203" s="52"/>
      <c r="F203" s="52"/>
      <c r="G203" s="52"/>
      <c r="H203" s="52"/>
      <c r="I203" s="52"/>
      <c r="J203" s="52"/>
      <c r="K203" s="481"/>
      <c r="L203" s="482"/>
      <c r="M203" s="482"/>
      <c r="N203" s="482"/>
      <c r="O203" s="482"/>
      <c r="P203" s="482"/>
      <c r="Q203" s="482"/>
      <c r="R203" s="482"/>
      <c r="S203" s="483"/>
      <c r="T203" s="186">
        <f>T265/45</f>
        <v>123.87735555555555</v>
      </c>
      <c r="U203" s="186">
        <v>0</v>
      </c>
      <c r="V203" s="186">
        <v>0</v>
      </c>
      <c r="W203" s="186">
        <v>0</v>
      </c>
      <c r="X203" s="151">
        <v>0</v>
      </c>
      <c r="Y203" s="151">
        <v>0</v>
      </c>
      <c r="Z203" s="151">
        <v>0</v>
      </c>
      <c r="AA203" s="151">
        <v>0</v>
      </c>
      <c r="AB203" s="151">
        <v>0</v>
      </c>
      <c r="AC203" s="151">
        <v>0</v>
      </c>
      <c r="AD203" s="151">
        <v>0</v>
      </c>
      <c r="AE203" s="151">
        <v>0</v>
      </c>
      <c r="AF203" s="151">
        <v>0</v>
      </c>
      <c r="AG203" s="151">
        <v>0</v>
      </c>
      <c r="AH203" s="151">
        <v>0</v>
      </c>
      <c r="AI203" s="151">
        <v>0</v>
      </c>
      <c r="AJ203" s="151">
        <v>0</v>
      </c>
      <c r="AK203" s="151">
        <v>0</v>
      </c>
      <c r="AL203" s="151">
        <v>0</v>
      </c>
      <c r="AM203" s="151">
        <v>0</v>
      </c>
      <c r="AN203" s="151">
        <v>0</v>
      </c>
      <c r="AO203" s="151">
        <v>0</v>
      </c>
      <c r="AP203" s="151">
        <v>0</v>
      </c>
      <c r="AQ203" s="151">
        <v>0</v>
      </c>
      <c r="AR203" s="151">
        <v>0</v>
      </c>
      <c r="AS203" s="151">
        <v>0</v>
      </c>
      <c r="AT203" s="151">
        <v>0</v>
      </c>
      <c r="AU203" s="151">
        <v>0</v>
      </c>
      <c r="AV203" s="151">
        <v>0</v>
      </c>
      <c r="AW203" s="151">
        <v>0</v>
      </c>
      <c r="AX203" s="151">
        <v>0</v>
      </c>
      <c r="AY203" s="151">
        <v>0</v>
      </c>
      <c r="AZ203" s="151">
        <v>0</v>
      </c>
      <c r="BA203" s="151">
        <v>0</v>
      </c>
      <c r="BB203" s="151">
        <v>0</v>
      </c>
      <c r="BC203" s="151">
        <v>0</v>
      </c>
      <c r="BD203" s="151">
        <v>0</v>
      </c>
      <c r="BE203" s="151">
        <v>0</v>
      </c>
      <c r="BF203" s="151">
        <v>0</v>
      </c>
      <c r="BG203" s="151">
        <v>0</v>
      </c>
      <c r="BH203" s="151">
        <v>0</v>
      </c>
      <c r="BI203" s="151">
        <v>0</v>
      </c>
      <c r="BJ203" s="151">
        <v>0</v>
      </c>
      <c r="BK203" s="151">
        <v>0</v>
      </c>
      <c r="BL203" s="151">
        <v>0</v>
      </c>
      <c r="BM203" s="151">
        <v>0</v>
      </c>
      <c r="BN203" s="151">
        <v>0</v>
      </c>
      <c r="BO203" s="151">
        <v>0</v>
      </c>
      <c r="BP203" s="151">
        <v>0</v>
      </c>
      <c r="BQ203" s="151">
        <v>0</v>
      </c>
      <c r="BR203" s="151">
        <v>0</v>
      </c>
      <c r="BS203" s="151">
        <v>0</v>
      </c>
      <c r="BT203" s="151">
        <v>0</v>
      </c>
      <c r="BU203" s="151">
        <v>0</v>
      </c>
      <c r="BV203" s="151">
        <v>0</v>
      </c>
      <c r="BW203" s="151">
        <v>0</v>
      </c>
      <c r="BX203" s="151">
        <v>0</v>
      </c>
      <c r="BY203" s="151">
        <v>0</v>
      </c>
      <c r="BZ203" s="151">
        <v>0</v>
      </c>
      <c r="CA203" s="151">
        <v>0</v>
      </c>
      <c r="CB203" s="151">
        <v>0</v>
      </c>
      <c r="CC203" s="151">
        <v>0</v>
      </c>
      <c r="CD203" s="151">
        <v>0</v>
      </c>
      <c r="CE203" s="151">
        <v>0</v>
      </c>
      <c r="CF203" s="151">
        <v>0</v>
      </c>
      <c r="CG203" s="151">
        <v>0</v>
      </c>
      <c r="CH203" s="151">
        <v>0</v>
      </c>
      <c r="CI203" s="151">
        <v>0</v>
      </c>
      <c r="CJ203" s="151">
        <v>0</v>
      </c>
      <c r="CK203" s="151">
        <v>0</v>
      </c>
      <c r="CL203" s="151">
        <v>0</v>
      </c>
      <c r="CM203" s="151">
        <v>0</v>
      </c>
      <c r="CN203" s="151">
        <v>0</v>
      </c>
      <c r="CO203" s="151">
        <v>0</v>
      </c>
      <c r="CP203" s="151">
        <v>0</v>
      </c>
      <c r="CQ203" s="23"/>
      <c r="DD203" s="8"/>
      <c r="DE203" s="8"/>
      <c r="DF203" s="8"/>
      <c r="DG203" s="8"/>
      <c r="DH203" s="8"/>
      <c r="DI203" s="8"/>
      <c r="DJ203" s="8"/>
      <c r="DK203" s="8"/>
    </row>
    <row r="204" spans="2:151" outlineLevel="1" x14ac:dyDescent="0.2">
      <c r="B204" s="11" t="s">
        <v>481</v>
      </c>
      <c r="D204" s="52"/>
      <c r="E204" s="52"/>
      <c r="F204" s="52"/>
      <c r="G204" s="52"/>
      <c r="H204" s="52"/>
      <c r="I204" s="52"/>
      <c r="J204" s="52"/>
      <c r="K204" s="481"/>
      <c r="L204" s="482"/>
      <c r="M204" s="482"/>
      <c r="N204" s="482"/>
      <c r="O204" s="482"/>
      <c r="P204" s="482"/>
      <c r="Q204" s="482"/>
      <c r="R204" s="482"/>
      <c r="S204" s="51">
        <f>-S216</f>
        <v>-51.28</v>
      </c>
      <c r="T204" s="51">
        <f>T216/T120</f>
        <v>-252.23321060322996</v>
      </c>
      <c r="U204" s="186">
        <v>-83.867999999999995</v>
      </c>
      <c r="V204" s="186">
        <v>-4.133</v>
      </c>
      <c r="W204" s="186">
        <v>-23.86</v>
      </c>
      <c r="X204" s="51">
        <f t="shared" ref="X204:BD204" si="516">-X216</f>
        <v>-69.771697493548061</v>
      </c>
      <c r="Y204" s="51">
        <f t="shared" si="516"/>
        <v>-96.866235303756639</v>
      </c>
      <c r="Z204" s="51">
        <f t="shared" si="516"/>
        <v>-105.90494827125161</v>
      </c>
      <c r="AA204" s="51">
        <f t="shared" si="516"/>
        <v>-99.632196025422758</v>
      </c>
      <c r="AB204" s="51">
        <f t="shared" si="516"/>
        <v>-94.495094800530723</v>
      </c>
      <c r="AC204" s="51">
        <f t="shared" si="516"/>
        <v>-48.169328120671963</v>
      </c>
      <c r="AD204" s="51">
        <f t="shared" si="516"/>
        <v>-53.147533072452049</v>
      </c>
      <c r="AE204" s="51">
        <f t="shared" si="516"/>
        <v>-57.188987505994504</v>
      </c>
      <c r="AF204" s="51">
        <f t="shared" si="516"/>
        <v>-59.329097122738062</v>
      </c>
      <c r="AG204" s="51">
        <f t="shared" si="516"/>
        <v>-60.408071897179354</v>
      </c>
      <c r="AH204" s="51">
        <f t="shared" si="516"/>
        <v>-64.071914276607629</v>
      </c>
      <c r="AI204" s="51">
        <f t="shared" si="516"/>
        <v>-55.833073250599256</v>
      </c>
      <c r="AJ204" s="51">
        <f t="shared" si="516"/>
        <v>-50.752681913273449</v>
      </c>
      <c r="AK204" s="51">
        <f t="shared" si="516"/>
        <v>-50.549479049486735</v>
      </c>
      <c r="AL204" s="51">
        <f t="shared" si="516"/>
        <v>-54.179212344819476</v>
      </c>
      <c r="AM204" s="51">
        <f t="shared" si="516"/>
        <v>-57.711029468680437</v>
      </c>
      <c r="AN204" s="51">
        <f t="shared" si="516"/>
        <v>-60.174284786050862</v>
      </c>
      <c r="AO204" s="51">
        <f t="shared" si="516"/>
        <v>-59.946597607978617</v>
      </c>
      <c r="AP204" s="51">
        <f t="shared" si="516"/>
        <v>-14.852502840864517</v>
      </c>
      <c r="AQ204" s="51">
        <f t="shared" si="516"/>
        <v>-17.876153738320966</v>
      </c>
      <c r="AR204" s="51">
        <f t="shared" si="516"/>
        <v>-10.883738990523049</v>
      </c>
      <c r="AS204" s="51">
        <f t="shared" si="516"/>
        <v>-1.3372307146434319</v>
      </c>
      <c r="AT204" s="51">
        <f t="shared" si="516"/>
        <v>-0.66426827005719868</v>
      </c>
      <c r="AU204" s="51">
        <f t="shared" si="516"/>
        <v>-2.9744868150826349</v>
      </c>
      <c r="AV204" s="51">
        <f t="shared" si="516"/>
        <v>-4.1722144429831634</v>
      </c>
      <c r="AW204" s="51">
        <f t="shared" si="516"/>
        <v>-1.6683095054878345</v>
      </c>
      <c r="AX204" s="51">
        <f t="shared" si="516"/>
        <v>-3.0640329972196128</v>
      </c>
      <c r="AY204" s="51">
        <f t="shared" si="516"/>
        <v>-4.4857990692060401</v>
      </c>
      <c r="AZ204" s="51">
        <f t="shared" si="516"/>
        <v>-5.9358855844312135</v>
      </c>
      <c r="BA204" s="51">
        <f t="shared" si="516"/>
        <v>27.368502414628512</v>
      </c>
      <c r="BB204" s="51">
        <f t="shared" si="516"/>
        <v>24.23368801102631</v>
      </c>
      <c r="BC204" s="51">
        <f t="shared" si="516"/>
        <v>21.011673188800575</v>
      </c>
      <c r="BD204" s="51">
        <f t="shared" si="516"/>
        <v>17.695331361546639</v>
      </c>
      <c r="BE204" s="51">
        <f t="shared" ref="BE204:CP204" si="517">-BE216</f>
        <v>14.277579162844727</v>
      </c>
      <c r="BF204" s="51">
        <f t="shared" si="517"/>
        <v>10.752269547139997</v>
      </c>
      <c r="BG204" s="51">
        <f t="shared" si="517"/>
        <v>7.1116849632622463</v>
      </c>
      <c r="BH204" s="51">
        <f t="shared" si="517"/>
        <v>3.3501736797184889</v>
      </c>
      <c r="BI204" s="51">
        <f t="shared" si="517"/>
        <v>-0.5401741949683242</v>
      </c>
      <c r="BJ204" s="51">
        <f t="shared" si="517"/>
        <v>-4.565117751183891</v>
      </c>
      <c r="BK204" s="51">
        <f t="shared" si="517"/>
        <v>-8.7322275319202038</v>
      </c>
      <c r="BL204" s="51">
        <f t="shared" si="517"/>
        <v>-13.047953416884218</v>
      </c>
      <c r="BM204" s="51">
        <f t="shared" si="517"/>
        <v>-17.519104598861816</v>
      </c>
      <c r="BN204" s="51">
        <f t="shared" si="517"/>
        <v>-22.152387887817131</v>
      </c>
      <c r="BO204" s="51">
        <f t="shared" si="517"/>
        <v>-26.954774025456139</v>
      </c>
      <c r="BP204" s="51">
        <f t="shared" si="517"/>
        <v>-31.933151803010105</v>
      </c>
      <c r="BQ204" s="51">
        <f t="shared" si="517"/>
        <v>-11.128334930784721</v>
      </c>
      <c r="BR204" s="51">
        <f t="shared" si="517"/>
        <v>-12.698569780088349</v>
      </c>
      <c r="BS204" s="51">
        <f t="shared" si="517"/>
        <v>-10.698670908906447</v>
      </c>
      <c r="BT204" s="51">
        <f t="shared" si="517"/>
        <v>-9.0400633250771065</v>
      </c>
      <c r="BU204" s="51">
        <f t="shared" si="517"/>
        <v>-10.536021659955974</v>
      </c>
      <c r="BV204" s="51">
        <f t="shared" si="517"/>
        <v>-12.086641969266271</v>
      </c>
      <c r="BW204" s="51">
        <f t="shared" si="517"/>
        <v>-13.693761625089635</v>
      </c>
      <c r="BX204" s="51">
        <f t="shared" si="517"/>
        <v>-15.359334412659706</v>
      </c>
      <c r="BY204" s="51">
        <f t="shared" si="517"/>
        <v>-17.085056554960808</v>
      </c>
      <c r="BZ204" s="51">
        <f t="shared" si="517"/>
        <v>-18.873084319567411</v>
      </c>
      <c r="CA204" s="51">
        <f t="shared" si="517"/>
        <v>-20.725218868892469</v>
      </c>
      <c r="CB204" s="51">
        <f t="shared" si="517"/>
        <v>-22.643588002610848</v>
      </c>
      <c r="CC204" s="51">
        <f t="shared" si="517"/>
        <v>-24.209597950864648</v>
      </c>
      <c r="CD204" s="51">
        <f t="shared" si="517"/>
        <v>-21.208490867482979</v>
      </c>
      <c r="CE204" s="51">
        <f t="shared" si="517"/>
        <v>-23.145106384344366</v>
      </c>
      <c r="CF204" s="51">
        <f t="shared" si="517"/>
        <v>-25.151562597220064</v>
      </c>
      <c r="CG204" s="51">
        <f t="shared" si="517"/>
        <v>-27.229908730417371</v>
      </c>
      <c r="CH204" s="51">
        <f t="shared" si="517"/>
        <v>58.108321405829699</v>
      </c>
      <c r="CI204" s="51">
        <f t="shared" si="517"/>
        <v>56.323657527095158</v>
      </c>
      <c r="CJ204" s="51">
        <f t="shared" si="517"/>
        <v>54.39289205134893</v>
      </c>
      <c r="CK204" s="51">
        <f t="shared" si="517"/>
        <v>52.311740957382789</v>
      </c>
      <c r="CL204" s="51">
        <f t="shared" si="517"/>
        <v>50.075748688402143</v>
      </c>
      <c r="CM204" s="51">
        <f t="shared" si="517"/>
        <v>47.679957648649676</v>
      </c>
      <c r="CN204" s="51">
        <f t="shared" si="517"/>
        <v>45.119454729342394</v>
      </c>
      <c r="CO204" s="51">
        <f t="shared" si="517"/>
        <v>42.389145940627493</v>
      </c>
      <c r="CP204" s="51">
        <f t="shared" si="517"/>
        <v>48.717369673837744</v>
      </c>
      <c r="CQ204" s="23" t="s">
        <v>77</v>
      </c>
      <c r="DD204" s="8"/>
      <c r="DE204" s="8"/>
      <c r="DF204" s="8"/>
      <c r="DG204" s="8"/>
      <c r="DH204" s="8"/>
      <c r="DI204" s="8"/>
      <c r="DJ204" s="8"/>
      <c r="DK204" s="8"/>
    </row>
    <row r="205" spans="2:151" outlineLevel="1" x14ac:dyDescent="0.2">
      <c r="B205" s="1" t="s">
        <v>388</v>
      </c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3">
        <f>MAX(0,+S202+S204+S203)</f>
        <v>217.40700000000001</v>
      </c>
      <c r="T205" s="33">
        <f>MAX(0,+T202+T204+T203)</f>
        <v>211.64414495232558</v>
      </c>
      <c r="U205" s="33">
        <f t="shared" ref="U205:BD205" si="518">MAX(0,+U202+U204+U203)</f>
        <v>249.26999999999998</v>
      </c>
      <c r="V205" s="33">
        <f t="shared" si="518"/>
        <v>245.13699999999997</v>
      </c>
      <c r="W205" s="33">
        <f t="shared" si="518"/>
        <v>221.27699999999999</v>
      </c>
      <c r="X205" s="33">
        <f t="shared" si="518"/>
        <v>151.50530250645193</v>
      </c>
      <c r="Y205" s="33">
        <f t="shared" si="518"/>
        <v>54.639067202695287</v>
      </c>
      <c r="Z205" s="33">
        <f t="shared" si="518"/>
        <v>0</v>
      </c>
      <c r="AA205" s="33">
        <f t="shared" si="518"/>
        <v>0</v>
      </c>
      <c r="AB205" s="33">
        <f t="shared" si="518"/>
        <v>0</v>
      </c>
      <c r="AC205" s="33">
        <f t="shared" si="518"/>
        <v>0</v>
      </c>
      <c r="AD205" s="33">
        <f t="shared" si="518"/>
        <v>0</v>
      </c>
      <c r="AE205" s="33">
        <f t="shared" si="518"/>
        <v>0</v>
      </c>
      <c r="AF205" s="33">
        <f t="shared" si="518"/>
        <v>0</v>
      </c>
      <c r="AG205" s="33">
        <f t="shared" si="518"/>
        <v>0</v>
      </c>
      <c r="AH205" s="33">
        <f t="shared" si="518"/>
        <v>0</v>
      </c>
      <c r="AI205" s="33">
        <f t="shared" si="518"/>
        <v>0</v>
      </c>
      <c r="AJ205" s="33">
        <f t="shared" si="518"/>
        <v>0</v>
      </c>
      <c r="AK205" s="33">
        <f t="shared" si="518"/>
        <v>0</v>
      </c>
      <c r="AL205" s="33">
        <f t="shared" si="518"/>
        <v>0</v>
      </c>
      <c r="AM205" s="33">
        <f t="shared" si="518"/>
        <v>0</v>
      </c>
      <c r="AN205" s="33">
        <f t="shared" si="518"/>
        <v>0</v>
      </c>
      <c r="AO205" s="33">
        <f t="shared" si="518"/>
        <v>0</v>
      </c>
      <c r="AP205" s="33">
        <f t="shared" si="518"/>
        <v>0</v>
      </c>
      <c r="AQ205" s="33">
        <f t="shared" si="518"/>
        <v>0</v>
      </c>
      <c r="AR205" s="33">
        <f t="shared" si="518"/>
        <v>0</v>
      </c>
      <c r="AS205" s="33">
        <f t="shared" si="518"/>
        <v>0</v>
      </c>
      <c r="AT205" s="33">
        <f t="shared" si="518"/>
        <v>0</v>
      </c>
      <c r="AU205" s="33">
        <f t="shared" si="518"/>
        <v>0</v>
      </c>
      <c r="AV205" s="33">
        <f t="shared" si="518"/>
        <v>0</v>
      </c>
      <c r="AW205" s="33">
        <f t="shared" si="518"/>
        <v>0</v>
      </c>
      <c r="AX205" s="33">
        <f t="shared" si="518"/>
        <v>0</v>
      </c>
      <c r="AY205" s="33">
        <f t="shared" si="518"/>
        <v>0</v>
      </c>
      <c r="AZ205" s="33">
        <f t="shared" si="518"/>
        <v>0</v>
      </c>
      <c r="BA205" s="33">
        <f t="shared" si="518"/>
        <v>27.368502414628512</v>
      </c>
      <c r="BB205" s="33">
        <f t="shared" si="518"/>
        <v>51.602190425654825</v>
      </c>
      <c r="BC205" s="33">
        <f t="shared" si="518"/>
        <v>72.613863614455397</v>
      </c>
      <c r="BD205" s="33">
        <f t="shared" si="518"/>
        <v>90.309194976002033</v>
      </c>
      <c r="BE205" s="33">
        <f t="shared" ref="BE205:CP205" si="519">MAX(0,+BE202+BE204+BE203)</f>
        <v>104.58677413884676</v>
      </c>
      <c r="BF205" s="33">
        <f t="shared" si="519"/>
        <v>115.33904368598677</v>
      </c>
      <c r="BG205" s="33">
        <f t="shared" si="519"/>
        <v>122.45072864924902</v>
      </c>
      <c r="BH205" s="33">
        <f t="shared" si="519"/>
        <v>125.80090232896751</v>
      </c>
      <c r="BI205" s="33">
        <f t="shared" si="519"/>
        <v>125.26072813399918</v>
      </c>
      <c r="BJ205" s="33">
        <f t="shared" si="519"/>
        <v>120.69561038281529</v>
      </c>
      <c r="BK205" s="33">
        <f t="shared" si="519"/>
        <v>111.96338285089509</v>
      </c>
      <c r="BL205" s="33">
        <f t="shared" si="519"/>
        <v>98.915429434010875</v>
      </c>
      <c r="BM205" s="33">
        <f t="shared" si="519"/>
        <v>81.396324835149059</v>
      </c>
      <c r="BN205" s="33">
        <f t="shared" si="519"/>
        <v>59.243936947331932</v>
      </c>
      <c r="BO205" s="33">
        <f t="shared" si="519"/>
        <v>32.289162921875793</v>
      </c>
      <c r="BP205" s="33">
        <f t="shared" si="519"/>
        <v>0.35601111886568759</v>
      </c>
      <c r="BQ205" s="33">
        <f t="shared" si="519"/>
        <v>0</v>
      </c>
      <c r="BR205" s="33">
        <f t="shared" si="519"/>
        <v>0</v>
      </c>
      <c r="BS205" s="33">
        <f t="shared" si="519"/>
        <v>0</v>
      </c>
      <c r="BT205" s="33">
        <f t="shared" si="519"/>
        <v>0</v>
      </c>
      <c r="BU205" s="33">
        <f t="shared" si="519"/>
        <v>0</v>
      </c>
      <c r="BV205" s="33">
        <f t="shared" si="519"/>
        <v>0</v>
      </c>
      <c r="BW205" s="33">
        <f t="shared" si="519"/>
        <v>0</v>
      </c>
      <c r="BX205" s="33">
        <f t="shared" si="519"/>
        <v>0</v>
      </c>
      <c r="BY205" s="33">
        <f t="shared" si="519"/>
        <v>0</v>
      </c>
      <c r="BZ205" s="33">
        <f t="shared" si="519"/>
        <v>0</v>
      </c>
      <c r="CA205" s="33">
        <f t="shared" si="519"/>
        <v>0</v>
      </c>
      <c r="CB205" s="33">
        <f t="shared" si="519"/>
        <v>0</v>
      </c>
      <c r="CC205" s="33">
        <f t="shared" si="519"/>
        <v>0</v>
      </c>
      <c r="CD205" s="33">
        <f t="shared" si="519"/>
        <v>0</v>
      </c>
      <c r="CE205" s="33">
        <f t="shared" si="519"/>
        <v>0</v>
      </c>
      <c r="CF205" s="33">
        <f t="shared" si="519"/>
        <v>0</v>
      </c>
      <c r="CG205" s="33">
        <f t="shared" si="519"/>
        <v>0</v>
      </c>
      <c r="CH205" s="33">
        <f t="shared" si="519"/>
        <v>58.108321405829699</v>
      </c>
      <c r="CI205" s="33">
        <f t="shared" si="519"/>
        <v>114.43197893292486</v>
      </c>
      <c r="CJ205" s="33">
        <f t="shared" si="519"/>
        <v>168.82487098427379</v>
      </c>
      <c r="CK205" s="33">
        <f t="shared" si="519"/>
        <v>221.13661194165658</v>
      </c>
      <c r="CL205" s="33">
        <f t="shared" si="519"/>
        <v>271.2123606300587</v>
      </c>
      <c r="CM205" s="33">
        <f t="shared" si="519"/>
        <v>318.89231827870839</v>
      </c>
      <c r="CN205" s="33">
        <f t="shared" si="519"/>
        <v>364.0117730080508</v>
      </c>
      <c r="CO205" s="33">
        <f t="shared" si="519"/>
        <v>406.40091894867828</v>
      </c>
      <c r="CP205" s="33">
        <f t="shared" si="519"/>
        <v>455.11828862251605</v>
      </c>
      <c r="CQ205" s="23" t="s">
        <v>77</v>
      </c>
      <c r="DD205" s="8"/>
      <c r="DE205" s="8"/>
      <c r="DF205" s="8"/>
      <c r="DG205" s="8"/>
      <c r="DH205" s="8"/>
      <c r="DI205" s="8"/>
      <c r="DJ205" s="8"/>
      <c r="DK205" s="8"/>
    </row>
    <row r="206" spans="2:151" outlineLevel="1" x14ac:dyDescent="0.2">
      <c r="B206" s="11" t="s">
        <v>546</v>
      </c>
      <c r="K206" s="45"/>
      <c r="L206" s="43"/>
      <c r="M206" s="43"/>
      <c r="N206" s="43"/>
      <c r="O206" s="43"/>
      <c r="P206" s="43"/>
      <c r="Q206" s="43"/>
      <c r="R206" s="43"/>
      <c r="S206" s="44">
        <f t="shared" ref="S206:AX206" si="520">-(S216+S215)/S116</f>
        <v>3.9591505516135128E-4</v>
      </c>
      <c r="T206" s="44">
        <f t="shared" si="520"/>
        <v>-5.3003135079055625E-4</v>
      </c>
      <c r="U206" s="44">
        <f t="shared" si="520"/>
        <v>0</v>
      </c>
      <c r="V206" s="44">
        <f t="shared" si="520"/>
        <v>1.9637322171298507E-3</v>
      </c>
      <c r="W206" s="44">
        <f t="shared" si="520"/>
        <v>4.6304493003463398E-2</v>
      </c>
      <c r="X206" s="44">
        <f t="shared" si="520"/>
        <v>0.12707619844991463</v>
      </c>
      <c r="Y206" s="44">
        <f t="shared" si="520"/>
        <v>8.2918593884506619E-2</v>
      </c>
      <c r="Z206" s="44">
        <f t="shared" si="520"/>
        <v>8.9460287118840867E-2</v>
      </c>
      <c r="AA206" s="44">
        <f t="shared" si="520"/>
        <v>0.100245805371001</v>
      </c>
      <c r="AB206" s="44">
        <f t="shared" si="520"/>
        <v>0.103809752301328</v>
      </c>
      <c r="AC206" s="44">
        <f t="shared" si="520"/>
        <v>0.21</v>
      </c>
      <c r="AD206" s="44">
        <f t="shared" si="520"/>
        <v>0.21</v>
      </c>
      <c r="AE206" s="44">
        <f t="shared" si="520"/>
        <v>0.21</v>
      </c>
      <c r="AF206" s="44">
        <f t="shared" si="520"/>
        <v>0.21</v>
      </c>
      <c r="AG206" s="44">
        <f t="shared" si="520"/>
        <v>0.20999999999999996</v>
      </c>
      <c r="AH206" s="44">
        <f t="shared" si="520"/>
        <v>0.21</v>
      </c>
      <c r="AI206" s="44">
        <f t="shared" si="520"/>
        <v>0.20999999999999996</v>
      </c>
      <c r="AJ206" s="44">
        <f t="shared" si="520"/>
        <v>0.21</v>
      </c>
      <c r="AK206" s="44">
        <f t="shared" si="520"/>
        <v>0.21</v>
      </c>
      <c r="AL206" s="44">
        <f t="shared" si="520"/>
        <v>0.21</v>
      </c>
      <c r="AM206" s="44">
        <f t="shared" si="520"/>
        <v>0.21</v>
      </c>
      <c r="AN206" s="44">
        <f t="shared" si="520"/>
        <v>0.21</v>
      </c>
      <c r="AO206" s="44">
        <f t="shared" si="520"/>
        <v>0.21</v>
      </c>
      <c r="AP206" s="44">
        <f t="shared" si="520"/>
        <v>0.21</v>
      </c>
      <c r="AQ206" s="44">
        <f t="shared" si="520"/>
        <v>0.21</v>
      </c>
      <c r="AR206" s="44">
        <f t="shared" si="520"/>
        <v>0.21</v>
      </c>
      <c r="AS206" s="44">
        <f t="shared" si="520"/>
        <v>0.20999999999999996</v>
      </c>
      <c r="AT206" s="44">
        <f t="shared" si="520"/>
        <v>0.20999999999999996</v>
      </c>
      <c r="AU206" s="44">
        <f t="shared" si="520"/>
        <v>0.21</v>
      </c>
      <c r="AV206" s="44">
        <f t="shared" si="520"/>
        <v>0.21</v>
      </c>
      <c r="AW206" s="44">
        <f t="shared" si="520"/>
        <v>0.21</v>
      </c>
      <c r="AX206" s="44">
        <f t="shared" si="520"/>
        <v>0.21</v>
      </c>
      <c r="AY206" s="44">
        <f t="shared" ref="AY206:CD206" si="521">-(AY216+AY215)/AY116</f>
        <v>0.21</v>
      </c>
      <c r="AZ206" s="44">
        <f t="shared" si="521"/>
        <v>0.21</v>
      </c>
      <c r="BA206" s="44">
        <f t="shared" si="521"/>
        <v>0</v>
      </c>
      <c r="BB206" s="44">
        <f t="shared" si="521"/>
        <v>0</v>
      </c>
      <c r="BC206" s="44">
        <f t="shared" si="521"/>
        <v>0</v>
      </c>
      <c r="BD206" s="44">
        <f t="shared" si="521"/>
        <v>0</v>
      </c>
      <c r="BE206" s="44">
        <f t="shared" si="521"/>
        <v>0</v>
      </c>
      <c r="BF206" s="44">
        <f t="shared" si="521"/>
        <v>0</v>
      </c>
      <c r="BG206" s="44">
        <f t="shared" si="521"/>
        <v>0</v>
      </c>
      <c r="BH206" s="44">
        <f t="shared" si="521"/>
        <v>0</v>
      </c>
      <c r="BI206" s="44">
        <f t="shared" si="521"/>
        <v>0</v>
      </c>
      <c r="BJ206" s="44">
        <f t="shared" si="521"/>
        <v>0</v>
      </c>
      <c r="BK206" s="44">
        <f t="shared" si="521"/>
        <v>0</v>
      </c>
      <c r="BL206" s="44">
        <f t="shared" si="521"/>
        <v>0</v>
      </c>
      <c r="BM206" s="44">
        <f t="shared" si="521"/>
        <v>0</v>
      </c>
      <c r="BN206" s="44">
        <f t="shared" si="521"/>
        <v>0</v>
      </c>
      <c r="BO206" s="44">
        <f t="shared" si="521"/>
        <v>0</v>
      </c>
      <c r="BP206" s="44">
        <f t="shared" si="521"/>
        <v>0</v>
      </c>
      <c r="BQ206" s="44">
        <f t="shared" si="521"/>
        <v>0.20999999999999996</v>
      </c>
      <c r="BR206" s="44">
        <f t="shared" si="521"/>
        <v>0.21</v>
      </c>
      <c r="BS206" s="44">
        <f t="shared" si="521"/>
        <v>0.21</v>
      </c>
      <c r="BT206" s="44">
        <f t="shared" si="521"/>
        <v>0.21000000000000002</v>
      </c>
      <c r="BU206" s="44">
        <f t="shared" si="521"/>
        <v>0.21000000000000002</v>
      </c>
      <c r="BV206" s="44">
        <f t="shared" si="521"/>
        <v>0.21</v>
      </c>
      <c r="BW206" s="44">
        <f t="shared" si="521"/>
        <v>0.21</v>
      </c>
      <c r="BX206" s="44">
        <f t="shared" si="521"/>
        <v>0.21</v>
      </c>
      <c r="BY206" s="44">
        <f t="shared" si="521"/>
        <v>0.21</v>
      </c>
      <c r="BZ206" s="44">
        <f t="shared" si="521"/>
        <v>0.21</v>
      </c>
      <c r="CA206" s="44">
        <f t="shared" si="521"/>
        <v>0.21</v>
      </c>
      <c r="CB206" s="44">
        <f t="shared" si="521"/>
        <v>0.20999999999999996</v>
      </c>
      <c r="CC206" s="44">
        <f t="shared" si="521"/>
        <v>0.21</v>
      </c>
      <c r="CD206" s="44">
        <f t="shared" si="521"/>
        <v>0.21</v>
      </c>
      <c r="CE206" s="44">
        <f t="shared" ref="CE206:CP206" si="522">-(CE216+CE215)/CE116</f>
        <v>0.21</v>
      </c>
      <c r="CF206" s="44">
        <f t="shared" si="522"/>
        <v>0.21</v>
      </c>
      <c r="CG206" s="44">
        <f t="shared" si="522"/>
        <v>0.21</v>
      </c>
      <c r="CH206" s="44">
        <f t="shared" si="522"/>
        <v>0</v>
      </c>
      <c r="CI206" s="44">
        <f t="shared" si="522"/>
        <v>0</v>
      </c>
      <c r="CJ206" s="44">
        <f t="shared" si="522"/>
        <v>0</v>
      </c>
      <c r="CK206" s="44">
        <f t="shared" si="522"/>
        <v>0</v>
      </c>
      <c r="CL206" s="44">
        <f t="shared" si="522"/>
        <v>0</v>
      </c>
      <c r="CM206" s="44">
        <f t="shared" si="522"/>
        <v>0</v>
      </c>
      <c r="CN206" s="44">
        <f t="shared" si="522"/>
        <v>0</v>
      </c>
      <c r="CO206" s="44">
        <f t="shared" si="522"/>
        <v>0</v>
      </c>
      <c r="CP206" s="44">
        <f t="shared" si="522"/>
        <v>0</v>
      </c>
      <c r="CQ206" s="23" t="s">
        <v>77</v>
      </c>
      <c r="DD206" s="8"/>
      <c r="DE206" s="8"/>
      <c r="DF206" s="8"/>
      <c r="DG206" s="8"/>
      <c r="DH206" s="8"/>
      <c r="DI206" s="8"/>
      <c r="DJ206" s="8"/>
      <c r="DK206" s="8"/>
    </row>
    <row r="207" spans="2:151" x14ac:dyDescent="0.2">
      <c r="B207" s="103"/>
      <c r="K207" s="45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43"/>
      <c r="CB207" s="43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23" t="s">
        <v>77</v>
      </c>
      <c r="DD207" s="8"/>
      <c r="DE207" s="8"/>
      <c r="DF207" s="8"/>
      <c r="DG207" s="8"/>
      <c r="DH207" s="8"/>
      <c r="DI207" s="8"/>
      <c r="DJ207" s="8"/>
      <c r="DK207" s="8"/>
    </row>
    <row r="208" spans="2:151" s="233" customFormat="1" x14ac:dyDescent="0.2">
      <c r="B208" s="728" t="s">
        <v>21</v>
      </c>
      <c r="C208" s="312"/>
      <c r="D208" s="308"/>
      <c r="E208" s="308"/>
      <c r="F208" s="312">
        <f t="shared" ref="F208:AK208" si="523">Fiscal_Year</f>
        <v>36707</v>
      </c>
      <c r="G208" s="312">
        <f t="shared" si="523"/>
        <v>37072</v>
      </c>
      <c r="H208" s="312">
        <f t="shared" si="523"/>
        <v>37437</v>
      </c>
      <c r="I208" s="312">
        <f t="shared" si="523"/>
        <v>37802</v>
      </c>
      <c r="J208" s="312">
        <f t="shared" si="523"/>
        <v>38168</v>
      </c>
      <c r="K208" s="312">
        <f t="shared" si="523"/>
        <v>38533</v>
      </c>
      <c r="L208" s="312">
        <f t="shared" si="523"/>
        <v>38898</v>
      </c>
      <c r="M208" s="312">
        <f t="shared" si="523"/>
        <v>39263</v>
      </c>
      <c r="N208" s="312">
        <f t="shared" si="523"/>
        <v>39629</v>
      </c>
      <c r="O208" s="312">
        <f t="shared" si="523"/>
        <v>39994</v>
      </c>
      <c r="P208" s="312">
        <f t="shared" si="523"/>
        <v>40359</v>
      </c>
      <c r="Q208" s="312">
        <f t="shared" si="523"/>
        <v>40724</v>
      </c>
      <c r="R208" s="312">
        <f t="shared" si="523"/>
        <v>41090</v>
      </c>
      <c r="S208" s="312">
        <f t="shared" si="523"/>
        <v>41455</v>
      </c>
      <c r="T208" s="312">
        <f t="shared" si="523"/>
        <v>41820</v>
      </c>
      <c r="U208" s="312">
        <f t="shared" si="523"/>
        <v>42185</v>
      </c>
      <c r="V208" s="312">
        <f t="shared" si="523"/>
        <v>42551</v>
      </c>
      <c r="W208" s="312">
        <f t="shared" si="523"/>
        <v>42916</v>
      </c>
      <c r="X208" s="312">
        <f t="shared" si="523"/>
        <v>43281</v>
      </c>
      <c r="Y208" s="312">
        <f t="shared" si="523"/>
        <v>43646</v>
      </c>
      <c r="Z208" s="312">
        <f t="shared" si="523"/>
        <v>44012</v>
      </c>
      <c r="AA208" s="312">
        <f t="shared" si="523"/>
        <v>44377</v>
      </c>
      <c r="AB208" s="312">
        <f t="shared" si="523"/>
        <v>44742</v>
      </c>
      <c r="AC208" s="312">
        <f t="shared" si="523"/>
        <v>45107</v>
      </c>
      <c r="AD208" s="312">
        <f t="shared" si="523"/>
        <v>45473</v>
      </c>
      <c r="AE208" s="312">
        <f t="shared" si="523"/>
        <v>45838</v>
      </c>
      <c r="AF208" s="312">
        <f t="shared" si="523"/>
        <v>46203</v>
      </c>
      <c r="AG208" s="312">
        <f t="shared" si="523"/>
        <v>46568</v>
      </c>
      <c r="AH208" s="312">
        <f t="shared" si="523"/>
        <v>46934</v>
      </c>
      <c r="AI208" s="312">
        <f t="shared" si="523"/>
        <v>47299</v>
      </c>
      <c r="AJ208" s="312">
        <f t="shared" si="523"/>
        <v>47664</v>
      </c>
      <c r="AK208" s="312">
        <f t="shared" si="523"/>
        <v>48029</v>
      </c>
      <c r="AL208" s="312">
        <f t="shared" ref="AL208:CP208" si="524">Fiscal_Year</f>
        <v>48395</v>
      </c>
      <c r="AM208" s="312">
        <f t="shared" si="524"/>
        <v>48760</v>
      </c>
      <c r="AN208" s="312">
        <f t="shared" si="524"/>
        <v>49125</v>
      </c>
      <c r="AO208" s="312">
        <f t="shared" si="524"/>
        <v>49490</v>
      </c>
      <c r="AP208" s="312">
        <f t="shared" si="524"/>
        <v>49856</v>
      </c>
      <c r="AQ208" s="312">
        <f t="shared" si="524"/>
        <v>50221</v>
      </c>
      <c r="AR208" s="312">
        <f t="shared" si="524"/>
        <v>50586</v>
      </c>
      <c r="AS208" s="312">
        <f t="shared" si="524"/>
        <v>50951</v>
      </c>
      <c r="AT208" s="312">
        <f t="shared" si="524"/>
        <v>51317</v>
      </c>
      <c r="AU208" s="312">
        <f t="shared" si="524"/>
        <v>51682</v>
      </c>
      <c r="AV208" s="312">
        <f t="shared" si="524"/>
        <v>52047</v>
      </c>
      <c r="AW208" s="312">
        <f t="shared" si="524"/>
        <v>52412</v>
      </c>
      <c r="AX208" s="312">
        <f t="shared" si="524"/>
        <v>52778</v>
      </c>
      <c r="AY208" s="312">
        <f t="shared" si="524"/>
        <v>53143</v>
      </c>
      <c r="AZ208" s="312">
        <f t="shared" si="524"/>
        <v>53508</v>
      </c>
      <c r="BA208" s="312">
        <f t="shared" si="524"/>
        <v>53873</v>
      </c>
      <c r="BB208" s="312">
        <f t="shared" si="524"/>
        <v>54239</v>
      </c>
      <c r="BC208" s="312">
        <f t="shared" si="524"/>
        <v>54604</v>
      </c>
      <c r="BD208" s="312">
        <f t="shared" si="524"/>
        <v>54969</v>
      </c>
      <c r="BE208" s="312">
        <f t="shared" si="524"/>
        <v>55334</v>
      </c>
      <c r="BF208" s="312">
        <f t="shared" si="524"/>
        <v>55700</v>
      </c>
      <c r="BG208" s="312">
        <f t="shared" si="524"/>
        <v>56065</v>
      </c>
      <c r="BH208" s="312">
        <f t="shared" si="524"/>
        <v>56430</v>
      </c>
      <c r="BI208" s="312">
        <f t="shared" si="524"/>
        <v>56795</v>
      </c>
      <c r="BJ208" s="312">
        <f t="shared" si="524"/>
        <v>57161</v>
      </c>
      <c r="BK208" s="312">
        <f t="shared" si="524"/>
        <v>57526</v>
      </c>
      <c r="BL208" s="312">
        <f t="shared" si="524"/>
        <v>57891</v>
      </c>
      <c r="BM208" s="312">
        <f t="shared" si="524"/>
        <v>58256</v>
      </c>
      <c r="BN208" s="312">
        <f t="shared" si="524"/>
        <v>58622</v>
      </c>
      <c r="BO208" s="312">
        <f t="shared" si="524"/>
        <v>58987</v>
      </c>
      <c r="BP208" s="312">
        <f t="shared" si="524"/>
        <v>59352</v>
      </c>
      <c r="BQ208" s="312">
        <f t="shared" si="524"/>
        <v>59717</v>
      </c>
      <c r="BR208" s="312">
        <f t="shared" si="524"/>
        <v>60083</v>
      </c>
      <c r="BS208" s="312">
        <f t="shared" si="524"/>
        <v>60448</v>
      </c>
      <c r="BT208" s="312">
        <f t="shared" si="524"/>
        <v>60813</v>
      </c>
      <c r="BU208" s="312">
        <f t="shared" si="524"/>
        <v>61178</v>
      </c>
      <c r="BV208" s="312">
        <f t="shared" si="524"/>
        <v>61544</v>
      </c>
      <c r="BW208" s="312">
        <f t="shared" si="524"/>
        <v>61909</v>
      </c>
      <c r="BX208" s="312">
        <f t="shared" si="524"/>
        <v>62274</v>
      </c>
      <c r="BY208" s="312">
        <f t="shared" si="524"/>
        <v>62639</v>
      </c>
      <c r="BZ208" s="312">
        <f t="shared" si="524"/>
        <v>63005</v>
      </c>
      <c r="CA208" s="312">
        <f t="shared" si="524"/>
        <v>63370</v>
      </c>
      <c r="CB208" s="312">
        <f t="shared" si="524"/>
        <v>63735</v>
      </c>
      <c r="CC208" s="312">
        <f t="shared" si="524"/>
        <v>64100</v>
      </c>
      <c r="CD208" s="312">
        <f t="shared" si="524"/>
        <v>64466</v>
      </c>
      <c r="CE208" s="312">
        <f t="shared" si="524"/>
        <v>64831</v>
      </c>
      <c r="CF208" s="312">
        <f t="shared" si="524"/>
        <v>65196</v>
      </c>
      <c r="CG208" s="312">
        <f t="shared" si="524"/>
        <v>65561</v>
      </c>
      <c r="CH208" s="312">
        <f t="shared" si="524"/>
        <v>65927</v>
      </c>
      <c r="CI208" s="312">
        <f t="shared" si="524"/>
        <v>66292</v>
      </c>
      <c r="CJ208" s="312">
        <f t="shared" si="524"/>
        <v>66657</v>
      </c>
      <c r="CK208" s="312">
        <f t="shared" si="524"/>
        <v>67022</v>
      </c>
      <c r="CL208" s="312">
        <f t="shared" si="524"/>
        <v>67388</v>
      </c>
      <c r="CM208" s="312">
        <f t="shared" si="524"/>
        <v>67753</v>
      </c>
      <c r="CN208" s="312">
        <f t="shared" si="524"/>
        <v>68118</v>
      </c>
      <c r="CO208" s="312">
        <f t="shared" si="524"/>
        <v>68483</v>
      </c>
      <c r="CP208" s="312">
        <f t="shared" si="524"/>
        <v>68849</v>
      </c>
      <c r="CQ208" s="23" t="s">
        <v>77</v>
      </c>
      <c r="CU208"/>
      <c r="CV208"/>
      <c r="CW208"/>
      <c r="CX208"/>
      <c r="CY208"/>
      <c r="CZ208"/>
      <c r="DB208" s="728" t="s">
        <v>21</v>
      </c>
      <c r="DC208" s="8"/>
      <c r="DD208" s="312">
        <f t="shared" ref="DD208:DQ208" si="525">+DD$3</f>
        <v>40908</v>
      </c>
      <c r="DE208" s="312">
        <f t="shared" si="525"/>
        <v>41090</v>
      </c>
      <c r="DF208" s="312">
        <f t="shared" si="525"/>
        <v>41274</v>
      </c>
      <c r="DG208" s="312">
        <f t="shared" si="525"/>
        <v>41455</v>
      </c>
      <c r="DH208" s="312">
        <f t="shared" si="525"/>
        <v>41639</v>
      </c>
      <c r="DI208" s="312">
        <f t="shared" si="525"/>
        <v>41820</v>
      </c>
      <c r="DJ208" s="312">
        <f t="shared" si="525"/>
        <v>42004</v>
      </c>
      <c r="DK208" s="312">
        <f t="shared" si="525"/>
        <v>42185</v>
      </c>
      <c r="DL208" s="312">
        <f t="shared" si="525"/>
        <v>42369</v>
      </c>
      <c r="DM208" s="312">
        <f t="shared" si="525"/>
        <v>42551</v>
      </c>
      <c r="DN208" s="312">
        <f t="shared" si="525"/>
        <v>42735</v>
      </c>
      <c r="DO208" s="312">
        <f t="shared" si="525"/>
        <v>42916</v>
      </c>
      <c r="DP208" s="312">
        <f t="shared" si="525"/>
        <v>43100</v>
      </c>
      <c r="DQ208" s="312">
        <f t="shared" si="525"/>
        <v>43281</v>
      </c>
      <c r="DR208" s="312"/>
      <c r="DS208" s="312"/>
      <c r="DU208" s="370" t="s">
        <v>427</v>
      </c>
      <c r="DV208" s="370" t="s">
        <v>428</v>
      </c>
      <c r="DW208" s="370" t="s">
        <v>429</v>
      </c>
      <c r="DX208" s="370" t="s">
        <v>430</v>
      </c>
      <c r="DY208" s="370" t="s">
        <v>528</v>
      </c>
      <c r="DZ208" s="370" t="s">
        <v>529</v>
      </c>
      <c r="EH208" s="409" t="s">
        <v>430</v>
      </c>
      <c r="EI208" s="409" t="s">
        <v>528</v>
      </c>
      <c r="EJ208" s="409" t="s">
        <v>529</v>
      </c>
    </row>
    <row r="209" spans="1:140" ht="5.0999999999999996" customHeight="1" x14ac:dyDescent="0.2">
      <c r="B209" s="107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W209" s="108"/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  <c r="AT209" s="108"/>
      <c r="AU209" s="108"/>
      <c r="AV209" s="108"/>
      <c r="AW209" s="108"/>
      <c r="AX209" s="108"/>
      <c r="AY209" s="108"/>
      <c r="AZ209" s="108"/>
      <c r="BA209" s="108"/>
      <c r="BB209" s="108"/>
      <c r="BC209" s="108"/>
      <c r="BD209" s="108"/>
      <c r="BE209" s="108"/>
      <c r="BF209" s="108"/>
      <c r="BG209" s="108"/>
      <c r="BH209" s="108"/>
      <c r="BI209" s="108"/>
      <c r="BJ209" s="108"/>
      <c r="BK209" s="108"/>
      <c r="BL209" s="108"/>
      <c r="BM209" s="108"/>
      <c r="BN209" s="108"/>
      <c r="BO209" s="108"/>
      <c r="BP209" s="108"/>
      <c r="BQ209" s="108"/>
      <c r="BR209" s="108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N209" s="108"/>
      <c r="CO209" s="108"/>
      <c r="CP209" s="108"/>
      <c r="CQ209" s="23" t="s">
        <v>77</v>
      </c>
      <c r="DB209" s="107"/>
      <c r="DD209" s="8"/>
      <c r="DE209" s="8"/>
      <c r="DF209" s="8"/>
      <c r="DG209" s="8"/>
      <c r="DH209" s="8"/>
      <c r="DI209" s="8"/>
      <c r="DJ209" s="8"/>
      <c r="DK209" s="8"/>
      <c r="DU209" s="413"/>
      <c r="DV209" s="413"/>
    </row>
    <row r="210" spans="1:140" ht="11.25" customHeight="1" outlineLevel="1" x14ac:dyDescent="0.2">
      <c r="B210" s="7" t="s">
        <v>9</v>
      </c>
      <c r="K210" s="9">
        <f t="shared" ref="K210:AP210" si="526">+K126</f>
        <v>109.508</v>
      </c>
      <c r="L210" s="9">
        <f t="shared" si="526"/>
        <v>62.545999999999999</v>
      </c>
      <c r="M210" s="9">
        <f t="shared" si="526"/>
        <v>56.76</v>
      </c>
      <c r="N210" s="9">
        <f t="shared" si="526"/>
        <v>67.191999999999993</v>
      </c>
      <c r="O210" s="9">
        <f t="shared" si="526"/>
        <v>78.772000000000006</v>
      </c>
      <c r="P210" s="9">
        <f t="shared" si="526"/>
        <v>100.358</v>
      </c>
      <c r="Q210" s="9">
        <f t="shared" si="526"/>
        <v>108.509</v>
      </c>
      <c r="R210" s="9">
        <f t="shared" si="526"/>
        <v>130.65</v>
      </c>
      <c r="S210" s="9">
        <f t="shared" si="526"/>
        <v>298.767</v>
      </c>
      <c r="T210" s="9">
        <f t="shared" si="526"/>
        <v>343.70500000000004</v>
      </c>
      <c r="U210" s="9">
        <f t="shared" si="526"/>
        <v>560.92999999999995</v>
      </c>
      <c r="V210" s="9">
        <f t="shared" si="526"/>
        <v>179.30099999999987</v>
      </c>
      <c r="W210" s="9">
        <f t="shared" si="526"/>
        <v>236.84599999999961</v>
      </c>
      <c r="X210" s="9">
        <f t="shared" si="526"/>
        <v>282.43762748494544</v>
      </c>
      <c r="Y210" s="9">
        <f t="shared" si="526"/>
        <v>312.35454904209882</v>
      </c>
      <c r="Z210" s="9">
        <f t="shared" si="526"/>
        <v>352.1115459662538</v>
      </c>
      <c r="AA210" s="9">
        <f t="shared" si="526"/>
        <v>349.14179072598643</v>
      </c>
      <c r="AB210" s="9">
        <f t="shared" si="526"/>
        <v>337.15522120123831</v>
      </c>
      <c r="AC210" s="9">
        <f t="shared" si="526"/>
        <v>374.65032982744867</v>
      </c>
      <c r="AD210" s="9">
        <f t="shared" si="526"/>
        <v>413.36970167462709</v>
      </c>
      <c r="AE210" s="9">
        <f t="shared" si="526"/>
        <v>444.80323615773523</v>
      </c>
      <c r="AF210" s="9">
        <f t="shared" si="526"/>
        <v>461.44853317685158</v>
      </c>
      <c r="AG210" s="9">
        <f t="shared" si="526"/>
        <v>469.84055920028374</v>
      </c>
      <c r="AH210" s="9">
        <f t="shared" si="526"/>
        <v>498.33711104028157</v>
      </c>
      <c r="AI210" s="9">
        <f t="shared" si="526"/>
        <v>434.25723639354965</v>
      </c>
      <c r="AJ210" s="9">
        <f t="shared" si="526"/>
        <v>394.74308154768232</v>
      </c>
      <c r="AK210" s="9">
        <f t="shared" si="526"/>
        <v>393.16261482934135</v>
      </c>
      <c r="AL210" s="9">
        <f t="shared" si="526"/>
        <v>421.39387379304043</v>
      </c>
      <c r="AM210" s="9">
        <f t="shared" si="526"/>
        <v>448.86356253418137</v>
      </c>
      <c r="AN210" s="9">
        <f t="shared" si="526"/>
        <v>468.02221500261771</v>
      </c>
      <c r="AO210" s="9">
        <f t="shared" si="526"/>
        <v>466.25131472872249</v>
      </c>
      <c r="AP210" s="9">
        <f t="shared" si="526"/>
        <v>115.51946654005735</v>
      </c>
      <c r="AQ210" s="9">
        <f t="shared" ref="AQ210:BV210" si="527">+AQ126</f>
        <v>139.036751298052</v>
      </c>
      <c r="AR210" s="9">
        <f t="shared" si="527"/>
        <v>84.651303259623745</v>
      </c>
      <c r="AS210" s="9">
        <f t="shared" si="527"/>
        <v>10.400683336115584</v>
      </c>
      <c r="AT210" s="9">
        <f t="shared" si="527"/>
        <v>5.1665309893337685</v>
      </c>
      <c r="AU210" s="9">
        <f t="shared" si="527"/>
        <v>23.134897450642725</v>
      </c>
      <c r="AV210" s="9">
        <f t="shared" si="527"/>
        <v>32.450556778757935</v>
      </c>
      <c r="AW210" s="9">
        <f t="shared" si="527"/>
        <v>12.975740598238712</v>
      </c>
      <c r="AX210" s="9">
        <f t="shared" si="527"/>
        <v>23.831367756152549</v>
      </c>
      <c r="AY210" s="9">
        <f t="shared" si="527"/>
        <v>34.889548316046977</v>
      </c>
      <c r="AZ210" s="9">
        <f t="shared" si="527"/>
        <v>46.167998990020557</v>
      </c>
      <c r="BA210" s="9">
        <f t="shared" si="527"/>
        <v>-63.85983896746653</v>
      </c>
      <c r="BB210" s="9">
        <f t="shared" si="527"/>
        <v>-56.54527202572806</v>
      </c>
      <c r="BC210" s="9">
        <f t="shared" si="527"/>
        <v>-49.027237440534677</v>
      </c>
      <c r="BD210" s="9">
        <f t="shared" si="527"/>
        <v>-41.289106510275502</v>
      </c>
      <c r="BE210" s="9">
        <f t="shared" si="527"/>
        <v>-33.314351379971029</v>
      </c>
      <c r="BF210" s="9">
        <f t="shared" si="527"/>
        <v>-25.088628943326661</v>
      </c>
      <c r="BG210" s="9">
        <f t="shared" si="527"/>
        <v>-16.593931580945242</v>
      </c>
      <c r="BH210" s="9">
        <f t="shared" si="527"/>
        <v>-7.8170719193431406</v>
      </c>
      <c r="BI210" s="9">
        <f t="shared" si="527"/>
        <v>1.2604064549260898</v>
      </c>
      <c r="BJ210" s="9">
        <f t="shared" si="527"/>
        <v>10.651941419429079</v>
      </c>
      <c r="BK210" s="9">
        <f t="shared" si="527"/>
        <v>20.375197574480481</v>
      </c>
      <c r="BL210" s="9">
        <f t="shared" si="527"/>
        <v>30.445224639396507</v>
      </c>
      <c r="BM210" s="9">
        <f t="shared" si="527"/>
        <v>40.87791073067757</v>
      </c>
      <c r="BN210" s="9">
        <f t="shared" si="527"/>
        <v>51.688905071573316</v>
      </c>
      <c r="BO210" s="9">
        <f t="shared" si="527"/>
        <v>62.894472726064329</v>
      </c>
      <c r="BP210" s="9">
        <f t="shared" si="527"/>
        <v>74.510687540356912</v>
      </c>
      <c r="BQ210" s="9">
        <f t="shared" si="527"/>
        <v>86.553716128325618</v>
      </c>
      <c r="BR210" s="9">
        <f t="shared" si="527"/>
        <v>98.7666538451316</v>
      </c>
      <c r="BS210" s="9">
        <f t="shared" si="527"/>
        <v>83.211884847050129</v>
      </c>
      <c r="BT210" s="9">
        <f t="shared" si="527"/>
        <v>70.311603639488638</v>
      </c>
      <c r="BU210" s="9">
        <f t="shared" si="527"/>
        <v>81.946835132990913</v>
      </c>
      <c r="BV210" s="9">
        <f t="shared" si="527"/>
        <v>94.007215316515456</v>
      </c>
      <c r="BW210" s="9">
        <f t="shared" ref="BW210:CP210" si="528">+BW126</f>
        <v>106.50703486180825</v>
      </c>
      <c r="BX210" s="9">
        <f t="shared" si="528"/>
        <v>119.46148987624215</v>
      </c>
      <c r="BY210" s="9">
        <f t="shared" si="528"/>
        <v>132.88377320525072</v>
      </c>
      <c r="BZ210" s="9">
        <f t="shared" si="528"/>
        <v>146.79065581885766</v>
      </c>
      <c r="CA210" s="9">
        <f t="shared" si="528"/>
        <v>161.19614675805252</v>
      </c>
      <c r="CB210" s="9">
        <f t="shared" si="528"/>
        <v>176.11679557586217</v>
      </c>
      <c r="CC210" s="9">
        <f t="shared" si="528"/>
        <v>188.29687295116946</v>
      </c>
      <c r="CD210" s="9">
        <f t="shared" si="528"/>
        <v>164.95492896931208</v>
      </c>
      <c r="CE210" s="9">
        <f t="shared" si="528"/>
        <v>180.01749410045625</v>
      </c>
      <c r="CF210" s="9">
        <f t="shared" si="528"/>
        <v>195.62326464504491</v>
      </c>
      <c r="CG210" s="9">
        <f t="shared" si="528"/>
        <v>211.7881790143573</v>
      </c>
      <c r="CH210" s="9">
        <f t="shared" si="528"/>
        <v>-135.58608328026929</v>
      </c>
      <c r="CI210" s="9">
        <f t="shared" si="528"/>
        <v>-131.42186756322204</v>
      </c>
      <c r="CJ210" s="9">
        <f t="shared" si="528"/>
        <v>-126.91674811981417</v>
      </c>
      <c r="CK210" s="9">
        <f t="shared" si="528"/>
        <v>-122.06072890055984</v>
      </c>
      <c r="CL210" s="9">
        <f t="shared" si="528"/>
        <v>-116.84341360627167</v>
      </c>
      <c r="CM210" s="9">
        <f t="shared" si="528"/>
        <v>-111.25323451351592</v>
      </c>
      <c r="CN210" s="9">
        <f t="shared" si="528"/>
        <v>-105.27872770179893</v>
      </c>
      <c r="CO210" s="9">
        <f t="shared" si="528"/>
        <v>-98.908007194797506</v>
      </c>
      <c r="CP210" s="9">
        <f t="shared" si="528"/>
        <v>-113.67386257228807</v>
      </c>
      <c r="CQ210" s="23" t="s">
        <v>77</v>
      </c>
      <c r="DB210" s="7" t="s">
        <v>9</v>
      </c>
      <c r="DD210" s="8"/>
      <c r="DE210" s="8"/>
      <c r="DF210" s="8"/>
      <c r="DG210" s="8"/>
      <c r="DH210" s="8"/>
      <c r="DI210" s="8"/>
      <c r="DJ210" s="9">
        <f t="shared" ref="DJ210:DO210" si="529">+DJ126</f>
        <v>466.26200000000006</v>
      </c>
      <c r="DK210" s="9">
        <f t="shared" si="529"/>
        <v>94.668000000000049</v>
      </c>
      <c r="DL210" s="9">
        <f t="shared" si="529"/>
        <v>98.54500000000003</v>
      </c>
      <c r="DM210" s="9">
        <f t="shared" si="529"/>
        <v>80.755999999999972</v>
      </c>
      <c r="DN210" s="9">
        <f t="shared" si="529"/>
        <v>139.83000000000013</v>
      </c>
      <c r="DO210" s="9">
        <f t="shared" si="529"/>
        <v>97.015999999999792</v>
      </c>
      <c r="DP210" s="9">
        <f t="shared" ref="DP210" si="530">+DP126</f>
        <v>123.96599999999989</v>
      </c>
      <c r="DQ210" s="9">
        <f>X210-DP210</f>
        <v>158.47162748494554</v>
      </c>
      <c r="DR210" s="9"/>
      <c r="DS210" s="9"/>
      <c r="DU210" s="413"/>
      <c r="DV210" s="413"/>
      <c r="DW210" s="413"/>
      <c r="DX210" s="413">
        <f>+(DJ210/(DJ210+DK210))</f>
        <v>0.83123027828784346</v>
      </c>
      <c r="DY210" s="413">
        <f>+(DL210/(DL210+DM210))</f>
        <v>0.54960652757095629</v>
      </c>
      <c r="DZ210" s="413">
        <f t="shared" ref="DZ210:DZ216" si="531">+(DN210/(DN210+DO210))</f>
        <v>0.59038362480261508</v>
      </c>
      <c r="EH210" s="411" t="b">
        <f>ROUND(U210,1)=ROUND(SUM(DJ210:DK210),1)</f>
        <v>1</v>
      </c>
      <c r="EI210" s="411" t="b">
        <f>ROUND(V210,1)=ROUND(SUM(DL210:DM210),1)</f>
        <v>1</v>
      </c>
      <c r="EJ210" s="411" t="b">
        <f>ROUND(W210,1)=ROUND(SUM(DN210:DO210),1)</f>
        <v>1</v>
      </c>
    </row>
    <row r="211" spans="1:140" ht="11.25" customHeight="1" outlineLevel="1" x14ac:dyDescent="0.2">
      <c r="B211" s="7" t="s">
        <v>14</v>
      </c>
      <c r="K211" s="9">
        <f t="shared" ref="K211:AP211" si="532">-K103</f>
        <v>35.389000000000003</v>
      </c>
      <c r="L211" s="9">
        <f t="shared" si="532"/>
        <v>37.924999999999997</v>
      </c>
      <c r="M211" s="9">
        <f t="shared" si="532"/>
        <v>69.082999999999998</v>
      </c>
      <c r="N211" s="9">
        <f t="shared" si="532"/>
        <v>89.873999999999995</v>
      </c>
      <c r="O211" s="9">
        <f t="shared" si="532"/>
        <v>90.518000000000001</v>
      </c>
      <c r="P211" s="9">
        <f t="shared" si="532"/>
        <v>86.387</v>
      </c>
      <c r="Q211" s="9">
        <f t="shared" si="532"/>
        <v>94.457999999999998</v>
      </c>
      <c r="R211" s="9">
        <f t="shared" si="532"/>
        <v>104.459</v>
      </c>
      <c r="S211" s="9">
        <f t="shared" si="532"/>
        <v>124.78700000000001</v>
      </c>
      <c r="T211" s="9">
        <f t="shared" si="532"/>
        <v>151.13200000000001</v>
      </c>
      <c r="U211" s="9">
        <f t="shared" si="532"/>
        <v>182.084</v>
      </c>
      <c r="V211" s="9">
        <f t="shared" si="532"/>
        <v>337.42599999999999</v>
      </c>
      <c r="W211" s="9">
        <f t="shared" si="532"/>
        <v>387.14</v>
      </c>
      <c r="X211" s="9">
        <f t="shared" si="532"/>
        <v>387.14</v>
      </c>
      <c r="Y211" s="9">
        <f t="shared" si="532"/>
        <v>404.04946255067529</v>
      </c>
      <c r="Z211" s="9">
        <f t="shared" si="532"/>
        <v>410.46051385719613</v>
      </c>
      <c r="AA211" s="9">
        <f t="shared" si="532"/>
        <v>401.00419565689765</v>
      </c>
      <c r="AB211" s="9">
        <f t="shared" si="532"/>
        <v>392.40623602885665</v>
      </c>
      <c r="AC211" s="9">
        <f t="shared" si="532"/>
        <v>384.53125585692101</v>
      </c>
      <c r="AD211" s="9">
        <f t="shared" si="532"/>
        <v>375.81328406616603</v>
      </c>
      <c r="AE211" s="9">
        <f t="shared" si="532"/>
        <v>366.28747613258406</v>
      </c>
      <c r="AF211" s="9">
        <f t="shared" si="532"/>
        <v>357.20053832206548</v>
      </c>
      <c r="AG211" s="9">
        <f t="shared" si="532"/>
        <v>348.5243652096251</v>
      </c>
      <c r="AH211" s="9">
        <f t="shared" si="532"/>
        <v>340.24161979483296</v>
      </c>
      <c r="AI211" s="9">
        <f t="shared" si="532"/>
        <v>332.33569866139618</v>
      </c>
      <c r="AJ211" s="9">
        <f t="shared" si="532"/>
        <v>324.79070093958387</v>
      </c>
      <c r="AK211" s="9">
        <f t="shared" si="532"/>
        <v>317.59139858183937</v>
      </c>
      <c r="AL211" s="9">
        <f t="shared" si="532"/>
        <v>310.72320789602065</v>
      </c>
      <c r="AM211" s="9">
        <f t="shared" si="532"/>
        <v>304.17216228305887</v>
      </c>
      <c r="AN211" s="9">
        <f t="shared" si="532"/>
        <v>297.9248861280758</v>
      </c>
      <c r="AO211" s="9">
        <f t="shared" si="532"/>
        <v>291.96856979615842</v>
      </c>
      <c r="AP211" s="9">
        <f t="shared" si="532"/>
        <v>286.29094568605331</v>
      </c>
      <c r="AQ211" s="9">
        <f t="shared" ref="AQ211:BV211" si="533">-AQ103</f>
        <v>280.8802652970196</v>
      </c>
      <c r="AR211" s="9">
        <f t="shared" si="533"/>
        <v>275.72527726597548</v>
      </c>
      <c r="AS211" s="9">
        <f t="shared" si="533"/>
        <v>270.81520633388408</v>
      </c>
      <c r="AT211" s="9">
        <f t="shared" si="533"/>
        <v>266.13973320206435</v>
      </c>
      <c r="AU211" s="9">
        <f t="shared" si="533"/>
        <v>261.68897524077357</v>
      </c>
      <c r="AV211" s="9">
        <f t="shared" si="533"/>
        <v>257.45346801400251</v>
      </c>
      <c r="AW211" s="9">
        <f t="shared" si="533"/>
        <v>253.4241475859497</v>
      </c>
      <c r="AX211" s="9">
        <f t="shared" si="533"/>
        <v>249.59233357610211</v>
      </c>
      <c r="AY211" s="9">
        <f t="shared" si="533"/>
        <v>245.94971293124934</v>
      </c>
      <c r="AZ211" s="9">
        <f t="shared" si="533"/>
        <v>242.48832438409718</v>
      </c>
      <c r="BA211" s="9">
        <f t="shared" si="533"/>
        <v>239.20054356943234</v>
      </c>
      <c r="BB211" s="9">
        <f t="shared" si="533"/>
        <v>236.07906877001588</v>
      </c>
      <c r="BC211" s="9">
        <f t="shared" si="533"/>
        <v>233.11690726556324</v>
      </c>
      <c r="BD211" s="9">
        <f t="shared" si="533"/>
        <v>230.30736225929346</v>
      </c>
      <c r="BE211" s="9">
        <f t="shared" si="533"/>
        <v>227.64402035761145</v>
      </c>
      <c r="BF211" s="9">
        <f t="shared" si="533"/>
        <v>225.1207395795202</v>
      </c>
      <c r="BG211" s="9">
        <f t="shared" si="533"/>
        <v>222.73163787335054</v>
      </c>
      <c r="BH211" s="9">
        <f t="shared" si="533"/>
        <v>220.47108211934335</v>
      </c>
      <c r="BI211" s="9">
        <f t="shared" si="533"/>
        <v>218.33367759752903</v>
      </c>
      <c r="BJ211" s="9">
        <f t="shared" si="533"/>
        <v>216.31425790121673</v>
      </c>
      <c r="BK211" s="9">
        <f t="shared" si="533"/>
        <v>214.40787527724044</v>
      </c>
      <c r="BL211" s="9">
        <f t="shared" si="533"/>
        <v>212.60979137490529</v>
      </c>
      <c r="BM211" s="9">
        <f t="shared" si="533"/>
        <v>210.91546838634306</v>
      </c>
      <c r="BN211" s="9">
        <f t="shared" si="533"/>
        <v>209.32056056171575</v>
      </c>
      <c r="BO211" s="9">
        <f t="shared" si="533"/>
        <v>207.82090608340786</v>
      </c>
      <c r="BP211" s="9">
        <f t="shared" si="533"/>
        <v>206.4125192840184</v>
      </c>
      <c r="BQ211" s="9">
        <f t="shared" si="533"/>
        <v>205.09158319360725</v>
      </c>
      <c r="BR211" s="9">
        <f t="shared" si="533"/>
        <v>203.85444240226454</v>
      </c>
      <c r="BS211" s="9">
        <f t="shared" si="533"/>
        <v>202.69759622466225</v>
      </c>
      <c r="BT211" s="9">
        <f t="shared" si="533"/>
        <v>201.61769215381113</v>
      </c>
      <c r="BU211" s="9">
        <f t="shared" si="533"/>
        <v>200.61151959178687</v>
      </c>
      <c r="BV211" s="9">
        <f t="shared" si="533"/>
        <v>199.67600384570682</v>
      </c>
      <c r="BW211" s="9">
        <f t="shared" ref="BW211:CP211" si="534">-BW103</f>
        <v>198.80820037773501</v>
      </c>
      <c r="BX211" s="9">
        <f t="shared" si="534"/>
        <v>198.00528929836733</v>
      </c>
      <c r="BY211" s="9">
        <f t="shared" si="534"/>
        <v>197.26457009270385</v>
      </c>
      <c r="BZ211" s="9">
        <f t="shared" si="534"/>
        <v>196.58345656985063</v>
      </c>
      <c r="CA211" s="9">
        <f t="shared" si="534"/>
        <v>195.9594720260107</v>
      </c>
      <c r="CB211" s="9">
        <f t="shared" si="534"/>
        <v>195.39024461222269</v>
      </c>
      <c r="CC211" s="9">
        <f t="shared" si="534"/>
        <v>194.87350289808921</v>
      </c>
      <c r="CD211" s="9">
        <f t="shared" si="534"/>
        <v>194.40707162320209</v>
      </c>
      <c r="CE211" s="9">
        <f t="shared" si="534"/>
        <v>193.98886762832319</v>
      </c>
      <c r="CF211" s="9">
        <f t="shared" si="534"/>
        <v>193.61689595871593</v>
      </c>
      <c r="CG211" s="9">
        <f t="shared" si="534"/>
        <v>193.28924613234327</v>
      </c>
      <c r="CH211" s="9">
        <f t="shared" si="534"/>
        <v>193.00408856595686</v>
      </c>
      <c r="CI211" s="9">
        <f t="shared" si="534"/>
        <v>192.75967115239746</v>
      </c>
      <c r="CJ211" s="9">
        <f t="shared" si="534"/>
        <v>192.5543159827084</v>
      </c>
      <c r="CK211" s="9">
        <f t="shared" si="534"/>
        <v>192.38641620693528</v>
      </c>
      <c r="CL211" s="9">
        <f t="shared" si="534"/>
        <v>192.2544330277442</v>
      </c>
      <c r="CM211" s="9">
        <f t="shared" si="534"/>
        <v>192.15689282123921</v>
      </c>
      <c r="CN211" s="9">
        <f t="shared" si="534"/>
        <v>192.09238437959681</v>
      </c>
      <c r="CO211" s="9">
        <f t="shared" si="534"/>
        <v>192.0595562703636</v>
      </c>
      <c r="CP211" s="9">
        <f t="shared" si="534"/>
        <v>192.05711430748158</v>
      </c>
      <c r="CQ211" s="23" t="s">
        <v>77</v>
      </c>
      <c r="DB211" s="7" t="s">
        <v>14</v>
      </c>
      <c r="DD211" s="8"/>
      <c r="DE211" s="8"/>
      <c r="DF211" s="8"/>
      <c r="DG211" s="8"/>
      <c r="DH211" s="8"/>
      <c r="DI211" s="8"/>
      <c r="DJ211" s="9">
        <f t="shared" ref="DJ211:DO212" si="535">-DJ103</f>
        <v>82.06</v>
      </c>
      <c r="DK211" s="9">
        <f t="shared" si="535"/>
        <v>100.024</v>
      </c>
      <c r="DL211" s="9">
        <f t="shared" si="535"/>
        <v>158.637</v>
      </c>
      <c r="DM211" s="9">
        <f t="shared" si="535"/>
        <v>178.78899999999999</v>
      </c>
      <c r="DN211" s="9">
        <f t="shared" si="535"/>
        <v>190.58699999999999</v>
      </c>
      <c r="DO211" s="9">
        <f t="shared" si="535"/>
        <v>196.553</v>
      </c>
      <c r="DP211" s="9">
        <f t="shared" ref="DP211" si="536">-DP103</f>
        <v>197.59399999999999</v>
      </c>
      <c r="DQ211" s="9">
        <f t="shared" ref="DQ211:DQ220" si="537">X211-DP211</f>
        <v>189.54599999999999</v>
      </c>
      <c r="DR211" s="9"/>
      <c r="DS211" s="9"/>
      <c r="DX211" s="413">
        <f t="shared" ref="DX211:DX239" si="538">+(DJ211/(DJ211+DK211))</f>
        <v>0.4506711188242789</v>
      </c>
      <c r="DY211" s="413">
        <f t="shared" ref="DY211:DY239" si="539">+(DL211/(DL211+DM211))</f>
        <v>0.47013863780502985</v>
      </c>
      <c r="DZ211" s="413">
        <f t="shared" si="531"/>
        <v>0.49229477708322572</v>
      </c>
      <c r="EH211" s="411" t="b">
        <f t="shared" ref="EH211:EH220" si="540">ROUND(U211,1)=ROUND(SUM(DJ211:DK211),1)</f>
        <v>1</v>
      </c>
      <c r="EI211" s="411" t="b">
        <f t="shared" ref="EI211:EI220" si="541">ROUND(V211,1)=ROUND(SUM(DL211:DM211),1)</f>
        <v>1</v>
      </c>
      <c r="EJ211" s="411" t="b">
        <f t="shared" ref="EJ211:EJ220" si="542">ROUND(W211,1)=ROUND(SUM(DN211:DO211),1)</f>
        <v>1</v>
      </c>
    </row>
    <row r="212" spans="1:140" ht="11.25" customHeight="1" outlineLevel="1" x14ac:dyDescent="0.2">
      <c r="B212" s="7" t="s">
        <v>15</v>
      </c>
      <c r="K212" s="9">
        <f t="shared" ref="K212:AP212" si="543">-K104</f>
        <v>0.98399999999999999</v>
      </c>
      <c r="L212" s="9">
        <f t="shared" si="543"/>
        <v>0.92300000000000004</v>
      </c>
      <c r="M212" s="9">
        <f t="shared" si="543"/>
        <v>0.7</v>
      </c>
      <c r="N212" s="9">
        <f t="shared" si="543"/>
        <v>4.585</v>
      </c>
      <c r="O212" s="9">
        <f t="shared" si="543"/>
        <v>5.1219999999999999</v>
      </c>
      <c r="P212" s="9">
        <f t="shared" si="543"/>
        <v>5.0389999999999997</v>
      </c>
      <c r="Q212" s="9">
        <f t="shared" si="543"/>
        <v>5.8920000000000003</v>
      </c>
      <c r="R212" s="9">
        <f t="shared" si="543"/>
        <v>5.59</v>
      </c>
      <c r="S212" s="9">
        <f t="shared" si="543"/>
        <v>5.6740000000000004</v>
      </c>
      <c r="T212" s="9">
        <f t="shared" si="543"/>
        <v>5.0960000000000001</v>
      </c>
      <c r="U212" s="9">
        <f t="shared" si="543"/>
        <v>26.116</v>
      </c>
      <c r="V212" s="9">
        <f t="shared" si="543"/>
        <v>183.464</v>
      </c>
      <c r="W212" s="9">
        <f t="shared" si="543"/>
        <v>182.881</v>
      </c>
      <c r="X212" s="9">
        <f t="shared" si="543"/>
        <v>182.881</v>
      </c>
      <c r="Y212" s="9">
        <f t="shared" si="543"/>
        <v>190.86885819272112</v>
      </c>
      <c r="Z212" s="9">
        <f t="shared" si="543"/>
        <v>193.89737364963037</v>
      </c>
      <c r="AA212" s="9">
        <f t="shared" si="543"/>
        <v>189.43030507291709</v>
      </c>
      <c r="AB212" s="9">
        <f t="shared" si="543"/>
        <v>185.36871635892274</v>
      </c>
      <c r="AC212" s="9">
        <f t="shared" si="543"/>
        <v>181.64865578955826</v>
      </c>
      <c r="AD212" s="9">
        <f t="shared" si="543"/>
        <v>177.53037455004525</v>
      </c>
      <c r="AE212" s="9">
        <f t="shared" si="543"/>
        <v>173.03047972982154</v>
      </c>
      <c r="AF212" s="9">
        <f t="shared" si="543"/>
        <v>168.73790269379981</v>
      </c>
      <c r="AG212" s="9">
        <f t="shared" si="543"/>
        <v>164.63936672496112</v>
      </c>
      <c r="AH212" s="9">
        <f t="shared" si="543"/>
        <v>160.72668200056529</v>
      </c>
      <c r="AI212" s="9">
        <f t="shared" si="543"/>
        <v>156.99200523556024</v>
      </c>
      <c r="AJ212" s="9">
        <f t="shared" si="543"/>
        <v>153.42782502074712</v>
      </c>
      <c r="AK212" s="9">
        <f t="shared" si="543"/>
        <v>150.02694778128165</v>
      </c>
      <c r="AL212" s="9">
        <f t="shared" si="543"/>
        <v>146.78248432926631</v>
      </c>
      <c r="AM212" s="9">
        <f t="shared" si="543"/>
        <v>143.68783698529757</v>
      </c>
      <c r="AN212" s="9">
        <f t="shared" si="543"/>
        <v>140.73668724489499</v>
      </c>
      <c r="AO212" s="9">
        <f t="shared" si="543"/>
        <v>137.92298396675949</v>
      </c>
      <c r="AP212" s="9">
        <f t="shared" si="543"/>
        <v>135.24093206078197</v>
      </c>
      <c r="AQ212" s="9">
        <f t="shared" ref="AQ212:BV212" si="544">-AQ104</f>
        <v>132.68498165465789</v>
      </c>
      <c r="AR212" s="9">
        <f t="shared" si="544"/>
        <v>130.24981771885848</v>
      </c>
      <c r="AS212" s="9">
        <f t="shared" si="544"/>
        <v>127.93035013056534</v>
      </c>
      <c r="AT212" s="9">
        <f t="shared" si="544"/>
        <v>125.72170415799644</v>
      </c>
      <c r="AU212" s="9">
        <f t="shared" si="544"/>
        <v>123.61921134733669</v>
      </c>
      <c r="AV212" s="9">
        <f t="shared" si="544"/>
        <v>121.61840079523895</v>
      </c>
      <c r="AW212" s="9">
        <f t="shared" si="544"/>
        <v>119.71499079058243</v>
      </c>
      <c r="AX212" s="9">
        <f t="shared" si="544"/>
        <v>117.90488080986502</v>
      </c>
      <c r="AY212" s="9">
        <f t="shared" si="544"/>
        <v>116.18414385126782</v>
      </c>
      <c r="AZ212" s="9">
        <f t="shared" si="544"/>
        <v>114.54901909306218</v>
      </c>
      <c r="BA212" s="9">
        <f t="shared" si="544"/>
        <v>112.99590486263722</v>
      </c>
      <c r="BB212" s="9">
        <f t="shared" si="544"/>
        <v>111.52135190300484</v>
      </c>
      <c r="BC212" s="9">
        <f t="shared" si="544"/>
        <v>110.12205692419666</v>
      </c>
      <c r="BD212" s="9">
        <f t="shared" si="544"/>
        <v>108.79485642749876</v>
      </c>
      <c r="BE212" s="9">
        <f t="shared" si="544"/>
        <v>107.53672079098095</v>
      </c>
      <c r="BF212" s="9">
        <f t="shared" si="544"/>
        <v>106.34474860526493</v>
      </c>
      <c r="BG212" s="9">
        <f t="shared" si="544"/>
        <v>105.21616124894418</v>
      </c>
      <c r="BH212" s="9">
        <f t="shared" si="544"/>
        <v>104.14829769351567</v>
      </c>
      <c r="BI212" s="9">
        <f t="shared" si="544"/>
        <v>103.13860952811318</v>
      </c>
      <c r="BJ212" s="9">
        <f t="shared" si="544"/>
        <v>102.18465619474208</v>
      </c>
      <c r="BK212" s="9">
        <f t="shared" si="544"/>
        <v>101.28410042510987</v>
      </c>
      <c r="BL212" s="9">
        <f t="shared" si="544"/>
        <v>100.4347038705225</v>
      </c>
      <c r="BM212" s="9">
        <f t="shared" si="544"/>
        <v>99.634322916678286</v>
      </c>
      <c r="BN212" s="9">
        <f t="shared" si="544"/>
        <v>98.880904675536399</v>
      </c>
      <c r="BO212" s="9">
        <f t="shared" si="544"/>
        <v>98.172483146767931</v>
      </c>
      <c r="BP212" s="9">
        <f t="shared" si="544"/>
        <v>97.507175541614387</v>
      </c>
      <c r="BQ212" s="9">
        <f t="shared" si="544"/>
        <v>96.883178762282668</v>
      </c>
      <c r="BR212" s="9">
        <f t="shared" si="544"/>
        <v>96.298766030295411</v>
      </c>
      <c r="BS212" s="9">
        <f t="shared" si="544"/>
        <v>95.752283657494644</v>
      </c>
      <c r="BT212" s="9">
        <f t="shared" si="544"/>
        <v>95.242147953663164</v>
      </c>
      <c r="BU212" s="9">
        <f t="shared" si="544"/>
        <v>94.766842264983197</v>
      </c>
      <c r="BV212" s="9">
        <f t="shared" si="544"/>
        <v>94.324914137796981</v>
      </c>
      <c r="BW212" s="9">
        <f t="shared" ref="BW212:CP212" si="545">-BW104</f>
        <v>93.914972602367556</v>
      </c>
      <c r="BX212" s="9">
        <f t="shared" si="545"/>
        <v>93.535685571562581</v>
      </c>
      <c r="BY212" s="9">
        <f t="shared" si="545"/>
        <v>93.185777349599107</v>
      </c>
      <c r="BZ212" s="9">
        <f t="shared" si="545"/>
        <v>92.864026246192282</v>
      </c>
      <c r="CA212" s="9">
        <f t="shared" si="545"/>
        <v>92.569262291648727</v>
      </c>
      <c r="CB212" s="9">
        <f t="shared" si="545"/>
        <v>92.300365048633367</v>
      </c>
      <c r="CC212" s="9">
        <f t="shared" si="545"/>
        <v>92.056261516519797</v>
      </c>
      <c r="CD212" s="9">
        <f t="shared" si="545"/>
        <v>91.835924124406773</v>
      </c>
      <c r="CE212" s="9">
        <f t="shared" si="545"/>
        <v>91.638368809049425</v>
      </c>
      <c r="CF212" s="9">
        <f t="shared" si="545"/>
        <v>91.462653174112589</v>
      </c>
      <c r="CG212" s="9">
        <f t="shared" si="545"/>
        <v>91.307874727305602</v>
      </c>
      <c r="CH212" s="9">
        <f t="shared" si="545"/>
        <v>91.173169192103046</v>
      </c>
      <c r="CI212" s="9">
        <f t="shared" si="545"/>
        <v>91.057708890896365</v>
      </c>
      <c r="CJ212" s="9">
        <f t="shared" si="545"/>
        <v>90.960701196553472</v>
      </c>
      <c r="CK212" s="9">
        <f t="shared" si="545"/>
        <v>90.881387049492545</v>
      </c>
      <c r="CL212" s="9">
        <f t="shared" si="545"/>
        <v>90.819039537497801</v>
      </c>
      <c r="CM212" s="9">
        <f t="shared" si="545"/>
        <v>90.772962535622923</v>
      </c>
      <c r="CN212" s="9">
        <f t="shared" si="545"/>
        <v>90.742489403639652</v>
      </c>
      <c r="CO212" s="9">
        <f t="shared" si="545"/>
        <v>90.72698173859682</v>
      </c>
      <c r="CP212" s="9">
        <f t="shared" si="545"/>
        <v>90.725828180158459</v>
      </c>
      <c r="CQ212" s="23" t="s">
        <v>77</v>
      </c>
      <c r="DB212" s="7" t="s">
        <v>15</v>
      </c>
      <c r="DD212" s="8"/>
      <c r="DE212" s="8"/>
      <c r="DF212" s="8"/>
      <c r="DG212" s="8"/>
      <c r="DH212" s="8"/>
      <c r="DI212" s="8"/>
      <c r="DJ212" s="9">
        <f t="shared" si="535"/>
        <v>6.4169999999999998</v>
      </c>
      <c r="DK212" s="9">
        <f t="shared" si="535"/>
        <v>19.698999999999998</v>
      </c>
      <c r="DL212" s="9">
        <f t="shared" si="535"/>
        <v>91.843999999999994</v>
      </c>
      <c r="DM212" s="9">
        <f t="shared" si="535"/>
        <v>91.62</v>
      </c>
      <c r="DN212" s="9">
        <f t="shared" si="535"/>
        <v>91.396000000000001</v>
      </c>
      <c r="DO212" s="9">
        <f t="shared" si="535"/>
        <v>91.484999999999999</v>
      </c>
      <c r="DP212" s="9">
        <f t="shared" ref="DP212" si="546">-DP104</f>
        <v>91.525999999999996</v>
      </c>
      <c r="DQ212" s="9">
        <f t="shared" si="537"/>
        <v>91.355000000000004</v>
      </c>
      <c r="DR212" s="9"/>
      <c r="DS212" s="9"/>
      <c r="DX212" s="413">
        <f t="shared" si="538"/>
        <v>0.24571144126206157</v>
      </c>
      <c r="DY212" s="413">
        <f t="shared" si="539"/>
        <v>0.50061047398944747</v>
      </c>
      <c r="DZ212" s="413">
        <f t="shared" si="531"/>
        <v>0.4997566723716515</v>
      </c>
      <c r="EH212" s="411" t="b">
        <f t="shared" si="540"/>
        <v>1</v>
      </c>
      <c r="EI212" s="411" t="b">
        <f t="shared" si="541"/>
        <v>1</v>
      </c>
      <c r="EJ212" s="411" t="b">
        <f t="shared" si="542"/>
        <v>1</v>
      </c>
    </row>
    <row r="213" spans="1:140" ht="11.25" customHeight="1" outlineLevel="1" x14ac:dyDescent="0.2">
      <c r="B213" s="7" t="s">
        <v>283</v>
      </c>
      <c r="K213" s="9">
        <f>+K214-SUM(K210:K212)</f>
        <v>32.995000000000005</v>
      </c>
      <c r="L213" s="9">
        <f t="shared" ref="L213:BD213" si="547">+L214-SUM(L210:L212)</f>
        <v>99.007999999999981</v>
      </c>
      <c r="M213" s="9">
        <f t="shared" si="547"/>
        <v>170.29899999999998</v>
      </c>
      <c r="N213" s="9">
        <f t="shared" si="547"/>
        <v>268.88400000000001</v>
      </c>
      <c r="O213" s="9">
        <f t="shared" si="547"/>
        <v>248.83000000000004</v>
      </c>
      <c r="P213" s="9">
        <f t="shared" si="547"/>
        <v>268.19100000000003</v>
      </c>
      <c r="Q213" s="9">
        <f t="shared" si="547"/>
        <v>245.61600000000004</v>
      </c>
      <c r="R213" s="9">
        <f t="shared" si="547"/>
        <v>274.63399999999996</v>
      </c>
      <c r="S213" s="9">
        <f t="shared" si="547"/>
        <v>217.27700000000016</v>
      </c>
      <c r="T213" s="9">
        <f t="shared" si="547"/>
        <v>197.28799999999995</v>
      </c>
      <c r="U213" s="9">
        <f t="shared" si="547"/>
        <v>52.129000000000133</v>
      </c>
      <c r="V213" s="9">
        <f t="shared" si="547"/>
        <v>630.33300000000008</v>
      </c>
      <c r="W213" s="9">
        <f t="shared" si="547"/>
        <v>663.255</v>
      </c>
      <c r="X213" s="9">
        <f t="shared" si="547"/>
        <v>632.62530513694412</v>
      </c>
      <c r="Y213" s="9">
        <f t="shared" si="547"/>
        <v>646.4111528918454</v>
      </c>
      <c r="Z213" s="9">
        <f t="shared" si="547"/>
        <v>663.57589082277138</v>
      </c>
      <c r="AA213" s="9">
        <f t="shared" si="547"/>
        <v>639.06631782326747</v>
      </c>
      <c r="AB213" s="9">
        <f t="shared" si="547"/>
        <v>694.59068011016234</v>
      </c>
      <c r="AC213" s="9">
        <f t="shared" si="547"/>
        <v>701.17259458245496</v>
      </c>
      <c r="AD213" s="9">
        <f t="shared" si="547"/>
        <v>708.36722228240365</v>
      </c>
      <c r="AE213" s="9">
        <f t="shared" si="547"/>
        <v>711.75939766518513</v>
      </c>
      <c r="AF213" s="9">
        <f t="shared" si="547"/>
        <v>708.71789000991828</v>
      </c>
      <c r="AG213" s="9">
        <f t="shared" si="547"/>
        <v>702.28493442831905</v>
      </c>
      <c r="AH213" s="9">
        <f t="shared" si="547"/>
        <v>719.74517380631028</v>
      </c>
      <c r="AI213" s="9">
        <f t="shared" si="547"/>
        <v>678.70642925203595</v>
      </c>
      <c r="AJ213" s="9">
        <f t="shared" si="547"/>
        <v>653.49153496063252</v>
      </c>
      <c r="AK213" s="9">
        <f t="shared" si="547"/>
        <v>660.57919358706272</v>
      </c>
      <c r="AL213" s="9">
        <f t="shared" si="547"/>
        <v>671.07592959461431</v>
      </c>
      <c r="AM213" s="9">
        <f t="shared" si="547"/>
        <v>682.6702722467935</v>
      </c>
      <c r="AN213" s="9">
        <f t="shared" si="547"/>
        <v>690.6141066134669</v>
      </c>
      <c r="AO213" s="9">
        <f t="shared" si="547"/>
        <v>674.63765413625208</v>
      </c>
      <c r="AP213" s="9">
        <f t="shared" si="547"/>
        <v>516.25601227651919</v>
      </c>
      <c r="AQ213" s="9">
        <f t="shared" si="547"/>
        <v>520.93079247916705</v>
      </c>
      <c r="AR213" s="9">
        <f t="shared" si="547"/>
        <v>491.85062369460786</v>
      </c>
      <c r="AS213" s="9">
        <f t="shared" si="547"/>
        <v>458.20741730043915</v>
      </c>
      <c r="AT213" s="9">
        <f t="shared" si="547"/>
        <v>454.65994042451689</v>
      </c>
      <c r="AU213" s="9">
        <f t="shared" si="547"/>
        <v>461.14236873615278</v>
      </c>
      <c r="AV213" s="9">
        <f t="shared" si="547"/>
        <v>476.37050915604959</v>
      </c>
      <c r="AW213" s="9">
        <f t="shared" si="547"/>
        <v>475.90259746291008</v>
      </c>
      <c r="AX213" s="9">
        <f t="shared" si="547"/>
        <v>488.80088083031035</v>
      </c>
      <c r="AY213" s="9">
        <f t="shared" si="547"/>
        <v>501.63011499873357</v>
      </c>
      <c r="AZ213" s="9">
        <f t="shared" si="547"/>
        <v>514.39265657270539</v>
      </c>
      <c r="BA213" s="9">
        <f t="shared" si="547"/>
        <v>475.0004128945227</v>
      </c>
      <c r="BB213" s="9">
        <f t="shared" si="547"/>
        <v>488.07100168180409</v>
      </c>
      <c r="BC213" s="9">
        <f t="shared" si="547"/>
        <v>501.05905912148467</v>
      </c>
      <c r="BD213" s="9">
        <f t="shared" si="547"/>
        <v>513.96641267743166</v>
      </c>
      <c r="BE213" s="9">
        <f t="shared" ref="BE213:CP213" si="548">+BE214-SUM(BE210:BE212)</f>
        <v>526.79471770429927</v>
      </c>
      <c r="BF213" s="9">
        <f t="shared" si="548"/>
        <v>539.5445621818576</v>
      </c>
      <c r="BG213" s="9">
        <f t="shared" si="548"/>
        <v>552.21801632901975</v>
      </c>
      <c r="BH213" s="9">
        <f t="shared" si="548"/>
        <v>564.81491333657777</v>
      </c>
      <c r="BI213" s="9">
        <f t="shared" si="548"/>
        <v>577.33727370817269</v>
      </c>
      <c r="BJ213" s="9">
        <f t="shared" si="548"/>
        <v>589.78477918873671</v>
      </c>
      <c r="BK213" s="9">
        <f t="shared" si="548"/>
        <v>602.15884033518898</v>
      </c>
      <c r="BL213" s="9">
        <f t="shared" si="548"/>
        <v>614.45957023844517</v>
      </c>
      <c r="BM213" s="9">
        <f t="shared" si="548"/>
        <v>626.68731856022862</v>
      </c>
      <c r="BN213" s="9">
        <f t="shared" si="548"/>
        <v>638.84218928356108</v>
      </c>
      <c r="BO213" s="9">
        <f t="shared" si="548"/>
        <v>650.92441005421438</v>
      </c>
      <c r="BP213" s="9">
        <f t="shared" si="548"/>
        <v>662.93397114371373</v>
      </c>
      <c r="BQ213" s="9">
        <f t="shared" si="548"/>
        <v>674.87074969590958</v>
      </c>
      <c r="BR213" s="9">
        <f t="shared" si="548"/>
        <v>687.00692773218077</v>
      </c>
      <c r="BS213" s="9">
        <f t="shared" si="548"/>
        <v>687.02735172809582</v>
      </c>
      <c r="BT213" s="9">
        <f t="shared" si="548"/>
        <v>688.4416631803615</v>
      </c>
      <c r="BU213" s="9">
        <f t="shared" si="548"/>
        <v>700.57699875890899</v>
      </c>
      <c r="BV213" s="9">
        <f t="shared" si="548"/>
        <v>712.68031302876591</v>
      </c>
      <c r="BW213" s="9">
        <f t="shared" si="548"/>
        <v>724.75222073710381</v>
      </c>
      <c r="BX213" s="9">
        <f t="shared" si="548"/>
        <v>736.79363048446908</v>
      </c>
      <c r="BY213" s="9">
        <f t="shared" si="548"/>
        <v>748.80448147234779</v>
      </c>
      <c r="BZ213" s="9">
        <f t="shared" si="548"/>
        <v>760.78616846478155</v>
      </c>
      <c r="CA213" s="9">
        <f t="shared" si="548"/>
        <v>772.73876269391394</v>
      </c>
      <c r="CB213" s="9">
        <f t="shared" si="548"/>
        <v>784.66333076992544</v>
      </c>
      <c r="CC213" s="9">
        <f t="shared" si="548"/>
        <v>795.15839673660275</v>
      </c>
      <c r="CD213" s="9">
        <f t="shared" si="548"/>
        <v>790.22386189765768</v>
      </c>
      <c r="CE213" s="9">
        <f t="shared" si="548"/>
        <v>802.14587394801094</v>
      </c>
      <c r="CF213" s="9">
        <f t="shared" si="548"/>
        <v>814.04103406930381</v>
      </c>
      <c r="CG213" s="9">
        <f t="shared" si="548"/>
        <v>825.90988598719139</v>
      </c>
      <c r="CH213" s="9">
        <f t="shared" si="548"/>
        <v>681.70387206368082</v>
      </c>
      <c r="CI213" s="9">
        <f t="shared" si="548"/>
        <v>694.65236258024356</v>
      </c>
      <c r="CJ213" s="9">
        <f t="shared" si="548"/>
        <v>707.56389879150822</v>
      </c>
      <c r="CK213" s="9">
        <f t="shared" si="548"/>
        <v>720.43737789466263</v>
      </c>
      <c r="CL213" s="9">
        <f t="shared" si="548"/>
        <v>733.27177076363341</v>
      </c>
      <c r="CM213" s="9">
        <f t="shared" si="548"/>
        <v>746.06644384064089</v>
      </c>
      <c r="CN213" s="9">
        <f t="shared" si="548"/>
        <v>758.82058766603711</v>
      </c>
      <c r="CO213" s="9">
        <f t="shared" si="548"/>
        <v>771.53344506348571</v>
      </c>
      <c r="CP213" s="9">
        <f t="shared" si="548"/>
        <v>774.97068944250259</v>
      </c>
      <c r="CQ213" s="23" t="s">
        <v>77</v>
      </c>
      <c r="DB213" s="7" t="s">
        <v>283</v>
      </c>
      <c r="DD213" s="8"/>
      <c r="DE213" s="8"/>
      <c r="DF213" s="8"/>
      <c r="DG213" s="8"/>
      <c r="DH213" s="8"/>
      <c r="DI213" s="8"/>
      <c r="DJ213" s="9">
        <f t="shared" ref="DJ213:DO213" si="549">+DJ214-SUM(DJ210:DJ212)</f>
        <v>-153.40800000000019</v>
      </c>
      <c r="DK213" s="9">
        <f t="shared" si="549"/>
        <v>205.53699999999992</v>
      </c>
      <c r="DL213" s="9">
        <f t="shared" si="549"/>
        <v>318.541</v>
      </c>
      <c r="DM213" s="9">
        <f t="shared" si="549"/>
        <v>311.79200000000003</v>
      </c>
      <c r="DN213" s="9">
        <f t="shared" si="549"/>
        <v>337.86899999999997</v>
      </c>
      <c r="DO213" s="9">
        <f t="shared" si="549"/>
        <v>325.38600000000002</v>
      </c>
      <c r="DP213" s="9">
        <f t="shared" ref="DP213" si="550">+DP214-SUM(DP210:DP212)</f>
        <v>342.16999999999996</v>
      </c>
      <c r="DQ213" s="9">
        <f t="shared" si="537"/>
        <v>290.45530513694416</v>
      </c>
      <c r="DR213" s="9"/>
      <c r="DS213" s="9"/>
      <c r="DX213" s="413">
        <f t="shared" si="538"/>
        <v>-2.942853306221124</v>
      </c>
      <c r="DY213" s="413">
        <f t="shared" si="539"/>
        <v>0.50535351948890495</v>
      </c>
      <c r="DZ213" s="413">
        <f t="shared" si="531"/>
        <v>0.50941040776172053</v>
      </c>
      <c r="EH213" s="411" t="b">
        <f t="shared" si="540"/>
        <v>1</v>
      </c>
      <c r="EI213" s="411" t="b">
        <f t="shared" si="541"/>
        <v>1</v>
      </c>
      <c r="EJ213" s="411" t="b">
        <f t="shared" si="542"/>
        <v>1</v>
      </c>
    </row>
    <row r="214" spans="1:140" ht="11.25" customHeight="1" outlineLevel="1" x14ac:dyDescent="0.2">
      <c r="B214" s="484" t="s">
        <v>246</v>
      </c>
      <c r="C214" s="485"/>
      <c r="D214" s="85"/>
      <c r="E214" s="85"/>
      <c r="F214" s="85"/>
      <c r="G214" s="85"/>
      <c r="H214" s="85"/>
      <c r="I214" s="85"/>
      <c r="J214" s="85"/>
      <c r="K214" s="85">
        <f t="shared" ref="K214:AP214" si="551">+K97</f>
        <v>178.876</v>
      </c>
      <c r="L214" s="85">
        <f t="shared" si="551"/>
        <v>200.40199999999999</v>
      </c>
      <c r="M214" s="85">
        <f t="shared" si="551"/>
        <v>296.84199999999998</v>
      </c>
      <c r="N214" s="85">
        <f t="shared" si="551"/>
        <v>430.53499999999997</v>
      </c>
      <c r="O214" s="85">
        <f t="shared" si="551"/>
        <v>423.24200000000008</v>
      </c>
      <c r="P214" s="85">
        <f t="shared" si="551"/>
        <v>459.97500000000002</v>
      </c>
      <c r="Q214" s="85">
        <f t="shared" si="551"/>
        <v>454.47500000000002</v>
      </c>
      <c r="R214" s="85">
        <f t="shared" si="551"/>
        <v>515.33299999999997</v>
      </c>
      <c r="S214" s="85">
        <f t="shared" si="551"/>
        <v>646.50500000000011</v>
      </c>
      <c r="T214" s="85">
        <f t="shared" si="551"/>
        <v>697.221</v>
      </c>
      <c r="U214" s="85">
        <f t="shared" si="551"/>
        <v>821.25900000000001</v>
      </c>
      <c r="V214" s="85">
        <f t="shared" si="551"/>
        <v>1330.5239999999999</v>
      </c>
      <c r="W214" s="85">
        <f t="shared" si="551"/>
        <v>1470.1219999999996</v>
      </c>
      <c r="X214" s="85">
        <f t="shared" si="551"/>
        <v>1485.0839326218895</v>
      </c>
      <c r="Y214" s="85">
        <f t="shared" si="551"/>
        <v>1553.6840226773406</v>
      </c>
      <c r="Z214" s="85">
        <f t="shared" si="551"/>
        <v>1620.0453242958517</v>
      </c>
      <c r="AA214" s="85">
        <f t="shared" si="551"/>
        <v>1578.6426092790687</v>
      </c>
      <c r="AB214" s="85">
        <f t="shared" si="551"/>
        <v>1609.52085369918</v>
      </c>
      <c r="AC214" s="85">
        <f t="shared" si="551"/>
        <v>1642.0028360563829</v>
      </c>
      <c r="AD214" s="85">
        <f t="shared" si="551"/>
        <v>1675.0805825732421</v>
      </c>
      <c r="AE214" s="85">
        <f t="shared" si="551"/>
        <v>1695.880589685326</v>
      </c>
      <c r="AF214" s="85">
        <f t="shared" si="551"/>
        <v>1696.1048642026351</v>
      </c>
      <c r="AG214" s="85">
        <f t="shared" si="551"/>
        <v>1685.2892255631889</v>
      </c>
      <c r="AH214" s="85">
        <f t="shared" si="551"/>
        <v>1719.0505866419901</v>
      </c>
      <c r="AI214" s="85">
        <f t="shared" si="551"/>
        <v>1602.291369542542</v>
      </c>
      <c r="AJ214" s="85">
        <f t="shared" si="551"/>
        <v>1526.4531424686459</v>
      </c>
      <c r="AK214" s="85">
        <f t="shared" si="551"/>
        <v>1521.3601547795251</v>
      </c>
      <c r="AL214" s="85">
        <f t="shared" si="551"/>
        <v>1549.9754956129416</v>
      </c>
      <c r="AM214" s="85">
        <f t="shared" si="551"/>
        <v>1579.3938340493312</v>
      </c>
      <c r="AN214" s="85">
        <f t="shared" si="551"/>
        <v>1597.2978949890553</v>
      </c>
      <c r="AO214" s="85">
        <f t="shared" si="551"/>
        <v>1570.7805226278924</v>
      </c>
      <c r="AP214" s="85">
        <f t="shared" si="551"/>
        <v>1053.3073565634118</v>
      </c>
      <c r="AQ214" s="85">
        <f t="shared" ref="AQ214:BV214" si="552">+AQ97</f>
        <v>1073.5327907288965</v>
      </c>
      <c r="AR214" s="85">
        <f t="shared" si="552"/>
        <v>982.47702193906559</v>
      </c>
      <c r="AS214" s="85">
        <f t="shared" si="552"/>
        <v>867.35365710100416</v>
      </c>
      <c r="AT214" s="85">
        <f t="shared" si="552"/>
        <v>851.68790877391143</v>
      </c>
      <c r="AU214" s="85">
        <f t="shared" si="552"/>
        <v>869.58545277490578</v>
      </c>
      <c r="AV214" s="85">
        <f t="shared" si="552"/>
        <v>887.89293474404894</v>
      </c>
      <c r="AW214" s="85">
        <f t="shared" si="552"/>
        <v>862.0174764376809</v>
      </c>
      <c r="AX214" s="85">
        <f t="shared" si="552"/>
        <v>880.12946297243002</v>
      </c>
      <c r="AY214" s="85">
        <f t="shared" si="552"/>
        <v>898.6535200972977</v>
      </c>
      <c r="AZ214" s="85">
        <f t="shared" si="552"/>
        <v>917.59799903988528</v>
      </c>
      <c r="BA214" s="85">
        <f t="shared" si="552"/>
        <v>763.33702235912574</v>
      </c>
      <c r="BB214" s="85">
        <f t="shared" si="552"/>
        <v>779.12615032909673</v>
      </c>
      <c r="BC214" s="85">
        <f t="shared" si="552"/>
        <v>795.27078587070991</v>
      </c>
      <c r="BD214" s="85">
        <f t="shared" si="552"/>
        <v>811.77952485394837</v>
      </c>
      <c r="BE214" s="85">
        <f t="shared" si="552"/>
        <v>828.66110747292066</v>
      </c>
      <c r="BF214" s="85">
        <f t="shared" si="552"/>
        <v>845.92142142331602</v>
      </c>
      <c r="BG214" s="85">
        <f t="shared" si="552"/>
        <v>863.57188387036922</v>
      </c>
      <c r="BH214" s="85">
        <f t="shared" si="552"/>
        <v>881.61722123009372</v>
      </c>
      <c r="BI214" s="85">
        <f t="shared" si="552"/>
        <v>900.06996728874105</v>
      </c>
      <c r="BJ214" s="85">
        <f t="shared" si="552"/>
        <v>918.9356347041246</v>
      </c>
      <c r="BK214" s="85">
        <f t="shared" si="552"/>
        <v>938.22601361201976</v>
      </c>
      <c r="BL214" s="85">
        <f t="shared" si="552"/>
        <v>957.94929012326952</v>
      </c>
      <c r="BM214" s="85">
        <f t="shared" si="552"/>
        <v>978.11502059392751</v>
      </c>
      <c r="BN214" s="85">
        <f t="shared" si="552"/>
        <v>998.73255959238656</v>
      </c>
      <c r="BO214" s="85">
        <f t="shared" si="552"/>
        <v>1019.8122720104545</v>
      </c>
      <c r="BP214" s="85">
        <f t="shared" si="552"/>
        <v>1041.3643535097035</v>
      </c>
      <c r="BQ214" s="85">
        <f t="shared" si="552"/>
        <v>1063.3992277801251</v>
      </c>
      <c r="BR214" s="85">
        <f t="shared" si="552"/>
        <v>1085.9267900098723</v>
      </c>
      <c r="BS214" s="85">
        <f t="shared" si="552"/>
        <v>1068.6891164573028</v>
      </c>
      <c r="BT214" s="85">
        <f t="shared" si="552"/>
        <v>1055.6131069273245</v>
      </c>
      <c r="BU214" s="85">
        <f t="shared" si="552"/>
        <v>1077.90219574867</v>
      </c>
      <c r="BV214" s="85">
        <f t="shared" si="552"/>
        <v>1100.6884463287852</v>
      </c>
      <c r="BW214" s="85">
        <f t="shared" ref="BW214:CP214" si="553">+BW97</f>
        <v>1123.9824285790146</v>
      </c>
      <c r="BX214" s="85">
        <f t="shared" si="553"/>
        <v>1147.7960952306412</v>
      </c>
      <c r="BY214" s="85">
        <f t="shared" si="553"/>
        <v>1172.1386021199014</v>
      </c>
      <c r="BZ214" s="85">
        <f t="shared" si="553"/>
        <v>1197.0243070996821</v>
      </c>
      <c r="CA214" s="85">
        <f t="shared" si="553"/>
        <v>1222.4636437696258</v>
      </c>
      <c r="CB214" s="85">
        <f t="shared" si="553"/>
        <v>1248.4707360066436</v>
      </c>
      <c r="CC214" s="85">
        <f t="shared" si="553"/>
        <v>1270.3850341023813</v>
      </c>
      <c r="CD214" s="85">
        <f t="shared" si="553"/>
        <v>1241.4217866145787</v>
      </c>
      <c r="CE214" s="85">
        <f t="shared" si="553"/>
        <v>1267.7906044858398</v>
      </c>
      <c r="CF214" s="85">
        <f t="shared" si="553"/>
        <v>1294.7438478471772</v>
      </c>
      <c r="CG214" s="85">
        <f t="shared" si="553"/>
        <v>1322.2951858611975</v>
      </c>
      <c r="CH214" s="85">
        <f t="shared" si="553"/>
        <v>830.29504654147138</v>
      </c>
      <c r="CI214" s="85">
        <f t="shared" si="553"/>
        <v>847.04787506031528</v>
      </c>
      <c r="CJ214" s="85">
        <f t="shared" si="553"/>
        <v>864.16216785095594</v>
      </c>
      <c r="CK214" s="85">
        <f t="shared" si="553"/>
        <v>881.64445225053066</v>
      </c>
      <c r="CL214" s="85">
        <f t="shared" si="553"/>
        <v>899.50182972260382</v>
      </c>
      <c r="CM214" s="85">
        <f t="shared" si="553"/>
        <v>917.74306468398709</v>
      </c>
      <c r="CN214" s="85">
        <f t="shared" si="553"/>
        <v>936.37673374747465</v>
      </c>
      <c r="CO214" s="85">
        <f t="shared" si="553"/>
        <v>955.41197587764862</v>
      </c>
      <c r="CP214" s="85">
        <f t="shared" si="553"/>
        <v>944.07976935785462</v>
      </c>
      <c r="CQ214" s="23" t="s">
        <v>77</v>
      </c>
      <c r="DB214" s="484" t="s">
        <v>246</v>
      </c>
      <c r="DD214" s="85"/>
      <c r="DE214" s="85"/>
      <c r="DF214" s="85"/>
      <c r="DG214" s="85"/>
      <c r="DH214" s="85"/>
      <c r="DI214" s="85"/>
      <c r="DJ214" s="85">
        <f t="shared" ref="DJ214:DO214" si="554">+DJ97</f>
        <v>401.33099999999996</v>
      </c>
      <c r="DK214" s="85">
        <f t="shared" si="554"/>
        <v>419.928</v>
      </c>
      <c r="DL214" s="85">
        <f t="shared" si="554"/>
        <v>667.56700000000001</v>
      </c>
      <c r="DM214" s="85">
        <f t="shared" si="554"/>
        <v>662.95699999999999</v>
      </c>
      <c r="DN214" s="85">
        <f t="shared" si="554"/>
        <v>759.68200000000013</v>
      </c>
      <c r="DO214" s="85">
        <f t="shared" si="554"/>
        <v>710.43999999999983</v>
      </c>
      <c r="DP214" s="85">
        <f t="shared" ref="DP214" si="555">+DP97</f>
        <v>755.25599999999986</v>
      </c>
      <c r="DQ214" s="85">
        <f t="shared" si="537"/>
        <v>729.82793262188966</v>
      </c>
      <c r="DR214" s="85"/>
      <c r="DS214" s="85"/>
      <c r="DX214" s="413">
        <f t="shared" si="538"/>
        <v>0.48867774965023208</v>
      </c>
      <c r="DY214" s="413">
        <f t="shared" si="539"/>
        <v>0.50173240016715226</v>
      </c>
      <c r="DZ214" s="413">
        <f t="shared" si="531"/>
        <v>0.51674758965582468</v>
      </c>
      <c r="EH214" s="411" t="b">
        <f t="shared" si="540"/>
        <v>1</v>
      </c>
      <c r="EI214" s="411" t="b">
        <f t="shared" si="541"/>
        <v>1</v>
      </c>
      <c r="EJ214" s="411" t="b">
        <f t="shared" si="542"/>
        <v>1</v>
      </c>
    </row>
    <row r="215" spans="1:140" ht="11.25" customHeight="1" outlineLevel="1" x14ac:dyDescent="0.2">
      <c r="B215" s="11" t="s">
        <v>436</v>
      </c>
      <c r="K215" s="9">
        <f>+K118</f>
        <v>-26.381</v>
      </c>
      <c r="L215" s="9">
        <f>+L118</f>
        <v>-20.661999999999981</v>
      </c>
      <c r="M215" s="9">
        <f>+M118</f>
        <v>-25.799999999999997</v>
      </c>
      <c r="N215" s="9">
        <f>+N118</f>
        <v>-9.354999999999988</v>
      </c>
      <c r="O215" s="9">
        <f t="shared" ref="O215:AT215" si="556">+O117</f>
        <v>-35.881999999999998</v>
      </c>
      <c r="P215" s="9">
        <f t="shared" si="556"/>
        <v>-38.671999999999997</v>
      </c>
      <c r="Q215" s="9">
        <f t="shared" si="556"/>
        <v>-35.862000000000002</v>
      </c>
      <c r="R215" s="9">
        <f t="shared" si="556"/>
        <v>-50.435000000000002</v>
      </c>
      <c r="S215" s="9">
        <f t="shared" si="556"/>
        <v>-51.420999999999999</v>
      </c>
      <c r="T215" s="9">
        <f t="shared" si="556"/>
        <v>77.683999999999997</v>
      </c>
      <c r="U215" s="9">
        <f t="shared" si="556"/>
        <v>-177.19800000000001</v>
      </c>
      <c r="V215" s="9">
        <f t="shared" si="556"/>
        <v>-122.524</v>
      </c>
      <c r="W215" s="9">
        <f t="shared" si="556"/>
        <v>-149.488</v>
      </c>
      <c r="X215" s="9">
        <f t="shared" si="556"/>
        <v>-121.04469749354806</v>
      </c>
      <c r="Y215" s="9">
        <f t="shared" si="556"/>
        <v>-133.86623530375664</v>
      </c>
      <c r="Z215" s="9">
        <f t="shared" si="556"/>
        <v>-150.90494827125161</v>
      </c>
      <c r="AA215" s="9">
        <f t="shared" si="556"/>
        <v>-149.63219602542276</v>
      </c>
      <c r="AB215" s="9">
        <f t="shared" si="556"/>
        <v>-144.49509480053072</v>
      </c>
      <c r="AC215" s="9">
        <f t="shared" si="556"/>
        <v>-160.56442706890655</v>
      </c>
      <c r="AD215" s="9">
        <f t="shared" si="556"/>
        <v>-177.15844357484016</v>
      </c>
      <c r="AE215" s="9">
        <f t="shared" si="556"/>
        <v>-190.62995835331506</v>
      </c>
      <c r="AF215" s="9">
        <f t="shared" si="556"/>
        <v>-197.76365707579353</v>
      </c>
      <c r="AG215" s="9">
        <f t="shared" si="556"/>
        <v>-201.36023965726446</v>
      </c>
      <c r="AH215" s="9">
        <f t="shared" si="556"/>
        <v>-213.57304758869211</v>
      </c>
      <c r="AI215" s="9">
        <f t="shared" si="556"/>
        <v>-186.11024416866414</v>
      </c>
      <c r="AJ215" s="9">
        <f t="shared" si="556"/>
        <v>-169.17560637757813</v>
      </c>
      <c r="AK215" s="9">
        <f t="shared" si="556"/>
        <v>-168.49826349828913</v>
      </c>
      <c r="AL215" s="9">
        <f t="shared" si="556"/>
        <v>-180.5973744827316</v>
      </c>
      <c r="AM215" s="9">
        <f t="shared" si="556"/>
        <v>-192.37009822893484</v>
      </c>
      <c r="AN215" s="9">
        <f t="shared" si="556"/>
        <v>-200.58094928683616</v>
      </c>
      <c r="AO215" s="9">
        <f t="shared" si="556"/>
        <v>-199.82199202659535</v>
      </c>
      <c r="AP215" s="9">
        <f t="shared" si="556"/>
        <v>-49.508342802881721</v>
      </c>
      <c r="AQ215" s="9">
        <f t="shared" si="556"/>
        <v>-59.587179127736562</v>
      </c>
      <c r="AR215" s="9">
        <f t="shared" si="556"/>
        <v>-36.279129968410167</v>
      </c>
      <c r="AS215" s="9">
        <f>+AS117</f>
        <v>-4.4574357154781064</v>
      </c>
      <c r="AT215" s="9">
        <f t="shared" si="556"/>
        <v>-2.2142275668573288</v>
      </c>
      <c r="AU215" s="9">
        <f t="shared" ref="AU215:BZ215" si="557">+AU117</f>
        <v>-9.9149560502754515</v>
      </c>
      <c r="AV215" s="9">
        <f t="shared" si="557"/>
        <v>-13.907381476610544</v>
      </c>
      <c r="AW215" s="9">
        <f t="shared" si="557"/>
        <v>-5.5610316849594481</v>
      </c>
      <c r="AX215" s="9">
        <f t="shared" si="557"/>
        <v>-10.213443324065377</v>
      </c>
      <c r="AY215" s="9">
        <f t="shared" si="557"/>
        <v>-14.952663564020133</v>
      </c>
      <c r="AZ215" s="9">
        <f t="shared" si="557"/>
        <v>-19.78628528143738</v>
      </c>
      <c r="BA215" s="9">
        <f t="shared" si="557"/>
        <v>27.368502414628512</v>
      </c>
      <c r="BB215" s="9">
        <f t="shared" si="557"/>
        <v>24.23368801102631</v>
      </c>
      <c r="BC215" s="9">
        <f t="shared" si="557"/>
        <v>21.011673188800575</v>
      </c>
      <c r="BD215" s="9">
        <f t="shared" si="557"/>
        <v>17.695331361546639</v>
      </c>
      <c r="BE215" s="9">
        <f t="shared" si="557"/>
        <v>14.277579162844727</v>
      </c>
      <c r="BF215" s="9">
        <f t="shared" si="557"/>
        <v>10.752269547139997</v>
      </c>
      <c r="BG215" s="9">
        <f t="shared" si="557"/>
        <v>7.1116849632622463</v>
      </c>
      <c r="BH215" s="9">
        <f t="shared" si="557"/>
        <v>3.3501736797184889</v>
      </c>
      <c r="BI215" s="9">
        <f t="shared" si="557"/>
        <v>-0.5401741949683242</v>
      </c>
      <c r="BJ215" s="9">
        <f t="shared" si="557"/>
        <v>-4.565117751183891</v>
      </c>
      <c r="BK215" s="9">
        <f t="shared" si="557"/>
        <v>-8.7322275319202038</v>
      </c>
      <c r="BL215" s="9">
        <f t="shared" si="557"/>
        <v>-13.047953416884218</v>
      </c>
      <c r="BM215" s="9">
        <f t="shared" si="557"/>
        <v>-17.519104598861816</v>
      </c>
      <c r="BN215" s="9">
        <f t="shared" si="557"/>
        <v>-22.152387887817131</v>
      </c>
      <c r="BO215" s="9">
        <f t="shared" si="557"/>
        <v>-26.954774025456139</v>
      </c>
      <c r="BP215" s="9">
        <f t="shared" si="557"/>
        <v>-31.933151803010105</v>
      </c>
      <c r="BQ215" s="9">
        <f t="shared" si="557"/>
        <v>-37.094449769282399</v>
      </c>
      <c r="BR215" s="9">
        <f t="shared" si="557"/>
        <v>-42.328565933627829</v>
      </c>
      <c r="BS215" s="9">
        <f t="shared" si="557"/>
        <v>-35.662236363021485</v>
      </c>
      <c r="BT215" s="9">
        <f t="shared" si="557"/>
        <v>-30.133544416923698</v>
      </c>
      <c r="BU215" s="9">
        <f t="shared" si="557"/>
        <v>-35.120072199853247</v>
      </c>
      <c r="BV215" s="9">
        <f t="shared" si="557"/>
        <v>-40.288806564220906</v>
      </c>
      <c r="BW215" s="9">
        <f t="shared" si="557"/>
        <v>-45.645872083632106</v>
      </c>
      <c r="BX215" s="9">
        <f t="shared" si="557"/>
        <v>-51.197781375532351</v>
      </c>
      <c r="BY215" s="9">
        <f t="shared" si="557"/>
        <v>-56.950188516536024</v>
      </c>
      <c r="BZ215" s="9">
        <f t="shared" si="557"/>
        <v>-62.910281065224702</v>
      </c>
      <c r="CA215" s="9">
        <f t="shared" ref="CA215:CP215" si="558">+CA117</f>
        <v>-69.084062896308225</v>
      </c>
      <c r="CB215" s="9">
        <f t="shared" si="558"/>
        <v>-75.478626675369483</v>
      </c>
      <c r="CC215" s="9">
        <f t="shared" si="558"/>
        <v>-80.698659836215484</v>
      </c>
      <c r="CD215" s="9">
        <f t="shared" si="558"/>
        <v>-70.694969558276597</v>
      </c>
      <c r="CE215" s="9">
        <f t="shared" si="558"/>
        <v>-77.15035461448123</v>
      </c>
      <c r="CF215" s="9">
        <f t="shared" si="558"/>
        <v>-83.838541990733532</v>
      </c>
      <c r="CG215" s="9">
        <f t="shared" si="558"/>
        <v>-90.766362434724556</v>
      </c>
      <c r="CH215" s="9">
        <f t="shared" si="558"/>
        <v>58.108321405829699</v>
      </c>
      <c r="CI215" s="9">
        <f t="shared" si="558"/>
        <v>56.323657527095158</v>
      </c>
      <c r="CJ215" s="9">
        <f t="shared" si="558"/>
        <v>54.39289205134893</v>
      </c>
      <c r="CK215" s="9">
        <f t="shared" si="558"/>
        <v>52.311740957382789</v>
      </c>
      <c r="CL215" s="9">
        <f t="shared" si="558"/>
        <v>50.075748688402143</v>
      </c>
      <c r="CM215" s="9">
        <f t="shared" si="558"/>
        <v>47.679957648649676</v>
      </c>
      <c r="CN215" s="9">
        <f t="shared" si="558"/>
        <v>45.119454729342394</v>
      </c>
      <c r="CO215" s="9">
        <f t="shared" si="558"/>
        <v>42.389145940627493</v>
      </c>
      <c r="CP215" s="9">
        <f t="shared" si="558"/>
        <v>48.717369673837744</v>
      </c>
      <c r="CQ215" s="23" t="s">
        <v>77</v>
      </c>
      <c r="DB215" s="11" t="s">
        <v>436</v>
      </c>
      <c r="DD215" s="8"/>
      <c r="DE215" s="8"/>
      <c r="DF215" s="8"/>
      <c r="DG215" s="8"/>
      <c r="DH215" s="8"/>
      <c r="DI215" s="8"/>
      <c r="DJ215" s="9">
        <f t="shared" ref="DJ215:DO215" si="559">+DJ117</f>
        <v>-142.53</v>
      </c>
      <c r="DK215" s="9">
        <f t="shared" si="559"/>
        <v>-34.668000000000006</v>
      </c>
      <c r="DL215" s="9">
        <f t="shared" si="559"/>
        <v>-64.233999999999995</v>
      </c>
      <c r="DM215" s="9">
        <f t="shared" si="559"/>
        <v>-58.290000000000006</v>
      </c>
      <c r="DN215" s="9">
        <f t="shared" si="559"/>
        <v>-83.13</v>
      </c>
      <c r="DO215" s="9">
        <f t="shared" si="559"/>
        <v>-66.358000000000004</v>
      </c>
      <c r="DP215" s="9">
        <f t="shared" ref="DP215" si="560">+DP117</f>
        <v>-79.516999999999996</v>
      </c>
      <c r="DQ215" s="9">
        <f t="shared" si="537"/>
        <v>-41.527697493548061</v>
      </c>
      <c r="DR215" s="9"/>
      <c r="DS215" s="9"/>
      <c r="DX215" s="413">
        <f t="shared" si="538"/>
        <v>0.80435445095317104</v>
      </c>
      <c r="DY215" s="413">
        <f t="shared" si="539"/>
        <v>0.52425647220136462</v>
      </c>
      <c r="DZ215" s="413">
        <f t="shared" si="531"/>
        <v>0.55609814834635551</v>
      </c>
      <c r="EH215" s="411" t="b">
        <f t="shared" si="540"/>
        <v>1</v>
      </c>
      <c r="EI215" s="411" t="b">
        <f t="shared" si="541"/>
        <v>1</v>
      </c>
      <c r="EJ215" s="411" t="b">
        <f t="shared" si="542"/>
        <v>1</v>
      </c>
    </row>
    <row r="216" spans="1:140" ht="11.25" customHeight="1" outlineLevel="1" x14ac:dyDescent="0.2">
      <c r="B216" s="7" t="s">
        <v>22</v>
      </c>
      <c r="D216" s="52"/>
      <c r="E216" s="52"/>
      <c r="F216" s="52"/>
      <c r="G216" s="52"/>
      <c r="H216" s="52"/>
      <c r="I216" s="52"/>
      <c r="J216" s="52"/>
      <c r="K216" s="52">
        <f>-14.448-K215</f>
        <v>11.933</v>
      </c>
      <c r="L216" s="52">
        <f>1.243-L215</f>
        <v>21.90499999999998</v>
      </c>
      <c r="M216" s="52">
        <f>0.163-M215</f>
        <v>25.962999999999997</v>
      </c>
      <c r="N216" s="52">
        <f>0.566-N215</f>
        <v>9.9209999999999887</v>
      </c>
      <c r="O216" s="52">
        <f>-0.178-O215</f>
        <v>35.704000000000001</v>
      </c>
      <c r="P216" s="52">
        <f>0-P215</f>
        <v>38.671999999999997</v>
      </c>
      <c r="Q216" s="52">
        <f>0.442-Q215</f>
        <v>36.304000000000002</v>
      </c>
      <c r="R216" s="52">
        <f>0-R215</f>
        <v>50.435000000000002</v>
      </c>
      <c r="S216" s="52">
        <f>-0.141-S215</f>
        <v>51.28</v>
      </c>
      <c r="T216" s="186">
        <f>0.141-T215</f>
        <v>-77.542999999999992</v>
      </c>
      <c r="U216" s="186">
        <f>-U215</f>
        <v>177.19800000000001</v>
      </c>
      <c r="V216" s="186">
        <f>-0.593-V215</f>
        <v>121.931</v>
      </c>
      <c r="W216" s="186">
        <f>-17.889-W215</f>
        <v>131.59899999999999</v>
      </c>
      <c r="X216" s="259">
        <f>-36.373-14.9-X215</f>
        <v>69.771697493548061</v>
      </c>
      <c r="Y216" s="259">
        <f>-Y215-37</f>
        <v>96.866235303756639</v>
      </c>
      <c r="Z216" s="259">
        <f>-Z215-45</f>
        <v>105.90494827125161</v>
      </c>
      <c r="AA216" s="259">
        <f>-AA215-50</f>
        <v>99.632196025422758</v>
      </c>
      <c r="AB216" s="158">
        <f>-AB215-50</f>
        <v>94.495094800530723</v>
      </c>
      <c r="AC216" s="158">
        <f t="shared" ref="AC216:BH216" si="561">+IF(AC202+AC215&gt;0,-AC215,MAX(AC202,AC215/AC120*21%-AC215))</f>
        <v>48.169328120671963</v>
      </c>
      <c r="AD216" s="158">
        <f t="shared" si="561"/>
        <v>53.147533072452049</v>
      </c>
      <c r="AE216" s="158">
        <f t="shared" si="561"/>
        <v>57.188987505994504</v>
      </c>
      <c r="AF216" s="158">
        <f t="shared" si="561"/>
        <v>59.329097122738062</v>
      </c>
      <c r="AG216" s="159">
        <f t="shared" si="561"/>
        <v>60.408071897179354</v>
      </c>
      <c r="AH216" s="158">
        <f t="shared" si="561"/>
        <v>64.071914276607629</v>
      </c>
      <c r="AI216" s="158">
        <f t="shared" si="561"/>
        <v>55.833073250599256</v>
      </c>
      <c r="AJ216" s="158">
        <f t="shared" si="561"/>
        <v>50.752681913273449</v>
      </c>
      <c r="AK216" s="158">
        <f t="shared" si="561"/>
        <v>50.549479049486735</v>
      </c>
      <c r="AL216" s="158">
        <f t="shared" si="561"/>
        <v>54.179212344819476</v>
      </c>
      <c r="AM216" s="158">
        <f t="shared" si="561"/>
        <v>57.711029468680437</v>
      </c>
      <c r="AN216" s="158">
        <f t="shared" si="561"/>
        <v>60.174284786050862</v>
      </c>
      <c r="AO216" s="158">
        <f t="shared" si="561"/>
        <v>59.946597607978617</v>
      </c>
      <c r="AP216" s="158">
        <f t="shared" si="561"/>
        <v>14.852502840864517</v>
      </c>
      <c r="AQ216" s="158">
        <f t="shared" si="561"/>
        <v>17.876153738320966</v>
      </c>
      <c r="AR216" s="158">
        <f t="shared" si="561"/>
        <v>10.883738990523049</v>
      </c>
      <c r="AS216" s="158">
        <f t="shared" si="561"/>
        <v>1.3372307146434319</v>
      </c>
      <c r="AT216" s="158">
        <f t="shared" si="561"/>
        <v>0.66426827005719868</v>
      </c>
      <c r="AU216" s="158">
        <f t="shared" si="561"/>
        <v>2.9744868150826349</v>
      </c>
      <c r="AV216" s="158">
        <f t="shared" si="561"/>
        <v>4.1722144429831634</v>
      </c>
      <c r="AW216" s="158">
        <f t="shared" si="561"/>
        <v>1.6683095054878345</v>
      </c>
      <c r="AX216" s="158">
        <f t="shared" si="561"/>
        <v>3.0640329972196128</v>
      </c>
      <c r="AY216" s="158">
        <f t="shared" si="561"/>
        <v>4.4857990692060401</v>
      </c>
      <c r="AZ216" s="158">
        <f t="shared" si="561"/>
        <v>5.9358855844312135</v>
      </c>
      <c r="BA216" s="158">
        <f t="shared" si="561"/>
        <v>-27.368502414628512</v>
      </c>
      <c r="BB216" s="158">
        <f t="shared" si="561"/>
        <v>-24.23368801102631</v>
      </c>
      <c r="BC216" s="158">
        <f t="shared" si="561"/>
        <v>-21.011673188800575</v>
      </c>
      <c r="BD216" s="158">
        <f t="shared" si="561"/>
        <v>-17.695331361546639</v>
      </c>
      <c r="BE216" s="158">
        <f t="shared" si="561"/>
        <v>-14.277579162844727</v>
      </c>
      <c r="BF216" s="158">
        <f t="shared" si="561"/>
        <v>-10.752269547139997</v>
      </c>
      <c r="BG216" s="158">
        <f t="shared" si="561"/>
        <v>-7.1116849632622463</v>
      </c>
      <c r="BH216" s="158">
        <f t="shared" si="561"/>
        <v>-3.3501736797184889</v>
      </c>
      <c r="BI216" s="158">
        <f t="shared" ref="BI216:CN216" si="562">+IF(BI202+BI215&gt;0,-BI215,MAX(BI202,BI215/BI120*21%-BI215))</f>
        <v>0.5401741949683242</v>
      </c>
      <c r="BJ216" s="158">
        <f t="shared" si="562"/>
        <v>4.565117751183891</v>
      </c>
      <c r="BK216" s="158">
        <f t="shared" si="562"/>
        <v>8.7322275319202038</v>
      </c>
      <c r="BL216" s="158">
        <f t="shared" si="562"/>
        <v>13.047953416884218</v>
      </c>
      <c r="BM216" s="158">
        <f t="shared" si="562"/>
        <v>17.519104598861816</v>
      </c>
      <c r="BN216" s="158">
        <f t="shared" si="562"/>
        <v>22.152387887817131</v>
      </c>
      <c r="BO216" s="158">
        <f t="shared" si="562"/>
        <v>26.954774025456139</v>
      </c>
      <c r="BP216" s="158">
        <f t="shared" si="562"/>
        <v>31.933151803010105</v>
      </c>
      <c r="BQ216" s="158">
        <f t="shared" si="562"/>
        <v>11.128334930784721</v>
      </c>
      <c r="BR216" s="158">
        <f t="shared" si="562"/>
        <v>12.698569780088349</v>
      </c>
      <c r="BS216" s="158">
        <f t="shared" si="562"/>
        <v>10.698670908906447</v>
      </c>
      <c r="BT216" s="158">
        <f t="shared" si="562"/>
        <v>9.0400633250771065</v>
      </c>
      <c r="BU216" s="158">
        <f t="shared" si="562"/>
        <v>10.536021659955974</v>
      </c>
      <c r="BV216" s="158">
        <f t="shared" si="562"/>
        <v>12.086641969266271</v>
      </c>
      <c r="BW216" s="158">
        <f t="shared" si="562"/>
        <v>13.693761625089635</v>
      </c>
      <c r="BX216" s="158">
        <f t="shared" si="562"/>
        <v>15.359334412659706</v>
      </c>
      <c r="BY216" s="158">
        <f t="shared" si="562"/>
        <v>17.085056554960808</v>
      </c>
      <c r="BZ216" s="158">
        <f t="shared" si="562"/>
        <v>18.873084319567411</v>
      </c>
      <c r="CA216" s="158">
        <f t="shared" si="562"/>
        <v>20.725218868892469</v>
      </c>
      <c r="CB216" s="158">
        <f t="shared" si="562"/>
        <v>22.643588002610848</v>
      </c>
      <c r="CC216" s="158">
        <f t="shared" si="562"/>
        <v>24.209597950864648</v>
      </c>
      <c r="CD216" s="158">
        <f t="shared" si="562"/>
        <v>21.208490867482979</v>
      </c>
      <c r="CE216" s="158">
        <f t="shared" si="562"/>
        <v>23.145106384344366</v>
      </c>
      <c r="CF216" s="158">
        <f t="shared" si="562"/>
        <v>25.151562597220064</v>
      </c>
      <c r="CG216" s="158">
        <f t="shared" si="562"/>
        <v>27.229908730417371</v>
      </c>
      <c r="CH216" s="158">
        <f t="shared" si="562"/>
        <v>-58.108321405829699</v>
      </c>
      <c r="CI216" s="158">
        <f t="shared" si="562"/>
        <v>-56.323657527095158</v>
      </c>
      <c r="CJ216" s="158">
        <f t="shared" si="562"/>
        <v>-54.39289205134893</v>
      </c>
      <c r="CK216" s="158">
        <f t="shared" si="562"/>
        <v>-52.311740957382789</v>
      </c>
      <c r="CL216" s="158">
        <f t="shared" si="562"/>
        <v>-50.075748688402143</v>
      </c>
      <c r="CM216" s="158">
        <f t="shared" si="562"/>
        <v>-47.679957648649676</v>
      </c>
      <c r="CN216" s="158">
        <f t="shared" si="562"/>
        <v>-45.119454729342394</v>
      </c>
      <c r="CO216" s="158">
        <f>+IF(CO202+CO215&gt;0,-CO215,MAX(CO202,CO215/CO120*21%-CO215))</f>
        <v>-42.389145940627493</v>
      </c>
      <c r="CP216" s="158">
        <f>+IF(CP202+CP215&gt;0,-CP215,MAX(CP202,CP215/CP120*21%-CP215))</f>
        <v>-48.717369673837744</v>
      </c>
      <c r="CQ216" s="23" t="s">
        <v>77</v>
      </c>
      <c r="DB216" s="7" t="s">
        <v>22</v>
      </c>
      <c r="DD216" s="8"/>
      <c r="DE216" s="8"/>
      <c r="DF216" s="8"/>
      <c r="DG216" s="8"/>
      <c r="DH216" s="8"/>
      <c r="DI216" s="8"/>
      <c r="DJ216" s="8">
        <f>-DJ215</f>
        <v>142.53</v>
      </c>
      <c r="DK216" s="8">
        <f>-DK215</f>
        <v>34.668000000000006</v>
      </c>
      <c r="DL216" s="195">
        <f>-DL215-20</f>
        <v>44.233999999999995</v>
      </c>
      <c r="DM216" s="158">
        <f>-DM215-20</f>
        <v>38.290000000000006</v>
      </c>
      <c r="DN216" s="195">
        <f>-0.108-DN215</f>
        <v>83.021999999999991</v>
      </c>
      <c r="DO216" s="158">
        <f>-DO215-20.5</f>
        <v>45.858000000000004</v>
      </c>
      <c r="DP216" s="195">
        <f>-36.373-DP215</f>
        <v>43.143999999999998</v>
      </c>
      <c r="DQ216" s="8">
        <f t="shared" si="537"/>
        <v>26.627697493548062</v>
      </c>
      <c r="DR216" s="196"/>
      <c r="DS216" s="158"/>
      <c r="DX216" s="413">
        <f t="shared" si="538"/>
        <v>0.80435445095317104</v>
      </c>
      <c r="DY216" s="413">
        <f t="shared" si="539"/>
        <v>0.53601376569240455</v>
      </c>
      <c r="DZ216" s="413">
        <f t="shared" si="531"/>
        <v>0.6441806331471136</v>
      </c>
      <c r="EH216" s="411" t="b">
        <f t="shared" si="540"/>
        <v>1</v>
      </c>
      <c r="EI216" s="411" t="b">
        <f>ROUND(V216,1)=ROUND(SUM(DL216:DM216),1)</f>
        <v>0</v>
      </c>
      <c r="EJ216" s="411" t="b">
        <f t="shared" si="542"/>
        <v>0</v>
      </c>
    </row>
    <row r="217" spans="1:140" ht="11.25" customHeight="1" outlineLevel="1" x14ac:dyDescent="0.2">
      <c r="B217" s="7" t="s">
        <v>262</v>
      </c>
      <c r="D217" s="52"/>
      <c r="E217" s="52"/>
      <c r="F217" s="52"/>
      <c r="G217" s="52"/>
      <c r="H217" s="52"/>
      <c r="I217" s="52"/>
      <c r="J217" s="52"/>
      <c r="K217" s="52">
        <v>11.054</v>
      </c>
      <c r="L217" s="52">
        <v>9.2750000000000004</v>
      </c>
      <c r="M217" s="52">
        <v>18</v>
      </c>
      <c r="N217" s="52">
        <v>26.099</v>
      </c>
      <c r="O217" s="52">
        <v>30.684000000000001</v>
      </c>
      <c r="P217" s="52">
        <v>18.003</v>
      </c>
      <c r="Q217" s="52">
        <v>6.1619999999999999</v>
      </c>
      <c r="R217" s="52">
        <v>7.1980000000000004</v>
      </c>
      <c r="S217" s="52">
        <v>19.335000000000001</v>
      </c>
      <c r="T217" s="186">
        <v>5.9649999999999999</v>
      </c>
      <c r="U217" s="186">
        <v>30.295999999999999</v>
      </c>
      <c r="V217" s="186">
        <v>9.66</v>
      </c>
      <c r="W217" s="186">
        <v>5.7549999999999999</v>
      </c>
      <c r="X217" s="158">
        <f t="shared" ref="X217:BD217" si="563">+W217*(1+0.0125)</f>
        <v>5.8269374999999997</v>
      </c>
      <c r="Y217" s="158">
        <f t="shared" si="563"/>
        <v>5.8997742187499993</v>
      </c>
      <c r="Z217" s="158">
        <f t="shared" si="563"/>
        <v>5.9735213964843741</v>
      </c>
      <c r="AA217" s="158">
        <f t="shared" si="563"/>
        <v>6.0481904139404286</v>
      </c>
      <c r="AB217" s="158">
        <f t="shared" si="563"/>
        <v>6.1237927941146832</v>
      </c>
      <c r="AC217" s="158">
        <f t="shared" si="563"/>
        <v>6.2003402040411162</v>
      </c>
      <c r="AD217" s="158">
        <f t="shared" si="563"/>
        <v>6.2778444565916303</v>
      </c>
      <c r="AE217" s="158">
        <f t="shared" si="563"/>
        <v>6.3563175122990252</v>
      </c>
      <c r="AF217" s="158">
        <f t="shared" si="563"/>
        <v>6.4357714812027629</v>
      </c>
      <c r="AG217" s="158">
        <f t="shared" si="563"/>
        <v>6.5162186247177969</v>
      </c>
      <c r="AH217" s="158">
        <f t="shared" si="563"/>
        <v>6.5976713575267691</v>
      </c>
      <c r="AI217" s="158">
        <f t="shared" si="563"/>
        <v>6.6801422494958533</v>
      </c>
      <c r="AJ217" s="158">
        <f t="shared" si="563"/>
        <v>6.7636440276145509</v>
      </c>
      <c r="AK217" s="158">
        <f t="shared" si="563"/>
        <v>6.8481895779597322</v>
      </c>
      <c r="AL217" s="158">
        <f t="shared" si="563"/>
        <v>6.9337919476842282</v>
      </c>
      <c r="AM217" s="158">
        <f t="shared" si="563"/>
        <v>7.0204643470302805</v>
      </c>
      <c r="AN217" s="158">
        <f t="shared" si="563"/>
        <v>7.1082201513681591</v>
      </c>
      <c r="AO217" s="158">
        <f t="shared" si="563"/>
        <v>7.1970729032602607</v>
      </c>
      <c r="AP217" s="158">
        <f t="shared" si="563"/>
        <v>7.2870363145510133</v>
      </c>
      <c r="AQ217" s="158">
        <f t="shared" si="563"/>
        <v>7.3781242684829005</v>
      </c>
      <c r="AR217" s="158">
        <f t="shared" si="563"/>
        <v>7.4703508218389363</v>
      </c>
      <c r="AS217" s="158">
        <f t="shared" si="563"/>
        <v>7.5637302071119228</v>
      </c>
      <c r="AT217" s="158">
        <f t="shared" si="563"/>
        <v>7.6582768347008212</v>
      </c>
      <c r="AU217" s="158">
        <f t="shared" si="563"/>
        <v>7.754005295134581</v>
      </c>
      <c r="AV217" s="158">
        <f t="shared" si="563"/>
        <v>7.8509303613237629</v>
      </c>
      <c r="AW217" s="158">
        <f t="shared" si="563"/>
        <v>7.9490669908403095</v>
      </c>
      <c r="AX217" s="158">
        <f t="shared" si="563"/>
        <v>8.0484303282258125</v>
      </c>
      <c r="AY217" s="158">
        <f t="shared" si="563"/>
        <v>8.1490357073286344</v>
      </c>
      <c r="AZ217" s="158">
        <f t="shared" si="563"/>
        <v>8.2508986536702427</v>
      </c>
      <c r="BA217" s="158">
        <f t="shared" si="563"/>
        <v>8.3540348868411201</v>
      </c>
      <c r="BB217" s="158">
        <f t="shared" si="563"/>
        <v>8.4584603229266335</v>
      </c>
      <c r="BC217" s="158">
        <f t="shared" si="563"/>
        <v>8.5641910769632155</v>
      </c>
      <c r="BD217" s="158">
        <f t="shared" si="563"/>
        <v>8.6712434654252561</v>
      </c>
      <c r="BE217" s="158">
        <f t="shared" ref="BE217:CP217" si="564">+BD217*(1+0.0125)</f>
        <v>8.7796340087430718</v>
      </c>
      <c r="BF217" s="158">
        <f t="shared" si="564"/>
        <v>8.8893794338523602</v>
      </c>
      <c r="BG217" s="158">
        <f t="shared" si="564"/>
        <v>9.0004966767755139</v>
      </c>
      <c r="BH217" s="158">
        <f t="shared" si="564"/>
        <v>9.1130028852352076</v>
      </c>
      <c r="BI217" s="158">
        <f t="shared" si="564"/>
        <v>9.2269154213006477</v>
      </c>
      <c r="BJ217" s="158">
        <f t="shared" si="564"/>
        <v>9.3422518640669061</v>
      </c>
      <c r="BK217" s="158">
        <f t="shared" si="564"/>
        <v>9.4590300123677427</v>
      </c>
      <c r="BL217" s="158">
        <f t="shared" si="564"/>
        <v>9.5772678875223392</v>
      </c>
      <c r="BM217" s="158">
        <f t="shared" si="564"/>
        <v>9.6969837361163673</v>
      </c>
      <c r="BN217" s="158">
        <f t="shared" si="564"/>
        <v>9.8181960328178217</v>
      </c>
      <c r="BO217" s="158">
        <f t="shared" si="564"/>
        <v>9.940923483228044</v>
      </c>
      <c r="BP217" s="158">
        <f t="shared" si="564"/>
        <v>10.065185026768393</v>
      </c>
      <c r="BQ217" s="158">
        <f t="shared" si="564"/>
        <v>10.190999839602998</v>
      </c>
      <c r="BR217" s="158">
        <f t="shared" si="564"/>
        <v>10.318387337598036</v>
      </c>
      <c r="BS217" s="158">
        <f t="shared" si="564"/>
        <v>10.447367179318011</v>
      </c>
      <c r="BT217" s="158">
        <f t="shared" si="564"/>
        <v>10.577959269059486</v>
      </c>
      <c r="BU217" s="158">
        <f t="shared" si="564"/>
        <v>10.710183759922728</v>
      </c>
      <c r="BV217" s="158">
        <f t="shared" si="564"/>
        <v>10.844061056921761</v>
      </c>
      <c r="BW217" s="158">
        <f t="shared" si="564"/>
        <v>10.979611820133282</v>
      </c>
      <c r="BX217" s="158">
        <f t="shared" si="564"/>
        <v>11.116856967884948</v>
      </c>
      <c r="BY217" s="158">
        <f t="shared" si="564"/>
        <v>11.255817679983508</v>
      </c>
      <c r="BZ217" s="158">
        <f t="shared" si="564"/>
        <v>11.396515400983301</v>
      </c>
      <c r="CA217" s="158">
        <f t="shared" si="564"/>
        <v>11.538971843495592</v>
      </c>
      <c r="CB217" s="158">
        <f t="shared" si="564"/>
        <v>11.683208991539287</v>
      </c>
      <c r="CC217" s="158">
        <f t="shared" si="564"/>
        <v>11.829249103933527</v>
      </c>
      <c r="CD217" s="158">
        <f t="shared" si="564"/>
        <v>11.977114717732697</v>
      </c>
      <c r="CE217" s="158">
        <f t="shared" si="564"/>
        <v>12.126828651704354</v>
      </c>
      <c r="CF217" s="158">
        <f t="shared" si="564"/>
        <v>12.278414009850659</v>
      </c>
      <c r="CG217" s="158">
        <f t="shared" si="564"/>
        <v>12.431894184973791</v>
      </c>
      <c r="CH217" s="158">
        <f t="shared" si="564"/>
        <v>12.587292862285963</v>
      </c>
      <c r="CI217" s="158">
        <f t="shared" si="564"/>
        <v>12.744634023064537</v>
      </c>
      <c r="CJ217" s="158">
        <f t="shared" si="564"/>
        <v>12.903941948352843</v>
      </c>
      <c r="CK217" s="158">
        <f t="shared" si="564"/>
        <v>13.065241222707254</v>
      </c>
      <c r="CL217" s="158">
        <f t="shared" si="564"/>
        <v>13.228556737991093</v>
      </c>
      <c r="CM217" s="158">
        <f t="shared" si="564"/>
        <v>13.393913697215982</v>
      </c>
      <c r="CN217" s="158">
        <f t="shared" si="564"/>
        <v>13.561337618431182</v>
      </c>
      <c r="CO217" s="158">
        <f t="shared" si="564"/>
        <v>13.730854338661571</v>
      </c>
      <c r="CP217" s="158">
        <f t="shared" si="564"/>
        <v>13.90249001789484</v>
      </c>
      <c r="CQ217" s="23" t="s">
        <v>77</v>
      </c>
      <c r="DB217" s="7" t="s">
        <v>262</v>
      </c>
      <c r="DD217" s="8"/>
      <c r="DE217" s="8"/>
      <c r="DF217" s="8"/>
      <c r="DG217" s="8"/>
      <c r="DH217" s="8"/>
      <c r="DI217" s="8"/>
      <c r="DJ217" s="52">
        <v>5.15</v>
      </c>
      <c r="DK217" s="8">
        <f>U217-DJ217</f>
        <v>25.146000000000001</v>
      </c>
      <c r="DL217" s="52">
        <v>6.6130000000000004</v>
      </c>
      <c r="DM217" s="8">
        <f>V217-DL217</f>
        <v>3.0469999999999997</v>
      </c>
      <c r="DN217" s="52">
        <v>2.194</v>
      </c>
      <c r="DO217" s="8">
        <f>W217-DN217</f>
        <v>3.5609999999999999</v>
      </c>
      <c r="DP217" s="52">
        <v>6.133</v>
      </c>
      <c r="DQ217" s="8">
        <f t="shared" si="537"/>
        <v>-0.30606250000000035</v>
      </c>
      <c r="DR217" s="191"/>
      <c r="DX217" s="413">
        <f t="shared" si="538"/>
        <v>0.16998943754951151</v>
      </c>
      <c r="DY217" s="413">
        <f t="shared" si="539"/>
        <v>0.68457556935817809</v>
      </c>
      <c r="DZ217" s="193">
        <f>DY217</f>
        <v>0.68457556935817809</v>
      </c>
      <c r="EH217" s="411" t="b">
        <f t="shared" si="540"/>
        <v>1</v>
      </c>
      <c r="EI217" s="411" t="b">
        <f t="shared" si="541"/>
        <v>1</v>
      </c>
      <c r="EJ217" s="411" t="b">
        <f t="shared" si="542"/>
        <v>1</v>
      </c>
    </row>
    <row r="218" spans="1:140" ht="11.25" customHeight="1" outlineLevel="1" x14ac:dyDescent="0.2">
      <c r="B218" s="7" t="s">
        <v>261</v>
      </c>
      <c r="D218" s="52"/>
      <c r="E218" s="52"/>
      <c r="F218" s="52"/>
      <c r="G218" s="52"/>
      <c r="H218" s="52"/>
      <c r="I218" s="52"/>
      <c r="J218" s="52"/>
      <c r="K218" s="52">
        <v>-75.363</v>
      </c>
      <c r="L218" s="52">
        <v>-81.932000000000002</v>
      </c>
      <c r="M218" s="52">
        <v>-145.1</v>
      </c>
      <c r="N218" s="52">
        <v>-221.86699999999999</v>
      </c>
      <c r="O218" s="52">
        <v>-244.03100000000001</v>
      </c>
      <c r="P218" s="52">
        <v>-230.67</v>
      </c>
      <c r="Q218" s="52">
        <v>-229.95400000000001</v>
      </c>
      <c r="R218" s="52">
        <v>-225.375</v>
      </c>
      <c r="S218" s="52">
        <v>-289.952</v>
      </c>
      <c r="T218" s="186">
        <v>-327.12400000000002</v>
      </c>
      <c r="U218" s="186">
        <v>-293.39499999999998</v>
      </c>
      <c r="V218" s="186">
        <v>-493.58600000000001</v>
      </c>
      <c r="W218" s="186">
        <v>-481.42700000000002</v>
      </c>
      <c r="X218" s="51">
        <f t="shared" ref="X218:BC218" si="565">X112-X217</f>
        <v>-523.32506014339606</v>
      </c>
      <c r="Y218" s="51">
        <f t="shared" si="565"/>
        <v>-529.59003312281629</v>
      </c>
      <c r="Z218" s="51">
        <f t="shared" si="565"/>
        <v>-529.65107553233065</v>
      </c>
      <c r="AA218" s="51">
        <f t="shared" si="565"/>
        <v>-512.37163312012603</v>
      </c>
      <c r="AB218" s="51">
        <f t="shared" si="565"/>
        <v>-574.37774352661609</v>
      </c>
      <c r="AC218" s="51">
        <f t="shared" si="565"/>
        <v>-565.64278569147098</v>
      </c>
      <c r="AD218" s="51">
        <f t="shared" si="565"/>
        <v>-557.09727945387863</v>
      </c>
      <c r="AE218" s="51">
        <f t="shared" si="565"/>
        <v>-548.74123677437171</v>
      </c>
      <c r="AF218" s="51">
        <f t="shared" si="565"/>
        <v>-540.57466976298963</v>
      </c>
      <c r="AG218" s="51">
        <f t="shared" si="565"/>
        <v>-532.59759068114749</v>
      </c>
      <c r="AH218" s="51">
        <f t="shared" si="565"/>
        <v>-539.81001194352791</v>
      </c>
      <c r="AI218" s="51">
        <f t="shared" si="565"/>
        <v>-532.2119461199967</v>
      </c>
      <c r="AJ218" s="51">
        <f t="shared" si="565"/>
        <v>-524.80340593754397</v>
      </c>
      <c r="AK218" s="51">
        <f t="shared" si="565"/>
        <v>-532.58440428224617</v>
      </c>
      <c r="AL218" s="51">
        <f t="shared" si="565"/>
        <v>-534.55495420125624</v>
      </c>
      <c r="AM218" s="51">
        <f t="shared" si="565"/>
        <v>-536.71506890481646</v>
      </c>
      <c r="AN218" s="51">
        <f t="shared" si="565"/>
        <v>-539.06476176829699</v>
      </c>
      <c r="AO218" s="51">
        <f t="shared" si="565"/>
        <v>-526.60404633426037</v>
      </c>
      <c r="AP218" s="51">
        <f t="shared" si="565"/>
        <v>-517.33293631455092</v>
      </c>
      <c r="AQ218" s="51">
        <f t="shared" si="565"/>
        <v>-505.42402426848287</v>
      </c>
      <c r="AR218" s="51">
        <f t="shared" si="565"/>
        <v>-493.51625082183892</v>
      </c>
      <c r="AS218" s="51">
        <f t="shared" si="565"/>
        <v>-484.60963020711188</v>
      </c>
      <c r="AT218" s="51">
        <f t="shared" si="565"/>
        <v>-475.70417683470077</v>
      </c>
      <c r="AU218" s="51">
        <f t="shared" si="565"/>
        <v>-466.79990529513452</v>
      </c>
      <c r="AV218" s="51">
        <f t="shared" si="565"/>
        <v>-470.66389971379272</v>
      </c>
      <c r="AW218" s="51">
        <f t="shared" si="565"/>
        <v>-474.53021520714401</v>
      </c>
      <c r="AX218" s="51">
        <f t="shared" si="565"/>
        <v>-478.39886852455948</v>
      </c>
      <c r="AY218" s="51">
        <f t="shared" si="565"/>
        <v>-482.2698766070381</v>
      </c>
      <c r="AZ218" s="51">
        <f t="shared" si="565"/>
        <v>-486.14325658957682</v>
      </c>
      <c r="BA218" s="51">
        <f t="shared" si="565"/>
        <v>-490.01902580356938</v>
      </c>
      <c r="BB218" s="51">
        <f t="shared" si="565"/>
        <v>-493.89720177923573</v>
      </c>
      <c r="BC218" s="51">
        <f t="shared" si="565"/>
        <v>-497.7778022480818</v>
      </c>
      <c r="BD218" s="51">
        <f t="shared" ref="BD218:CI218" si="566">BD112-BD217</f>
        <v>-501.66084514538949</v>
      </c>
      <c r="BE218" s="51">
        <f t="shared" si="566"/>
        <v>-505.5463486127382</v>
      </c>
      <c r="BF218" s="51">
        <f t="shared" si="566"/>
        <v>-509.43433100055745</v>
      </c>
      <c r="BG218" s="51">
        <f t="shared" si="566"/>
        <v>-513.32481087071176</v>
      </c>
      <c r="BH218" s="51">
        <f t="shared" si="566"/>
        <v>-517.21780699911767</v>
      </c>
      <c r="BI218" s="51">
        <f t="shared" si="566"/>
        <v>-521.11333837839334</v>
      </c>
      <c r="BJ218" s="51">
        <f t="shared" si="566"/>
        <v>-525.01142422054102</v>
      </c>
      <c r="BK218" s="51">
        <f t="shared" si="566"/>
        <v>-528.91208395966385</v>
      </c>
      <c r="BL218" s="51">
        <f t="shared" si="566"/>
        <v>-532.81533725471547</v>
      </c>
      <c r="BM218" s="51">
        <f t="shared" si="566"/>
        <v>-536.72120399228493</v>
      </c>
      <c r="BN218" s="51">
        <f t="shared" si="566"/>
        <v>-540.6297042894156</v>
      </c>
      <c r="BO218" s="51">
        <f t="shared" si="566"/>
        <v>-544.5408584964598</v>
      </c>
      <c r="BP218" s="51">
        <f t="shared" si="566"/>
        <v>-548.45468719996893</v>
      </c>
      <c r="BQ218" s="51">
        <f t="shared" si="566"/>
        <v>-552.37121122561962</v>
      </c>
      <c r="BR218" s="51">
        <f t="shared" si="566"/>
        <v>-556.29045164117622</v>
      </c>
      <c r="BS218" s="51">
        <f t="shared" si="566"/>
        <v>-560.21242975949122</v>
      </c>
      <c r="BT218" s="51">
        <f t="shared" si="566"/>
        <v>-564.13716714154168</v>
      </c>
      <c r="BU218" s="51">
        <f t="shared" si="566"/>
        <v>-568.06468559950451</v>
      </c>
      <c r="BV218" s="51">
        <f t="shared" si="566"/>
        <v>-571.99500719987032</v>
      </c>
      <c r="BW218" s="51">
        <f t="shared" si="566"/>
        <v>-575.9281542665957</v>
      </c>
      <c r="BX218" s="51">
        <f t="shared" si="566"/>
        <v>-579.86414938429448</v>
      </c>
      <c r="BY218" s="51">
        <f t="shared" si="566"/>
        <v>-583.80301540147025</v>
      </c>
      <c r="BZ218" s="51">
        <f t="shared" si="566"/>
        <v>-587.74477543378748</v>
      </c>
      <c r="CA218" s="51">
        <f t="shared" si="566"/>
        <v>-591.68945286738494</v>
      </c>
      <c r="CB218" s="51">
        <f t="shared" si="566"/>
        <v>-595.63707136222945</v>
      </c>
      <c r="CC218" s="51">
        <f t="shared" si="566"/>
        <v>-599.58765485551248</v>
      </c>
      <c r="CD218" s="51">
        <f t="shared" si="566"/>
        <v>-603.54122756508809</v>
      </c>
      <c r="CE218" s="51">
        <f t="shared" si="566"/>
        <v>-607.49781399295489</v>
      </c>
      <c r="CF218" s="51">
        <f t="shared" si="566"/>
        <v>-611.45743892878045</v>
      </c>
      <c r="CG218" s="51">
        <f t="shared" si="566"/>
        <v>-615.42012745347108</v>
      </c>
      <c r="CH218" s="51">
        <f t="shared" si="566"/>
        <v>-619.38590494278458</v>
      </c>
      <c r="CI218" s="51">
        <f t="shared" si="566"/>
        <v>-623.35479707098909</v>
      </c>
      <c r="CJ218" s="51">
        <f t="shared" ref="CJ218:CP218" si="567">CJ112-CJ217</f>
        <v>-627.32682981456742</v>
      </c>
      <c r="CK218" s="51">
        <f t="shared" si="567"/>
        <v>-631.30202945596784</v>
      </c>
      <c r="CL218" s="51">
        <f t="shared" si="567"/>
        <v>-635.28042258740163</v>
      </c>
      <c r="CM218" s="51">
        <f t="shared" si="567"/>
        <v>-639.26203611468782</v>
      </c>
      <c r="CN218" s="51">
        <f t="shared" si="567"/>
        <v>-643.24689726114559</v>
      </c>
      <c r="CO218" s="51">
        <f t="shared" si="567"/>
        <v>-647.23503357153686</v>
      </c>
      <c r="CP218" s="51">
        <f t="shared" si="567"/>
        <v>-651.2264729160562</v>
      </c>
      <c r="CQ218" s="23" t="s">
        <v>77</v>
      </c>
      <c r="DB218" s="7" t="s">
        <v>261</v>
      </c>
      <c r="DD218" s="8"/>
      <c r="DE218" s="8"/>
      <c r="DF218" s="8"/>
      <c r="DG218" s="8"/>
      <c r="DH218" s="8"/>
      <c r="DI218" s="8"/>
      <c r="DJ218" s="52">
        <v>-140.83699999999999</v>
      </c>
      <c r="DK218" s="8">
        <f>U218-DJ218</f>
        <v>-152.55799999999999</v>
      </c>
      <c r="DL218" s="52">
        <v>-236.74</v>
      </c>
      <c r="DM218" s="8">
        <f>V218-DL218</f>
        <v>-256.846</v>
      </c>
      <c r="DN218" s="52">
        <v>-237.00800000000001</v>
      </c>
      <c r="DO218" s="8">
        <f>W218-DN218</f>
        <v>-244.41900000000001</v>
      </c>
      <c r="DP218" s="52">
        <v>-237.995</v>
      </c>
      <c r="DQ218" s="8">
        <f t="shared" si="537"/>
        <v>-285.33006014339605</v>
      </c>
      <c r="DR218" s="191"/>
      <c r="DX218" s="413">
        <f t="shared" si="538"/>
        <v>0.48002522197038122</v>
      </c>
      <c r="DY218" s="413">
        <f t="shared" si="539"/>
        <v>0.47963272864303286</v>
      </c>
      <c r="DZ218" s="193">
        <f>DY218</f>
        <v>0.47963272864303286</v>
      </c>
      <c r="EH218" s="411" t="b">
        <f t="shared" si="540"/>
        <v>1</v>
      </c>
      <c r="EI218" s="411" t="b">
        <f t="shared" si="541"/>
        <v>1</v>
      </c>
      <c r="EJ218" s="411" t="b">
        <f t="shared" si="542"/>
        <v>1</v>
      </c>
    </row>
    <row r="219" spans="1:140" ht="11.25" customHeight="1" outlineLevel="1" x14ac:dyDescent="0.2">
      <c r="B219" s="7" t="s">
        <v>20</v>
      </c>
      <c r="D219" s="52"/>
      <c r="E219" s="52"/>
      <c r="F219" s="52"/>
      <c r="G219" s="52"/>
      <c r="H219" s="52"/>
      <c r="I219" s="52"/>
      <c r="J219" s="52"/>
      <c r="K219" s="52">
        <v>0</v>
      </c>
      <c r="L219" s="52">
        <v>0.83199999999999996</v>
      </c>
      <c r="M219" s="52">
        <v>0.45</v>
      </c>
      <c r="N219" s="52">
        <f>23.294+5.256</f>
        <v>28.55</v>
      </c>
      <c r="O219" s="52">
        <f>24.273+3.964</f>
        <v>28.236999999999998</v>
      </c>
      <c r="P219" s="52">
        <f>38.143+2.875</f>
        <v>41.018000000000001</v>
      </c>
      <c r="Q219" s="52">
        <f>45.89+6.748</f>
        <v>52.637999999999998</v>
      </c>
      <c r="R219" s="52">
        <f>51.294+3.131</f>
        <v>54.424999999999997</v>
      </c>
      <c r="S219" s="52">
        <f>-26.668-31.59+54.615+4.724</f>
        <v>1.0810000000000066</v>
      </c>
      <c r="T219" s="52">
        <f>-8.201+61.971+4.693</f>
        <v>58.462999999999994</v>
      </c>
      <c r="U219" s="186">
        <f>17.201+46.526+4.621</f>
        <v>68.347999999999999</v>
      </c>
      <c r="V219" s="186">
        <f>0+22.186+3.399</f>
        <v>25.585000000000001</v>
      </c>
      <c r="W219" s="186">
        <f>22.411+2.29</f>
        <v>24.701000000000001</v>
      </c>
      <c r="X219" s="152">
        <v>0</v>
      </c>
      <c r="Y219" s="152">
        <v>0</v>
      </c>
      <c r="Z219" s="152">
        <v>0</v>
      </c>
      <c r="AA219" s="152">
        <v>0</v>
      </c>
      <c r="AB219" s="152">
        <v>0</v>
      </c>
      <c r="AC219" s="152">
        <v>0</v>
      </c>
      <c r="AD219" s="152">
        <v>0</v>
      </c>
      <c r="AE219" s="152">
        <v>0</v>
      </c>
      <c r="AF219" s="152">
        <v>0</v>
      </c>
      <c r="AG219" s="152">
        <v>0</v>
      </c>
      <c r="AH219" s="152">
        <v>0</v>
      </c>
      <c r="AI219" s="152">
        <v>0</v>
      </c>
      <c r="AJ219" s="152">
        <v>0</v>
      </c>
      <c r="AK219" s="152">
        <v>0</v>
      </c>
      <c r="AL219" s="152">
        <v>0</v>
      </c>
      <c r="AM219" s="152">
        <v>0</v>
      </c>
      <c r="AN219" s="152">
        <v>0</v>
      </c>
      <c r="AO219" s="152">
        <v>0</v>
      </c>
      <c r="AP219" s="152">
        <v>0</v>
      </c>
      <c r="AQ219" s="152">
        <v>0</v>
      </c>
      <c r="AR219" s="152">
        <v>0</v>
      </c>
      <c r="AS219" s="152">
        <v>0</v>
      </c>
      <c r="AT219" s="152">
        <v>0</v>
      </c>
      <c r="AU219" s="152">
        <v>0</v>
      </c>
      <c r="AV219" s="152">
        <v>0</v>
      </c>
      <c r="AW219" s="152">
        <v>0</v>
      </c>
      <c r="AX219" s="152">
        <v>0</v>
      </c>
      <c r="AY219" s="152">
        <v>0</v>
      </c>
      <c r="AZ219" s="152">
        <v>0</v>
      </c>
      <c r="BA219" s="152">
        <v>0</v>
      </c>
      <c r="BB219" s="152">
        <v>0</v>
      </c>
      <c r="BC219" s="152">
        <v>0</v>
      </c>
      <c r="BD219" s="152">
        <v>0</v>
      </c>
      <c r="BE219" s="152">
        <v>0</v>
      </c>
      <c r="BF219" s="152">
        <v>0</v>
      </c>
      <c r="BG219" s="152">
        <v>0</v>
      </c>
      <c r="BH219" s="152">
        <v>0</v>
      </c>
      <c r="BI219" s="152">
        <v>0</v>
      </c>
      <c r="BJ219" s="152">
        <v>0</v>
      </c>
      <c r="BK219" s="152">
        <v>0</v>
      </c>
      <c r="BL219" s="152">
        <v>0</v>
      </c>
      <c r="BM219" s="152">
        <v>0</v>
      </c>
      <c r="BN219" s="152">
        <v>0</v>
      </c>
      <c r="BO219" s="152">
        <v>0</v>
      </c>
      <c r="BP219" s="152">
        <v>0</v>
      </c>
      <c r="BQ219" s="152">
        <v>0</v>
      </c>
      <c r="BR219" s="152">
        <v>0</v>
      </c>
      <c r="BS219" s="152">
        <v>0</v>
      </c>
      <c r="BT219" s="152">
        <v>0</v>
      </c>
      <c r="BU219" s="152">
        <v>0</v>
      </c>
      <c r="BV219" s="152">
        <v>0</v>
      </c>
      <c r="BW219" s="152">
        <v>0</v>
      </c>
      <c r="BX219" s="152">
        <v>0</v>
      </c>
      <c r="BY219" s="152">
        <v>0</v>
      </c>
      <c r="BZ219" s="152">
        <v>0</v>
      </c>
      <c r="CA219" s="152">
        <v>0</v>
      </c>
      <c r="CB219" s="152">
        <v>0</v>
      </c>
      <c r="CC219" s="152">
        <v>0</v>
      </c>
      <c r="CD219" s="152">
        <v>0</v>
      </c>
      <c r="CE219" s="152">
        <v>0</v>
      </c>
      <c r="CF219" s="152">
        <v>0</v>
      </c>
      <c r="CG219" s="152">
        <v>0</v>
      </c>
      <c r="CH219" s="152">
        <v>0</v>
      </c>
      <c r="CI219" s="152">
        <v>0</v>
      </c>
      <c r="CJ219" s="152">
        <v>0</v>
      </c>
      <c r="CK219" s="152">
        <v>0</v>
      </c>
      <c r="CL219" s="152">
        <v>0</v>
      </c>
      <c r="CM219" s="152">
        <v>0</v>
      </c>
      <c r="CN219" s="152">
        <v>0</v>
      </c>
      <c r="CO219" s="152">
        <v>0</v>
      </c>
      <c r="CP219" s="152">
        <v>0</v>
      </c>
      <c r="CQ219" s="23" t="s">
        <v>77</v>
      </c>
      <c r="DB219" s="7" t="s">
        <v>20</v>
      </c>
      <c r="DD219" s="8"/>
      <c r="DE219" s="8"/>
      <c r="DF219" s="8"/>
      <c r="DG219" s="8"/>
      <c r="DH219" s="8"/>
      <c r="DI219" s="8"/>
      <c r="DJ219" s="52">
        <f>17.201+34.989</f>
        <v>52.19</v>
      </c>
      <c r="DK219" s="8">
        <f>U219-DJ219</f>
        <v>16.158000000000001</v>
      </c>
      <c r="DL219" s="52">
        <v>11.106</v>
      </c>
      <c r="DM219" s="8">
        <f>V219-DL219</f>
        <v>14.479000000000001</v>
      </c>
      <c r="DN219" s="52">
        <v>11.798999999999999</v>
      </c>
      <c r="DO219" s="8">
        <f>W219-DN219</f>
        <v>12.902000000000001</v>
      </c>
      <c r="DP219" s="52">
        <v>9.7539999999999996</v>
      </c>
      <c r="DQ219" s="8">
        <f t="shared" si="537"/>
        <v>-9.7539999999999996</v>
      </c>
      <c r="DR219" s="191"/>
      <c r="DX219" s="413">
        <f t="shared" si="538"/>
        <v>0.76359220459998822</v>
      </c>
      <c r="DY219" s="431">
        <v>0</v>
      </c>
      <c r="DZ219" s="193">
        <f>DY219</f>
        <v>0</v>
      </c>
      <c r="EH219" s="411" t="b">
        <f t="shared" si="540"/>
        <v>1</v>
      </c>
      <c r="EI219" s="411" t="b">
        <f t="shared" si="541"/>
        <v>1</v>
      </c>
      <c r="EJ219" s="411" t="b">
        <f t="shared" si="542"/>
        <v>1</v>
      </c>
    </row>
    <row r="220" spans="1:140" ht="11.25" customHeight="1" outlineLevel="1" x14ac:dyDescent="0.2">
      <c r="B220" s="7" t="s">
        <v>48</v>
      </c>
      <c r="D220" s="52"/>
      <c r="E220" s="52"/>
      <c r="F220" s="52"/>
      <c r="G220" s="52"/>
      <c r="H220" s="52"/>
      <c r="I220" s="52"/>
      <c r="J220" s="52"/>
      <c r="K220" s="52">
        <f>106.22-SUM(K214:K219)</f>
        <v>6.1009999999999991</v>
      </c>
      <c r="L220" s="52">
        <f>112.174-SUM(L214:L219)</f>
        <v>-17.645999999999987</v>
      </c>
      <c r="M220" s="52">
        <f>136.708-SUM(M214:M219)</f>
        <v>-33.646999999999991</v>
      </c>
      <c r="N220" s="52">
        <f>186.423-SUM(N214:N219)</f>
        <v>-77.45999999999998</v>
      </c>
      <c r="O220" s="52">
        <f>226.369-SUM(O214:O219)</f>
        <v>-11.585000000000093</v>
      </c>
      <c r="P220" s="52">
        <f>267.761-SUM(P214:P219)</f>
        <v>-20.564999999999998</v>
      </c>
      <c r="Q220" s="52">
        <f>290.029-SUM(Q214:Q219)</f>
        <v>6.2660000000000196</v>
      </c>
      <c r="R220" s="52">
        <f>335.569-SUM(R214:R219)</f>
        <v>-16.011999999999944</v>
      </c>
      <c r="S220" s="52">
        <f>374.381-SUM(S214:S219)</f>
        <v>-2.4470000000001164</v>
      </c>
      <c r="T220" s="52">
        <f>431.541-SUM(T214:T219)</f>
        <v>-3.1249999999999432</v>
      </c>
      <c r="U220" s="186">
        <f>562.19-SUM(U214:U219)</f>
        <v>-64.317999999999984</v>
      </c>
      <c r="V220" s="186">
        <f>862.435-SUM(V214:V219)</f>
        <v>-9.1550000000002001</v>
      </c>
      <c r="W220" s="186">
        <f>973.936-SUM(W214:W219)</f>
        <v>-27.325999999999567</v>
      </c>
      <c r="X220" s="152">
        <v>0</v>
      </c>
      <c r="Y220" s="152">
        <v>0</v>
      </c>
      <c r="Z220" s="152">
        <v>0</v>
      </c>
      <c r="AA220" s="152">
        <v>0</v>
      </c>
      <c r="AB220" s="152">
        <v>0</v>
      </c>
      <c r="AC220" s="152">
        <v>0</v>
      </c>
      <c r="AD220" s="152">
        <v>0</v>
      </c>
      <c r="AE220" s="152">
        <v>0</v>
      </c>
      <c r="AF220" s="152">
        <v>0</v>
      </c>
      <c r="AG220" s="152">
        <v>0</v>
      </c>
      <c r="AH220" s="152">
        <v>0</v>
      </c>
      <c r="AI220" s="152">
        <v>0</v>
      </c>
      <c r="AJ220" s="152">
        <v>0</v>
      </c>
      <c r="AK220" s="152">
        <v>0</v>
      </c>
      <c r="AL220" s="152">
        <v>0</v>
      </c>
      <c r="AM220" s="152">
        <v>0</v>
      </c>
      <c r="AN220" s="152">
        <v>0</v>
      </c>
      <c r="AO220" s="152">
        <v>0</v>
      </c>
      <c r="AP220" s="152">
        <v>0</v>
      </c>
      <c r="AQ220" s="152">
        <v>0</v>
      </c>
      <c r="AR220" s="152">
        <v>0</v>
      </c>
      <c r="AS220" s="152">
        <v>0</v>
      </c>
      <c r="AT220" s="152">
        <v>0</v>
      </c>
      <c r="AU220" s="152">
        <v>0</v>
      </c>
      <c r="AV220" s="152">
        <v>0</v>
      </c>
      <c r="AW220" s="152">
        <v>0</v>
      </c>
      <c r="AX220" s="152">
        <v>0</v>
      </c>
      <c r="AY220" s="152">
        <v>0</v>
      </c>
      <c r="AZ220" s="152">
        <v>0</v>
      </c>
      <c r="BA220" s="152">
        <v>0</v>
      </c>
      <c r="BB220" s="152">
        <v>0</v>
      </c>
      <c r="BC220" s="152">
        <v>0</v>
      </c>
      <c r="BD220" s="152">
        <v>0</v>
      </c>
      <c r="BE220" s="152">
        <v>0</v>
      </c>
      <c r="BF220" s="152">
        <v>0</v>
      </c>
      <c r="BG220" s="152">
        <v>0</v>
      </c>
      <c r="BH220" s="152">
        <v>0</v>
      </c>
      <c r="BI220" s="152">
        <v>0</v>
      </c>
      <c r="BJ220" s="152">
        <v>0</v>
      </c>
      <c r="BK220" s="152">
        <v>0</v>
      </c>
      <c r="BL220" s="152">
        <v>0</v>
      </c>
      <c r="BM220" s="152">
        <v>0</v>
      </c>
      <c r="BN220" s="152">
        <v>0</v>
      </c>
      <c r="BO220" s="152">
        <v>0</v>
      </c>
      <c r="BP220" s="152">
        <v>0</v>
      </c>
      <c r="BQ220" s="152">
        <v>0</v>
      </c>
      <c r="BR220" s="152">
        <v>0</v>
      </c>
      <c r="BS220" s="152">
        <v>0</v>
      </c>
      <c r="BT220" s="152">
        <v>0</v>
      </c>
      <c r="BU220" s="152">
        <v>0</v>
      </c>
      <c r="BV220" s="152">
        <v>0</v>
      </c>
      <c r="BW220" s="152">
        <v>0</v>
      </c>
      <c r="BX220" s="152">
        <v>0</v>
      </c>
      <c r="BY220" s="152">
        <v>0</v>
      </c>
      <c r="BZ220" s="152">
        <v>0</v>
      </c>
      <c r="CA220" s="152">
        <v>0</v>
      </c>
      <c r="CB220" s="152">
        <v>0</v>
      </c>
      <c r="CC220" s="152">
        <v>0</v>
      </c>
      <c r="CD220" s="152">
        <v>0</v>
      </c>
      <c r="CE220" s="152">
        <v>0</v>
      </c>
      <c r="CF220" s="152">
        <v>0</v>
      </c>
      <c r="CG220" s="152">
        <v>0</v>
      </c>
      <c r="CH220" s="152">
        <v>0</v>
      </c>
      <c r="CI220" s="152">
        <v>0</v>
      </c>
      <c r="CJ220" s="152">
        <v>0</v>
      </c>
      <c r="CK220" s="152">
        <v>0</v>
      </c>
      <c r="CL220" s="152">
        <v>0</v>
      </c>
      <c r="CM220" s="152">
        <v>0</v>
      </c>
      <c r="CN220" s="152">
        <v>0</v>
      </c>
      <c r="CO220" s="152">
        <v>0</v>
      </c>
      <c r="CP220" s="152">
        <v>0</v>
      </c>
      <c r="CQ220" s="23" t="s">
        <v>77</v>
      </c>
      <c r="DB220" s="7" t="s">
        <v>48</v>
      </c>
      <c r="DD220" s="8"/>
      <c r="DE220" s="8"/>
      <c r="DF220" s="8"/>
      <c r="DG220" s="8"/>
      <c r="DH220" s="8"/>
      <c r="DI220" s="8"/>
      <c r="DJ220" s="52">
        <f>280.406-SUM(DJ214:DJ219)</f>
        <v>-37.427999999999884</v>
      </c>
      <c r="DK220" s="8">
        <f>U220-DJ220</f>
        <v>-26.8900000000001</v>
      </c>
      <c r="DL220" s="52">
        <f>462.134-SUM(DL214:DL219)</f>
        <v>33.587999999999965</v>
      </c>
      <c r="DM220" s="8">
        <f>V220-DL220</f>
        <v>-42.743000000000166</v>
      </c>
      <c r="DN220" s="52">
        <f>518.247-SUM(DN214:DN219)</f>
        <v>-18.312000000000012</v>
      </c>
      <c r="DO220" s="8">
        <f>W220-DN220</f>
        <v>-9.0139999999995553</v>
      </c>
      <c r="DP220" s="52">
        <f>462.527-SUM(DP214:DP219)</f>
        <v>-34.247999999999877</v>
      </c>
      <c r="DQ220" s="8">
        <f t="shared" si="537"/>
        <v>34.247999999999877</v>
      </c>
      <c r="DR220" s="191"/>
      <c r="DX220" s="413">
        <f t="shared" si="538"/>
        <v>0.58192107963555917</v>
      </c>
      <c r="DY220" s="431">
        <v>0</v>
      </c>
      <c r="DZ220" s="193">
        <f>DY220</f>
        <v>0</v>
      </c>
      <c r="EH220" s="411" t="b">
        <f t="shared" si="540"/>
        <v>1</v>
      </c>
      <c r="EI220" s="411" t="b">
        <f t="shared" si="541"/>
        <v>1</v>
      </c>
      <c r="EJ220" s="411" t="b">
        <f t="shared" si="542"/>
        <v>1</v>
      </c>
    </row>
    <row r="221" spans="1:140" ht="11.25" customHeight="1" outlineLevel="1" x14ac:dyDescent="0.2">
      <c r="A221" s="233"/>
      <c r="B221" s="1" t="s">
        <v>27</v>
      </c>
      <c r="D221" s="3"/>
      <c r="E221" s="3"/>
      <c r="F221" s="3"/>
      <c r="G221" s="3"/>
      <c r="H221" s="3"/>
      <c r="I221" s="3"/>
      <c r="J221" s="3"/>
      <c r="K221" s="3">
        <f t="shared" ref="K221:U221" si="568">SUM(K214:K220)</f>
        <v>106.22</v>
      </c>
      <c r="L221" s="3">
        <f t="shared" si="568"/>
        <v>112.17400000000001</v>
      </c>
      <c r="M221" s="3">
        <f t="shared" si="568"/>
        <v>136.708</v>
      </c>
      <c r="N221" s="3">
        <f t="shared" si="568"/>
        <v>186.423</v>
      </c>
      <c r="O221" s="3">
        <f t="shared" si="568"/>
        <v>226.369</v>
      </c>
      <c r="P221" s="3">
        <f t="shared" si="568"/>
        <v>267.76100000000002</v>
      </c>
      <c r="Q221" s="3">
        <f t="shared" si="568"/>
        <v>290.029</v>
      </c>
      <c r="R221" s="3">
        <f t="shared" si="568"/>
        <v>335.56900000000002</v>
      </c>
      <c r="S221" s="3">
        <f t="shared" si="568"/>
        <v>374.38099999999997</v>
      </c>
      <c r="T221" s="33">
        <f t="shared" si="568"/>
        <v>431.541</v>
      </c>
      <c r="U221" s="33">
        <f t="shared" si="568"/>
        <v>562.19000000000005</v>
      </c>
      <c r="V221" s="33">
        <f t="shared" ref="V221:BD221" si="569">SUM(V214:V220)</f>
        <v>862.43499999999995</v>
      </c>
      <c r="W221" s="33">
        <f t="shared" si="569"/>
        <v>973.93600000000004</v>
      </c>
      <c r="X221" s="33">
        <f t="shared" si="569"/>
        <v>916.31280997849353</v>
      </c>
      <c r="Y221" s="33">
        <f t="shared" si="569"/>
        <v>992.9937637732744</v>
      </c>
      <c r="Z221" s="33">
        <f t="shared" si="569"/>
        <v>1051.3677701600054</v>
      </c>
      <c r="AA221" s="33">
        <f t="shared" si="569"/>
        <v>1022.319166572883</v>
      </c>
      <c r="AB221" s="33">
        <f t="shared" si="569"/>
        <v>991.26690296667857</v>
      </c>
      <c r="AC221" s="33">
        <f t="shared" si="569"/>
        <v>970.16529162071845</v>
      </c>
      <c r="AD221" s="33">
        <f t="shared" si="569"/>
        <v>1000.2502370735667</v>
      </c>
      <c r="AE221" s="33">
        <f t="shared" si="569"/>
        <v>1020.0546995759327</v>
      </c>
      <c r="AF221" s="33">
        <f t="shared" si="569"/>
        <v>1023.5314059677927</v>
      </c>
      <c r="AG221" s="33">
        <f t="shared" si="569"/>
        <v>1018.2556857466741</v>
      </c>
      <c r="AH221" s="33">
        <f t="shared" si="569"/>
        <v>1036.3371127439045</v>
      </c>
      <c r="AI221" s="33">
        <f t="shared" si="569"/>
        <v>946.48239475397634</v>
      </c>
      <c r="AJ221" s="33">
        <f t="shared" si="569"/>
        <v>889.9904560944118</v>
      </c>
      <c r="AK221" s="33">
        <f t="shared" si="569"/>
        <v>877.67515562643644</v>
      </c>
      <c r="AL221" s="33">
        <f t="shared" si="569"/>
        <v>895.93617122145758</v>
      </c>
      <c r="AM221" s="33">
        <f t="shared" si="569"/>
        <v>915.0401607312906</v>
      </c>
      <c r="AN221" s="33">
        <f t="shared" si="569"/>
        <v>924.93468887134134</v>
      </c>
      <c r="AO221" s="33">
        <f t="shared" si="569"/>
        <v>911.49815477827565</v>
      </c>
      <c r="AP221" s="33">
        <f t="shared" si="569"/>
        <v>508.60561660139467</v>
      </c>
      <c r="AQ221" s="33">
        <f t="shared" si="569"/>
        <v>533.7758653394809</v>
      </c>
      <c r="AR221" s="33">
        <f t="shared" si="569"/>
        <v>471.03573096117844</v>
      </c>
      <c r="AS221" s="33">
        <f t="shared" si="569"/>
        <v>387.18755210016946</v>
      </c>
      <c r="AT221" s="33">
        <f t="shared" si="569"/>
        <v>382.09204947711135</v>
      </c>
      <c r="AU221" s="33">
        <f t="shared" si="569"/>
        <v>403.59908353971298</v>
      </c>
      <c r="AV221" s="33">
        <f t="shared" si="569"/>
        <v>415.34479835795264</v>
      </c>
      <c r="AW221" s="33">
        <f t="shared" si="569"/>
        <v>391.5436060419056</v>
      </c>
      <c r="AX221" s="33">
        <f t="shared" si="569"/>
        <v>402.62961444925054</v>
      </c>
      <c r="AY221" s="33">
        <f t="shared" si="569"/>
        <v>414.06581470277411</v>
      </c>
      <c r="AZ221" s="33">
        <f t="shared" si="569"/>
        <v>425.85524140697248</v>
      </c>
      <c r="BA221" s="33">
        <f t="shared" si="569"/>
        <v>281.67203144239744</v>
      </c>
      <c r="BB221" s="33">
        <f t="shared" si="569"/>
        <v>293.68740887278761</v>
      </c>
      <c r="BC221" s="33">
        <f t="shared" si="569"/>
        <v>306.05717469959131</v>
      </c>
      <c r="BD221" s="33">
        <f t="shared" si="569"/>
        <v>318.78992317398416</v>
      </c>
      <c r="BE221" s="33">
        <f t="shared" ref="BE221:CP221" si="570">SUM(BE214:BE220)</f>
        <v>331.89439286892554</v>
      </c>
      <c r="BF221" s="33">
        <f t="shared" si="570"/>
        <v>345.37646985661092</v>
      </c>
      <c r="BG221" s="33">
        <f t="shared" si="570"/>
        <v>359.24756967643293</v>
      </c>
      <c r="BH221" s="33">
        <f t="shared" si="570"/>
        <v>373.51241711621128</v>
      </c>
      <c r="BI221" s="33">
        <f t="shared" si="570"/>
        <v>388.18354433164836</v>
      </c>
      <c r="BJ221" s="33">
        <f t="shared" si="570"/>
        <v>403.26646234765053</v>
      </c>
      <c r="BK221" s="33">
        <f t="shared" si="570"/>
        <v>418.77295966472366</v>
      </c>
      <c r="BL221" s="33">
        <f t="shared" si="570"/>
        <v>434.71122075607639</v>
      </c>
      <c r="BM221" s="33">
        <f t="shared" si="570"/>
        <v>451.09080033775899</v>
      </c>
      <c r="BN221" s="33">
        <f t="shared" si="570"/>
        <v>467.92105133578877</v>
      </c>
      <c r="BO221" s="33">
        <f t="shared" si="570"/>
        <v>485.21233699722279</v>
      </c>
      <c r="BP221" s="33">
        <f t="shared" si="570"/>
        <v>502.97485133650298</v>
      </c>
      <c r="BQ221" s="33">
        <f t="shared" si="570"/>
        <v>495.25290155561083</v>
      </c>
      <c r="BR221" s="33">
        <f t="shared" si="570"/>
        <v>510.32472955275477</v>
      </c>
      <c r="BS221" s="33">
        <f t="shared" si="570"/>
        <v>493.96048842301457</v>
      </c>
      <c r="BT221" s="33">
        <f t="shared" si="570"/>
        <v>480.96041796299562</v>
      </c>
      <c r="BU221" s="33">
        <f t="shared" si="570"/>
        <v>495.96364336919112</v>
      </c>
      <c r="BV221" s="33">
        <f t="shared" si="570"/>
        <v>511.3353355908821</v>
      </c>
      <c r="BW221" s="33">
        <f t="shared" si="570"/>
        <v>527.08177567400946</v>
      </c>
      <c r="BX221" s="33">
        <f t="shared" si="570"/>
        <v>543.21035585135928</v>
      </c>
      <c r="BY221" s="33">
        <f t="shared" si="570"/>
        <v>559.72627243683951</v>
      </c>
      <c r="BZ221" s="33">
        <f t="shared" si="570"/>
        <v>576.63885032122062</v>
      </c>
      <c r="CA221" s="33">
        <f t="shared" si="570"/>
        <v>593.95431871832056</v>
      </c>
      <c r="CB221" s="33">
        <f t="shared" si="570"/>
        <v>611.68183496319477</v>
      </c>
      <c r="CC221" s="33">
        <f t="shared" si="570"/>
        <v>626.13756646545153</v>
      </c>
      <c r="CD221" s="33">
        <f t="shared" si="570"/>
        <v>600.37119507642979</v>
      </c>
      <c r="CE221" s="33">
        <f t="shared" si="570"/>
        <v>618.41437091445232</v>
      </c>
      <c r="CF221" s="33">
        <f t="shared" si="570"/>
        <v>636.87784353473398</v>
      </c>
      <c r="CG221" s="33">
        <f t="shared" si="570"/>
        <v>655.77049888839304</v>
      </c>
      <c r="CH221" s="33">
        <f t="shared" si="570"/>
        <v>223.49643446097275</v>
      </c>
      <c r="CI221" s="33">
        <f t="shared" si="570"/>
        <v>236.43771201239076</v>
      </c>
      <c r="CJ221" s="33">
        <f t="shared" si="570"/>
        <v>249.73927998474142</v>
      </c>
      <c r="CK221" s="33">
        <f t="shared" si="570"/>
        <v>263.40766401727012</v>
      </c>
      <c r="CL221" s="33">
        <f t="shared" si="570"/>
        <v>277.44996387319327</v>
      </c>
      <c r="CM221" s="33">
        <f t="shared" si="570"/>
        <v>291.87494226651529</v>
      </c>
      <c r="CN221" s="33">
        <f t="shared" si="570"/>
        <v>306.69117410476019</v>
      </c>
      <c r="CO221" s="33">
        <f t="shared" si="570"/>
        <v>321.90779664477327</v>
      </c>
      <c r="CP221" s="33">
        <f t="shared" si="570"/>
        <v>306.75578645969324</v>
      </c>
      <c r="CQ221" s="23" t="s">
        <v>77</v>
      </c>
      <c r="DB221" s="1" t="s">
        <v>27</v>
      </c>
      <c r="DD221" s="33"/>
      <c r="DE221" s="33"/>
      <c r="DF221" s="33"/>
      <c r="DG221" s="33"/>
      <c r="DH221" s="33"/>
      <c r="DI221" s="33"/>
      <c r="DJ221" s="33">
        <f t="shared" ref="DJ221:DO221" si="571">SUM(DJ214:DJ220)</f>
        <v>280.40600000000001</v>
      </c>
      <c r="DK221" s="33">
        <f t="shared" si="571"/>
        <v>281.78399999999993</v>
      </c>
      <c r="DL221" s="33">
        <f>SUM(DL214:DL220)</f>
        <v>462.13400000000001</v>
      </c>
      <c r="DM221" s="33">
        <f t="shared" si="571"/>
        <v>360.89399999999983</v>
      </c>
      <c r="DN221" s="33">
        <f>SUM(DN214:DN220)</f>
        <v>518.24699999999996</v>
      </c>
      <c r="DO221" s="33">
        <f t="shared" si="571"/>
        <v>452.97000000000031</v>
      </c>
      <c r="DP221" s="33">
        <f>SUM(DP214:DP220)</f>
        <v>462.52699999999999</v>
      </c>
      <c r="DQ221" s="33">
        <f>SUM(DQ214:DQ220)</f>
        <v>453.78580997849343</v>
      </c>
      <c r="DR221" s="33"/>
      <c r="DS221" s="33"/>
      <c r="DX221" s="413">
        <f t="shared" si="538"/>
        <v>0.49877443568900198</v>
      </c>
      <c r="DY221" s="413">
        <f t="shared" si="539"/>
        <v>0.56150459036630607</v>
      </c>
      <c r="DZ221" s="413">
        <f>+(DN221/(DN221+DO221))</f>
        <v>0.53360577502247153</v>
      </c>
      <c r="EH221" s="411" t="b">
        <f>ROUND(U221,1)=ROUND(SUM(DJ221:DK221),1)</f>
        <v>1</v>
      </c>
      <c r="EI221" s="411" t="b">
        <f>ROUND(V221,1)=ROUND(SUM(DL221:DM221),1)</f>
        <v>0</v>
      </c>
      <c r="EJ221" s="411" t="b">
        <f>ROUND(W221,1)=ROUND(SUM(DN221:DO221),1)</f>
        <v>0</v>
      </c>
    </row>
    <row r="222" spans="1:140" ht="11.25" customHeight="1" outlineLevel="1" x14ac:dyDescent="0.2">
      <c r="O222" s="40"/>
      <c r="P222" s="40"/>
      <c r="Q222" s="40"/>
      <c r="R222" s="40"/>
      <c r="S222" s="40"/>
      <c r="T222" s="40"/>
      <c r="U222" s="40"/>
      <c r="V222" s="40"/>
      <c r="W222" s="40"/>
      <c r="X222" s="40"/>
      <c r="Y222" s="40"/>
      <c r="Z222" s="40"/>
      <c r="AA222" s="40"/>
      <c r="AB222" s="40"/>
      <c r="AC222" s="40"/>
      <c r="AD222" s="40"/>
      <c r="AE222" s="40"/>
      <c r="AF222" s="40"/>
      <c r="AG222" s="40"/>
      <c r="AH222" s="40"/>
      <c r="AI222" s="40"/>
      <c r="AJ222" s="40"/>
      <c r="AK222" s="40"/>
      <c r="AL222" s="40"/>
      <c r="AM222" s="40"/>
      <c r="AN222" s="40"/>
      <c r="AO222" s="40"/>
      <c r="AP222" s="40"/>
      <c r="AQ222" s="40"/>
      <c r="AR222" s="40"/>
      <c r="AS222" s="40"/>
      <c r="AT222" s="40"/>
      <c r="AU222" s="40"/>
      <c r="AV222" s="40"/>
      <c r="AW222" s="40"/>
      <c r="AX222" s="40"/>
      <c r="AY222" s="40"/>
      <c r="AZ222" s="40"/>
      <c r="BA222" s="40"/>
      <c r="BB222" s="40"/>
      <c r="BC222" s="40"/>
      <c r="BD222" s="40"/>
      <c r="BE222" s="40"/>
      <c r="BF222" s="40"/>
      <c r="BG222" s="40"/>
      <c r="BH222" s="40"/>
      <c r="BI222" s="40"/>
      <c r="BJ222" s="40"/>
      <c r="BK222" s="40"/>
      <c r="BL222" s="40"/>
      <c r="BM222" s="40"/>
      <c r="BN222" s="40"/>
      <c r="BO222" s="40"/>
      <c r="BP222" s="40"/>
      <c r="BQ222" s="40"/>
      <c r="BR222" s="40"/>
      <c r="BS222" s="40"/>
      <c r="BT222" s="40"/>
      <c r="BU222" s="40"/>
      <c r="BV222" s="40"/>
      <c r="BW222" s="40"/>
      <c r="BX222" s="40"/>
      <c r="BY222" s="40"/>
      <c r="BZ222" s="40"/>
      <c r="CA222" s="40"/>
      <c r="CB222" s="40"/>
      <c r="CC222" s="40"/>
      <c r="CD222" s="40"/>
      <c r="CE222" s="40"/>
      <c r="CF222" s="40"/>
      <c r="CG222" s="40"/>
      <c r="CH222" s="40"/>
      <c r="CI222" s="40"/>
      <c r="CJ222" s="40"/>
      <c r="CK222" s="40"/>
      <c r="CL222" s="40"/>
      <c r="CM222" s="40"/>
      <c r="CN222" s="40"/>
      <c r="CO222" s="40"/>
      <c r="CP222" s="40"/>
      <c r="CQ222" s="23" t="s">
        <v>77</v>
      </c>
      <c r="DD222" s="8"/>
      <c r="DE222" s="8"/>
      <c r="DF222" s="8"/>
      <c r="DG222" s="8"/>
      <c r="DH222" s="8"/>
      <c r="DI222" s="8"/>
      <c r="DJ222" s="8"/>
      <c r="DK222" s="8"/>
      <c r="DX222" s="192"/>
      <c r="DY222" s="192"/>
      <c r="DZ222" s="192"/>
    </row>
    <row r="223" spans="1:140" ht="11.25" customHeight="1" outlineLevel="1" x14ac:dyDescent="0.2">
      <c r="B223" s="7" t="s">
        <v>23</v>
      </c>
      <c r="D223" s="52"/>
      <c r="E223" s="52"/>
      <c r="F223" s="52"/>
      <c r="G223" s="52"/>
      <c r="H223" s="52"/>
      <c r="I223" s="52"/>
      <c r="J223" s="52"/>
      <c r="K223" s="52">
        <v>-12.824999999999999</v>
      </c>
      <c r="L223" s="52">
        <v>-31.975999999999999</v>
      </c>
      <c r="M223" s="52">
        <v>-130.279</v>
      </c>
      <c r="N223" s="52">
        <v>-193.80799999999999</v>
      </c>
      <c r="O223" s="52">
        <v>-301.72899999999998</v>
      </c>
      <c r="P223" s="52">
        <v>-135.42599999999999</v>
      </c>
      <c r="Q223" s="52">
        <v>-231.05099999999999</v>
      </c>
      <c r="R223" s="52">
        <v>-249.11199999999999</v>
      </c>
      <c r="S223" s="52">
        <v>-397.45100000000002</v>
      </c>
      <c r="T223" s="186">
        <v>-446.75400000000002</v>
      </c>
      <c r="U223" s="186">
        <v>-2814.5590000000002</v>
      </c>
      <c r="V223" s="186">
        <v>-455.97500000000002</v>
      </c>
      <c r="W223" s="186">
        <v>-340.75299999999999</v>
      </c>
      <c r="X223" s="51">
        <f t="shared" ref="X223:BD223" si="572">-X194</f>
        <v>-786.8</v>
      </c>
      <c r="Y223" s="51">
        <f t="shared" si="572"/>
        <v>-555.57650000000001</v>
      </c>
      <c r="Z223" s="51">
        <f t="shared" si="572"/>
        <v>-186.95771945405014</v>
      </c>
      <c r="AA223" s="51">
        <f t="shared" si="572"/>
        <v>-197.78895243761337</v>
      </c>
      <c r="AB223" s="51">
        <f t="shared" si="572"/>
        <v>-206.2788197325826</v>
      </c>
      <c r="AC223" s="51">
        <f t="shared" si="572"/>
        <v>-178.47949073124602</v>
      </c>
      <c r="AD223" s="51">
        <f t="shared" si="572"/>
        <v>-150.66807987495798</v>
      </c>
      <c r="AE223" s="51">
        <f t="shared" si="572"/>
        <v>-151.51509324529883</v>
      </c>
      <c r="AF223" s="51">
        <f t="shared" si="572"/>
        <v>-152.13669695358624</v>
      </c>
      <c r="AG223" s="51">
        <f t="shared" si="572"/>
        <v>-152.7593003794818</v>
      </c>
      <c r="AH223" s="51">
        <f t="shared" si="572"/>
        <v>-153.38290499415905</v>
      </c>
      <c r="AI223" s="51">
        <f t="shared" si="572"/>
        <v>-154.00751227092582</v>
      </c>
      <c r="AJ223" s="51">
        <f t="shared" si="572"/>
        <v>-154.63312368522716</v>
      </c>
      <c r="AK223" s="51">
        <f t="shared" si="572"/>
        <v>-155.25974071464864</v>
      </c>
      <c r="AL223" s="51">
        <f t="shared" si="572"/>
        <v>-155.88736483891927</v>
      </c>
      <c r="AM223" s="51">
        <f t="shared" si="572"/>
        <v>-156.51599753991468</v>
      </c>
      <c r="AN223" s="51">
        <f t="shared" si="572"/>
        <v>-157.14564030166031</v>
      </c>
      <c r="AO223" s="51">
        <f t="shared" si="572"/>
        <v>-157.77629461033436</v>
      </c>
      <c r="AP223" s="51">
        <f t="shared" si="572"/>
        <v>-158.407961954271</v>
      </c>
      <c r="AQ223" s="51">
        <f t="shared" si="572"/>
        <v>-159.04064382396345</v>
      </c>
      <c r="AR223" s="51">
        <f t="shared" si="572"/>
        <v>-159.67434171206716</v>
      </c>
      <c r="AS223" s="51">
        <f t="shared" si="572"/>
        <v>-160.3090571134029</v>
      </c>
      <c r="AT223" s="51">
        <f t="shared" si="572"/>
        <v>-160.94479152495984</v>
      </c>
      <c r="AU223" s="51">
        <f t="shared" si="572"/>
        <v>-161.58154644589879</v>
      </c>
      <c r="AV223" s="51">
        <f t="shared" si="572"/>
        <v>-162.21932337755536</v>
      </c>
      <c r="AW223" s="51">
        <f t="shared" si="572"/>
        <v>-162.85812382344295</v>
      </c>
      <c r="AX223" s="51">
        <f t="shared" si="572"/>
        <v>-163.49794928925598</v>
      </c>
      <c r="AY223" s="51">
        <f t="shared" si="572"/>
        <v>-164.13880128287323</v>
      </c>
      <c r="AZ223" s="51">
        <f t="shared" si="572"/>
        <v>-164.78068131436061</v>
      </c>
      <c r="BA223" s="51">
        <f t="shared" si="572"/>
        <v>-165.42359089597468</v>
      </c>
      <c r="BB223" s="51">
        <f t="shared" si="572"/>
        <v>-166.06753154216574</v>
      </c>
      <c r="BC223" s="51">
        <f t="shared" si="572"/>
        <v>-166.71250476958079</v>
      </c>
      <c r="BD223" s="51">
        <f t="shared" si="572"/>
        <v>-167.35851209706703</v>
      </c>
      <c r="BE223" s="51">
        <f t="shared" ref="BE223:CP223" si="573">-BE194</f>
        <v>-168.00555504567484</v>
      </c>
      <c r="BF223" s="51">
        <f t="shared" si="573"/>
        <v>-168.65363513866095</v>
      </c>
      <c r="BG223" s="51">
        <f t="shared" si="573"/>
        <v>-169.30275390149177</v>
      </c>
      <c r="BH223" s="51">
        <f t="shared" si="573"/>
        <v>-169.9529128618465</v>
      </c>
      <c r="BI223" s="51">
        <f t="shared" si="573"/>
        <v>-170.60411354962034</v>
      </c>
      <c r="BJ223" s="51">
        <f t="shared" si="573"/>
        <v>-171.25635749692771</v>
      </c>
      <c r="BK223" s="51">
        <f t="shared" si="573"/>
        <v>-171.90964623810547</v>
      </c>
      <c r="BL223" s="51">
        <f t="shared" si="573"/>
        <v>-172.5639813097161</v>
      </c>
      <c r="BM223" s="51">
        <f t="shared" si="573"/>
        <v>-173.21936425055094</v>
      </c>
      <c r="BN223" s="51">
        <f t="shared" si="573"/>
        <v>-173.87579660163345</v>
      </c>
      <c r="BO223" s="51">
        <f t="shared" si="573"/>
        <v>-174.53327990622239</v>
      </c>
      <c r="BP223" s="51">
        <f t="shared" si="573"/>
        <v>-175.1918157098151</v>
      </c>
      <c r="BQ223" s="51">
        <f t="shared" si="573"/>
        <v>-175.85140556015068</v>
      </c>
      <c r="BR223" s="51">
        <f t="shared" si="573"/>
        <v>-176.5120510072133</v>
      </c>
      <c r="BS223" s="51">
        <f t="shared" si="573"/>
        <v>-177.17375360323535</v>
      </c>
      <c r="BT223" s="51">
        <f t="shared" si="573"/>
        <v>-177.83651490270088</v>
      </c>
      <c r="BU223" s="51">
        <f t="shared" si="573"/>
        <v>-178.5003364623486</v>
      </c>
      <c r="BV223" s="51">
        <f t="shared" si="573"/>
        <v>-179.16521984117537</v>
      </c>
      <c r="BW223" s="51">
        <f t="shared" si="573"/>
        <v>-179.83116660043936</v>
      </c>
      <c r="BX223" s="51">
        <f t="shared" si="573"/>
        <v>-180.49817830366339</v>
      </c>
      <c r="BY223" s="51">
        <f t="shared" si="573"/>
        <v>-181.16625651663807</v>
      </c>
      <c r="BZ223" s="51">
        <f t="shared" si="573"/>
        <v>-181.83540280742523</v>
      </c>
      <c r="CA223" s="51">
        <f t="shared" si="573"/>
        <v>-182.50561874636108</v>
      </c>
      <c r="CB223" s="51">
        <f t="shared" si="573"/>
        <v>-183.17690590605969</v>
      </c>
      <c r="CC223" s="51">
        <f t="shared" si="573"/>
        <v>-183.84926586141606</v>
      </c>
      <c r="CD223" s="51">
        <f t="shared" si="573"/>
        <v>-184.52270018960957</v>
      </c>
      <c r="CE223" s="51">
        <f t="shared" si="573"/>
        <v>-185.19721047010722</v>
      </c>
      <c r="CF223" s="51">
        <f t="shared" si="573"/>
        <v>-185.87279828466697</v>
      </c>
      <c r="CG223" s="51">
        <f t="shared" si="573"/>
        <v>-186.54946521734109</v>
      </c>
      <c r="CH223" s="51">
        <f t="shared" si="573"/>
        <v>-187.2272128544794</v>
      </c>
      <c r="CI223" s="51">
        <f t="shared" si="573"/>
        <v>-187.90604278473262</v>
      </c>
      <c r="CJ223" s="51">
        <f t="shared" si="573"/>
        <v>-188.58595659905569</v>
      </c>
      <c r="CK223" s="51">
        <f t="shared" si="573"/>
        <v>-189.26695589071124</v>
      </c>
      <c r="CL223" s="51">
        <f t="shared" si="573"/>
        <v>-189.94904225527273</v>
      </c>
      <c r="CM223" s="51">
        <f t="shared" si="573"/>
        <v>-190.63221729062784</v>
      </c>
      <c r="CN223" s="51">
        <f t="shared" si="573"/>
        <v>-191.31648259698196</v>
      </c>
      <c r="CO223" s="51">
        <f t="shared" si="573"/>
        <v>-192.00183977686137</v>
      </c>
      <c r="CP223" s="51">
        <f t="shared" si="573"/>
        <v>-192.68829043511673</v>
      </c>
      <c r="CQ223" s="23" t="s">
        <v>77</v>
      </c>
      <c r="DB223" s="7" t="s">
        <v>23</v>
      </c>
      <c r="DD223" s="8"/>
      <c r="DE223" s="8"/>
      <c r="DF223" s="8"/>
      <c r="DG223" s="8"/>
      <c r="DH223" s="8"/>
      <c r="DI223" s="8"/>
      <c r="DJ223" s="186">
        <v>-191.673</v>
      </c>
      <c r="DK223" s="8">
        <f t="shared" ref="DK223:DK229" si="574">U223-DJ223</f>
        <v>-2622.8860000000004</v>
      </c>
      <c r="DL223" s="186">
        <v>-295.52699999999999</v>
      </c>
      <c r="DM223" s="8">
        <f t="shared" ref="DM223:DM229" si="575">V223-DL223</f>
        <v>-160.44800000000004</v>
      </c>
      <c r="DN223" s="186">
        <v>-126.212</v>
      </c>
      <c r="DO223" s="8">
        <f>W223-DN223</f>
        <v>-214.541</v>
      </c>
      <c r="DP223" s="186">
        <v>-320.70499999999998</v>
      </c>
      <c r="DQ223" s="8">
        <f t="shared" ref="DQ223:DQ229" si="576">X223-DP223</f>
        <v>-466.09499999999997</v>
      </c>
      <c r="DR223" s="191"/>
      <c r="DX223" s="413">
        <f t="shared" si="538"/>
        <v>6.810054434815542E-2</v>
      </c>
      <c r="DY223" s="413">
        <f t="shared" si="539"/>
        <v>0.6481210592686002</v>
      </c>
      <c r="DZ223" s="193">
        <f>DY223</f>
        <v>0.6481210592686002</v>
      </c>
      <c r="EH223" s="411" t="b">
        <f>ROUND(U223,1)=ROUND(SUM(DJ223:DK223),1)</f>
        <v>1</v>
      </c>
      <c r="EI223" s="411" t="b">
        <f>ROUND(V223,1)=ROUND(SUM(DL223:DM223),1)</f>
        <v>1</v>
      </c>
      <c r="EJ223" s="411" t="b">
        <f>ROUND(W223,1)=ROUND(SUM(DN223:DO223),1)</f>
        <v>1</v>
      </c>
    </row>
    <row r="224" spans="1:140" ht="11.25" customHeight="1" outlineLevel="1" x14ac:dyDescent="0.2">
      <c r="B224" s="7" t="s">
        <v>263</v>
      </c>
      <c r="D224" s="52"/>
      <c r="E224" s="52"/>
      <c r="F224" s="52"/>
      <c r="G224" s="52"/>
      <c r="H224" s="52"/>
      <c r="I224" s="52"/>
      <c r="J224" s="52"/>
      <c r="K224" s="52">
        <v>8.8999999999999996E-2</v>
      </c>
      <c r="L224" s="52">
        <v>2.82</v>
      </c>
      <c r="M224" s="52">
        <v>9.9000000000000005E-2</v>
      </c>
      <c r="N224" s="52">
        <v>1E-3</v>
      </c>
      <c r="O224" s="52">
        <v>5.0000000000000001E-3</v>
      </c>
      <c r="P224" s="52">
        <v>0</v>
      </c>
      <c r="Q224" s="52">
        <v>0.26500000000000001</v>
      </c>
      <c r="R224" s="52">
        <v>0.52200000000000002</v>
      </c>
      <c r="S224" s="52">
        <v>0.60499999999999998</v>
      </c>
      <c r="T224" s="186">
        <v>0.79700000000000004</v>
      </c>
      <c r="U224" s="186">
        <v>0.876</v>
      </c>
      <c r="V224" s="186">
        <v>0.38600000000000001</v>
      </c>
      <c r="W224" s="186">
        <v>0.69299999999999995</v>
      </c>
      <c r="X224" s="157">
        <v>0</v>
      </c>
      <c r="Y224" s="157">
        <v>0</v>
      </c>
      <c r="Z224" s="157">
        <v>0</v>
      </c>
      <c r="AA224" s="157">
        <v>0</v>
      </c>
      <c r="AB224" s="157">
        <v>0</v>
      </c>
      <c r="AC224" s="157">
        <v>0</v>
      </c>
      <c r="AD224" s="157">
        <v>0</v>
      </c>
      <c r="AE224" s="157">
        <v>0</v>
      </c>
      <c r="AF224" s="157">
        <v>0</v>
      </c>
      <c r="AG224" s="157">
        <v>0</v>
      </c>
      <c r="AH224" s="157">
        <v>0</v>
      </c>
      <c r="AI224" s="157">
        <v>0</v>
      </c>
      <c r="AJ224" s="157">
        <v>0</v>
      </c>
      <c r="AK224" s="157">
        <v>0</v>
      </c>
      <c r="AL224" s="157">
        <v>0</v>
      </c>
      <c r="AM224" s="157">
        <v>0</v>
      </c>
      <c r="AN224" s="157">
        <v>0</v>
      </c>
      <c r="AO224" s="157">
        <v>0</v>
      </c>
      <c r="AP224" s="157">
        <v>0</v>
      </c>
      <c r="AQ224" s="157">
        <v>0</v>
      </c>
      <c r="AR224" s="157">
        <v>0</v>
      </c>
      <c r="AS224" s="157">
        <v>0</v>
      </c>
      <c r="AT224" s="157">
        <v>0</v>
      </c>
      <c r="AU224" s="157">
        <v>0</v>
      </c>
      <c r="AV224" s="157">
        <v>0</v>
      </c>
      <c r="AW224" s="157">
        <v>0</v>
      </c>
      <c r="AX224" s="157">
        <v>0</v>
      </c>
      <c r="AY224" s="157">
        <v>0</v>
      </c>
      <c r="AZ224" s="157">
        <v>0</v>
      </c>
      <c r="BA224" s="157">
        <v>0</v>
      </c>
      <c r="BB224" s="157">
        <v>0</v>
      </c>
      <c r="BC224" s="157">
        <v>0</v>
      </c>
      <c r="BD224" s="157">
        <v>0</v>
      </c>
      <c r="BE224" s="157">
        <v>0</v>
      </c>
      <c r="BF224" s="157">
        <v>0</v>
      </c>
      <c r="BG224" s="157">
        <v>0</v>
      </c>
      <c r="BH224" s="157">
        <v>0</v>
      </c>
      <c r="BI224" s="157">
        <v>0</v>
      </c>
      <c r="BJ224" s="157">
        <v>0</v>
      </c>
      <c r="BK224" s="157">
        <v>0</v>
      </c>
      <c r="BL224" s="157">
        <v>0</v>
      </c>
      <c r="BM224" s="157">
        <v>0</v>
      </c>
      <c r="BN224" s="157">
        <v>0</v>
      </c>
      <c r="BO224" s="157">
        <v>0</v>
      </c>
      <c r="BP224" s="157">
        <v>0</v>
      </c>
      <c r="BQ224" s="157">
        <v>0</v>
      </c>
      <c r="BR224" s="157">
        <v>0</v>
      </c>
      <c r="BS224" s="157">
        <v>0</v>
      </c>
      <c r="BT224" s="157">
        <v>0</v>
      </c>
      <c r="BU224" s="157">
        <v>0</v>
      </c>
      <c r="BV224" s="157">
        <v>0</v>
      </c>
      <c r="BW224" s="157">
        <v>0</v>
      </c>
      <c r="BX224" s="157">
        <v>0</v>
      </c>
      <c r="BY224" s="157">
        <v>0</v>
      </c>
      <c r="BZ224" s="157">
        <v>0</v>
      </c>
      <c r="CA224" s="157">
        <v>0</v>
      </c>
      <c r="CB224" s="157">
        <v>0</v>
      </c>
      <c r="CC224" s="157">
        <v>0</v>
      </c>
      <c r="CD224" s="157">
        <v>0</v>
      </c>
      <c r="CE224" s="157">
        <v>0</v>
      </c>
      <c r="CF224" s="157">
        <v>0</v>
      </c>
      <c r="CG224" s="157">
        <v>0</v>
      </c>
      <c r="CH224" s="157">
        <v>0</v>
      </c>
      <c r="CI224" s="157">
        <v>0</v>
      </c>
      <c r="CJ224" s="157">
        <v>0</v>
      </c>
      <c r="CK224" s="157">
        <v>0</v>
      </c>
      <c r="CL224" s="157">
        <v>0</v>
      </c>
      <c r="CM224" s="157">
        <v>0</v>
      </c>
      <c r="CN224" s="157">
        <v>0</v>
      </c>
      <c r="CO224" s="157">
        <v>0</v>
      </c>
      <c r="CP224" s="157">
        <v>0</v>
      </c>
      <c r="CQ224" s="23" t="s">
        <v>77</v>
      </c>
      <c r="DB224" s="7" t="s">
        <v>263</v>
      </c>
      <c r="DD224" s="8"/>
      <c r="DE224" s="8"/>
      <c r="DF224" s="8"/>
      <c r="DG224" s="8"/>
      <c r="DH224" s="8"/>
      <c r="DI224" s="8"/>
      <c r="DJ224" s="186">
        <v>0.65700000000000003</v>
      </c>
      <c r="DK224" s="8">
        <f t="shared" si="574"/>
        <v>0.21899999999999997</v>
      </c>
      <c r="DL224" s="186">
        <v>0.16700000000000001</v>
      </c>
      <c r="DM224" s="8">
        <f t="shared" si="575"/>
        <v>0.219</v>
      </c>
      <c r="DN224" s="186">
        <v>0.40200000000000002</v>
      </c>
      <c r="DO224" s="8">
        <f t="shared" ref="DO224:DO229" si="577">W224-DN224</f>
        <v>0.29099999999999993</v>
      </c>
      <c r="DP224" s="186">
        <v>0.25600000000000001</v>
      </c>
      <c r="DQ224" s="8">
        <f t="shared" si="576"/>
        <v>-0.25600000000000001</v>
      </c>
      <c r="DR224" s="191"/>
      <c r="DX224" s="413">
        <f t="shared" si="538"/>
        <v>0.75</v>
      </c>
      <c r="DY224" s="431">
        <v>0</v>
      </c>
      <c r="DZ224" s="193">
        <f>DY224</f>
        <v>0</v>
      </c>
      <c r="EH224" s="411" t="b">
        <f t="shared" ref="EH224:EH230" si="578">ROUND(U224,1)=ROUND(SUM(DJ224:DK224),1)</f>
        <v>1</v>
      </c>
      <c r="EI224" s="411" t="b">
        <f t="shared" ref="EI224:EI230" si="579">ROUND(V224,1)=ROUND(SUM(DL224:DM224),1)</f>
        <v>1</v>
      </c>
      <c r="EJ224" s="411" t="b">
        <f t="shared" ref="EJ224:EJ230" si="580">ROUND(W224,1)=ROUND(SUM(DN224:DO224),1)</f>
        <v>1</v>
      </c>
    </row>
    <row r="225" spans="1:140" ht="11.25" customHeight="1" outlineLevel="1" x14ac:dyDescent="0.2">
      <c r="B225" s="7" t="s">
        <v>265</v>
      </c>
      <c r="D225" s="52"/>
      <c r="E225" s="52"/>
      <c r="F225" s="52"/>
      <c r="G225" s="52"/>
      <c r="H225" s="52"/>
      <c r="I225" s="52"/>
      <c r="J225" s="52"/>
      <c r="K225" s="52">
        <v>0</v>
      </c>
      <c r="L225" s="52">
        <v>0</v>
      </c>
      <c r="M225" s="52">
        <v>-133.34700000000001</v>
      </c>
      <c r="N225" s="52">
        <v>-4.8620000000000001</v>
      </c>
      <c r="O225" s="52">
        <v>-96.114000000000004</v>
      </c>
      <c r="P225" s="52">
        <v>-22.704000000000001</v>
      </c>
      <c r="Q225" s="52">
        <v>-91.391999999999996</v>
      </c>
      <c r="R225" s="52">
        <v>-28.547999999999998</v>
      </c>
      <c r="S225" s="52">
        <v>-65.450999999999993</v>
      </c>
      <c r="T225" s="186">
        <v>0</v>
      </c>
      <c r="U225" s="186">
        <v>-17.382999999999999</v>
      </c>
      <c r="V225" s="186">
        <v>0</v>
      </c>
      <c r="W225" s="186">
        <v>-35.25</v>
      </c>
      <c r="X225" s="51">
        <f t="shared" ref="X225:BD225" si="581">-X196</f>
        <v>0</v>
      </c>
      <c r="Y225" s="51">
        <f t="shared" si="581"/>
        <v>0</v>
      </c>
      <c r="Z225" s="51">
        <f t="shared" si="581"/>
        <v>0</v>
      </c>
      <c r="AA225" s="51">
        <f t="shared" si="581"/>
        <v>0</v>
      </c>
      <c r="AB225" s="51">
        <f t="shared" si="581"/>
        <v>0</v>
      </c>
      <c r="AC225" s="51">
        <f t="shared" si="581"/>
        <v>0</v>
      </c>
      <c r="AD225" s="51">
        <f t="shared" si="581"/>
        <v>0</v>
      </c>
      <c r="AE225" s="51">
        <f t="shared" si="581"/>
        <v>0</v>
      </c>
      <c r="AF225" s="51">
        <f t="shared" si="581"/>
        <v>0</v>
      </c>
      <c r="AG225" s="51">
        <f t="shared" si="581"/>
        <v>0</v>
      </c>
      <c r="AH225" s="51">
        <f t="shared" si="581"/>
        <v>0</v>
      </c>
      <c r="AI225" s="51">
        <f t="shared" si="581"/>
        <v>0</v>
      </c>
      <c r="AJ225" s="51">
        <f t="shared" si="581"/>
        <v>0</v>
      </c>
      <c r="AK225" s="51">
        <f t="shared" si="581"/>
        <v>0</v>
      </c>
      <c r="AL225" s="51">
        <f t="shared" si="581"/>
        <v>0</v>
      </c>
      <c r="AM225" s="51">
        <f t="shared" si="581"/>
        <v>0</v>
      </c>
      <c r="AN225" s="51">
        <f t="shared" si="581"/>
        <v>0</v>
      </c>
      <c r="AO225" s="51">
        <f t="shared" si="581"/>
        <v>0</v>
      </c>
      <c r="AP225" s="51">
        <f t="shared" si="581"/>
        <v>0</v>
      </c>
      <c r="AQ225" s="51">
        <f t="shared" si="581"/>
        <v>0</v>
      </c>
      <c r="AR225" s="51">
        <f t="shared" si="581"/>
        <v>0</v>
      </c>
      <c r="AS225" s="51">
        <f t="shared" si="581"/>
        <v>0</v>
      </c>
      <c r="AT225" s="51">
        <f t="shared" si="581"/>
        <v>0</v>
      </c>
      <c r="AU225" s="51">
        <f t="shared" si="581"/>
        <v>0</v>
      </c>
      <c r="AV225" s="51">
        <f t="shared" si="581"/>
        <v>0</v>
      </c>
      <c r="AW225" s="51">
        <f t="shared" si="581"/>
        <v>0</v>
      </c>
      <c r="AX225" s="51">
        <f t="shared" si="581"/>
        <v>0</v>
      </c>
      <c r="AY225" s="51">
        <f t="shared" si="581"/>
        <v>0</v>
      </c>
      <c r="AZ225" s="51">
        <f t="shared" si="581"/>
        <v>0</v>
      </c>
      <c r="BA225" s="51">
        <f t="shared" si="581"/>
        <v>0</v>
      </c>
      <c r="BB225" s="51">
        <f t="shared" si="581"/>
        <v>0</v>
      </c>
      <c r="BC225" s="51">
        <f t="shared" si="581"/>
        <v>0</v>
      </c>
      <c r="BD225" s="51">
        <f t="shared" si="581"/>
        <v>0</v>
      </c>
      <c r="BE225" s="51">
        <f t="shared" ref="BE225:CP225" si="582">-BE196</f>
        <v>0</v>
      </c>
      <c r="BF225" s="51">
        <f t="shared" si="582"/>
        <v>0</v>
      </c>
      <c r="BG225" s="51">
        <f t="shared" si="582"/>
        <v>0</v>
      </c>
      <c r="BH225" s="51">
        <f t="shared" si="582"/>
        <v>0</v>
      </c>
      <c r="BI225" s="51">
        <f t="shared" si="582"/>
        <v>0</v>
      </c>
      <c r="BJ225" s="51">
        <f t="shared" si="582"/>
        <v>0</v>
      </c>
      <c r="BK225" s="51">
        <f t="shared" si="582"/>
        <v>0</v>
      </c>
      <c r="BL225" s="51">
        <f t="shared" si="582"/>
        <v>0</v>
      </c>
      <c r="BM225" s="51">
        <f t="shared" si="582"/>
        <v>0</v>
      </c>
      <c r="BN225" s="51">
        <f t="shared" si="582"/>
        <v>0</v>
      </c>
      <c r="BO225" s="51">
        <f t="shared" si="582"/>
        <v>0</v>
      </c>
      <c r="BP225" s="51">
        <f t="shared" si="582"/>
        <v>0</v>
      </c>
      <c r="BQ225" s="51">
        <f t="shared" si="582"/>
        <v>0</v>
      </c>
      <c r="BR225" s="51">
        <f t="shared" si="582"/>
        <v>0</v>
      </c>
      <c r="BS225" s="51">
        <f t="shared" si="582"/>
        <v>0</v>
      </c>
      <c r="BT225" s="51">
        <f t="shared" si="582"/>
        <v>0</v>
      </c>
      <c r="BU225" s="51">
        <f t="shared" si="582"/>
        <v>0</v>
      </c>
      <c r="BV225" s="51">
        <f t="shared" si="582"/>
        <v>0</v>
      </c>
      <c r="BW225" s="51">
        <f t="shared" si="582"/>
        <v>0</v>
      </c>
      <c r="BX225" s="51">
        <f t="shared" si="582"/>
        <v>0</v>
      </c>
      <c r="BY225" s="51">
        <f t="shared" si="582"/>
        <v>0</v>
      </c>
      <c r="BZ225" s="51">
        <f t="shared" si="582"/>
        <v>0</v>
      </c>
      <c r="CA225" s="51">
        <f t="shared" si="582"/>
        <v>0</v>
      </c>
      <c r="CB225" s="51">
        <f t="shared" si="582"/>
        <v>0</v>
      </c>
      <c r="CC225" s="51">
        <f t="shared" si="582"/>
        <v>0</v>
      </c>
      <c r="CD225" s="51">
        <f t="shared" si="582"/>
        <v>0</v>
      </c>
      <c r="CE225" s="51">
        <f t="shared" si="582"/>
        <v>0</v>
      </c>
      <c r="CF225" s="51">
        <f t="shared" si="582"/>
        <v>0</v>
      </c>
      <c r="CG225" s="51">
        <f t="shared" si="582"/>
        <v>0</v>
      </c>
      <c r="CH225" s="51">
        <f t="shared" si="582"/>
        <v>0</v>
      </c>
      <c r="CI225" s="51">
        <f t="shared" si="582"/>
        <v>0</v>
      </c>
      <c r="CJ225" s="51">
        <f t="shared" si="582"/>
        <v>0</v>
      </c>
      <c r="CK225" s="51">
        <f t="shared" si="582"/>
        <v>0</v>
      </c>
      <c r="CL225" s="51">
        <f t="shared" si="582"/>
        <v>0</v>
      </c>
      <c r="CM225" s="51">
        <f t="shared" si="582"/>
        <v>0</v>
      </c>
      <c r="CN225" s="51">
        <f t="shared" si="582"/>
        <v>0</v>
      </c>
      <c r="CO225" s="51">
        <f t="shared" si="582"/>
        <v>0</v>
      </c>
      <c r="CP225" s="51">
        <f t="shared" si="582"/>
        <v>0</v>
      </c>
      <c r="CQ225" s="23" t="s">
        <v>77</v>
      </c>
      <c r="DB225" s="7" t="s">
        <v>265</v>
      </c>
      <c r="DD225" s="8"/>
      <c r="DE225" s="8"/>
      <c r="DF225" s="8"/>
      <c r="DG225" s="8"/>
      <c r="DH225" s="8"/>
      <c r="DI225" s="8"/>
      <c r="DJ225" s="186">
        <v>-17.382999999999999</v>
      </c>
      <c r="DK225" s="8">
        <f t="shared" si="574"/>
        <v>0</v>
      </c>
      <c r="DL225" s="186">
        <v>0</v>
      </c>
      <c r="DM225" s="8">
        <f t="shared" si="575"/>
        <v>0</v>
      </c>
      <c r="DN225" s="186">
        <v>-35.25</v>
      </c>
      <c r="DO225" s="8">
        <f t="shared" si="577"/>
        <v>0</v>
      </c>
      <c r="DP225" s="186">
        <v>0</v>
      </c>
      <c r="DQ225" s="8">
        <f t="shared" si="576"/>
        <v>0</v>
      </c>
      <c r="DR225" s="191"/>
      <c r="DX225" s="413">
        <f t="shared" si="538"/>
        <v>1</v>
      </c>
      <c r="DY225" s="431">
        <v>0</v>
      </c>
      <c r="DZ225" s="193">
        <f>DY225</f>
        <v>0</v>
      </c>
      <c r="EH225" s="411" t="b">
        <f t="shared" si="578"/>
        <v>1</v>
      </c>
      <c r="EI225" s="411" t="b">
        <f t="shared" si="579"/>
        <v>1</v>
      </c>
      <c r="EJ225" s="411" t="b">
        <f t="shared" si="580"/>
        <v>1</v>
      </c>
    </row>
    <row r="226" spans="1:140" ht="11.25" customHeight="1" outlineLevel="1" x14ac:dyDescent="0.2">
      <c r="B226" s="7" t="s">
        <v>264</v>
      </c>
      <c r="D226" s="52"/>
      <c r="E226" s="52"/>
      <c r="F226" s="52"/>
      <c r="G226" s="52"/>
      <c r="H226" s="52"/>
      <c r="I226" s="52"/>
      <c r="J226" s="52"/>
      <c r="K226" s="52">
        <v>-248.137</v>
      </c>
      <c r="L226" s="52">
        <v>-158.05099999999999</v>
      </c>
      <c r="M226" s="52">
        <v>-1114.43</v>
      </c>
      <c r="N226" s="52">
        <v>-453.86900000000003</v>
      </c>
      <c r="O226" s="52">
        <v>-22.616</v>
      </c>
      <c r="P226" s="52">
        <v>-83.328000000000003</v>
      </c>
      <c r="Q226" s="52">
        <v>-171.077</v>
      </c>
      <c r="R226" s="52">
        <v>-5.7140000000000004</v>
      </c>
      <c r="S226" s="52">
        <v>-265.32100000000003</v>
      </c>
      <c r="T226" s="186">
        <v>-2.4E-2</v>
      </c>
      <c r="U226" s="186">
        <v>0</v>
      </c>
      <c r="V226" s="186">
        <v>-217.34</v>
      </c>
      <c r="W226" s="186">
        <v>-0.76</v>
      </c>
      <c r="X226" s="51">
        <f t="shared" ref="X226:BD226" si="583">-X195</f>
        <v>0</v>
      </c>
      <c r="Y226" s="51">
        <f t="shared" si="583"/>
        <v>0</v>
      </c>
      <c r="Z226" s="51">
        <f t="shared" si="583"/>
        <v>0</v>
      </c>
      <c r="AA226" s="51">
        <f t="shared" si="583"/>
        <v>0</v>
      </c>
      <c r="AB226" s="51">
        <f t="shared" si="583"/>
        <v>0</v>
      </c>
      <c r="AC226" s="51">
        <f t="shared" si="583"/>
        <v>0</v>
      </c>
      <c r="AD226" s="51">
        <f t="shared" si="583"/>
        <v>0</v>
      </c>
      <c r="AE226" s="51">
        <f t="shared" si="583"/>
        <v>0</v>
      </c>
      <c r="AF226" s="51">
        <f t="shared" si="583"/>
        <v>0</v>
      </c>
      <c r="AG226" s="51">
        <f t="shared" si="583"/>
        <v>0</v>
      </c>
      <c r="AH226" s="51">
        <f t="shared" si="583"/>
        <v>0</v>
      </c>
      <c r="AI226" s="51">
        <f t="shared" si="583"/>
        <v>0</v>
      </c>
      <c r="AJ226" s="51">
        <f t="shared" si="583"/>
        <v>0</v>
      </c>
      <c r="AK226" s="51">
        <f t="shared" si="583"/>
        <v>0</v>
      </c>
      <c r="AL226" s="51">
        <f t="shared" si="583"/>
        <v>0</v>
      </c>
      <c r="AM226" s="51">
        <f t="shared" si="583"/>
        <v>0</v>
      </c>
      <c r="AN226" s="51">
        <f t="shared" si="583"/>
        <v>0</v>
      </c>
      <c r="AO226" s="51">
        <f t="shared" si="583"/>
        <v>0</v>
      </c>
      <c r="AP226" s="51">
        <f t="shared" si="583"/>
        <v>0</v>
      </c>
      <c r="AQ226" s="51">
        <f t="shared" si="583"/>
        <v>0</v>
      </c>
      <c r="AR226" s="51">
        <f t="shared" si="583"/>
        <v>0</v>
      </c>
      <c r="AS226" s="51">
        <f t="shared" si="583"/>
        <v>0</v>
      </c>
      <c r="AT226" s="51">
        <f t="shared" si="583"/>
        <v>0</v>
      </c>
      <c r="AU226" s="51">
        <f t="shared" si="583"/>
        <v>0</v>
      </c>
      <c r="AV226" s="51">
        <f t="shared" si="583"/>
        <v>0</v>
      </c>
      <c r="AW226" s="51">
        <f t="shared" si="583"/>
        <v>0</v>
      </c>
      <c r="AX226" s="51">
        <f t="shared" si="583"/>
        <v>0</v>
      </c>
      <c r="AY226" s="51">
        <f t="shared" si="583"/>
        <v>0</v>
      </c>
      <c r="AZ226" s="51">
        <f t="shared" si="583"/>
        <v>0</v>
      </c>
      <c r="BA226" s="51">
        <f t="shared" si="583"/>
        <v>0</v>
      </c>
      <c r="BB226" s="51">
        <f t="shared" si="583"/>
        <v>0</v>
      </c>
      <c r="BC226" s="51">
        <f t="shared" si="583"/>
        <v>0</v>
      </c>
      <c r="BD226" s="51">
        <f t="shared" si="583"/>
        <v>0</v>
      </c>
      <c r="BE226" s="51">
        <f t="shared" ref="BE226:CP226" si="584">-BE195</f>
        <v>0</v>
      </c>
      <c r="BF226" s="51">
        <f t="shared" si="584"/>
        <v>0</v>
      </c>
      <c r="BG226" s="51">
        <f t="shared" si="584"/>
        <v>0</v>
      </c>
      <c r="BH226" s="51">
        <f t="shared" si="584"/>
        <v>0</v>
      </c>
      <c r="BI226" s="51">
        <f t="shared" si="584"/>
        <v>0</v>
      </c>
      <c r="BJ226" s="51">
        <f t="shared" si="584"/>
        <v>0</v>
      </c>
      <c r="BK226" s="51">
        <f t="shared" si="584"/>
        <v>0</v>
      </c>
      <c r="BL226" s="51">
        <f t="shared" si="584"/>
        <v>0</v>
      </c>
      <c r="BM226" s="51">
        <f t="shared" si="584"/>
        <v>0</v>
      </c>
      <c r="BN226" s="51">
        <f t="shared" si="584"/>
        <v>0</v>
      </c>
      <c r="BO226" s="51">
        <f t="shared" si="584"/>
        <v>0</v>
      </c>
      <c r="BP226" s="51">
        <f t="shared" si="584"/>
        <v>0</v>
      </c>
      <c r="BQ226" s="51">
        <f t="shared" si="584"/>
        <v>0</v>
      </c>
      <c r="BR226" s="51">
        <f t="shared" si="584"/>
        <v>0</v>
      </c>
      <c r="BS226" s="51">
        <f t="shared" si="584"/>
        <v>0</v>
      </c>
      <c r="BT226" s="51">
        <f t="shared" si="584"/>
        <v>0</v>
      </c>
      <c r="BU226" s="51">
        <f t="shared" si="584"/>
        <v>0</v>
      </c>
      <c r="BV226" s="51">
        <f t="shared" si="584"/>
        <v>0</v>
      </c>
      <c r="BW226" s="51">
        <f t="shared" si="584"/>
        <v>0</v>
      </c>
      <c r="BX226" s="51">
        <f t="shared" si="584"/>
        <v>0</v>
      </c>
      <c r="BY226" s="51">
        <f t="shared" si="584"/>
        <v>0</v>
      </c>
      <c r="BZ226" s="51">
        <f t="shared" si="584"/>
        <v>0</v>
      </c>
      <c r="CA226" s="51">
        <f t="shared" si="584"/>
        <v>0</v>
      </c>
      <c r="CB226" s="51">
        <f t="shared" si="584"/>
        <v>0</v>
      </c>
      <c r="CC226" s="51">
        <f t="shared" si="584"/>
        <v>0</v>
      </c>
      <c r="CD226" s="51">
        <f t="shared" si="584"/>
        <v>0</v>
      </c>
      <c r="CE226" s="51">
        <f t="shared" si="584"/>
        <v>0</v>
      </c>
      <c r="CF226" s="51">
        <f t="shared" si="584"/>
        <v>0</v>
      </c>
      <c r="CG226" s="51">
        <f t="shared" si="584"/>
        <v>0</v>
      </c>
      <c r="CH226" s="51">
        <f t="shared" si="584"/>
        <v>0</v>
      </c>
      <c r="CI226" s="51">
        <f t="shared" si="584"/>
        <v>0</v>
      </c>
      <c r="CJ226" s="51">
        <f t="shared" si="584"/>
        <v>0</v>
      </c>
      <c r="CK226" s="51">
        <f t="shared" si="584"/>
        <v>0</v>
      </c>
      <c r="CL226" s="51">
        <f t="shared" si="584"/>
        <v>0</v>
      </c>
      <c r="CM226" s="51">
        <f t="shared" si="584"/>
        <v>0</v>
      </c>
      <c r="CN226" s="51">
        <f t="shared" si="584"/>
        <v>0</v>
      </c>
      <c r="CO226" s="51">
        <f t="shared" si="584"/>
        <v>0</v>
      </c>
      <c r="CP226" s="51">
        <f t="shared" si="584"/>
        <v>0</v>
      </c>
      <c r="CQ226" s="23" t="s">
        <v>77</v>
      </c>
      <c r="DB226" s="7" t="s">
        <v>264</v>
      </c>
      <c r="DD226" s="8"/>
      <c r="DE226" s="8"/>
      <c r="DF226" s="8"/>
      <c r="DG226" s="8"/>
      <c r="DH226" s="8"/>
      <c r="DI226" s="8"/>
      <c r="DJ226" s="186">
        <v>0</v>
      </c>
      <c r="DK226" s="8">
        <f t="shared" si="574"/>
        <v>0</v>
      </c>
      <c r="DL226" s="186">
        <v>0</v>
      </c>
      <c r="DM226" s="8">
        <f t="shared" si="575"/>
        <v>-217.34</v>
      </c>
      <c r="DN226" s="186">
        <v>-0.76</v>
      </c>
      <c r="DO226" s="8">
        <f t="shared" si="577"/>
        <v>0</v>
      </c>
      <c r="DP226" s="186">
        <v>0</v>
      </c>
      <c r="DQ226" s="8">
        <f t="shared" si="576"/>
        <v>0</v>
      </c>
      <c r="DR226" s="191"/>
      <c r="DX226" s="192"/>
      <c r="DY226" s="192"/>
      <c r="DZ226" s="192"/>
      <c r="EH226" s="411" t="b">
        <f t="shared" si="578"/>
        <v>1</v>
      </c>
      <c r="EI226" s="411" t="b">
        <f t="shared" si="579"/>
        <v>1</v>
      </c>
      <c r="EJ226" s="411" t="b">
        <f t="shared" si="580"/>
        <v>1</v>
      </c>
    </row>
    <row r="227" spans="1:140" ht="11.25" customHeight="1" outlineLevel="1" x14ac:dyDescent="0.2">
      <c r="B227" s="7" t="s">
        <v>90</v>
      </c>
      <c r="D227" s="52"/>
      <c r="E227" s="52"/>
      <c r="F227" s="52"/>
      <c r="G227" s="52"/>
      <c r="H227" s="52"/>
      <c r="I227" s="52"/>
      <c r="J227" s="52"/>
      <c r="K227" s="52">
        <v>0</v>
      </c>
      <c r="L227" s="52">
        <v>0</v>
      </c>
      <c r="M227" s="52">
        <v>0</v>
      </c>
      <c r="N227" s="52">
        <v>0</v>
      </c>
      <c r="O227" s="52">
        <v>-2</v>
      </c>
      <c r="P227" s="52">
        <v>0</v>
      </c>
      <c r="Q227" s="52">
        <v>-8</v>
      </c>
      <c r="R227" s="52">
        <v>-0.443</v>
      </c>
      <c r="S227" s="52">
        <v>-1.107</v>
      </c>
      <c r="T227" s="186">
        <v>-0.67700000000000005</v>
      </c>
      <c r="U227" s="186">
        <v>-3429.2809999999999</v>
      </c>
      <c r="V227" s="186">
        <v>-0.70499999999999996</v>
      </c>
      <c r="W227" s="186">
        <f>-1.456</f>
        <v>-1.456</v>
      </c>
      <c r="X227" s="157">
        <v>0</v>
      </c>
      <c r="Y227" s="157">
        <v>0</v>
      </c>
      <c r="Z227" s="157">
        <v>0</v>
      </c>
      <c r="AA227" s="157">
        <v>0</v>
      </c>
      <c r="AB227" s="157">
        <v>0</v>
      </c>
      <c r="AC227" s="157">
        <v>0</v>
      </c>
      <c r="AD227" s="157">
        <v>0</v>
      </c>
      <c r="AE227" s="157">
        <v>0</v>
      </c>
      <c r="AF227" s="157">
        <v>0</v>
      </c>
      <c r="AG227" s="157">
        <v>0</v>
      </c>
      <c r="AH227" s="157">
        <v>0</v>
      </c>
      <c r="AI227" s="157">
        <v>0</v>
      </c>
      <c r="AJ227" s="157">
        <v>0</v>
      </c>
      <c r="AK227" s="157">
        <v>0</v>
      </c>
      <c r="AL227" s="157">
        <v>0</v>
      </c>
      <c r="AM227" s="157">
        <v>0</v>
      </c>
      <c r="AN227" s="157">
        <v>0</v>
      </c>
      <c r="AO227" s="157">
        <v>0</v>
      </c>
      <c r="AP227" s="157">
        <v>0</v>
      </c>
      <c r="AQ227" s="157">
        <v>0</v>
      </c>
      <c r="AR227" s="157">
        <v>0</v>
      </c>
      <c r="AS227" s="157">
        <v>0</v>
      </c>
      <c r="AT227" s="157">
        <v>0</v>
      </c>
      <c r="AU227" s="157">
        <v>0</v>
      </c>
      <c r="AV227" s="157">
        <v>0</v>
      </c>
      <c r="AW227" s="157">
        <v>0</v>
      </c>
      <c r="AX227" s="157">
        <v>0</v>
      </c>
      <c r="AY227" s="157">
        <v>0</v>
      </c>
      <c r="AZ227" s="157">
        <v>0</v>
      </c>
      <c r="BA227" s="157">
        <v>0</v>
      </c>
      <c r="BB227" s="157">
        <v>0</v>
      </c>
      <c r="BC227" s="157">
        <v>0</v>
      </c>
      <c r="BD227" s="157">
        <v>0</v>
      </c>
      <c r="BE227" s="157">
        <v>0</v>
      </c>
      <c r="BF227" s="157">
        <v>0</v>
      </c>
      <c r="BG227" s="157">
        <v>0</v>
      </c>
      <c r="BH227" s="157">
        <v>0</v>
      </c>
      <c r="BI227" s="157">
        <v>0</v>
      </c>
      <c r="BJ227" s="157">
        <v>0</v>
      </c>
      <c r="BK227" s="157">
        <v>0</v>
      </c>
      <c r="BL227" s="157">
        <v>0</v>
      </c>
      <c r="BM227" s="157">
        <v>0</v>
      </c>
      <c r="BN227" s="157">
        <v>0</v>
      </c>
      <c r="BO227" s="157">
        <v>0</v>
      </c>
      <c r="BP227" s="157">
        <v>0</v>
      </c>
      <c r="BQ227" s="157">
        <v>0</v>
      </c>
      <c r="BR227" s="157">
        <v>0</v>
      </c>
      <c r="BS227" s="157">
        <v>0</v>
      </c>
      <c r="BT227" s="157">
        <v>0</v>
      </c>
      <c r="BU227" s="157">
        <v>0</v>
      </c>
      <c r="BV227" s="157">
        <v>0</v>
      </c>
      <c r="BW227" s="157">
        <v>0</v>
      </c>
      <c r="BX227" s="157">
        <v>0</v>
      </c>
      <c r="BY227" s="157">
        <v>0</v>
      </c>
      <c r="BZ227" s="157">
        <v>0</v>
      </c>
      <c r="CA227" s="157">
        <v>0</v>
      </c>
      <c r="CB227" s="157">
        <v>0</v>
      </c>
      <c r="CC227" s="157">
        <v>0</v>
      </c>
      <c r="CD227" s="157">
        <v>0</v>
      </c>
      <c r="CE227" s="157">
        <v>0</v>
      </c>
      <c r="CF227" s="157">
        <v>0</v>
      </c>
      <c r="CG227" s="157">
        <v>0</v>
      </c>
      <c r="CH227" s="157">
        <v>0</v>
      </c>
      <c r="CI227" s="157">
        <v>0</v>
      </c>
      <c r="CJ227" s="157">
        <v>0</v>
      </c>
      <c r="CK227" s="157">
        <v>0</v>
      </c>
      <c r="CL227" s="157">
        <v>0</v>
      </c>
      <c r="CM227" s="157">
        <v>0</v>
      </c>
      <c r="CN227" s="157">
        <v>0</v>
      </c>
      <c r="CO227" s="157">
        <v>0</v>
      </c>
      <c r="CP227" s="157">
        <v>0</v>
      </c>
      <c r="CQ227" s="23" t="s">
        <v>77</v>
      </c>
      <c r="DB227" s="7" t="s">
        <v>90</v>
      </c>
      <c r="DD227" s="8"/>
      <c r="DE227" s="8"/>
      <c r="DF227" s="8"/>
      <c r="DG227" s="8"/>
      <c r="DH227" s="8"/>
      <c r="DI227" s="8"/>
      <c r="DJ227" s="186">
        <v>-0.22600000000000001</v>
      </c>
      <c r="DK227" s="8">
        <f t="shared" si="574"/>
        <v>-3429.0549999999998</v>
      </c>
      <c r="DL227" s="186">
        <v>-0.14299999999999999</v>
      </c>
      <c r="DM227" s="8">
        <f t="shared" si="575"/>
        <v>-0.56199999999999994</v>
      </c>
      <c r="DN227" s="186">
        <v>-0.91200000000000003</v>
      </c>
      <c r="DO227" s="8">
        <f t="shared" si="577"/>
        <v>-0.54399999999999993</v>
      </c>
      <c r="DP227" s="186">
        <v>-0.34499999999999997</v>
      </c>
      <c r="DQ227" s="8">
        <f t="shared" si="576"/>
        <v>0.34499999999999997</v>
      </c>
      <c r="DR227" s="191"/>
      <c r="DX227" s="413">
        <f t="shared" si="538"/>
        <v>6.5903027485936564E-5</v>
      </c>
      <c r="DY227" s="431">
        <v>0</v>
      </c>
      <c r="DZ227" s="193">
        <f>DY227</f>
        <v>0</v>
      </c>
      <c r="EH227" s="411" t="b">
        <f t="shared" si="578"/>
        <v>1</v>
      </c>
      <c r="EI227" s="411" t="b">
        <f t="shared" si="579"/>
        <v>1</v>
      </c>
      <c r="EJ227" s="411" t="b">
        <f t="shared" si="580"/>
        <v>1</v>
      </c>
    </row>
    <row r="228" spans="1:140" ht="11.25" customHeight="1" outlineLevel="1" x14ac:dyDescent="0.2">
      <c r="B228" s="7" t="s">
        <v>266</v>
      </c>
      <c r="D228" s="52"/>
      <c r="E228" s="52"/>
      <c r="F228" s="52"/>
      <c r="G228" s="52"/>
      <c r="H228" s="52"/>
      <c r="I228" s="52"/>
      <c r="J228" s="52"/>
      <c r="K228" s="52">
        <v>0</v>
      </c>
      <c r="L228" s="52">
        <v>-22.510999999999999</v>
      </c>
      <c r="M228" s="52">
        <v>0</v>
      </c>
      <c r="N228" s="52">
        <v>0</v>
      </c>
      <c r="O228" s="52">
        <v>545.90499999999997</v>
      </c>
      <c r="P228" s="52">
        <v>8.19</v>
      </c>
      <c r="Q228" s="52">
        <v>3.145</v>
      </c>
      <c r="R228" s="52">
        <v>475.52300000000002</v>
      </c>
      <c r="S228" s="52">
        <v>411.36399999999998</v>
      </c>
      <c r="T228" s="186">
        <v>1.4870000000000001</v>
      </c>
      <c r="U228" s="186">
        <v>0</v>
      </c>
      <c r="V228" s="186">
        <v>0</v>
      </c>
      <c r="W228" s="186">
        <v>0</v>
      </c>
      <c r="X228" s="157">
        <v>0</v>
      </c>
      <c r="Y228" s="157">
        <v>0</v>
      </c>
      <c r="Z228" s="157">
        <v>0</v>
      </c>
      <c r="AA228" s="157">
        <v>0</v>
      </c>
      <c r="AB228" s="157">
        <v>0</v>
      </c>
      <c r="AC228" s="157">
        <v>0</v>
      </c>
      <c r="AD228" s="157">
        <v>0</v>
      </c>
      <c r="AE228" s="157">
        <v>0</v>
      </c>
      <c r="AF228" s="157">
        <v>0</v>
      </c>
      <c r="AG228" s="157">
        <v>0</v>
      </c>
      <c r="AH228" s="157">
        <v>0</v>
      </c>
      <c r="AI228" s="157">
        <v>0</v>
      </c>
      <c r="AJ228" s="157">
        <v>0</v>
      </c>
      <c r="AK228" s="157">
        <v>0</v>
      </c>
      <c r="AL228" s="157">
        <v>0</v>
      </c>
      <c r="AM228" s="157">
        <v>0</v>
      </c>
      <c r="AN228" s="157">
        <v>0</v>
      </c>
      <c r="AO228" s="157">
        <v>0</v>
      </c>
      <c r="AP228" s="157">
        <v>0</v>
      </c>
      <c r="AQ228" s="157">
        <v>0</v>
      </c>
      <c r="AR228" s="157">
        <v>0</v>
      </c>
      <c r="AS228" s="157">
        <v>0</v>
      </c>
      <c r="AT228" s="157">
        <v>0</v>
      </c>
      <c r="AU228" s="157">
        <v>0</v>
      </c>
      <c r="AV228" s="157">
        <v>0</v>
      </c>
      <c r="AW228" s="157">
        <v>0</v>
      </c>
      <c r="AX228" s="157">
        <v>0</v>
      </c>
      <c r="AY228" s="157">
        <v>0</v>
      </c>
      <c r="AZ228" s="157">
        <v>0</v>
      </c>
      <c r="BA228" s="157">
        <v>0</v>
      </c>
      <c r="BB228" s="157">
        <v>0</v>
      </c>
      <c r="BC228" s="157">
        <v>0</v>
      </c>
      <c r="BD228" s="157">
        <v>0</v>
      </c>
      <c r="BE228" s="157">
        <v>0</v>
      </c>
      <c r="BF228" s="157">
        <v>0</v>
      </c>
      <c r="BG228" s="157">
        <v>0</v>
      </c>
      <c r="BH228" s="157">
        <v>0</v>
      </c>
      <c r="BI228" s="157">
        <v>0</v>
      </c>
      <c r="BJ228" s="157">
        <v>0</v>
      </c>
      <c r="BK228" s="157">
        <v>0</v>
      </c>
      <c r="BL228" s="157">
        <v>0</v>
      </c>
      <c r="BM228" s="157">
        <v>0</v>
      </c>
      <c r="BN228" s="157">
        <v>0</v>
      </c>
      <c r="BO228" s="157">
        <v>0</v>
      </c>
      <c r="BP228" s="157">
        <v>0</v>
      </c>
      <c r="BQ228" s="157">
        <v>0</v>
      </c>
      <c r="BR228" s="157">
        <v>0</v>
      </c>
      <c r="BS228" s="157">
        <v>0</v>
      </c>
      <c r="BT228" s="157">
        <v>0</v>
      </c>
      <c r="BU228" s="157">
        <v>0</v>
      </c>
      <c r="BV228" s="157">
        <v>0</v>
      </c>
      <c r="BW228" s="157">
        <v>0</v>
      </c>
      <c r="BX228" s="157">
        <v>0</v>
      </c>
      <c r="BY228" s="157">
        <v>0</v>
      </c>
      <c r="BZ228" s="157">
        <v>0</v>
      </c>
      <c r="CA228" s="157">
        <v>0</v>
      </c>
      <c r="CB228" s="157">
        <v>0</v>
      </c>
      <c r="CC228" s="157">
        <v>0</v>
      </c>
      <c r="CD228" s="157">
        <v>0</v>
      </c>
      <c r="CE228" s="157">
        <v>0</v>
      </c>
      <c r="CF228" s="157">
        <v>0</v>
      </c>
      <c r="CG228" s="157">
        <v>0</v>
      </c>
      <c r="CH228" s="157">
        <v>0</v>
      </c>
      <c r="CI228" s="157">
        <v>0</v>
      </c>
      <c r="CJ228" s="157">
        <v>0</v>
      </c>
      <c r="CK228" s="157">
        <v>0</v>
      </c>
      <c r="CL228" s="157">
        <v>0</v>
      </c>
      <c r="CM228" s="157">
        <v>0</v>
      </c>
      <c r="CN228" s="157">
        <v>0</v>
      </c>
      <c r="CO228" s="157">
        <v>0</v>
      </c>
      <c r="CP228" s="157">
        <v>0</v>
      </c>
      <c r="CQ228" s="23" t="s">
        <v>77</v>
      </c>
      <c r="DB228" s="7" t="s">
        <v>266</v>
      </c>
      <c r="DD228" s="8"/>
      <c r="DE228" s="8"/>
      <c r="DF228" s="8"/>
      <c r="DG228" s="8"/>
      <c r="DH228" s="8"/>
      <c r="DI228" s="8"/>
      <c r="DJ228" s="186">
        <v>0</v>
      </c>
      <c r="DK228" s="8">
        <f t="shared" si="574"/>
        <v>0</v>
      </c>
      <c r="DL228" s="186">
        <v>0</v>
      </c>
      <c r="DM228" s="8">
        <f t="shared" si="575"/>
        <v>0</v>
      </c>
      <c r="DN228" s="186">
        <f>W228*DZ228</f>
        <v>0</v>
      </c>
      <c r="DO228" s="8">
        <f t="shared" si="577"/>
        <v>0</v>
      </c>
      <c r="DP228" s="186">
        <f>Y228*EB228</f>
        <v>0</v>
      </c>
      <c r="DQ228" s="8">
        <f t="shared" si="576"/>
        <v>0</v>
      </c>
      <c r="DR228" s="191"/>
      <c r="DX228" s="192"/>
      <c r="DY228" s="192"/>
      <c r="DZ228" s="192"/>
      <c r="EH228" s="411" t="b">
        <f t="shared" si="578"/>
        <v>1</v>
      </c>
      <c r="EI228" s="411" t="b">
        <f t="shared" si="579"/>
        <v>1</v>
      </c>
      <c r="EJ228" s="411" t="b">
        <f t="shared" si="580"/>
        <v>1</v>
      </c>
    </row>
    <row r="229" spans="1:140" ht="11.25" customHeight="1" outlineLevel="1" x14ac:dyDescent="0.2">
      <c r="B229" s="7" t="s">
        <v>74</v>
      </c>
      <c r="D229" s="52"/>
      <c r="E229" s="52"/>
      <c r="F229" s="52"/>
      <c r="G229" s="52"/>
      <c r="H229" s="52"/>
      <c r="I229" s="52"/>
      <c r="J229" s="52"/>
      <c r="K229" s="52">
        <v>58.11</v>
      </c>
      <c r="L229" s="52">
        <f>-45.747</f>
        <v>-45.747</v>
      </c>
      <c r="M229" s="52">
        <v>-7.9580000000000002</v>
      </c>
      <c r="N229" s="52">
        <v>-196.88</v>
      </c>
      <c r="O229" s="52">
        <f>-10.083</f>
        <v>-10.083</v>
      </c>
      <c r="P229" s="52">
        <f>-114.498</f>
        <v>-114.498</v>
      </c>
      <c r="Q229" s="52">
        <f>4.5-22.481</f>
        <v>-17.981000000000002</v>
      </c>
      <c r="R229" s="52">
        <v>-11.664999999999999</v>
      </c>
      <c r="S229" s="52">
        <v>0</v>
      </c>
      <c r="T229" s="186">
        <v>-126.127</v>
      </c>
      <c r="U229" s="186">
        <f>-5490.008-SUM(U223:U228)</f>
        <v>770.33899999999994</v>
      </c>
      <c r="V229" s="186">
        <v>0</v>
      </c>
      <c r="W229" s="186">
        <v>0</v>
      </c>
      <c r="X229" s="157">
        <v>0</v>
      </c>
      <c r="Y229" s="157">
        <v>0</v>
      </c>
      <c r="Z229" s="157">
        <v>0</v>
      </c>
      <c r="AA229" s="157">
        <v>0</v>
      </c>
      <c r="AB229" s="157">
        <v>0</v>
      </c>
      <c r="AC229" s="157">
        <v>0</v>
      </c>
      <c r="AD229" s="157">
        <v>0</v>
      </c>
      <c r="AE229" s="157">
        <v>0</v>
      </c>
      <c r="AF229" s="157">
        <v>0</v>
      </c>
      <c r="AG229" s="157">
        <v>0</v>
      </c>
      <c r="AH229" s="157">
        <v>0</v>
      </c>
      <c r="AI229" s="157">
        <v>0</v>
      </c>
      <c r="AJ229" s="157">
        <v>0</v>
      </c>
      <c r="AK229" s="157">
        <v>0</v>
      </c>
      <c r="AL229" s="157">
        <v>0</v>
      </c>
      <c r="AM229" s="157">
        <v>0</v>
      </c>
      <c r="AN229" s="157">
        <v>0</v>
      </c>
      <c r="AO229" s="157">
        <v>0</v>
      </c>
      <c r="AP229" s="157">
        <v>0</v>
      </c>
      <c r="AQ229" s="157">
        <v>0</v>
      </c>
      <c r="AR229" s="157">
        <v>0</v>
      </c>
      <c r="AS229" s="157">
        <v>0</v>
      </c>
      <c r="AT229" s="157">
        <v>0</v>
      </c>
      <c r="AU229" s="157">
        <v>0</v>
      </c>
      <c r="AV229" s="157">
        <v>0</v>
      </c>
      <c r="AW229" s="157">
        <v>0</v>
      </c>
      <c r="AX229" s="157">
        <v>0</v>
      </c>
      <c r="AY229" s="157">
        <v>0</v>
      </c>
      <c r="AZ229" s="157">
        <v>0</v>
      </c>
      <c r="BA229" s="157">
        <v>0</v>
      </c>
      <c r="BB229" s="157">
        <v>0</v>
      </c>
      <c r="BC229" s="157">
        <v>0</v>
      </c>
      <c r="BD229" s="157">
        <v>0</v>
      </c>
      <c r="BE229" s="157">
        <v>0</v>
      </c>
      <c r="BF229" s="157">
        <v>0</v>
      </c>
      <c r="BG229" s="157">
        <v>0</v>
      </c>
      <c r="BH229" s="157">
        <v>0</v>
      </c>
      <c r="BI229" s="157">
        <v>0</v>
      </c>
      <c r="BJ229" s="157">
        <v>0</v>
      </c>
      <c r="BK229" s="157">
        <v>0</v>
      </c>
      <c r="BL229" s="157">
        <v>0</v>
      </c>
      <c r="BM229" s="157">
        <v>0</v>
      </c>
      <c r="BN229" s="157">
        <v>0</v>
      </c>
      <c r="BO229" s="157">
        <v>0</v>
      </c>
      <c r="BP229" s="157">
        <v>0</v>
      </c>
      <c r="BQ229" s="157">
        <v>0</v>
      </c>
      <c r="BR229" s="157">
        <v>0</v>
      </c>
      <c r="BS229" s="157">
        <v>0</v>
      </c>
      <c r="BT229" s="157">
        <v>0</v>
      </c>
      <c r="BU229" s="157">
        <v>0</v>
      </c>
      <c r="BV229" s="157">
        <v>0</v>
      </c>
      <c r="BW229" s="157">
        <v>0</v>
      </c>
      <c r="BX229" s="157">
        <v>0</v>
      </c>
      <c r="BY229" s="157">
        <v>0</v>
      </c>
      <c r="BZ229" s="157">
        <v>0</v>
      </c>
      <c r="CA229" s="157">
        <v>0</v>
      </c>
      <c r="CB229" s="157">
        <v>0</v>
      </c>
      <c r="CC229" s="157">
        <v>0</v>
      </c>
      <c r="CD229" s="157">
        <v>0</v>
      </c>
      <c r="CE229" s="157">
        <v>0</v>
      </c>
      <c r="CF229" s="157">
        <v>0</v>
      </c>
      <c r="CG229" s="157">
        <v>0</v>
      </c>
      <c r="CH229" s="157">
        <v>0</v>
      </c>
      <c r="CI229" s="157">
        <v>0</v>
      </c>
      <c r="CJ229" s="157">
        <v>0</v>
      </c>
      <c r="CK229" s="157">
        <v>0</v>
      </c>
      <c r="CL229" s="157">
        <v>0</v>
      </c>
      <c r="CM229" s="157">
        <v>0</v>
      </c>
      <c r="CN229" s="157">
        <v>0</v>
      </c>
      <c r="CO229" s="157">
        <v>0</v>
      </c>
      <c r="CP229" s="157">
        <v>0</v>
      </c>
      <c r="CQ229" s="23" t="s">
        <v>77</v>
      </c>
      <c r="DB229" s="7" t="s">
        <v>74</v>
      </c>
      <c r="DD229" s="8"/>
      <c r="DE229" s="8"/>
      <c r="DF229" s="8"/>
      <c r="DG229" s="8"/>
      <c r="DH229" s="8"/>
      <c r="DI229" s="8"/>
      <c r="DJ229" s="186">
        <f>783.758-3.49</f>
        <v>780.26800000000003</v>
      </c>
      <c r="DK229" s="8">
        <f t="shared" si="574"/>
        <v>-9.9290000000000873</v>
      </c>
      <c r="DL229" s="186">
        <v>0</v>
      </c>
      <c r="DM229" s="8">
        <f t="shared" si="575"/>
        <v>0</v>
      </c>
      <c r="DN229" s="186">
        <f>W229*DZ229</f>
        <v>0</v>
      </c>
      <c r="DO229" s="8">
        <f t="shared" si="577"/>
        <v>0</v>
      </c>
      <c r="DP229" s="186">
        <f>Y229*EB229</f>
        <v>0</v>
      </c>
      <c r="DQ229" s="8">
        <f t="shared" si="576"/>
        <v>0</v>
      </c>
      <c r="DR229" s="191"/>
      <c r="DX229" s="413">
        <f t="shared" si="538"/>
        <v>1.0128891306295023</v>
      </c>
      <c r="DY229" s="431">
        <v>0</v>
      </c>
      <c r="DZ229" s="193">
        <f>DY229</f>
        <v>0</v>
      </c>
      <c r="EH229" s="411" t="b">
        <f t="shared" si="578"/>
        <v>1</v>
      </c>
      <c r="EI229" s="411" t="b">
        <f t="shared" si="579"/>
        <v>1</v>
      </c>
      <c r="EJ229" s="411" t="b">
        <f t="shared" si="580"/>
        <v>1</v>
      </c>
    </row>
    <row r="230" spans="1:140" ht="11.25" customHeight="1" outlineLevel="1" x14ac:dyDescent="0.2">
      <c r="A230" s="233"/>
      <c r="B230" s="1" t="s">
        <v>73</v>
      </c>
      <c r="D230" s="3"/>
      <c r="E230" s="3"/>
      <c r="F230" s="3"/>
      <c r="G230" s="3"/>
      <c r="H230" s="3"/>
      <c r="I230" s="3"/>
      <c r="J230" s="3"/>
      <c r="K230" s="3">
        <f t="shared" ref="K230:BD230" si="585">SUM(K223:K229)</f>
        <v>-202.76299999999998</v>
      </c>
      <c r="L230" s="3">
        <f t="shared" si="585"/>
        <v>-255.46499999999997</v>
      </c>
      <c r="M230" s="3">
        <f t="shared" si="585"/>
        <v>-1385.9150000000002</v>
      </c>
      <c r="N230" s="3">
        <f t="shared" si="585"/>
        <v>-849.41800000000001</v>
      </c>
      <c r="O230" s="3">
        <f t="shared" si="585"/>
        <v>113.36800000000002</v>
      </c>
      <c r="P230" s="3">
        <f t="shared" si="585"/>
        <v>-347.76600000000002</v>
      </c>
      <c r="Q230" s="3">
        <f t="shared" si="585"/>
        <v>-516.09100000000001</v>
      </c>
      <c r="R230" s="3">
        <f t="shared" si="585"/>
        <v>180.56300000000007</v>
      </c>
      <c r="S230" s="3">
        <f t="shared" si="585"/>
        <v>-317.36100000000005</v>
      </c>
      <c r="T230" s="3">
        <f t="shared" si="585"/>
        <v>-571.298</v>
      </c>
      <c r="U230" s="3">
        <f t="shared" si="585"/>
        <v>-5490.0079999999998</v>
      </c>
      <c r="V230" s="3">
        <f t="shared" si="585"/>
        <v>-673.63400000000001</v>
      </c>
      <c r="W230" s="3">
        <f>SUM(W223:W229)</f>
        <v>-377.52600000000001</v>
      </c>
      <c r="X230" s="3">
        <f t="shared" si="585"/>
        <v>-786.8</v>
      </c>
      <c r="Y230" s="3">
        <f t="shared" si="585"/>
        <v>-555.57650000000001</v>
      </c>
      <c r="Z230" s="3">
        <f t="shared" si="585"/>
        <v>-186.95771945405014</v>
      </c>
      <c r="AA230" s="3">
        <f t="shared" si="585"/>
        <v>-197.78895243761337</v>
      </c>
      <c r="AB230" s="3">
        <f t="shared" si="585"/>
        <v>-206.2788197325826</v>
      </c>
      <c r="AC230" s="3">
        <f t="shared" si="585"/>
        <v>-178.47949073124602</v>
      </c>
      <c r="AD230" s="3">
        <f t="shared" si="585"/>
        <v>-150.66807987495798</v>
      </c>
      <c r="AE230" s="3">
        <f t="shared" si="585"/>
        <v>-151.51509324529883</v>
      </c>
      <c r="AF230" s="3">
        <f t="shared" si="585"/>
        <v>-152.13669695358624</v>
      </c>
      <c r="AG230" s="3">
        <f t="shared" si="585"/>
        <v>-152.7593003794818</v>
      </c>
      <c r="AH230" s="3">
        <f t="shared" si="585"/>
        <v>-153.38290499415905</v>
      </c>
      <c r="AI230" s="3">
        <f t="shared" si="585"/>
        <v>-154.00751227092582</v>
      </c>
      <c r="AJ230" s="3">
        <f t="shared" si="585"/>
        <v>-154.63312368522716</v>
      </c>
      <c r="AK230" s="3">
        <f t="shared" si="585"/>
        <v>-155.25974071464864</v>
      </c>
      <c r="AL230" s="3">
        <f t="shared" si="585"/>
        <v>-155.88736483891927</v>
      </c>
      <c r="AM230" s="3">
        <f t="shared" si="585"/>
        <v>-156.51599753991468</v>
      </c>
      <c r="AN230" s="3">
        <f t="shared" si="585"/>
        <v>-157.14564030166031</v>
      </c>
      <c r="AO230" s="3">
        <f t="shared" si="585"/>
        <v>-157.77629461033436</v>
      </c>
      <c r="AP230" s="3">
        <f t="shared" si="585"/>
        <v>-158.407961954271</v>
      </c>
      <c r="AQ230" s="3">
        <f t="shared" si="585"/>
        <v>-159.04064382396345</v>
      </c>
      <c r="AR230" s="3">
        <f t="shared" si="585"/>
        <v>-159.67434171206716</v>
      </c>
      <c r="AS230" s="3">
        <f t="shared" si="585"/>
        <v>-160.3090571134029</v>
      </c>
      <c r="AT230" s="3">
        <f t="shared" si="585"/>
        <v>-160.94479152495984</v>
      </c>
      <c r="AU230" s="3">
        <f t="shared" si="585"/>
        <v>-161.58154644589879</v>
      </c>
      <c r="AV230" s="3">
        <f t="shared" si="585"/>
        <v>-162.21932337755536</v>
      </c>
      <c r="AW230" s="3">
        <f t="shared" si="585"/>
        <v>-162.85812382344295</v>
      </c>
      <c r="AX230" s="3">
        <f t="shared" si="585"/>
        <v>-163.49794928925598</v>
      </c>
      <c r="AY230" s="3">
        <f t="shared" si="585"/>
        <v>-164.13880128287323</v>
      </c>
      <c r="AZ230" s="3">
        <f t="shared" si="585"/>
        <v>-164.78068131436061</v>
      </c>
      <c r="BA230" s="3">
        <f t="shared" si="585"/>
        <v>-165.42359089597468</v>
      </c>
      <c r="BB230" s="3">
        <f t="shared" si="585"/>
        <v>-166.06753154216574</v>
      </c>
      <c r="BC230" s="3">
        <f t="shared" si="585"/>
        <v>-166.71250476958079</v>
      </c>
      <c r="BD230" s="3">
        <f t="shared" si="585"/>
        <v>-167.35851209706703</v>
      </c>
      <c r="BE230" s="3">
        <f t="shared" ref="BE230:CP230" si="586">SUM(BE223:BE229)</f>
        <v>-168.00555504567484</v>
      </c>
      <c r="BF230" s="3">
        <f t="shared" si="586"/>
        <v>-168.65363513866095</v>
      </c>
      <c r="BG230" s="3">
        <f t="shared" si="586"/>
        <v>-169.30275390149177</v>
      </c>
      <c r="BH230" s="3">
        <f t="shared" si="586"/>
        <v>-169.9529128618465</v>
      </c>
      <c r="BI230" s="3">
        <f t="shared" si="586"/>
        <v>-170.60411354962034</v>
      </c>
      <c r="BJ230" s="3">
        <f t="shared" si="586"/>
        <v>-171.25635749692771</v>
      </c>
      <c r="BK230" s="3">
        <f t="shared" si="586"/>
        <v>-171.90964623810547</v>
      </c>
      <c r="BL230" s="3">
        <f t="shared" si="586"/>
        <v>-172.5639813097161</v>
      </c>
      <c r="BM230" s="3">
        <f t="shared" si="586"/>
        <v>-173.21936425055094</v>
      </c>
      <c r="BN230" s="3">
        <f t="shared" si="586"/>
        <v>-173.87579660163345</v>
      </c>
      <c r="BO230" s="3">
        <f t="shared" si="586"/>
        <v>-174.53327990622239</v>
      </c>
      <c r="BP230" s="3">
        <f t="shared" si="586"/>
        <v>-175.1918157098151</v>
      </c>
      <c r="BQ230" s="3">
        <f t="shared" si="586"/>
        <v>-175.85140556015068</v>
      </c>
      <c r="BR230" s="3">
        <f t="shared" si="586"/>
        <v>-176.5120510072133</v>
      </c>
      <c r="BS230" s="3">
        <f t="shared" si="586"/>
        <v>-177.17375360323535</v>
      </c>
      <c r="BT230" s="3">
        <f t="shared" si="586"/>
        <v>-177.83651490270088</v>
      </c>
      <c r="BU230" s="3">
        <f t="shared" si="586"/>
        <v>-178.5003364623486</v>
      </c>
      <c r="BV230" s="3">
        <f t="shared" si="586"/>
        <v>-179.16521984117537</v>
      </c>
      <c r="BW230" s="3">
        <f t="shared" si="586"/>
        <v>-179.83116660043936</v>
      </c>
      <c r="BX230" s="3">
        <f t="shared" si="586"/>
        <v>-180.49817830366339</v>
      </c>
      <c r="BY230" s="3">
        <f t="shared" si="586"/>
        <v>-181.16625651663807</v>
      </c>
      <c r="BZ230" s="3">
        <f t="shared" si="586"/>
        <v>-181.83540280742523</v>
      </c>
      <c r="CA230" s="3">
        <f t="shared" si="586"/>
        <v>-182.50561874636108</v>
      </c>
      <c r="CB230" s="3">
        <f t="shared" si="586"/>
        <v>-183.17690590605969</v>
      </c>
      <c r="CC230" s="3">
        <f t="shared" si="586"/>
        <v>-183.84926586141606</v>
      </c>
      <c r="CD230" s="3">
        <f t="shared" si="586"/>
        <v>-184.52270018960957</v>
      </c>
      <c r="CE230" s="3">
        <f t="shared" si="586"/>
        <v>-185.19721047010722</v>
      </c>
      <c r="CF230" s="3">
        <f t="shared" si="586"/>
        <v>-185.87279828466697</v>
      </c>
      <c r="CG230" s="3">
        <f t="shared" si="586"/>
        <v>-186.54946521734109</v>
      </c>
      <c r="CH230" s="3">
        <f t="shared" si="586"/>
        <v>-187.2272128544794</v>
      </c>
      <c r="CI230" s="3">
        <f t="shared" si="586"/>
        <v>-187.90604278473262</v>
      </c>
      <c r="CJ230" s="3">
        <f t="shared" si="586"/>
        <v>-188.58595659905569</v>
      </c>
      <c r="CK230" s="3">
        <f t="shared" si="586"/>
        <v>-189.26695589071124</v>
      </c>
      <c r="CL230" s="3">
        <f t="shared" si="586"/>
        <v>-189.94904225527273</v>
      </c>
      <c r="CM230" s="3">
        <f t="shared" si="586"/>
        <v>-190.63221729062784</v>
      </c>
      <c r="CN230" s="3">
        <f t="shared" si="586"/>
        <v>-191.31648259698196</v>
      </c>
      <c r="CO230" s="3">
        <f t="shared" si="586"/>
        <v>-192.00183977686137</v>
      </c>
      <c r="CP230" s="3">
        <f t="shared" si="586"/>
        <v>-192.68829043511673</v>
      </c>
      <c r="CQ230" s="23" t="s">
        <v>77</v>
      </c>
      <c r="DB230" s="1" t="s">
        <v>73</v>
      </c>
      <c r="DD230" s="3"/>
      <c r="DE230" s="3"/>
      <c r="DF230" s="3"/>
      <c r="DG230" s="3"/>
      <c r="DH230" s="3"/>
      <c r="DI230" s="3"/>
      <c r="DJ230" s="3">
        <f t="shared" ref="DJ230:DO230" si="587">SUM(DJ223:DJ229)</f>
        <v>571.64300000000003</v>
      </c>
      <c r="DK230" s="3">
        <f t="shared" si="587"/>
        <v>-6061.6509999999998</v>
      </c>
      <c r="DL230" s="3">
        <f t="shared" si="587"/>
        <v>-295.50299999999999</v>
      </c>
      <c r="DM230" s="3">
        <f t="shared" si="587"/>
        <v>-378.13100000000009</v>
      </c>
      <c r="DN230" s="3">
        <f t="shared" si="587"/>
        <v>-162.732</v>
      </c>
      <c r="DO230" s="3">
        <f t="shared" si="587"/>
        <v>-214.79400000000001</v>
      </c>
      <c r="DP230" s="3">
        <f t="shared" ref="DP230:DQ230" si="588">SUM(DP223:DP229)</f>
        <v>-320.79400000000004</v>
      </c>
      <c r="DQ230" s="3">
        <f t="shared" si="588"/>
        <v>-466.00599999999991</v>
      </c>
      <c r="DR230" s="3"/>
      <c r="DS230" s="3"/>
      <c r="DX230" s="413">
        <f t="shared" si="538"/>
        <v>-0.10412425628523675</v>
      </c>
      <c r="DY230" s="413">
        <f t="shared" si="539"/>
        <v>0.4386699602454745</v>
      </c>
      <c r="DZ230" s="193">
        <f>DY230</f>
        <v>0.4386699602454745</v>
      </c>
      <c r="EH230" s="411" t="b">
        <f t="shared" si="578"/>
        <v>1</v>
      </c>
      <c r="EI230" s="411" t="b">
        <f t="shared" si="579"/>
        <v>1</v>
      </c>
      <c r="EJ230" s="411" t="b">
        <f t="shared" si="580"/>
        <v>1</v>
      </c>
    </row>
    <row r="231" spans="1:140" ht="11.25" customHeight="1" outlineLevel="1" x14ac:dyDescent="0.2">
      <c r="CQ231" s="23" t="s">
        <v>77</v>
      </c>
      <c r="DD231" s="8"/>
      <c r="DE231" s="8"/>
      <c r="DF231" s="8"/>
      <c r="DG231" s="8"/>
      <c r="DH231" s="8"/>
      <c r="DI231" s="8"/>
      <c r="DJ231" s="8"/>
      <c r="DK231" s="8"/>
      <c r="DX231" s="192"/>
      <c r="DY231" s="192"/>
      <c r="DZ231" s="192"/>
    </row>
    <row r="232" spans="1:140" ht="11.25" customHeight="1" outlineLevel="1" x14ac:dyDescent="0.2">
      <c r="B232" s="7" t="s">
        <v>24</v>
      </c>
      <c r="D232" s="52"/>
      <c r="E232" s="52"/>
      <c r="F232" s="52"/>
      <c r="G232" s="52"/>
      <c r="H232" s="52"/>
      <c r="I232" s="52"/>
      <c r="J232" s="52"/>
      <c r="K232" s="52">
        <f>810-742.593</f>
        <v>67.407000000000039</v>
      </c>
      <c r="L232" s="52">
        <v>0</v>
      </c>
      <c r="M232" s="52">
        <f>2262.957-1457.769</f>
        <v>805.18799999999987</v>
      </c>
      <c r="N232" s="52">
        <f>796-114.326</f>
        <v>681.67399999999998</v>
      </c>
      <c r="O232" s="52">
        <f>560-831</f>
        <v>-271</v>
      </c>
      <c r="P232" s="52">
        <f>1275.05-1175</f>
        <v>100.04999999999995</v>
      </c>
      <c r="Q232" s="52">
        <f>700.1-620.633</f>
        <v>79.466999999999985</v>
      </c>
      <c r="R232" s="52">
        <f>1999.697-2103.5</f>
        <v>-103.80300000000011</v>
      </c>
      <c r="S232" s="52">
        <f>2822.243-2872</f>
        <v>-49.757000000000062</v>
      </c>
      <c r="T232" s="186">
        <f>1585.833-1208.915</f>
        <v>376.91800000000012</v>
      </c>
      <c r="U232" s="186">
        <f>5279.188-1429.5</f>
        <v>3849.6880000000001</v>
      </c>
      <c r="V232" s="186">
        <f>1110.153-1176.899</f>
        <v>-66.745999999999867</v>
      </c>
      <c r="W232" s="186">
        <f>2144.576-1944.932</f>
        <v>199.64400000000001</v>
      </c>
      <c r="X232" s="157">
        <v>200</v>
      </c>
      <c r="Y232" s="157">
        <v>100</v>
      </c>
      <c r="Z232" s="157">
        <v>100</v>
      </c>
      <c r="AA232" s="157">
        <f t="shared" ref="AA232:AG232" si="589">+IF(SUM(Z255,AA214,Z215,Z216,Z217,Z218,AA219,AA220,AA230,AA233,AA234,AA235,AA236)&lt;50,AA248+50,+IF(SUM(Z255,AA214,Z215,Z216,Z217,Z218,AA219,AA220,AA230,AA233,AA234,AA235,AA236)&gt;150,-150,0))</f>
        <v>-150</v>
      </c>
      <c r="AB232" s="157">
        <f t="shared" si="589"/>
        <v>-150</v>
      </c>
      <c r="AC232" s="157">
        <f t="shared" si="589"/>
        <v>-150</v>
      </c>
      <c r="AD232" s="157">
        <f t="shared" si="589"/>
        <v>-150</v>
      </c>
      <c r="AE232" s="157">
        <f t="shared" si="589"/>
        <v>-150</v>
      </c>
      <c r="AF232" s="157">
        <f t="shared" si="589"/>
        <v>-150</v>
      </c>
      <c r="AG232" s="157">
        <f t="shared" si="589"/>
        <v>-150</v>
      </c>
      <c r="AH232" s="157">
        <v>100</v>
      </c>
      <c r="AI232" s="157">
        <f>+IF(SUM(AH255,AI214,AH215,AH216,AH217,AH218,AI219,AI220,AI230,AI233,AI234,AI235,AI236)&lt;50,AI248+50,+IF(SUM(AH255,AI214,AH215,AH216,AH217,AH218,AI219,AI220,AI230,AI233,AI234,AI235,AI236)&gt;150,-150,0))</f>
        <v>-150</v>
      </c>
      <c r="AJ232" s="157">
        <f>+IF(SUM(AI255,AJ214,AI215,AI216,AI217,AI218,AJ219,AJ220,AJ230,AJ233,AJ234,AJ235,AJ236)&lt;50,AJ248+50,+IF(SUM(AI255,AJ214,AI215,AI216,AI217,AI218,AJ219,AJ220,AJ230,AJ233,AJ234,AJ235,AJ236)&gt;150,-150,0))</f>
        <v>-150</v>
      </c>
      <c r="AK232" s="157">
        <v>100</v>
      </c>
      <c r="AL232" s="157">
        <v>0</v>
      </c>
      <c r="AM232" s="157">
        <v>0</v>
      </c>
      <c r="AN232" s="157">
        <v>0</v>
      </c>
      <c r="AO232" s="157">
        <f>+IF(SUM(AN255,AO214,AN215,AN216,AN217,AN218,AO219,AO220,AO230,AO233,AO234,AO235,AO236)&lt;50,AO248+50,+IF(SUM(AN255,AO214,AN215,AN216,AN217,AN218,AO219,AO220,AO230,AO233,AO234,AO235,AO236)&gt;150,-250,0))</f>
        <v>-250</v>
      </c>
      <c r="AP232" s="157">
        <f>+IF(SUM(AO255,AP214,AO215,AO216,AO217,AO218,AP219,AP220,AP230,AP233,AP234,AP235,AP236)&lt;50,AP248,+IF(SUM(AO255,AP214,AO215,AO216,AO217,AO218,AP219,AP220,AP230,AP233,AP234,AP235,AP236)&gt;150,-200,0))</f>
        <v>-200</v>
      </c>
      <c r="AQ232" s="157">
        <f>+IF(SUM(AP255,AQ214,AP215,AP216,AP217,AP218,AQ219,AQ220,AQ230,AQ233,AQ234,AQ235,AQ236)&lt;50,AQ248+50,+IF(SUM(AP255,AQ214,AP215,AP216,AP217,AP218,AQ219,AQ220,AQ230,AQ233,AQ234,AQ235,AQ236)&gt;150,-200,0))</f>
        <v>-200</v>
      </c>
      <c r="AR232" s="157">
        <f>+IF(SUM(AQ255,AR214,AQ215,AQ216,AQ217,AQ218,AR219,AR220,AR230,AR233,AR234,AR235,AR236)&lt;50,AR248+50,+IF(SUM(AQ255,AR214,AQ215,AQ216,AQ217,AQ218,AR219,AR220,AR230,AR233,AR234,AR235,AR236)&gt;150,-200,0))</f>
        <v>-200</v>
      </c>
      <c r="AS232" s="157">
        <f t="shared" ref="AS232:BX232" si="590">+IF(SUM(AR255,AS214,AR215,AR216,AR217,AR218,AS219,AS220,AS230,AS233,AS234,AS235,AS236)&lt;50,AS248+50,+IF(SUM(AR255,AS214,AR215,AR216,AR217,AR218,AS219,AS220,AS230,AS233,AS234,AS235,AS236)&gt;150,-150,0))</f>
        <v>-150</v>
      </c>
      <c r="AT232" s="157">
        <f t="shared" si="590"/>
        <v>-150</v>
      </c>
      <c r="AU232" s="157">
        <f t="shared" si="590"/>
        <v>-150</v>
      </c>
      <c r="AV232" s="157">
        <f t="shared" si="590"/>
        <v>62.784489207816044</v>
      </c>
      <c r="AW232" s="157">
        <f t="shared" si="590"/>
        <v>62.802981063912299</v>
      </c>
      <c r="AX232" s="157">
        <f t="shared" si="590"/>
        <v>62.821499667165696</v>
      </c>
      <c r="AY232" s="157">
        <f t="shared" si="590"/>
        <v>62.840045056264117</v>
      </c>
      <c r="AZ232" s="157">
        <f t="shared" si="590"/>
        <v>62.85861726995136</v>
      </c>
      <c r="BA232" s="157">
        <f t="shared" si="590"/>
        <v>62.8772163470273</v>
      </c>
      <c r="BB232" s="157">
        <f t="shared" si="590"/>
        <v>62.895842326347932</v>
      </c>
      <c r="BC232" s="157">
        <f t="shared" si="590"/>
        <v>62.914495246825432</v>
      </c>
      <c r="BD232" s="157">
        <f t="shared" si="590"/>
        <v>62.933175147428273</v>
      </c>
      <c r="BE232" s="157">
        <f t="shared" si="590"/>
        <v>62.951882067181288</v>
      </c>
      <c r="BF232" s="157">
        <f t="shared" si="590"/>
        <v>62.970616045165762</v>
      </c>
      <c r="BG232" s="157">
        <f t="shared" si="590"/>
        <v>62.989377120519507</v>
      </c>
      <c r="BH232" s="157">
        <f t="shared" si="590"/>
        <v>63.008165332436946</v>
      </c>
      <c r="BI232" s="157">
        <f t="shared" si="590"/>
        <v>63.026980720169185</v>
      </c>
      <c r="BJ232" s="157">
        <f t="shared" si="590"/>
        <v>63.045823323024123</v>
      </c>
      <c r="BK232" s="157">
        <f t="shared" si="590"/>
        <v>63.06469318036649</v>
      </c>
      <c r="BL232" s="157">
        <f t="shared" si="590"/>
        <v>63.083590331617977</v>
      </c>
      <c r="BM232" s="157">
        <f t="shared" si="590"/>
        <v>63.102514816257283</v>
      </c>
      <c r="BN232" s="157">
        <f t="shared" si="590"/>
        <v>63.121466673820208</v>
      </c>
      <c r="BO232" s="157">
        <f t="shared" si="590"/>
        <v>63.140445943899749</v>
      </c>
      <c r="BP232" s="157">
        <f t="shared" si="590"/>
        <v>63.159452666146159</v>
      </c>
      <c r="BQ232" s="157">
        <f t="shared" si="590"/>
        <v>63.178486880267059</v>
      </c>
      <c r="BR232" s="157">
        <f t="shared" si="590"/>
        <v>63.197548626027483</v>
      </c>
      <c r="BS232" s="157">
        <f t="shared" si="590"/>
        <v>63.216637943249999</v>
      </c>
      <c r="BT232" s="157">
        <f t="shared" si="590"/>
        <v>63.23575487181477</v>
      </c>
      <c r="BU232" s="157">
        <f t="shared" si="590"/>
        <v>63.254899451659639</v>
      </c>
      <c r="BV232" s="157">
        <f t="shared" si="590"/>
        <v>63.274071722780221</v>
      </c>
      <c r="BW232" s="157">
        <f t="shared" si="590"/>
        <v>63.293271725229985</v>
      </c>
      <c r="BX232" s="157">
        <f t="shared" si="590"/>
        <v>63.312499499120321</v>
      </c>
      <c r="BY232" s="157">
        <f t="shared" ref="BY232:CP232" si="591">+IF(SUM(BX255,BY214,BX215,BX216,BX217,BX218,BY219,BY220,BY230,BY233,BY234,BY235,BY236)&lt;50,BY248+50,+IF(SUM(BX255,BY214,BX215,BX216,BX217,BX218,BY219,BY220,BY230,BY233,BY234,BY235,BY236)&gt;150,-150,0))</f>
        <v>63.33175508462066</v>
      </c>
      <c r="BZ232" s="157">
        <f t="shared" si="591"/>
        <v>63.351038521958515</v>
      </c>
      <c r="CA232" s="157">
        <f t="shared" si="591"/>
        <v>63.370349851419576</v>
      </c>
      <c r="CB232" s="157">
        <f t="shared" si="591"/>
        <v>63.389689113347842</v>
      </c>
      <c r="CC232" s="157">
        <f t="shared" si="591"/>
        <v>63.40905634814564</v>
      </c>
      <c r="CD232" s="157">
        <f t="shared" si="591"/>
        <v>63.428451596273732</v>
      </c>
      <c r="CE232" s="157">
        <f t="shared" si="591"/>
        <v>63.447874898251413</v>
      </c>
      <c r="CF232" s="157">
        <f t="shared" si="591"/>
        <v>63.467326294656587</v>
      </c>
      <c r="CG232" s="157">
        <f t="shared" si="591"/>
        <v>63.486805826125853</v>
      </c>
      <c r="CH232" s="157">
        <f t="shared" si="591"/>
        <v>63.506313533354579</v>
      </c>
      <c r="CI232" s="157">
        <f t="shared" si="591"/>
        <v>63.525849457096996</v>
      </c>
      <c r="CJ232" s="157">
        <f t="shared" si="591"/>
        <v>63.545413638166302</v>
      </c>
      <c r="CK232" s="157">
        <f t="shared" si="591"/>
        <v>63.565006117434706</v>
      </c>
      <c r="CL232" s="157">
        <f t="shared" si="591"/>
        <v>63.584626935833541</v>
      </c>
      <c r="CM232" s="157">
        <f t="shared" si="591"/>
        <v>63.604276134353356</v>
      </c>
      <c r="CN232" s="157">
        <f t="shared" si="591"/>
        <v>63.623953754043967</v>
      </c>
      <c r="CO232" s="157">
        <f t="shared" si="591"/>
        <v>63.643659836014592</v>
      </c>
      <c r="CP232" s="157">
        <f t="shared" si="591"/>
        <v>63.6633944214339</v>
      </c>
      <c r="CQ232" s="23" t="s">
        <v>77</v>
      </c>
      <c r="DB232" s="7" t="s">
        <v>24</v>
      </c>
      <c r="DD232" s="8"/>
      <c r="DE232" s="8"/>
      <c r="DF232" s="8"/>
      <c r="DG232" s="8"/>
      <c r="DH232" s="8"/>
      <c r="DI232" s="8"/>
      <c r="DJ232" s="186">
        <f>540-1269.5</f>
        <v>-729.5</v>
      </c>
      <c r="DK232" s="8">
        <f>U232-DJ232</f>
        <v>4579.1880000000001</v>
      </c>
      <c r="DL232" s="186">
        <f>290.001-478.727</f>
        <v>-188.726</v>
      </c>
      <c r="DM232" s="8">
        <f>V232-DL232</f>
        <v>121.98000000000013</v>
      </c>
      <c r="DN232" s="186">
        <f>803.782-861.639</f>
        <v>-57.856999999999971</v>
      </c>
      <c r="DO232" s="8">
        <f>W232-DN232</f>
        <v>257.50099999999998</v>
      </c>
      <c r="DP232" s="186">
        <v>-5.7309999999999999</v>
      </c>
      <c r="DQ232" s="8">
        <f t="shared" ref="DQ232:DQ236" si="592">X232-DP232</f>
        <v>205.73099999999999</v>
      </c>
      <c r="DX232" s="413">
        <f t="shared" si="538"/>
        <v>-0.18949587602943407</v>
      </c>
      <c r="DY232" s="413">
        <f t="shared" si="539"/>
        <v>2.8275252449585051</v>
      </c>
      <c r="DZ232" s="193">
        <f>DY232</f>
        <v>2.8275252449585051</v>
      </c>
      <c r="EH232" s="411" t="b">
        <f t="shared" ref="EH232:EH237" si="593">ROUND(U232,1)=ROUND(SUM(DJ232:DK232),1)</f>
        <v>1</v>
      </c>
      <c r="EI232" s="411" t="b">
        <f t="shared" ref="EI232:EI237" si="594">ROUND(V232,1)=ROUND(SUM(DL232:DM232),1)</f>
        <v>1</v>
      </c>
      <c r="EJ232" s="411" t="b">
        <f t="shared" ref="EJ232:EJ237" si="595">ROUND(W232,1)=ROUND(SUM(DN232:DO232),1)</f>
        <v>1</v>
      </c>
    </row>
    <row r="233" spans="1:140" ht="11.25" customHeight="1" outlineLevel="1" x14ac:dyDescent="0.2">
      <c r="B233" s="7" t="s">
        <v>25</v>
      </c>
      <c r="D233" s="52"/>
      <c r="E233" s="52"/>
      <c r="F233" s="52"/>
      <c r="G233" s="52"/>
      <c r="H233" s="52"/>
      <c r="I233" s="52"/>
      <c r="J233" s="52"/>
      <c r="K233" s="52">
        <v>61.74</v>
      </c>
      <c r="L233" s="52">
        <f>1495-1299.302</f>
        <v>195.69800000000009</v>
      </c>
      <c r="M233" s="52">
        <v>610.98500000000001</v>
      </c>
      <c r="N233" s="52">
        <v>123.995</v>
      </c>
      <c r="O233" s="52">
        <v>78.998000000000005</v>
      </c>
      <c r="P233" s="52">
        <v>142.04</v>
      </c>
      <c r="Q233" s="52">
        <v>352.37200000000001</v>
      </c>
      <c r="R233" s="52">
        <v>44.612000000000002</v>
      </c>
      <c r="S233" s="52">
        <v>83.165999999999997</v>
      </c>
      <c r="T233" s="186">
        <v>0</v>
      </c>
      <c r="U233" s="186">
        <f>1838.473-39.567</f>
        <v>1798.9059999999999</v>
      </c>
      <c r="V233" s="186">
        <v>0</v>
      </c>
      <c r="W233" s="186">
        <v>0</v>
      </c>
      <c r="X233" s="157">
        <f>65.547493*7.7</f>
        <v>504.71569610000006</v>
      </c>
      <c r="Y233" s="157">
        <v>0</v>
      </c>
      <c r="Z233" s="157">
        <v>0</v>
      </c>
      <c r="AA233" s="157">
        <v>0</v>
      </c>
      <c r="AB233" s="157">
        <v>0</v>
      </c>
      <c r="AC233" s="157">
        <v>0</v>
      </c>
      <c r="AD233" s="157">
        <v>0</v>
      </c>
      <c r="AE233" s="157">
        <v>0</v>
      </c>
      <c r="AF233" s="157">
        <v>0</v>
      </c>
      <c r="AG233" s="157">
        <v>0</v>
      </c>
      <c r="AH233" s="157">
        <v>0</v>
      </c>
      <c r="AI233" s="157">
        <v>0</v>
      </c>
      <c r="AJ233" s="157">
        <v>0</v>
      </c>
      <c r="AK233" s="157">
        <v>0</v>
      </c>
      <c r="AL233" s="157">
        <v>0</v>
      </c>
      <c r="AM233" s="157">
        <v>0</v>
      </c>
      <c r="AN233" s="157">
        <v>0</v>
      </c>
      <c r="AO233" s="157">
        <v>0</v>
      </c>
      <c r="AP233" s="157">
        <v>0</v>
      </c>
      <c r="AQ233" s="157">
        <v>0</v>
      </c>
      <c r="AR233" s="157">
        <v>0</v>
      </c>
      <c r="AS233" s="157">
        <v>0</v>
      </c>
      <c r="AT233" s="157">
        <v>0</v>
      </c>
      <c r="AU233" s="157">
        <v>0</v>
      </c>
      <c r="AV233" s="157">
        <v>0</v>
      </c>
      <c r="AW233" s="157">
        <v>0</v>
      </c>
      <c r="AX233" s="157">
        <v>0</v>
      </c>
      <c r="AY233" s="157">
        <v>0</v>
      </c>
      <c r="AZ233" s="157">
        <v>0</v>
      </c>
      <c r="BA233" s="157">
        <v>0</v>
      </c>
      <c r="BB233" s="157">
        <v>0</v>
      </c>
      <c r="BC233" s="157">
        <v>0</v>
      </c>
      <c r="BD233" s="157">
        <v>0</v>
      </c>
      <c r="BE233" s="157">
        <v>0</v>
      </c>
      <c r="BF233" s="157">
        <v>0</v>
      </c>
      <c r="BG233" s="157">
        <v>0</v>
      </c>
      <c r="BH233" s="157">
        <v>0</v>
      </c>
      <c r="BI233" s="157">
        <v>0</v>
      </c>
      <c r="BJ233" s="157">
        <v>0</v>
      </c>
      <c r="BK233" s="157">
        <v>0</v>
      </c>
      <c r="BL233" s="157">
        <v>0</v>
      </c>
      <c r="BM233" s="157">
        <v>0</v>
      </c>
      <c r="BN233" s="157">
        <v>0</v>
      </c>
      <c r="BO233" s="157">
        <v>0</v>
      </c>
      <c r="BP233" s="157">
        <v>0</v>
      </c>
      <c r="BQ233" s="157">
        <v>0</v>
      </c>
      <c r="BR233" s="157">
        <v>0</v>
      </c>
      <c r="BS233" s="157">
        <v>0</v>
      </c>
      <c r="BT233" s="157">
        <v>0</v>
      </c>
      <c r="BU233" s="157">
        <v>0</v>
      </c>
      <c r="BV233" s="157">
        <v>0</v>
      </c>
      <c r="BW233" s="157">
        <v>0</v>
      </c>
      <c r="BX233" s="157">
        <v>0</v>
      </c>
      <c r="BY233" s="157">
        <v>0</v>
      </c>
      <c r="BZ233" s="157">
        <v>0</v>
      </c>
      <c r="CA233" s="157">
        <v>0</v>
      </c>
      <c r="CB233" s="157">
        <v>0</v>
      </c>
      <c r="CC233" s="157">
        <v>0</v>
      </c>
      <c r="CD233" s="157">
        <v>0</v>
      </c>
      <c r="CE233" s="157">
        <v>0</v>
      </c>
      <c r="CF233" s="157">
        <v>0</v>
      </c>
      <c r="CG233" s="157">
        <v>0</v>
      </c>
      <c r="CH233" s="157">
        <v>0</v>
      </c>
      <c r="CI233" s="157">
        <v>0</v>
      </c>
      <c r="CJ233" s="157">
        <v>0</v>
      </c>
      <c r="CK233" s="157">
        <v>0</v>
      </c>
      <c r="CL233" s="157">
        <v>0</v>
      </c>
      <c r="CM233" s="157">
        <v>0</v>
      </c>
      <c r="CN233" s="157">
        <v>0</v>
      </c>
      <c r="CO233" s="157">
        <v>0</v>
      </c>
      <c r="CP233" s="157">
        <v>0</v>
      </c>
      <c r="CQ233" s="23" t="s">
        <v>77</v>
      </c>
      <c r="DB233" s="7" t="s">
        <v>25</v>
      </c>
      <c r="DD233" s="8"/>
      <c r="DE233" s="8"/>
      <c r="DF233" s="8"/>
      <c r="DG233" s="8"/>
      <c r="DH233" s="8"/>
      <c r="DI233" s="8"/>
      <c r="DJ233" s="186">
        <v>958.08399999999995</v>
      </c>
      <c r="DK233" s="8">
        <f>U233-DJ233</f>
        <v>840.822</v>
      </c>
      <c r="DL233" s="186">
        <v>0</v>
      </c>
      <c r="DM233" s="8">
        <f>V233-DL233</f>
        <v>0</v>
      </c>
      <c r="DN233" s="186">
        <f>W233*DZ233</f>
        <v>0</v>
      </c>
      <c r="DO233" s="8">
        <f>W233-DN233</f>
        <v>0</v>
      </c>
      <c r="DP233" s="186">
        <v>0</v>
      </c>
      <c r="DQ233" s="8">
        <f t="shared" si="592"/>
        <v>504.71569610000006</v>
      </c>
      <c r="DX233" s="413">
        <f t="shared" si="538"/>
        <v>0.532592586827772</v>
      </c>
      <c r="DY233" s="431">
        <v>0</v>
      </c>
      <c r="DZ233" s="193">
        <f>DY233</f>
        <v>0</v>
      </c>
      <c r="EH233" s="411" t="b">
        <f t="shared" si="593"/>
        <v>1</v>
      </c>
      <c r="EI233" s="411" t="b">
        <f t="shared" si="594"/>
        <v>1</v>
      </c>
      <c r="EJ233" s="411" t="b">
        <f t="shared" si="595"/>
        <v>1</v>
      </c>
    </row>
    <row r="234" spans="1:140" ht="11.25" customHeight="1" outlineLevel="1" x14ac:dyDescent="0.2">
      <c r="B234" s="7" t="s">
        <v>267</v>
      </c>
      <c r="D234" s="52"/>
      <c r="E234" s="52"/>
      <c r="F234" s="52"/>
      <c r="G234" s="52"/>
      <c r="H234" s="52"/>
      <c r="I234" s="52"/>
      <c r="J234" s="52"/>
      <c r="K234" s="52">
        <v>-52.247999999999998</v>
      </c>
      <c r="L234" s="52">
        <v>-61.677999999999997</v>
      </c>
      <c r="M234" s="52">
        <f>-87.308-12.855</f>
        <v>-100.16300000000001</v>
      </c>
      <c r="N234" s="52">
        <f>-53.552-43.127</f>
        <v>-96.679000000000002</v>
      </c>
      <c r="O234" s="52">
        <f>-86.237-57.492</f>
        <v>-143.72899999999998</v>
      </c>
      <c r="P234" s="52">
        <f>-67.836-92.092</f>
        <v>-159.928</v>
      </c>
      <c r="Q234" s="52">
        <f>-122.189-61.034</f>
        <v>-183.22299999999998</v>
      </c>
      <c r="R234" s="52">
        <f>-136.504-71.741</f>
        <v>-208.245</v>
      </c>
      <c r="S234" s="52">
        <f>-201.898-54.758</f>
        <v>-256.65600000000001</v>
      </c>
      <c r="T234" s="186">
        <f>-259.598-41.271</f>
        <v>-300.86900000000003</v>
      </c>
      <c r="U234" s="186">
        <f>-263.636-39.324</f>
        <v>-302.96000000000004</v>
      </c>
      <c r="V234" s="186">
        <f>-370.374-69.778</f>
        <v>-440.15200000000004</v>
      </c>
      <c r="W234" s="186">
        <f>-369.781-109.371</f>
        <v>-479.15199999999999</v>
      </c>
      <c r="X234" s="157">
        <f>-X167*X139*0.01+X169*X138*0.01</f>
        <v>-485.70675168000002</v>
      </c>
      <c r="Y234" s="157">
        <f t="shared" ref="Y234:BC234" si="596">-X138*(X171-X177)*0.01-Y137*(Y171-Y177)*0.01</f>
        <v>-546.66591255000003</v>
      </c>
      <c r="Z234" s="157">
        <f t="shared" si="596"/>
        <v>-572.22942910500001</v>
      </c>
      <c r="AA234" s="157">
        <f t="shared" si="596"/>
        <v>-589.92724650000002</v>
      </c>
      <c r="AB234" s="157">
        <f t="shared" si="596"/>
        <v>-589.92724650000002</v>
      </c>
      <c r="AC234" s="157">
        <f t="shared" si="596"/>
        <v>-589.92724650000002</v>
      </c>
      <c r="AD234" s="157">
        <f t="shared" si="596"/>
        <v>-589.92724650000002</v>
      </c>
      <c r="AE234" s="157">
        <f t="shared" si="596"/>
        <v>-589.92724650000002</v>
      </c>
      <c r="AF234" s="157">
        <f t="shared" si="596"/>
        <v>-589.92724650000002</v>
      </c>
      <c r="AG234" s="157">
        <f t="shared" si="596"/>
        <v>-589.92724650000002</v>
      </c>
      <c r="AH234" s="157">
        <f t="shared" si="596"/>
        <v>-589.92724650000002</v>
      </c>
      <c r="AI234" s="157">
        <f t="shared" si="596"/>
        <v>-589.92724650000002</v>
      </c>
      <c r="AJ234" s="157">
        <f t="shared" si="596"/>
        <v>-589.92724650000002</v>
      </c>
      <c r="AK234" s="157">
        <f t="shared" si="596"/>
        <v>-589.92724650000002</v>
      </c>
      <c r="AL234" s="157">
        <f t="shared" si="596"/>
        <v>-589.92724650000002</v>
      </c>
      <c r="AM234" s="157">
        <f t="shared" si="596"/>
        <v>-589.92724650000002</v>
      </c>
      <c r="AN234" s="157">
        <f t="shared" si="596"/>
        <v>-589.92724650000002</v>
      </c>
      <c r="AO234" s="157">
        <f t="shared" si="596"/>
        <v>-589.92724650000002</v>
      </c>
      <c r="AP234" s="157">
        <f t="shared" si="596"/>
        <v>-589.92724650000002</v>
      </c>
      <c r="AQ234" s="157">
        <f t="shared" si="596"/>
        <v>-589.92724650000002</v>
      </c>
      <c r="AR234" s="157">
        <f t="shared" si="596"/>
        <v>-589.92724650000002</v>
      </c>
      <c r="AS234" s="157">
        <f t="shared" si="596"/>
        <v>-589.92724650000002</v>
      </c>
      <c r="AT234" s="157">
        <f t="shared" si="596"/>
        <v>-589.92724650000002</v>
      </c>
      <c r="AU234" s="157">
        <f t="shared" si="596"/>
        <v>-589.92724650000002</v>
      </c>
      <c r="AV234" s="157">
        <f t="shared" si="596"/>
        <v>-589.92724650000002</v>
      </c>
      <c r="AW234" s="157">
        <f t="shared" si="596"/>
        <v>-589.92724650000002</v>
      </c>
      <c r="AX234" s="157">
        <f t="shared" si="596"/>
        <v>-589.92724650000002</v>
      </c>
      <c r="AY234" s="157">
        <f t="shared" si="596"/>
        <v>-589.92724650000002</v>
      </c>
      <c r="AZ234" s="157">
        <f t="shared" si="596"/>
        <v>-589.92724650000002</v>
      </c>
      <c r="BA234" s="157">
        <f t="shared" si="596"/>
        <v>-589.92724650000002</v>
      </c>
      <c r="BB234" s="157">
        <f t="shared" si="596"/>
        <v>-589.92724650000002</v>
      </c>
      <c r="BC234" s="157">
        <f t="shared" si="596"/>
        <v>-589.92724650000002</v>
      </c>
      <c r="BD234" s="157">
        <f t="shared" ref="BD234:CI234" si="597">-BC138*(BC171-BC177)*0.01-BD137*(BD171-BD177)*0.01</f>
        <v>-589.92724650000002</v>
      </c>
      <c r="BE234" s="157">
        <f t="shared" si="597"/>
        <v>-589.92724650000002</v>
      </c>
      <c r="BF234" s="157">
        <f t="shared" si="597"/>
        <v>-589.92724650000002</v>
      </c>
      <c r="BG234" s="157">
        <f t="shared" si="597"/>
        <v>-589.92724650000002</v>
      </c>
      <c r="BH234" s="157">
        <f t="shared" si="597"/>
        <v>-589.92724650000002</v>
      </c>
      <c r="BI234" s="157">
        <f t="shared" si="597"/>
        <v>-589.92724650000002</v>
      </c>
      <c r="BJ234" s="157">
        <f t="shared" si="597"/>
        <v>-589.92724650000002</v>
      </c>
      <c r="BK234" s="157">
        <f t="shared" si="597"/>
        <v>-589.92724650000002</v>
      </c>
      <c r="BL234" s="157">
        <f t="shared" si="597"/>
        <v>-589.92724650000002</v>
      </c>
      <c r="BM234" s="157">
        <f t="shared" si="597"/>
        <v>-589.92724650000002</v>
      </c>
      <c r="BN234" s="157">
        <f t="shared" si="597"/>
        <v>-589.92724650000002</v>
      </c>
      <c r="BO234" s="157">
        <f t="shared" si="597"/>
        <v>-589.92724650000002</v>
      </c>
      <c r="BP234" s="157">
        <f t="shared" si="597"/>
        <v>-589.92724650000002</v>
      </c>
      <c r="BQ234" s="157">
        <f t="shared" si="597"/>
        <v>-589.92724650000002</v>
      </c>
      <c r="BR234" s="157">
        <f t="shared" si="597"/>
        <v>-589.92724650000002</v>
      </c>
      <c r="BS234" s="157">
        <f t="shared" si="597"/>
        <v>-589.92724650000002</v>
      </c>
      <c r="BT234" s="157">
        <f t="shared" si="597"/>
        <v>-589.92724650000002</v>
      </c>
      <c r="BU234" s="157">
        <f t="shared" si="597"/>
        <v>-589.92724650000002</v>
      </c>
      <c r="BV234" s="157">
        <f t="shared" si="597"/>
        <v>-589.92724650000002</v>
      </c>
      <c r="BW234" s="157">
        <f t="shared" si="597"/>
        <v>-589.92724650000002</v>
      </c>
      <c r="BX234" s="157">
        <f t="shared" si="597"/>
        <v>-589.92724650000002</v>
      </c>
      <c r="BY234" s="157">
        <f t="shared" si="597"/>
        <v>-589.92724650000002</v>
      </c>
      <c r="BZ234" s="157">
        <f t="shared" si="597"/>
        <v>-589.92724650000002</v>
      </c>
      <c r="CA234" s="157">
        <f t="shared" si="597"/>
        <v>-589.92724650000002</v>
      </c>
      <c r="CB234" s="157">
        <f t="shared" si="597"/>
        <v>-589.92724650000002</v>
      </c>
      <c r="CC234" s="157">
        <f t="shared" si="597"/>
        <v>-589.92724650000002</v>
      </c>
      <c r="CD234" s="157">
        <f t="shared" si="597"/>
        <v>-589.92724650000002</v>
      </c>
      <c r="CE234" s="157">
        <f t="shared" si="597"/>
        <v>-589.92724650000002</v>
      </c>
      <c r="CF234" s="157">
        <f t="shared" si="597"/>
        <v>-589.92724650000002</v>
      </c>
      <c r="CG234" s="157">
        <f t="shared" si="597"/>
        <v>-589.92724650000002</v>
      </c>
      <c r="CH234" s="157">
        <f t="shared" si="597"/>
        <v>-589.92724650000002</v>
      </c>
      <c r="CI234" s="157">
        <f t="shared" si="597"/>
        <v>-589.92724650000002</v>
      </c>
      <c r="CJ234" s="157">
        <f t="shared" ref="CJ234:CP234" si="598">-CI138*(CI171-CI177)*0.01-CJ137*(CJ171-CJ177)*0.01</f>
        <v>-589.92724650000002</v>
      </c>
      <c r="CK234" s="157">
        <f t="shared" si="598"/>
        <v>-589.92724650000002</v>
      </c>
      <c r="CL234" s="157">
        <f t="shared" si="598"/>
        <v>-589.92724650000002</v>
      </c>
      <c r="CM234" s="157">
        <f t="shared" si="598"/>
        <v>-589.92724650000002</v>
      </c>
      <c r="CN234" s="157">
        <f t="shared" si="598"/>
        <v>-589.92724650000002</v>
      </c>
      <c r="CO234" s="157">
        <f t="shared" si="598"/>
        <v>-589.92724650000002</v>
      </c>
      <c r="CP234" s="157">
        <f t="shared" si="598"/>
        <v>-589.92724650000002</v>
      </c>
      <c r="CQ234" s="23" t="s">
        <v>77</v>
      </c>
      <c r="DB234" s="7" t="s">
        <v>267</v>
      </c>
      <c r="DD234" s="8"/>
      <c r="DE234" s="8"/>
      <c r="DF234" s="8"/>
      <c r="DG234" s="8"/>
      <c r="DH234" s="8"/>
      <c r="DI234" s="8"/>
      <c r="DJ234" s="186">
        <v>-137.239</v>
      </c>
      <c r="DK234" s="8">
        <f>U234-DJ234</f>
        <v>-165.72100000000003</v>
      </c>
      <c r="DL234" s="186">
        <v>-201.94499999999999</v>
      </c>
      <c r="DM234" s="8">
        <f>V234-DL234</f>
        <v>-238.20700000000005</v>
      </c>
      <c r="DN234" s="186">
        <f>-201.932-48.787</f>
        <v>-250.71899999999999</v>
      </c>
      <c r="DO234" s="8">
        <f>W234-DN234</f>
        <v>-228.43299999999999</v>
      </c>
      <c r="DP234" s="186">
        <f>-180.986-75.305</f>
        <v>-256.291</v>
      </c>
      <c r="DQ234" s="8">
        <f t="shared" si="592"/>
        <v>-229.41575168000003</v>
      </c>
      <c r="DX234" s="413">
        <f t="shared" si="538"/>
        <v>0.45299379456033795</v>
      </c>
      <c r="DY234" s="413">
        <f t="shared" si="539"/>
        <v>0.45880741198495062</v>
      </c>
      <c r="DZ234" s="193">
        <f>DY234</f>
        <v>0.45880741198495062</v>
      </c>
      <c r="EH234" s="411" t="b">
        <f t="shared" si="593"/>
        <v>1</v>
      </c>
      <c r="EI234" s="411" t="b">
        <f t="shared" si="594"/>
        <v>1</v>
      </c>
      <c r="EJ234" s="411" t="b">
        <f t="shared" si="595"/>
        <v>1</v>
      </c>
    </row>
    <row r="235" spans="1:140" ht="11.25" customHeight="1" outlineLevel="1" x14ac:dyDescent="0.2">
      <c r="B235" s="7" t="s">
        <v>91</v>
      </c>
      <c r="D235" s="52"/>
      <c r="E235" s="52"/>
      <c r="F235" s="52"/>
      <c r="G235" s="52"/>
      <c r="H235" s="52"/>
      <c r="I235" s="52"/>
      <c r="J235" s="52"/>
      <c r="K235" s="52">
        <v>-0.49</v>
      </c>
      <c r="L235" s="52">
        <v>-0.46</v>
      </c>
      <c r="M235" s="52">
        <v>-0.13800000000000001</v>
      </c>
      <c r="N235" s="52">
        <v>-3.2000000000000001E-2</v>
      </c>
      <c r="O235" s="52">
        <v>-9.0999999999999998E-2</v>
      </c>
      <c r="P235" s="52">
        <v>-9.9000000000000005E-2</v>
      </c>
      <c r="Q235" s="52">
        <v>-0.16500000000000001</v>
      </c>
      <c r="R235" s="52">
        <v>-0.23899999999999999</v>
      </c>
      <c r="S235" s="52">
        <v>-13.249000000000001</v>
      </c>
      <c r="T235" s="186">
        <v>0</v>
      </c>
      <c r="U235" s="186">
        <v>0</v>
      </c>
      <c r="V235" s="186">
        <v>0</v>
      </c>
      <c r="W235" s="186">
        <v>0</v>
      </c>
      <c r="X235" s="157">
        <v>0</v>
      </c>
      <c r="Y235" s="157">
        <v>0</v>
      </c>
      <c r="Z235" s="157">
        <v>0</v>
      </c>
      <c r="AA235" s="157">
        <v>0</v>
      </c>
      <c r="AB235" s="157">
        <v>0</v>
      </c>
      <c r="AC235" s="157">
        <v>0</v>
      </c>
      <c r="AD235" s="157">
        <v>0</v>
      </c>
      <c r="AE235" s="157">
        <v>0</v>
      </c>
      <c r="AF235" s="157">
        <v>0</v>
      </c>
      <c r="AG235" s="157">
        <v>0</v>
      </c>
      <c r="AH235" s="157">
        <v>0</v>
      </c>
      <c r="AI235" s="157">
        <v>0</v>
      </c>
      <c r="AJ235" s="157">
        <v>0</v>
      </c>
      <c r="AK235" s="157">
        <v>0</v>
      </c>
      <c r="AL235" s="157">
        <v>0</v>
      </c>
      <c r="AM235" s="157">
        <v>0</v>
      </c>
      <c r="AN235" s="157">
        <v>0</v>
      </c>
      <c r="AO235" s="157">
        <v>0</v>
      </c>
      <c r="AP235" s="157">
        <v>0</v>
      </c>
      <c r="AQ235" s="157">
        <v>0</v>
      </c>
      <c r="AR235" s="157">
        <v>0</v>
      </c>
      <c r="AS235" s="157">
        <v>0</v>
      </c>
      <c r="AT235" s="157">
        <v>0</v>
      </c>
      <c r="AU235" s="157">
        <v>0</v>
      </c>
      <c r="AV235" s="157">
        <v>0</v>
      </c>
      <c r="AW235" s="157">
        <v>0</v>
      </c>
      <c r="AX235" s="157">
        <v>0</v>
      </c>
      <c r="AY235" s="157">
        <v>0</v>
      </c>
      <c r="AZ235" s="157">
        <v>0</v>
      </c>
      <c r="BA235" s="157">
        <v>0</v>
      </c>
      <c r="BB235" s="157">
        <v>0</v>
      </c>
      <c r="BC235" s="157">
        <v>0</v>
      </c>
      <c r="BD235" s="157">
        <v>0</v>
      </c>
      <c r="BE235" s="157">
        <v>0</v>
      </c>
      <c r="BF235" s="157">
        <v>0</v>
      </c>
      <c r="BG235" s="157">
        <v>0</v>
      </c>
      <c r="BH235" s="157">
        <v>0</v>
      </c>
      <c r="BI235" s="157">
        <v>0</v>
      </c>
      <c r="BJ235" s="157">
        <v>0</v>
      </c>
      <c r="BK235" s="157">
        <v>0</v>
      </c>
      <c r="BL235" s="157">
        <v>0</v>
      </c>
      <c r="BM235" s="157">
        <v>0</v>
      </c>
      <c r="BN235" s="157">
        <v>0</v>
      </c>
      <c r="BO235" s="157">
        <v>0</v>
      </c>
      <c r="BP235" s="157">
        <v>0</v>
      </c>
      <c r="BQ235" s="157">
        <v>0</v>
      </c>
      <c r="BR235" s="157">
        <v>0</v>
      </c>
      <c r="BS235" s="157">
        <v>0</v>
      </c>
      <c r="BT235" s="157">
        <v>0</v>
      </c>
      <c r="BU235" s="157">
        <v>0</v>
      </c>
      <c r="BV235" s="157">
        <v>0</v>
      </c>
      <c r="BW235" s="157">
        <v>0</v>
      </c>
      <c r="BX235" s="157">
        <v>0</v>
      </c>
      <c r="BY235" s="157">
        <v>0</v>
      </c>
      <c r="BZ235" s="157">
        <v>0</v>
      </c>
      <c r="CA235" s="157">
        <v>0</v>
      </c>
      <c r="CB235" s="157">
        <v>0</v>
      </c>
      <c r="CC235" s="157">
        <v>0</v>
      </c>
      <c r="CD235" s="157">
        <v>0</v>
      </c>
      <c r="CE235" s="157">
        <v>0</v>
      </c>
      <c r="CF235" s="157">
        <v>0</v>
      </c>
      <c r="CG235" s="157">
        <v>0</v>
      </c>
      <c r="CH235" s="157">
        <v>0</v>
      </c>
      <c r="CI235" s="157">
        <v>0</v>
      </c>
      <c r="CJ235" s="157">
        <v>0</v>
      </c>
      <c r="CK235" s="157">
        <v>0</v>
      </c>
      <c r="CL235" s="157">
        <v>0</v>
      </c>
      <c r="CM235" s="157">
        <v>0</v>
      </c>
      <c r="CN235" s="157">
        <v>0</v>
      </c>
      <c r="CO235" s="157">
        <v>0</v>
      </c>
      <c r="CP235" s="157">
        <v>0</v>
      </c>
      <c r="CQ235" s="23" t="s">
        <v>77</v>
      </c>
      <c r="DB235" s="7" t="s">
        <v>91</v>
      </c>
      <c r="DD235" s="8"/>
      <c r="DE235" s="8"/>
      <c r="DF235" s="8"/>
      <c r="DG235" s="8"/>
      <c r="DH235" s="8"/>
      <c r="DI235" s="8"/>
      <c r="DJ235" s="186">
        <v>-19.465</v>
      </c>
      <c r="DK235" s="8">
        <f>U235-DJ235</f>
        <v>19.465</v>
      </c>
      <c r="DL235" s="186">
        <v>-26.488</v>
      </c>
      <c r="DM235" s="8">
        <f>V235-DL235</f>
        <v>26.488</v>
      </c>
      <c r="DN235" s="186">
        <f>W235*DZ235</f>
        <v>0</v>
      </c>
      <c r="DO235" s="8">
        <f>W235-DN235</f>
        <v>0</v>
      </c>
      <c r="DP235" s="186">
        <v>0</v>
      </c>
      <c r="DQ235" s="8">
        <f t="shared" si="592"/>
        <v>0</v>
      </c>
      <c r="DX235" s="192"/>
      <c r="DY235" s="192"/>
      <c r="DZ235" s="192"/>
      <c r="EH235" s="411" t="b">
        <f t="shared" si="593"/>
        <v>1</v>
      </c>
      <c r="EI235" s="411" t="b">
        <f t="shared" si="594"/>
        <v>1</v>
      </c>
      <c r="EJ235" s="411" t="b">
        <f t="shared" si="595"/>
        <v>1</v>
      </c>
    </row>
    <row r="236" spans="1:140" ht="11.25" customHeight="1" outlineLevel="1" x14ac:dyDescent="0.2">
      <c r="B236" s="7" t="s">
        <v>19</v>
      </c>
      <c r="D236" s="52"/>
      <c r="E236" s="52"/>
      <c r="F236" s="52"/>
      <c r="G236" s="52"/>
      <c r="H236" s="52"/>
      <c r="I236" s="52"/>
      <c r="J236" s="52"/>
      <c r="K236" s="52">
        <f>-0.578-1.166</f>
        <v>-1.7439999999999998</v>
      </c>
      <c r="L236" s="52">
        <v>-1.4E-2</v>
      </c>
      <c r="M236" s="52">
        <f>-8.585-10.63</f>
        <v>-19.215000000000003</v>
      </c>
      <c r="N236" s="52">
        <v>-0.58599999999999997</v>
      </c>
      <c r="O236" s="52">
        <v>-0.55500000000000005</v>
      </c>
      <c r="P236" s="52">
        <f>-29.629-0.304</f>
        <v>-29.933</v>
      </c>
      <c r="Q236" s="52">
        <f>-4.3-3.661</f>
        <v>-7.9610000000000003</v>
      </c>
      <c r="R236" s="52">
        <f>-13.819-0.072</f>
        <v>-13.891</v>
      </c>
      <c r="S236" s="52">
        <f>-25.867-8.717-34.919</f>
        <v>-69.503</v>
      </c>
      <c r="T236" s="52">
        <f>-10.178-0.06</f>
        <v>-10.238000000000001</v>
      </c>
      <c r="U236" s="186">
        <f>-32.398+19.515</f>
        <v>-12.883000000000003</v>
      </c>
      <c r="V236" s="186">
        <f>0.02-0.077-9.623</f>
        <v>-9.68</v>
      </c>
      <c r="W236" s="186">
        <f>-8.446+2.149</f>
        <v>-6.2969999999999997</v>
      </c>
      <c r="X236" s="157">
        <v>0</v>
      </c>
      <c r="Y236" s="272">
        <f t="shared" ref="Y236:BD236" si="599">X236</f>
        <v>0</v>
      </c>
      <c r="Z236" s="272">
        <f t="shared" si="599"/>
        <v>0</v>
      </c>
      <c r="AA236" s="272">
        <f t="shared" si="599"/>
        <v>0</v>
      </c>
      <c r="AB236" s="272">
        <f t="shared" si="599"/>
        <v>0</v>
      </c>
      <c r="AC236" s="272">
        <f t="shared" si="599"/>
        <v>0</v>
      </c>
      <c r="AD236" s="272">
        <f t="shared" si="599"/>
        <v>0</v>
      </c>
      <c r="AE236" s="272">
        <f t="shared" si="599"/>
        <v>0</v>
      </c>
      <c r="AF236" s="272">
        <f t="shared" si="599"/>
        <v>0</v>
      </c>
      <c r="AG236" s="272">
        <f t="shared" si="599"/>
        <v>0</v>
      </c>
      <c r="AH236" s="272">
        <f t="shared" si="599"/>
        <v>0</v>
      </c>
      <c r="AI236" s="272">
        <f t="shared" si="599"/>
        <v>0</v>
      </c>
      <c r="AJ236" s="272">
        <f t="shared" si="599"/>
        <v>0</v>
      </c>
      <c r="AK236" s="272">
        <f t="shared" si="599"/>
        <v>0</v>
      </c>
      <c r="AL236" s="272">
        <f t="shared" si="599"/>
        <v>0</v>
      </c>
      <c r="AM236" s="272">
        <f t="shared" si="599"/>
        <v>0</v>
      </c>
      <c r="AN236" s="272">
        <f t="shared" si="599"/>
        <v>0</v>
      </c>
      <c r="AO236" s="272">
        <f t="shared" si="599"/>
        <v>0</v>
      </c>
      <c r="AP236" s="272">
        <f t="shared" si="599"/>
        <v>0</v>
      </c>
      <c r="AQ236" s="272">
        <f t="shared" si="599"/>
        <v>0</v>
      </c>
      <c r="AR236" s="272">
        <f t="shared" si="599"/>
        <v>0</v>
      </c>
      <c r="AS236" s="272">
        <f t="shared" si="599"/>
        <v>0</v>
      </c>
      <c r="AT236" s="272">
        <f t="shared" si="599"/>
        <v>0</v>
      </c>
      <c r="AU236" s="272">
        <f t="shared" si="599"/>
        <v>0</v>
      </c>
      <c r="AV236" s="272">
        <f t="shared" si="599"/>
        <v>0</v>
      </c>
      <c r="AW236" s="272">
        <f t="shared" si="599"/>
        <v>0</v>
      </c>
      <c r="AX236" s="272">
        <f t="shared" si="599"/>
        <v>0</v>
      </c>
      <c r="AY236" s="272">
        <f t="shared" si="599"/>
        <v>0</v>
      </c>
      <c r="AZ236" s="272">
        <f t="shared" si="599"/>
        <v>0</v>
      </c>
      <c r="BA236" s="272">
        <f t="shared" si="599"/>
        <v>0</v>
      </c>
      <c r="BB236" s="272">
        <f t="shared" si="599"/>
        <v>0</v>
      </c>
      <c r="BC236" s="272">
        <f t="shared" si="599"/>
        <v>0</v>
      </c>
      <c r="BD236" s="272">
        <f t="shared" si="599"/>
        <v>0</v>
      </c>
      <c r="BE236" s="272">
        <f t="shared" ref="BE236:CP236" si="600">BD236</f>
        <v>0</v>
      </c>
      <c r="BF236" s="272">
        <f t="shared" si="600"/>
        <v>0</v>
      </c>
      <c r="BG236" s="272">
        <f t="shared" si="600"/>
        <v>0</v>
      </c>
      <c r="BH236" s="272">
        <f t="shared" si="600"/>
        <v>0</v>
      </c>
      <c r="BI236" s="272">
        <f t="shared" si="600"/>
        <v>0</v>
      </c>
      <c r="BJ236" s="272">
        <f t="shared" si="600"/>
        <v>0</v>
      </c>
      <c r="BK236" s="272">
        <f t="shared" si="600"/>
        <v>0</v>
      </c>
      <c r="BL236" s="272">
        <f t="shared" si="600"/>
        <v>0</v>
      </c>
      <c r="BM236" s="272">
        <f t="shared" si="600"/>
        <v>0</v>
      </c>
      <c r="BN236" s="272">
        <f t="shared" si="600"/>
        <v>0</v>
      </c>
      <c r="BO236" s="272">
        <f t="shared" si="600"/>
        <v>0</v>
      </c>
      <c r="BP236" s="272">
        <f t="shared" si="600"/>
        <v>0</v>
      </c>
      <c r="BQ236" s="272">
        <f t="shared" si="600"/>
        <v>0</v>
      </c>
      <c r="BR236" s="272">
        <f t="shared" si="600"/>
        <v>0</v>
      </c>
      <c r="BS236" s="272">
        <f t="shared" si="600"/>
        <v>0</v>
      </c>
      <c r="BT236" s="272">
        <f t="shared" si="600"/>
        <v>0</v>
      </c>
      <c r="BU236" s="272">
        <f t="shared" si="600"/>
        <v>0</v>
      </c>
      <c r="BV236" s="272">
        <f t="shared" si="600"/>
        <v>0</v>
      </c>
      <c r="BW236" s="272">
        <f t="shared" si="600"/>
        <v>0</v>
      </c>
      <c r="BX236" s="272">
        <f t="shared" si="600"/>
        <v>0</v>
      </c>
      <c r="BY236" s="272">
        <f t="shared" si="600"/>
        <v>0</v>
      </c>
      <c r="BZ236" s="272">
        <f t="shared" si="600"/>
        <v>0</v>
      </c>
      <c r="CA236" s="272">
        <f t="shared" si="600"/>
        <v>0</v>
      </c>
      <c r="CB236" s="272">
        <f t="shared" si="600"/>
        <v>0</v>
      </c>
      <c r="CC236" s="272">
        <f t="shared" si="600"/>
        <v>0</v>
      </c>
      <c r="CD236" s="272">
        <f t="shared" si="600"/>
        <v>0</v>
      </c>
      <c r="CE236" s="272">
        <f t="shared" si="600"/>
        <v>0</v>
      </c>
      <c r="CF236" s="272">
        <f t="shared" si="600"/>
        <v>0</v>
      </c>
      <c r="CG236" s="272">
        <f t="shared" si="600"/>
        <v>0</v>
      </c>
      <c r="CH236" s="272">
        <f t="shared" si="600"/>
        <v>0</v>
      </c>
      <c r="CI236" s="272">
        <f t="shared" si="600"/>
        <v>0</v>
      </c>
      <c r="CJ236" s="272">
        <f t="shared" si="600"/>
        <v>0</v>
      </c>
      <c r="CK236" s="272">
        <f t="shared" si="600"/>
        <v>0</v>
      </c>
      <c r="CL236" s="272">
        <f t="shared" si="600"/>
        <v>0</v>
      </c>
      <c r="CM236" s="272">
        <f t="shared" si="600"/>
        <v>0</v>
      </c>
      <c r="CN236" s="272">
        <f t="shared" si="600"/>
        <v>0</v>
      </c>
      <c r="CO236" s="272">
        <f t="shared" si="600"/>
        <v>0</v>
      </c>
      <c r="CP236" s="272">
        <f t="shared" si="600"/>
        <v>0</v>
      </c>
      <c r="CQ236" s="23" t="s">
        <v>77</v>
      </c>
      <c r="DB236" s="7" t="s">
        <v>19</v>
      </c>
      <c r="DD236" s="8"/>
      <c r="DE236" s="8"/>
      <c r="DF236" s="8"/>
      <c r="DG236" s="8"/>
      <c r="DH236" s="8"/>
      <c r="DI236" s="8"/>
      <c r="DJ236" s="186">
        <f>-0.942-16.244</f>
        <v>-17.186</v>
      </c>
      <c r="DK236" s="8">
        <f>U236-DJ236</f>
        <v>4.3029999999999973</v>
      </c>
      <c r="DL236" s="186">
        <f>-8.183-0.077</f>
        <v>-8.26</v>
      </c>
      <c r="DM236" s="8">
        <f>V236-DL236</f>
        <v>-1.42</v>
      </c>
      <c r="DN236" s="186">
        <v>-0.98199999999999998</v>
      </c>
      <c r="DO236" s="8">
        <f>W236-DN236</f>
        <v>-5.3149999999999995</v>
      </c>
      <c r="DP236" s="186">
        <v>-0.83499999999999996</v>
      </c>
      <c r="DQ236" s="8">
        <f t="shared" si="592"/>
        <v>0.83499999999999996</v>
      </c>
      <c r="DX236" s="413">
        <f t="shared" si="538"/>
        <v>1.3340060544904135</v>
      </c>
      <c r="DY236" s="413">
        <f t="shared" si="539"/>
        <v>0.85330578512396693</v>
      </c>
      <c r="DZ236" s="193">
        <f>DY236</f>
        <v>0.85330578512396693</v>
      </c>
      <c r="EH236" s="411" t="b">
        <f t="shared" si="593"/>
        <v>1</v>
      </c>
      <c r="EI236" s="411" t="b">
        <f t="shared" si="594"/>
        <v>1</v>
      </c>
      <c r="EJ236" s="411" t="b">
        <f t="shared" si="595"/>
        <v>1</v>
      </c>
    </row>
    <row r="237" spans="1:140" ht="11.25" customHeight="1" outlineLevel="1" x14ac:dyDescent="0.2">
      <c r="A237" s="233"/>
      <c r="B237" s="1" t="s">
        <v>26</v>
      </c>
      <c r="D237" s="3"/>
      <c r="E237" s="3"/>
      <c r="F237" s="3"/>
      <c r="G237" s="3"/>
      <c r="H237" s="3"/>
      <c r="I237" s="3"/>
      <c r="J237" s="3"/>
      <c r="K237" s="3">
        <f t="shared" ref="K237:S237" si="601">SUM(K232:K236)</f>
        <v>74.665000000000063</v>
      </c>
      <c r="L237" s="3">
        <f t="shared" si="601"/>
        <v>133.54600000000008</v>
      </c>
      <c r="M237" s="3">
        <f t="shared" si="601"/>
        <v>1296.6569999999999</v>
      </c>
      <c r="N237" s="3">
        <f t="shared" si="601"/>
        <v>708.37199999999996</v>
      </c>
      <c r="O237" s="3">
        <f t="shared" si="601"/>
        <v>-336.37700000000001</v>
      </c>
      <c r="P237" s="3">
        <f t="shared" si="601"/>
        <v>52.129999999999946</v>
      </c>
      <c r="Q237" s="3">
        <f t="shared" si="601"/>
        <v>240.49</v>
      </c>
      <c r="R237" s="3">
        <f t="shared" si="601"/>
        <v>-281.56600000000009</v>
      </c>
      <c r="S237" s="3">
        <f t="shared" si="601"/>
        <v>-305.99900000000008</v>
      </c>
      <c r="T237" s="33">
        <f t="shared" ref="T237:BD237" si="602">SUM(T232:T236)</f>
        <v>65.811000000000092</v>
      </c>
      <c r="U237" s="33">
        <f t="shared" si="602"/>
        <v>5332.7510000000002</v>
      </c>
      <c r="V237" s="33">
        <f t="shared" si="602"/>
        <v>-516.57799999999986</v>
      </c>
      <c r="W237" s="33">
        <f t="shared" si="602"/>
        <v>-285.80500000000001</v>
      </c>
      <c r="X237" s="33">
        <f t="shared" si="602"/>
        <v>219.00894442000003</v>
      </c>
      <c r="Y237" s="33">
        <f t="shared" si="602"/>
        <v>-446.66591255000003</v>
      </c>
      <c r="Z237" s="33">
        <f t="shared" si="602"/>
        <v>-472.22942910500001</v>
      </c>
      <c r="AA237" s="33">
        <f t="shared" si="602"/>
        <v>-739.92724650000002</v>
      </c>
      <c r="AB237" s="33">
        <f t="shared" si="602"/>
        <v>-739.92724650000002</v>
      </c>
      <c r="AC237" s="33">
        <f t="shared" si="602"/>
        <v>-739.92724650000002</v>
      </c>
      <c r="AD237" s="33">
        <f t="shared" si="602"/>
        <v>-739.92724650000002</v>
      </c>
      <c r="AE237" s="33">
        <f t="shared" si="602"/>
        <v>-739.92724650000002</v>
      </c>
      <c r="AF237" s="33">
        <f t="shared" si="602"/>
        <v>-739.92724650000002</v>
      </c>
      <c r="AG237" s="33">
        <f t="shared" si="602"/>
        <v>-739.92724650000002</v>
      </c>
      <c r="AH237" s="33">
        <f t="shared" si="602"/>
        <v>-489.92724650000002</v>
      </c>
      <c r="AI237" s="33">
        <f t="shared" si="602"/>
        <v>-739.92724650000002</v>
      </c>
      <c r="AJ237" s="33">
        <f t="shared" si="602"/>
        <v>-739.92724650000002</v>
      </c>
      <c r="AK237" s="33">
        <f t="shared" si="602"/>
        <v>-489.92724650000002</v>
      </c>
      <c r="AL237" s="33">
        <f t="shared" si="602"/>
        <v>-589.92724650000002</v>
      </c>
      <c r="AM237" s="33">
        <f t="shared" si="602"/>
        <v>-589.92724650000002</v>
      </c>
      <c r="AN237" s="33">
        <f t="shared" si="602"/>
        <v>-589.92724650000002</v>
      </c>
      <c r="AO237" s="33">
        <f t="shared" si="602"/>
        <v>-839.92724650000002</v>
      </c>
      <c r="AP237" s="33">
        <f t="shared" si="602"/>
        <v>-789.92724650000002</v>
      </c>
      <c r="AQ237" s="33">
        <f t="shared" si="602"/>
        <v>-789.92724650000002</v>
      </c>
      <c r="AR237" s="33">
        <f t="shared" si="602"/>
        <v>-789.92724650000002</v>
      </c>
      <c r="AS237" s="33">
        <f t="shared" si="602"/>
        <v>-739.92724650000002</v>
      </c>
      <c r="AT237" s="33">
        <f t="shared" si="602"/>
        <v>-739.92724650000002</v>
      </c>
      <c r="AU237" s="33">
        <f t="shared" si="602"/>
        <v>-739.92724650000002</v>
      </c>
      <c r="AV237" s="33">
        <f t="shared" si="602"/>
        <v>-527.142757292184</v>
      </c>
      <c r="AW237" s="33">
        <f t="shared" si="602"/>
        <v>-527.12426543608774</v>
      </c>
      <c r="AX237" s="33">
        <f t="shared" si="602"/>
        <v>-527.10574683283437</v>
      </c>
      <c r="AY237" s="33">
        <f t="shared" si="602"/>
        <v>-527.08720144373592</v>
      </c>
      <c r="AZ237" s="33">
        <f t="shared" si="602"/>
        <v>-527.06862923004871</v>
      </c>
      <c r="BA237" s="33">
        <f t="shared" si="602"/>
        <v>-527.05003015297268</v>
      </c>
      <c r="BB237" s="33">
        <f t="shared" si="602"/>
        <v>-527.03140417365205</v>
      </c>
      <c r="BC237" s="33">
        <f t="shared" si="602"/>
        <v>-527.01275125317454</v>
      </c>
      <c r="BD237" s="33">
        <f t="shared" si="602"/>
        <v>-526.99407135257172</v>
      </c>
      <c r="BE237" s="33">
        <f t="shared" ref="BE237:CP237" si="603">SUM(BE232:BE236)</f>
        <v>-526.97536443281876</v>
      </c>
      <c r="BF237" s="33">
        <f t="shared" si="603"/>
        <v>-526.95663045483423</v>
      </c>
      <c r="BG237" s="33">
        <f t="shared" si="603"/>
        <v>-526.9378693794805</v>
      </c>
      <c r="BH237" s="33">
        <f t="shared" si="603"/>
        <v>-526.91908116756304</v>
      </c>
      <c r="BI237" s="33">
        <f t="shared" si="603"/>
        <v>-526.90026577983087</v>
      </c>
      <c r="BJ237" s="33">
        <f t="shared" si="603"/>
        <v>-526.88142317697589</v>
      </c>
      <c r="BK237" s="33">
        <f t="shared" si="603"/>
        <v>-526.86255331963355</v>
      </c>
      <c r="BL237" s="33">
        <f t="shared" si="603"/>
        <v>-526.84365616838204</v>
      </c>
      <c r="BM237" s="33">
        <f t="shared" si="603"/>
        <v>-526.8247316837427</v>
      </c>
      <c r="BN237" s="33">
        <f t="shared" si="603"/>
        <v>-526.80577982617979</v>
      </c>
      <c r="BO237" s="33">
        <f t="shared" si="603"/>
        <v>-526.78680055610027</v>
      </c>
      <c r="BP237" s="33">
        <f t="shared" si="603"/>
        <v>-526.76779383385383</v>
      </c>
      <c r="BQ237" s="33">
        <f t="shared" si="603"/>
        <v>-526.74875961973294</v>
      </c>
      <c r="BR237" s="33">
        <f t="shared" si="603"/>
        <v>-526.72969787397255</v>
      </c>
      <c r="BS237" s="33">
        <f t="shared" si="603"/>
        <v>-526.71060855675</v>
      </c>
      <c r="BT237" s="33">
        <f t="shared" si="603"/>
        <v>-526.6914916281853</v>
      </c>
      <c r="BU237" s="33">
        <f t="shared" si="603"/>
        <v>-526.67234704834038</v>
      </c>
      <c r="BV237" s="33">
        <f t="shared" si="603"/>
        <v>-526.65317477721976</v>
      </c>
      <c r="BW237" s="33">
        <f t="shared" si="603"/>
        <v>-526.63397477477008</v>
      </c>
      <c r="BX237" s="33">
        <f t="shared" si="603"/>
        <v>-526.61474700087967</v>
      </c>
      <c r="BY237" s="33">
        <f t="shared" si="603"/>
        <v>-526.59549141537934</v>
      </c>
      <c r="BZ237" s="33">
        <f t="shared" si="603"/>
        <v>-526.57620797804157</v>
      </c>
      <c r="CA237" s="33">
        <f t="shared" si="603"/>
        <v>-526.5568966485805</v>
      </c>
      <c r="CB237" s="33">
        <f t="shared" si="603"/>
        <v>-526.53755738665222</v>
      </c>
      <c r="CC237" s="33">
        <f t="shared" si="603"/>
        <v>-526.51819015185436</v>
      </c>
      <c r="CD237" s="33">
        <f t="shared" si="603"/>
        <v>-526.49879490372632</v>
      </c>
      <c r="CE237" s="33">
        <f t="shared" si="603"/>
        <v>-526.47937160174865</v>
      </c>
      <c r="CF237" s="33">
        <f t="shared" si="603"/>
        <v>-526.45992020534345</v>
      </c>
      <c r="CG237" s="33">
        <f t="shared" si="603"/>
        <v>-526.44044067387415</v>
      </c>
      <c r="CH237" s="33">
        <f t="shared" si="603"/>
        <v>-526.42093296664541</v>
      </c>
      <c r="CI237" s="33">
        <f t="shared" si="603"/>
        <v>-526.401397042903</v>
      </c>
      <c r="CJ237" s="33">
        <f t="shared" si="603"/>
        <v>-526.38183286183369</v>
      </c>
      <c r="CK237" s="33">
        <f t="shared" si="603"/>
        <v>-526.36224038256535</v>
      </c>
      <c r="CL237" s="33">
        <f t="shared" si="603"/>
        <v>-526.34261956416651</v>
      </c>
      <c r="CM237" s="33">
        <f t="shared" si="603"/>
        <v>-526.32297036564671</v>
      </c>
      <c r="CN237" s="33">
        <f t="shared" si="603"/>
        <v>-526.30329274595601</v>
      </c>
      <c r="CO237" s="33">
        <f t="shared" si="603"/>
        <v>-526.28358666398549</v>
      </c>
      <c r="CP237" s="33">
        <f t="shared" si="603"/>
        <v>-526.26385207856617</v>
      </c>
      <c r="CQ237" s="23" t="s">
        <v>77</v>
      </c>
      <c r="DB237" s="1" t="s">
        <v>26</v>
      </c>
      <c r="DD237" s="3"/>
      <c r="DE237" s="3"/>
      <c r="DF237" s="3"/>
      <c r="DG237" s="3"/>
      <c r="DH237" s="3"/>
      <c r="DI237" s="3"/>
      <c r="DJ237" s="3">
        <f t="shared" ref="DJ237:DO237" si="604">SUM(DJ232:DJ236)</f>
        <v>54.693999999999939</v>
      </c>
      <c r="DK237" s="3">
        <f t="shared" si="604"/>
        <v>5278.0569999999998</v>
      </c>
      <c r="DL237" s="3">
        <f t="shared" si="604"/>
        <v>-425.41899999999998</v>
      </c>
      <c r="DM237" s="3">
        <f t="shared" si="604"/>
        <v>-91.158999999999921</v>
      </c>
      <c r="DN237" s="3">
        <f t="shared" si="604"/>
        <v>-309.55799999999999</v>
      </c>
      <c r="DO237" s="3">
        <f t="shared" si="604"/>
        <v>23.752999999999986</v>
      </c>
      <c r="DP237" s="3">
        <f t="shared" ref="DP237:DQ237" si="605">SUM(DP232:DP236)</f>
        <v>-262.85699999999997</v>
      </c>
      <c r="DQ237" s="3">
        <f t="shared" si="605"/>
        <v>481.86594442000001</v>
      </c>
      <c r="DR237" s="3"/>
      <c r="DS237" s="3"/>
      <c r="DX237" s="413">
        <f t="shared" si="538"/>
        <v>1.0256244853734957E-2</v>
      </c>
      <c r="DY237" s="413">
        <f t="shared" si="539"/>
        <v>0.82353294178226732</v>
      </c>
      <c r="DZ237" s="193">
        <f>DY237</f>
        <v>0.82353294178226732</v>
      </c>
      <c r="EH237" s="411" t="b">
        <f t="shared" si="593"/>
        <v>1</v>
      </c>
      <c r="EI237" s="411" t="b">
        <f t="shared" si="594"/>
        <v>1</v>
      </c>
      <c r="EJ237" s="411" t="b">
        <f t="shared" si="595"/>
        <v>1</v>
      </c>
    </row>
    <row r="238" spans="1:140" ht="11.25" customHeight="1" outlineLevel="1" x14ac:dyDescent="0.2">
      <c r="CQ238" s="23" t="s">
        <v>77</v>
      </c>
      <c r="DL238" s="9"/>
      <c r="DM238" s="9"/>
      <c r="DN238" s="9"/>
      <c r="DO238" s="9"/>
      <c r="DP238" s="9"/>
      <c r="DQ238" s="9"/>
      <c r="DR238" s="9"/>
      <c r="DS238" s="9"/>
      <c r="DX238" s="192"/>
      <c r="DY238" s="192"/>
      <c r="DZ238" s="192"/>
    </row>
    <row r="239" spans="1:140" ht="11.25" customHeight="1" outlineLevel="1" x14ac:dyDescent="0.2">
      <c r="A239" s="233"/>
      <c r="B239" s="1" t="s">
        <v>28</v>
      </c>
      <c r="D239" s="3"/>
      <c r="E239" s="3"/>
      <c r="F239" s="3"/>
      <c r="G239" s="3"/>
      <c r="H239" s="3"/>
      <c r="I239" s="3"/>
      <c r="J239" s="3"/>
      <c r="K239" s="3">
        <f t="shared" ref="K239:BD239" si="606">SUM(K221,K230,K237)</f>
        <v>-21.877999999999915</v>
      </c>
      <c r="L239" s="3">
        <f t="shared" si="606"/>
        <v>-9.7449999999998909</v>
      </c>
      <c r="M239" s="3">
        <f t="shared" si="606"/>
        <v>47.449999999999818</v>
      </c>
      <c r="N239" s="3">
        <f t="shared" si="606"/>
        <v>45.376999999999953</v>
      </c>
      <c r="O239" s="3">
        <f t="shared" si="606"/>
        <v>3.3600000000000136</v>
      </c>
      <c r="P239" s="3">
        <f t="shared" si="606"/>
        <v>-27.87500000000005</v>
      </c>
      <c r="Q239" s="3">
        <f t="shared" si="606"/>
        <v>14.427999999999997</v>
      </c>
      <c r="R239" s="3">
        <f t="shared" si="606"/>
        <v>234.56599999999997</v>
      </c>
      <c r="S239" s="3">
        <f t="shared" si="606"/>
        <v>-248.97900000000016</v>
      </c>
      <c r="T239" s="33">
        <f t="shared" si="606"/>
        <v>-73.945999999999913</v>
      </c>
      <c r="U239" s="33">
        <f t="shared" si="606"/>
        <v>404.9330000000009</v>
      </c>
      <c r="V239" s="33">
        <f t="shared" si="606"/>
        <v>-327.77699999999993</v>
      </c>
      <c r="W239" s="33">
        <f t="shared" si="606"/>
        <v>310.60500000000008</v>
      </c>
      <c r="X239" s="33">
        <f t="shared" si="606"/>
        <v>348.52175439849361</v>
      </c>
      <c r="Y239" s="33">
        <f t="shared" si="606"/>
        <v>-9.2486487767256449</v>
      </c>
      <c r="Z239" s="33">
        <f t="shared" si="606"/>
        <v>392.18062160095531</v>
      </c>
      <c r="AA239" s="33">
        <f t="shared" si="606"/>
        <v>84.602967635269579</v>
      </c>
      <c r="AB239" s="33">
        <f t="shared" si="606"/>
        <v>45.060836734095915</v>
      </c>
      <c r="AC239" s="33">
        <f t="shared" si="606"/>
        <v>51.758554389472351</v>
      </c>
      <c r="AD239" s="33">
        <f t="shared" si="606"/>
        <v>109.65491069860866</v>
      </c>
      <c r="AE239" s="33">
        <f t="shared" si="606"/>
        <v>128.61235983063386</v>
      </c>
      <c r="AF239" s="33">
        <f t="shared" si="606"/>
        <v>131.46746251420643</v>
      </c>
      <c r="AG239" s="33">
        <f t="shared" si="606"/>
        <v>125.56913886719224</v>
      </c>
      <c r="AH239" s="33">
        <f t="shared" si="606"/>
        <v>393.02696124974545</v>
      </c>
      <c r="AI239" s="33">
        <f t="shared" si="606"/>
        <v>52.547635983050554</v>
      </c>
      <c r="AJ239" s="33">
        <f t="shared" si="606"/>
        <v>-4.5699140908153595</v>
      </c>
      <c r="AK239" s="33">
        <f t="shared" si="606"/>
        <v>232.4881684117878</v>
      </c>
      <c r="AL239" s="33">
        <f t="shared" si="606"/>
        <v>150.12155988253824</v>
      </c>
      <c r="AM239" s="33">
        <f t="shared" si="606"/>
        <v>168.5969166913759</v>
      </c>
      <c r="AN239" s="33">
        <f t="shared" si="606"/>
        <v>177.86180206968095</v>
      </c>
      <c r="AO239" s="33">
        <f t="shared" si="606"/>
        <v>-86.205386332058765</v>
      </c>
      <c r="AP239" s="33">
        <f t="shared" si="606"/>
        <v>-439.72959185287635</v>
      </c>
      <c r="AQ239" s="33">
        <f t="shared" si="606"/>
        <v>-415.1920249844826</v>
      </c>
      <c r="AR239" s="33">
        <f t="shared" si="606"/>
        <v>-478.56585725088871</v>
      </c>
      <c r="AS239" s="33">
        <f t="shared" si="606"/>
        <v>-513.04875151323347</v>
      </c>
      <c r="AT239" s="33">
        <f t="shared" si="606"/>
        <v>-518.77998854784846</v>
      </c>
      <c r="AU239" s="33">
        <f t="shared" si="606"/>
        <v>-497.90970940618581</v>
      </c>
      <c r="AV239" s="33">
        <f t="shared" si="606"/>
        <v>-274.01728231178674</v>
      </c>
      <c r="AW239" s="33">
        <f t="shared" si="606"/>
        <v>-298.43878321762509</v>
      </c>
      <c r="AX239" s="33">
        <f t="shared" si="606"/>
        <v>-287.97408167283982</v>
      </c>
      <c r="AY239" s="33">
        <f t="shared" si="606"/>
        <v>-277.16018802383508</v>
      </c>
      <c r="AZ239" s="33">
        <f t="shared" si="606"/>
        <v>-265.99406913743684</v>
      </c>
      <c r="BA239" s="33">
        <f t="shared" si="606"/>
        <v>-410.8015896065499</v>
      </c>
      <c r="BB239" s="33">
        <f t="shared" si="606"/>
        <v>-399.41152684303017</v>
      </c>
      <c r="BC239" s="33">
        <f t="shared" si="606"/>
        <v>-387.66808132316402</v>
      </c>
      <c r="BD239" s="33">
        <f t="shared" si="606"/>
        <v>-375.56266027565459</v>
      </c>
      <c r="BE239" s="33">
        <f t="shared" ref="BE239:CP239" si="607">SUM(BE221,BE230,BE237)</f>
        <v>-363.08652660956807</v>
      </c>
      <c r="BF239" s="33">
        <f t="shared" si="607"/>
        <v>-350.23379573688425</v>
      </c>
      <c r="BG239" s="33">
        <f t="shared" si="607"/>
        <v>-336.99305360453934</v>
      </c>
      <c r="BH239" s="33">
        <f t="shared" si="607"/>
        <v>-323.35957691319823</v>
      </c>
      <c r="BI239" s="33">
        <f t="shared" si="607"/>
        <v>-309.32083499780288</v>
      </c>
      <c r="BJ239" s="33">
        <f t="shared" si="607"/>
        <v>-294.87131832625306</v>
      </c>
      <c r="BK239" s="33">
        <f t="shared" si="607"/>
        <v>-279.99923989301533</v>
      </c>
      <c r="BL239" s="33">
        <f t="shared" si="607"/>
        <v>-264.69641672202175</v>
      </c>
      <c r="BM239" s="33">
        <f t="shared" si="607"/>
        <v>-248.95329559653464</v>
      </c>
      <c r="BN239" s="33">
        <f t="shared" si="607"/>
        <v>-232.76052509202447</v>
      </c>
      <c r="BO239" s="33">
        <f t="shared" si="607"/>
        <v>-216.10774346509987</v>
      </c>
      <c r="BP239" s="33">
        <f t="shared" si="607"/>
        <v>-198.98475820716595</v>
      </c>
      <c r="BQ239" s="33">
        <f t="shared" si="607"/>
        <v>-207.34726362427278</v>
      </c>
      <c r="BR239" s="33">
        <f t="shared" si="607"/>
        <v>-192.91701932843108</v>
      </c>
      <c r="BS239" s="33">
        <f t="shared" si="607"/>
        <v>-209.92387373697079</v>
      </c>
      <c r="BT239" s="33">
        <f t="shared" si="607"/>
        <v>-223.56758856789054</v>
      </c>
      <c r="BU239" s="33">
        <f t="shared" si="607"/>
        <v>-209.20904014149789</v>
      </c>
      <c r="BV239" s="33">
        <f t="shared" si="607"/>
        <v>-194.48305902751304</v>
      </c>
      <c r="BW239" s="33">
        <f t="shared" si="607"/>
        <v>-179.38336570119998</v>
      </c>
      <c r="BX239" s="33">
        <f t="shared" si="607"/>
        <v>-163.90256945318379</v>
      </c>
      <c r="BY239" s="33">
        <f t="shared" si="607"/>
        <v>-148.03547549517793</v>
      </c>
      <c r="BZ239" s="33">
        <f t="shared" si="607"/>
        <v>-131.77276046424618</v>
      </c>
      <c r="CA239" s="33">
        <f t="shared" si="607"/>
        <v>-115.10819667662099</v>
      </c>
      <c r="CB239" s="33">
        <f t="shared" si="607"/>
        <v>-98.032628329517138</v>
      </c>
      <c r="CC239" s="33">
        <f t="shared" si="607"/>
        <v>-84.229889547818857</v>
      </c>
      <c r="CD239" s="33">
        <f t="shared" si="607"/>
        <v>-110.6503000169061</v>
      </c>
      <c r="CE239" s="33">
        <f t="shared" si="607"/>
        <v>-93.262211157403556</v>
      </c>
      <c r="CF239" s="33">
        <f t="shared" si="607"/>
        <v>-75.454874955276409</v>
      </c>
      <c r="CG239" s="33">
        <f t="shared" si="607"/>
        <v>-57.219407002822209</v>
      </c>
      <c r="CH239" s="33">
        <f t="shared" si="607"/>
        <v>-490.15171136015204</v>
      </c>
      <c r="CI239" s="33">
        <f t="shared" si="607"/>
        <v>-477.86972781524486</v>
      </c>
      <c r="CJ239" s="33">
        <f t="shared" si="607"/>
        <v>-465.22850947614796</v>
      </c>
      <c r="CK239" s="33">
        <f t="shared" si="607"/>
        <v>-452.22153225600647</v>
      </c>
      <c r="CL239" s="33">
        <f t="shared" si="607"/>
        <v>-438.84169794624597</v>
      </c>
      <c r="CM239" s="33">
        <f t="shared" si="607"/>
        <v>-425.08024538975928</v>
      </c>
      <c r="CN239" s="33">
        <f t="shared" si="607"/>
        <v>-410.92860123817775</v>
      </c>
      <c r="CO239" s="33">
        <f t="shared" si="607"/>
        <v>-396.37762979607362</v>
      </c>
      <c r="CP239" s="33">
        <f t="shared" si="607"/>
        <v>-412.19635605398969</v>
      </c>
      <c r="CQ239" s="23" t="s">
        <v>77</v>
      </c>
      <c r="DB239" s="1" t="s">
        <v>28</v>
      </c>
      <c r="DD239" s="3"/>
      <c r="DE239" s="3"/>
      <c r="DF239" s="3"/>
      <c r="DG239" s="3"/>
      <c r="DH239" s="3"/>
      <c r="DI239" s="3"/>
      <c r="DJ239" s="3">
        <f t="shared" ref="DJ239:DO239" si="608">SUM(DJ221,DJ230,DJ237)</f>
        <v>906.74299999999994</v>
      </c>
      <c r="DK239" s="3">
        <f t="shared" si="608"/>
        <v>-501.8100000000004</v>
      </c>
      <c r="DL239" s="3">
        <f t="shared" si="608"/>
        <v>-258.78799999999995</v>
      </c>
      <c r="DM239" s="3">
        <f t="shared" si="608"/>
        <v>-108.39600000000017</v>
      </c>
      <c r="DN239" s="3">
        <f t="shared" si="608"/>
        <v>45.956999999999994</v>
      </c>
      <c r="DO239" s="3">
        <f t="shared" si="608"/>
        <v>261.92900000000031</v>
      </c>
      <c r="DP239" s="971">
        <f t="shared" ref="DP239:DQ239" si="609">SUM(DP221,DP230,DP237)</f>
        <v>-121.12400000000002</v>
      </c>
      <c r="DQ239" s="971">
        <f t="shared" si="609"/>
        <v>469.64575439849352</v>
      </c>
      <c r="DR239" s="3"/>
      <c r="DS239" s="3"/>
      <c r="DX239" s="413">
        <f t="shared" si="538"/>
        <v>2.2392420474498276</v>
      </c>
      <c r="DY239" s="413">
        <f t="shared" si="539"/>
        <v>0.70479105843391832</v>
      </c>
      <c r="DZ239" s="193">
        <f>DY239</f>
        <v>0.70479105843391832</v>
      </c>
      <c r="EH239" s="411" t="b">
        <f>ROUND(U239,1)=ROUND(SUM(DJ239:DK239),1)</f>
        <v>1</v>
      </c>
      <c r="EI239" s="411" t="b">
        <f>ROUND(V239,1)=ROUND(SUM(DL239:DM239),1)</f>
        <v>0</v>
      </c>
      <c r="EJ239" s="411" t="b">
        <f>ROUND(W239,1)=ROUND(SUM(DN239:DO239),1)</f>
        <v>0</v>
      </c>
    </row>
    <row r="240" spans="1:140" ht="11.25" customHeight="1" outlineLevel="1" x14ac:dyDescent="0.2">
      <c r="B240" s="8" t="s">
        <v>29</v>
      </c>
      <c r="D240" s="52"/>
      <c r="E240" s="52"/>
      <c r="F240" s="52"/>
      <c r="G240" s="52"/>
      <c r="H240" s="52"/>
      <c r="I240" s="52"/>
      <c r="J240" s="52"/>
      <c r="K240" s="52">
        <v>0</v>
      </c>
      <c r="L240" s="52">
        <v>22.373000000000001</v>
      </c>
      <c r="M240" s="52">
        <v>12.628</v>
      </c>
      <c r="N240" s="52">
        <v>60.078000000000003</v>
      </c>
      <c r="O240" s="52">
        <v>105.455</v>
      </c>
      <c r="P240" s="52">
        <v>108.815</v>
      </c>
      <c r="Q240" s="52">
        <v>80.94</v>
      </c>
      <c r="R240" s="52">
        <v>95.367999999999995</v>
      </c>
      <c r="S240" s="52">
        <v>329.93400000000003</v>
      </c>
      <c r="T240" s="52">
        <f t="shared" ref="T240:BD240" si="610">+S242</f>
        <v>80.95499999999987</v>
      </c>
      <c r="U240" s="186">
        <f>+T242</f>
        <v>7.0089999999999577</v>
      </c>
      <c r="V240" s="186">
        <f t="shared" si="610"/>
        <v>411.92100000000084</v>
      </c>
      <c r="W240" s="9">
        <v>84.506</v>
      </c>
      <c r="X240" s="9">
        <f t="shared" si="610"/>
        <v>394.50100000000009</v>
      </c>
      <c r="Y240" s="9">
        <f t="shared" si="610"/>
        <v>743.0227543984937</v>
      </c>
      <c r="Z240" s="9">
        <f t="shared" si="610"/>
        <v>733.77410562176806</v>
      </c>
      <c r="AA240" s="9">
        <f t="shared" si="610"/>
        <v>1125.9547272227232</v>
      </c>
      <c r="AB240" s="9">
        <f t="shared" si="610"/>
        <v>1210.5576948579928</v>
      </c>
      <c r="AC240" s="9">
        <f t="shared" si="610"/>
        <v>1255.6185315920889</v>
      </c>
      <c r="AD240" s="9">
        <f t="shared" si="610"/>
        <v>1307.3770859815613</v>
      </c>
      <c r="AE240" s="9">
        <f t="shared" si="610"/>
        <v>1417.0319966801699</v>
      </c>
      <c r="AF240" s="9">
        <f t="shared" si="610"/>
        <v>1545.6443565108038</v>
      </c>
      <c r="AG240" s="9">
        <f t="shared" si="610"/>
        <v>1677.1118190250104</v>
      </c>
      <c r="AH240" s="9">
        <f t="shared" si="610"/>
        <v>1802.6809578922025</v>
      </c>
      <c r="AI240" s="9">
        <f t="shared" si="610"/>
        <v>2195.707919141948</v>
      </c>
      <c r="AJ240" s="9">
        <f t="shared" si="610"/>
        <v>2248.2555551249984</v>
      </c>
      <c r="AK240" s="9">
        <f t="shared" si="610"/>
        <v>2243.6856410341829</v>
      </c>
      <c r="AL240" s="9">
        <f t="shared" si="610"/>
        <v>2476.1738094459706</v>
      </c>
      <c r="AM240" s="9">
        <f t="shared" si="610"/>
        <v>2626.295369328509</v>
      </c>
      <c r="AN240" s="9">
        <f t="shared" si="610"/>
        <v>2794.892286019885</v>
      </c>
      <c r="AO240" s="9">
        <f t="shared" si="610"/>
        <v>2972.7540880895658</v>
      </c>
      <c r="AP240" s="9">
        <f t="shared" si="610"/>
        <v>2886.5487017575069</v>
      </c>
      <c r="AQ240" s="9">
        <f t="shared" si="610"/>
        <v>2446.8191099046307</v>
      </c>
      <c r="AR240" s="9">
        <f t="shared" si="610"/>
        <v>2031.6270849201483</v>
      </c>
      <c r="AS240" s="9">
        <f t="shared" si="610"/>
        <v>1553.0612276692596</v>
      </c>
      <c r="AT240" s="9">
        <f t="shared" si="610"/>
        <v>1040.012476156026</v>
      </c>
      <c r="AU240" s="9">
        <f t="shared" si="610"/>
        <v>521.23248760817751</v>
      </c>
      <c r="AV240" s="9">
        <f t="shared" si="610"/>
        <v>23.322778201991696</v>
      </c>
      <c r="AW240" s="9">
        <f t="shared" si="610"/>
        <v>-250.69450410979505</v>
      </c>
      <c r="AX240" s="9">
        <f t="shared" si="610"/>
        <v>-549.13328732742013</v>
      </c>
      <c r="AY240" s="9">
        <f t="shared" si="610"/>
        <v>-837.10736900025995</v>
      </c>
      <c r="AZ240" s="9">
        <f t="shared" si="610"/>
        <v>-1114.2675570240949</v>
      </c>
      <c r="BA240" s="9">
        <f t="shared" si="610"/>
        <v>-1380.2616261615317</v>
      </c>
      <c r="BB240" s="9">
        <f t="shared" si="610"/>
        <v>-1791.0632157680816</v>
      </c>
      <c r="BC240" s="9">
        <f t="shared" si="610"/>
        <v>-2190.4747426111117</v>
      </c>
      <c r="BD240" s="9">
        <f t="shared" si="610"/>
        <v>-2578.1428239342758</v>
      </c>
      <c r="BE240" s="9">
        <f t="shared" ref="BE240:CP240" si="611">+BD242</f>
        <v>-2953.7054842099305</v>
      </c>
      <c r="BF240" s="9">
        <f t="shared" si="611"/>
        <v>-3316.7920108194985</v>
      </c>
      <c r="BG240" s="9">
        <f t="shared" si="611"/>
        <v>-3667.0258065563826</v>
      </c>
      <c r="BH240" s="9">
        <f t="shared" si="611"/>
        <v>-4004.018860160922</v>
      </c>
      <c r="BI240" s="9">
        <f t="shared" si="611"/>
        <v>-4327.3784370741205</v>
      </c>
      <c r="BJ240" s="9">
        <f t="shared" si="611"/>
        <v>-4636.6992720719236</v>
      </c>
      <c r="BK240" s="9">
        <f t="shared" si="611"/>
        <v>-4931.570590398177</v>
      </c>
      <c r="BL240" s="9">
        <f t="shared" si="611"/>
        <v>-5211.5698302911924</v>
      </c>
      <c r="BM240" s="9">
        <f t="shared" si="611"/>
        <v>-5476.2662470132145</v>
      </c>
      <c r="BN240" s="9">
        <f t="shared" si="611"/>
        <v>-5725.2195426097496</v>
      </c>
      <c r="BO240" s="9">
        <f t="shared" si="611"/>
        <v>-5957.9800677017738</v>
      </c>
      <c r="BP240" s="9">
        <f t="shared" si="611"/>
        <v>-6174.0878111668735</v>
      </c>
      <c r="BQ240" s="9">
        <f t="shared" si="611"/>
        <v>-6373.0725693740396</v>
      </c>
      <c r="BR240" s="9">
        <f t="shared" si="611"/>
        <v>-6580.4198329983128</v>
      </c>
      <c r="BS240" s="9">
        <f t="shared" si="611"/>
        <v>-6773.3368523267436</v>
      </c>
      <c r="BT240" s="9">
        <f t="shared" si="611"/>
        <v>-6983.2607260637142</v>
      </c>
      <c r="BU240" s="9">
        <f t="shared" si="611"/>
        <v>-7206.8283146316044</v>
      </c>
      <c r="BV240" s="9">
        <f t="shared" si="611"/>
        <v>-7416.0373547731024</v>
      </c>
      <c r="BW240" s="9">
        <f t="shared" si="611"/>
        <v>-7610.5204138006156</v>
      </c>
      <c r="BX240" s="9">
        <f t="shared" si="611"/>
        <v>-7789.9037795018157</v>
      </c>
      <c r="BY240" s="9">
        <f t="shared" si="611"/>
        <v>-7953.8063489549995</v>
      </c>
      <c r="BZ240" s="9">
        <f t="shared" si="611"/>
        <v>-8101.8418244501772</v>
      </c>
      <c r="CA240" s="9">
        <f t="shared" si="611"/>
        <v>-8233.6145849144232</v>
      </c>
      <c r="CB240" s="9">
        <f t="shared" si="611"/>
        <v>-8348.7227815910446</v>
      </c>
      <c r="CC240" s="9">
        <f t="shared" si="611"/>
        <v>-8446.7554099205627</v>
      </c>
      <c r="CD240" s="9">
        <f t="shared" si="611"/>
        <v>-8530.9852994683824</v>
      </c>
      <c r="CE240" s="9">
        <f t="shared" si="611"/>
        <v>-8641.6355994852893</v>
      </c>
      <c r="CF240" s="9">
        <f t="shared" si="611"/>
        <v>-8734.897810642693</v>
      </c>
      <c r="CG240" s="9">
        <f t="shared" si="611"/>
        <v>-8810.352685597969</v>
      </c>
      <c r="CH240" s="9">
        <f t="shared" si="611"/>
        <v>-8867.5720926007907</v>
      </c>
      <c r="CI240" s="9">
        <f t="shared" si="611"/>
        <v>-9357.723803960942</v>
      </c>
      <c r="CJ240" s="9">
        <f t="shared" si="611"/>
        <v>-9835.5935317761869</v>
      </c>
      <c r="CK240" s="9">
        <f t="shared" si="611"/>
        <v>-10300.822041252335</v>
      </c>
      <c r="CL240" s="9">
        <f t="shared" si="611"/>
        <v>-10753.043573508341</v>
      </c>
      <c r="CM240" s="9">
        <f t="shared" si="611"/>
        <v>-11191.885271454586</v>
      </c>
      <c r="CN240" s="9">
        <f t="shared" si="611"/>
        <v>-11616.965516844346</v>
      </c>
      <c r="CO240" s="9">
        <f t="shared" si="611"/>
        <v>-12027.894118082524</v>
      </c>
      <c r="CP240" s="9">
        <f t="shared" si="611"/>
        <v>-12424.271747878598</v>
      </c>
      <c r="CQ240" s="23" t="s">
        <v>77</v>
      </c>
      <c r="DD240" s="8"/>
      <c r="DE240" s="8"/>
      <c r="DF240" s="8"/>
      <c r="DG240" s="8"/>
      <c r="DH240" s="8"/>
      <c r="DI240" s="8"/>
      <c r="DJ240" s="8"/>
      <c r="DK240" s="8"/>
    </row>
    <row r="241" spans="2:123" ht="11.25" customHeight="1" outlineLevel="1" x14ac:dyDescent="0.2">
      <c r="B241" s="8" t="s">
        <v>30</v>
      </c>
      <c r="D241" s="52"/>
      <c r="E241" s="52"/>
      <c r="F241" s="52"/>
      <c r="G241" s="52"/>
      <c r="H241" s="52"/>
      <c r="I241" s="52"/>
      <c r="J241" s="52"/>
      <c r="K241" s="52">
        <v>44.250999999999898</v>
      </c>
      <c r="L241" s="52">
        <v>0</v>
      </c>
      <c r="M241" s="52">
        <v>0</v>
      </c>
      <c r="N241" s="52">
        <v>0</v>
      </c>
      <c r="O241" s="52">
        <v>0</v>
      </c>
      <c r="P241" s="52">
        <v>0</v>
      </c>
      <c r="Q241" s="52">
        <v>0</v>
      </c>
      <c r="R241" s="52">
        <f>329.934-R240-R239</f>
        <v>0</v>
      </c>
      <c r="S241" s="52">
        <f>80.955-S240-S239</f>
        <v>0</v>
      </c>
      <c r="T241" s="186">
        <v>0</v>
      </c>
      <c r="U241" s="186">
        <v>-2.1000000000000001E-2</v>
      </c>
      <c r="V241" s="186">
        <v>0.36199999999999999</v>
      </c>
      <c r="W241" s="186">
        <v>-0.61</v>
      </c>
      <c r="X241" s="157">
        <v>0</v>
      </c>
      <c r="Y241" s="157">
        <v>0</v>
      </c>
      <c r="Z241" s="157">
        <v>0</v>
      </c>
      <c r="AA241" s="157">
        <v>0</v>
      </c>
      <c r="AB241" s="157">
        <v>0</v>
      </c>
      <c r="AC241" s="157">
        <v>0</v>
      </c>
      <c r="AD241" s="157">
        <v>0</v>
      </c>
      <c r="AE241" s="157">
        <v>0</v>
      </c>
      <c r="AF241" s="157">
        <v>0</v>
      </c>
      <c r="AG241" s="157">
        <v>0</v>
      </c>
      <c r="AH241" s="157">
        <v>0</v>
      </c>
      <c r="AI241" s="157">
        <v>0</v>
      </c>
      <c r="AJ241" s="157">
        <v>0</v>
      </c>
      <c r="AK241" s="157">
        <v>0</v>
      </c>
      <c r="AL241" s="157">
        <v>0</v>
      </c>
      <c r="AM241" s="157">
        <v>0</v>
      </c>
      <c r="AN241" s="157">
        <v>0</v>
      </c>
      <c r="AO241" s="157">
        <v>0</v>
      </c>
      <c r="AP241" s="157">
        <v>0</v>
      </c>
      <c r="AQ241" s="157">
        <v>0</v>
      </c>
      <c r="AR241" s="157">
        <v>0</v>
      </c>
      <c r="AS241" s="157">
        <v>0</v>
      </c>
      <c r="AT241" s="157">
        <v>0</v>
      </c>
      <c r="AU241" s="157">
        <v>0</v>
      </c>
      <c r="AV241" s="157">
        <v>0</v>
      </c>
      <c r="AW241" s="157">
        <v>0</v>
      </c>
      <c r="AX241" s="157">
        <v>0</v>
      </c>
      <c r="AY241" s="157">
        <v>0</v>
      </c>
      <c r="AZ241" s="157">
        <v>0</v>
      </c>
      <c r="BA241" s="157">
        <v>0</v>
      </c>
      <c r="BB241" s="157">
        <v>0</v>
      </c>
      <c r="BC241" s="157">
        <v>0</v>
      </c>
      <c r="BD241" s="157">
        <v>0</v>
      </c>
      <c r="BE241" s="157">
        <v>0</v>
      </c>
      <c r="BF241" s="157">
        <v>0</v>
      </c>
      <c r="BG241" s="157">
        <v>0</v>
      </c>
      <c r="BH241" s="157">
        <v>0</v>
      </c>
      <c r="BI241" s="157">
        <v>0</v>
      </c>
      <c r="BJ241" s="157">
        <v>0</v>
      </c>
      <c r="BK241" s="157">
        <v>0</v>
      </c>
      <c r="BL241" s="157">
        <v>0</v>
      </c>
      <c r="BM241" s="157">
        <v>0</v>
      </c>
      <c r="BN241" s="157">
        <v>0</v>
      </c>
      <c r="BO241" s="157">
        <v>0</v>
      </c>
      <c r="BP241" s="157">
        <v>0</v>
      </c>
      <c r="BQ241" s="157">
        <v>0</v>
      </c>
      <c r="BR241" s="157">
        <v>0</v>
      </c>
      <c r="BS241" s="157">
        <v>0</v>
      </c>
      <c r="BT241" s="157">
        <v>0</v>
      </c>
      <c r="BU241" s="157">
        <v>0</v>
      </c>
      <c r="BV241" s="157">
        <v>0</v>
      </c>
      <c r="BW241" s="157">
        <v>0</v>
      </c>
      <c r="BX241" s="157">
        <v>0</v>
      </c>
      <c r="BY241" s="157">
        <v>0</v>
      </c>
      <c r="BZ241" s="157">
        <v>0</v>
      </c>
      <c r="CA241" s="157">
        <v>0</v>
      </c>
      <c r="CB241" s="157">
        <v>0</v>
      </c>
      <c r="CC241" s="157">
        <v>0</v>
      </c>
      <c r="CD241" s="157">
        <v>0</v>
      </c>
      <c r="CE241" s="157">
        <v>0</v>
      </c>
      <c r="CF241" s="157">
        <v>0</v>
      </c>
      <c r="CG241" s="157">
        <v>0</v>
      </c>
      <c r="CH241" s="157">
        <v>0</v>
      </c>
      <c r="CI241" s="157">
        <v>0</v>
      </c>
      <c r="CJ241" s="157">
        <v>0</v>
      </c>
      <c r="CK241" s="157">
        <v>0</v>
      </c>
      <c r="CL241" s="157">
        <v>0</v>
      </c>
      <c r="CM241" s="157">
        <v>0</v>
      </c>
      <c r="CN241" s="157">
        <v>0</v>
      </c>
      <c r="CO241" s="157">
        <v>0</v>
      </c>
      <c r="CP241" s="157">
        <v>0</v>
      </c>
      <c r="CQ241" s="23" t="s">
        <v>77</v>
      </c>
      <c r="DD241" s="8"/>
      <c r="DE241" s="8"/>
      <c r="DF241" s="8"/>
      <c r="DG241" s="8"/>
      <c r="DH241" s="8"/>
      <c r="DI241" s="8"/>
      <c r="DJ241" s="8"/>
      <c r="DK241" s="8"/>
    </row>
    <row r="242" spans="2:123" ht="11.25" customHeight="1" outlineLevel="1" x14ac:dyDescent="0.2">
      <c r="B242" s="8" t="s">
        <v>31</v>
      </c>
      <c r="D242" s="52"/>
      <c r="E242" s="52"/>
      <c r="F242" s="52"/>
      <c r="G242" s="52"/>
      <c r="H242" s="52"/>
      <c r="I242" s="52"/>
      <c r="J242" s="52"/>
      <c r="K242" s="52">
        <f t="shared" ref="K242:BD242" si="612">+K239+K240+K241</f>
        <v>22.372999999999983</v>
      </c>
      <c r="L242" s="52">
        <f t="shared" si="612"/>
        <v>12.62800000000011</v>
      </c>
      <c r="M242" s="52">
        <f t="shared" si="612"/>
        <v>60.077999999999818</v>
      </c>
      <c r="N242" s="52">
        <f t="shared" si="612"/>
        <v>105.45499999999996</v>
      </c>
      <c r="O242" s="52">
        <f t="shared" si="612"/>
        <v>108.81500000000001</v>
      </c>
      <c r="P242" s="52">
        <f t="shared" si="612"/>
        <v>80.939999999999941</v>
      </c>
      <c r="Q242" s="52">
        <f t="shared" si="612"/>
        <v>95.367999999999995</v>
      </c>
      <c r="R242" s="52">
        <f t="shared" si="612"/>
        <v>329.93399999999997</v>
      </c>
      <c r="S242" s="52">
        <f t="shared" si="612"/>
        <v>80.95499999999987</v>
      </c>
      <c r="T242" s="52">
        <f t="shared" si="612"/>
        <v>7.0089999999999577</v>
      </c>
      <c r="U242" s="147">
        <f>+U239+U240+U241</f>
        <v>411.92100000000084</v>
      </c>
      <c r="V242" s="147">
        <f t="shared" si="612"/>
        <v>84.50600000000091</v>
      </c>
      <c r="W242" s="147">
        <f t="shared" si="612"/>
        <v>394.50100000000009</v>
      </c>
      <c r="X242" s="9">
        <f t="shared" si="612"/>
        <v>743.0227543984937</v>
      </c>
      <c r="Y242" s="9">
        <f t="shared" si="612"/>
        <v>733.77410562176806</v>
      </c>
      <c r="Z242" s="9">
        <f t="shared" si="612"/>
        <v>1125.9547272227232</v>
      </c>
      <c r="AA242" s="9">
        <f t="shared" si="612"/>
        <v>1210.5576948579928</v>
      </c>
      <c r="AB242" s="9">
        <f t="shared" si="612"/>
        <v>1255.6185315920889</v>
      </c>
      <c r="AC242" s="9">
        <f t="shared" si="612"/>
        <v>1307.3770859815613</v>
      </c>
      <c r="AD242" s="9">
        <f t="shared" si="612"/>
        <v>1417.0319966801699</v>
      </c>
      <c r="AE242" s="9">
        <f t="shared" si="612"/>
        <v>1545.6443565108038</v>
      </c>
      <c r="AF242" s="9">
        <f t="shared" si="612"/>
        <v>1677.1118190250104</v>
      </c>
      <c r="AG242" s="9">
        <f t="shared" si="612"/>
        <v>1802.6809578922025</v>
      </c>
      <c r="AH242" s="9">
        <f t="shared" si="612"/>
        <v>2195.707919141948</v>
      </c>
      <c r="AI242" s="9">
        <f t="shared" si="612"/>
        <v>2248.2555551249984</v>
      </c>
      <c r="AJ242" s="9">
        <f t="shared" si="612"/>
        <v>2243.6856410341829</v>
      </c>
      <c r="AK242" s="9">
        <f t="shared" si="612"/>
        <v>2476.1738094459706</v>
      </c>
      <c r="AL242" s="9">
        <f t="shared" si="612"/>
        <v>2626.295369328509</v>
      </c>
      <c r="AM242" s="9">
        <f t="shared" si="612"/>
        <v>2794.892286019885</v>
      </c>
      <c r="AN242" s="9">
        <f t="shared" si="612"/>
        <v>2972.7540880895658</v>
      </c>
      <c r="AO242" s="9">
        <f t="shared" si="612"/>
        <v>2886.5487017575069</v>
      </c>
      <c r="AP242" s="9">
        <f t="shared" si="612"/>
        <v>2446.8191099046307</v>
      </c>
      <c r="AQ242" s="9">
        <f t="shared" si="612"/>
        <v>2031.6270849201483</v>
      </c>
      <c r="AR242" s="9">
        <f t="shared" si="612"/>
        <v>1553.0612276692596</v>
      </c>
      <c r="AS242" s="9">
        <f t="shared" si="612"/>
        <v>1040.012476156026</v>
      </c>
      <c r="AT242" s="9">
        <f t="shared" si="612"/>
        <v>521.23248760817751</v>
      </c>
      <c r="AU242" s="9">
        <f t="shared" si="612"/>
        <v>23.322778201991696</v>
      </c>
      <c r="AV242" s="9">
        <f t="shared" si="612"/>
        <v>-250.69450410979505</v>
      </c>
      <c r="AW242" s="9">
        <f t="shared" si="612"/>
        <v>-549.13328732742013</v>
      </c>
      <c r="AX242" s="9">
        <f t="shared" si="612"/>
        <v>-837.10736900025995</v>
      </c>
      <c r="AY242" s="9">
        <f t="shared" si="612"/>
        <v>-1114.2675570240949</v>
      </c>
      <c r="AZ242" s="9">
        <f t="shared" si="612"/>
        <v>-1380.2616261615317</v>
      </c>
      <c r="BA242" s="9">
        <f t="shared" si="612"/>
        <v>-1791.0632157680816</v>
      </c>
      <c r="BB242" s="9">
        <f t="shared" si="612"/>
        <v>-2190.4747426111117</v>
      </c>
      <c r="BC242" s="9">
        <f t="shared" si="612"/>
        <v>-2578.1428239342758</v>
      </c>
      <c r="BD242" s="9">
        <f t="shared" si="612"/>
        <v>-2953.7054842099305</v>
      </c>
      <c r="BE242" s="9">
        <f t="shared" ref="BE242:CP242" si="613">+BE239+BE240+BE241</f>
        <v>-3316.7920108194985</v>
      </c>
      <c r="BF242" s="9">
        <f t="shared" si="613"/>
        <v>-3667.0258065563826</v>
      </c>
      <c r="BG242" s="9">
        <f t="shared" si="613"/>
        <v>-4004.018860160922</v>
      </c>
      <c r="BH242" s="9">
        <f t="shared" si="613"/>
        <v>-4327.3784370741205</v>
      </c>
      <c r="BI242" s="9">
        <f t="shared" si="613"/>
        <v>-4636.6992720719236</v>
      </c>
      <c r="BJ242" s="9">
        <f t="shared" si="613"/>
        <v>-4931.570590398177</v>
      </c>
      <c r="BK242" s="9">
        <f t="shared" si="613"/>
        <v>-5211.5698302911924</v>
      </c>
      <c r="BL242" s="9">
        <f t="shared" si="613"/>
        <v>-5476.2662470132145</v>
      </c>
      <c r="BM242" s="9">
        <f t="shared" si="613"/>
        <v>-5725.2195426097496</v>
      </c>
      <c r="BN242" s="9">
        <f t="shared" si="613"/>
        <v>-5957.9800677017738</v>
      </c>
      <c r="BO242" s="9">
        <f t="shared" si="613"/>
        <v>-6174.0878111668735</v>
      </c>
      <c r="BP242" s="9">
        <f t="shared" si="613"/>
        <v>-6373.0725693740396</v>
      </c>
      <c r="BQ242" s="9">
        <f t="shared" si="613"/>
        <v>-6580.4198329983128</v>
      </c>
      <c r="BR242" s="9">
        <f t="shared" si="613"/>
        <v>-6773.3368523267436</v>
      </c>
      <c r="BS242" s="9">
        <f t="shared" si="613"/>
        <v>-6983.2607260637142</v>
      </c>
      <c r="BT242" s="9">
        <f t="shared" si="613"/>
        <v>-7206.8283146316044</v>
      </c>
      <c r="BU242" s="9">
        <f t="shared" si="613"/>
        <v>-7416.0373547731024</v>
      </c>
      <c r="BV242" s="9">
        <f t="shared" si="613"/>
        <v>-7610.5204138006156</v>
      </c>
      <c r="BW242" s="9">
        <f t="shared" si="613"/>
        <v>-7789.9037795018157</v>
      </c>
      <c r="BX242" s="9">
        <f t="shared" si="613"/>
        <v>-7953.8063489549995</v>
      </c>
      <c r="BY242" s="9">
        <f t="shared" si="613"/>
        <v>-8101.8418244501772</v>
      </c>
      <c r="BZ242" s="9">
        <f t="shared" si="613"/>
        <v>-8233.6145849144232</v>
      </c>
      <c r="CA242" s="9">
        <f t="shared" si="613"/>
        <v>-8348.7227815910446</v>
      </c>
      <c r="CB242" s="9">
        <f t="shared" si="613"/>
        <v>-8446.7554099205627</v>
      </c>
      <c r="CC242" s="9">
        <f t="shared" si="613"/>
        <v>-8530.9852994683824</v>
      </c>
      <c r="CD242" s="9">
        <f t="shared" si="613"/>
        <v>-8641.6355994852893</v>
      </c>
      <c r="CE242" s="9">
        <f t="shared" si="613"/>
        <v>-8734.897810642693</v>
      </c>
      <c r="CF242" s="9">
        <f t="shared" si="613"/>
        <v>-8810.352685597969</v>
      </c>
      <c r="CG242" s="9">
        <f t="shared" si="613"/>
        <v>-8867.5720926007907</v>
      </c>
      <c r="CH242" s="9">
        <f t="shared" si="613"/>
        <v>-9357.723803960942</v>
      </c>
      <c r="CI242" s="9">
        <f t="shared" si="613"/>
        <v>-9835.5935317761869</v>
      </c>
      <c r="CJ242" s="9">
        <f t="shared" si="613"/>
        <v>-10300.822041252335</v>
      </c>
      <c r="CK242" s="9">
        <f t="shared" si="613"/>
        <v>-10753.043573508341</v>
      </c>
      <c r="CL242" s="9">
        <f t="shared" si="613"/>
        <v>-11191.885271454586</v>
      </c>
      <c r="CM242" s="9">
        <f t="shared" si="613"/>
        <v>-11616.965516844346</v>
      </c>
      <c r="CN242" s="9">
        <f t="shared" si="613"/>
        <v>-12027.894118082524</v>
      </c>
      <c r="CO242" s="9">
        <f t="shared" si="613"/>
        <v>-12424.271747878598</v>
      </c>
      <c r="CP242" s="9">
        <f t="shared" si="613"/>
        <v>-12836.468103932588</v>
      </c>
      <c r="CQ242" s="23" t="s">
        <v>77</v>
      </c>
      <c r="DD242" s="8"/>
      <c r="DE242" s="8"/>
      <c r="DF242" s="8"/>
      <c r="DG242" s="8"/>
      <c r="DH242" s="8"/>
      <c r="DI242" s="8"/>
      <c r="DJ242" s="8"/>
      <c r="DK242" s="8"/>
    </row>
    <row r="243" spans="2:123" s="55" customFormat="1" ht="11.25" customHeight="1" outlineLevel="1" x14ac:dyDescent="0.2">
      <c r="B243" s="486" t="s">
        <v>46</v>
      </c>
      <c r="C243" s="88"/>
      <c r="D243" s="317"/>
      <c r="E243" s="317"/>
      <c r="F243" s="317" t="b">
        <f t="shared" ref="F243:AK243" si="614">IF(ABS(F242-F255)&lt;0.001,TRUE,F242-F255)</f>
        <v>1</v>
      </c>
      <c r="G243" s="317" t="b">
        <f t="shared" si="614"/>
        <v>1</v>
      </c>
      <c r="H243" s="317" t="b">
        <f t="shared" si="614"/>
        <v>1</v>
      </c>
      <c r="I243" s="317" t="b">
        <f t="shared" si="614"/>
        <v>1</v>
      </c>
      <c r="J243" s="317" t="b">
        <f t="shared" si="614"/>
        <v>1</v>
      </c>
      <c r="K243" s="317" t="b">
        <f t="shared" si="614"/>
        <v>1</v>
      </c>
      <c r="L243" s="317" t="b">
        <f t="shared" si="614"/>
        <v>1</v>
      </c>
      <c r="M243" s="317" t="b">
        <f t="shared" si="614"/>
        <v>1</v>
      </c>
      <c r="N243" s="317" t="b">
        <f t="shared" si="614"/>
        <v>1</v>
      </c>
      <c r="O243" s="317" t="b">
        <f t="shared" si="614"/>
        <v>1</v>
      </c>
      <c r="P243" s="317" t="b">
        <f t="shared" si="614"/>
        <v>1</v>
      </c>
      <c r="Q243" s="317" t="b">
        <f t="shared" si="614"/>
        <v>1</v>
      </c>
      <c r="R243" s="317" t="b">
        <f t="shared" si="614"/>
        <v>1</v>
      </c>
      <c r="S243" s="317" t="b">
        <f t="shared" si="614"/>
        <v>1</v>
      </c>
      <c r="T243" s="317" t="b">
        <f t="shared" si="614"/>
        <v>1</v>
      </c>
      <c r="U243" s="317" t="b">
        <f t="shared" si="614"/>
        <v>1</v>
      </c>
      <c r="V243" s="317" t="b">
        <f t="shared" si="614"/>
        <v>1</v>
      </c>
      <c r="W243" s="317" t="b">
        <f t="shared" si="614"/>
        <v>1</v>
      </c>
      <c r="X243" s="317" t="b">
        <f t="shared" si="614"/>
        <v>1</v>
      </c>
      <c r="Y243" s="317" t="b">
        <f t="shared" si="614"/>
        <v>1</v>
      </c>
      <c r="Z243" s="317" t="b">
        <f t="shared" si="614"/>
        <v>1</v>
      </c>
      <c r="AA243" s="317" t="b">
        <f t="shared" si="614"/>
        <v>1</v>
      </c>
      <c r="AB243" s="317" t="b">
        <f t="shared" si="614"/>
        <v>1</v>
      </c>
      <c r="AC243" s="317" t="b">
        <f t="shared" si="614"/>
        <v>1</v>
      </c>
      <c r="AD243" s="317" t="b">
        <f t="shared" si="614"/>
        <v>1</v>
      </c>
      <c r="AE243" s="317" t="b">
        <f t="shared" si="614"/>
        <v>1</v>
      </c>
      <c r="AF243" s="317" t="b">
        <f t="shared" si="614"/>
        <v>1</v>
      </c>
      <c r="AG243" s="317" t="b">
        <f t="shared" si="614"/>
        <v>1</v>
      </c>
      <c r="AH243" s="317" t="b">
        <f t="shared" si="614"/>
        <v>1</v>
      </c>
      <c r="AI243" s="317" t="b">
        <f t="shared" si="614"/>
        <v>1</v>
      </c>
      <c r="AJ243" s="317" t="b">
        <f t="shared" si="614"/>
        <v>1</v>
      </c>
      <c r="AK243" s="317" t="b">
        <f t="shared" si="614"/>
        <v>1</v>
      </c>
      <c r="AL243" s="317" t="b">
        <f t="shared" ref="AL243:BQ243" si="615">IF(ABS(AL242-AL255)&lt;0.001,TRUE,AL242-AL255)</f>
        <v>1</v>
      </c>
      <c r="AM243" s="317" t="b">
        <f t="shared" si="615"/>
        <v>1</v>
      </c>
      <c r="AN243" s="317" t="b">
        <f t="shared" si="615"/>
        <v>1</v>
      </c>
      <c r="AO243" s="317" t="b">
        <f t="shared" si="615"/>
        <v>1</v>
      </c>
      <c r="AP243" s="317" t="b">
        <f t="shared" si="615"/>
        <v>1</v>
      </c>
      <c r="AQ243" s="317" t="b">
        <f t="shared" si="615"/>
        <v>1</v>
      </c>
      <c r="AR243" s="317" t="b">
        <f t="shared" si="615"/>
        <v>1</v>
      </c>
      <c r="AS243" s="317" t="b">
        <f t="shared" si="615"/>
        <v>1</v>
      </c>
      <c r="AT243" s="317" t="b">
        <f t="shared" si="615"/>
        <v>1</v>
      </c>
      <c r="AU243" s="317" t="b">
        <f t="shared" si="615"/>
        <v>1</v>
      </c>
      <c r="AV243" s="317" t="b">
        <f t="shared" si="615"/>
        <v>1</v>
      </c>
      <c r="AW243" s="317" t="b">
        <f t="shared" si="615"/>
        <v>1</v>
      </c>
      <c r="AX243" s="317" t="b">
        <f t="shared" si="615"/>
        <v>1</v>
      </c>
      <c r="AY243" s="317" t="b">
        <f t="shared" si="615"/>
        <v>1</v>
      </c>
      <c r="AZ243" s="317" t="b">
        <f t="shared" si="615"/>
        <v>1</v>
      </c>
      <c r="BA243" s="317" t="b">
        <f t="shared" si="615"/>
        <v>1</v>
      </c>
      <c r="BB243" s="317" t="b">
        <f t="shared" si="615"/>
        <v>1</v>
      </c>
      <c r="BC243" s="317" t="b">
        <f t="shared" si="615"/>
        <v>1</v>
      </c>
      <c r="BD243" s="317" t="b">
        <f t="shared" si="615"/>
        <v>1</v>
      </c>
      <c r="BE243" s="317" t="b">
        <f t="shared" si="615"/>
        <v>1</v>
      </c>
      <c r="BF243" s="317" t="b">
        <f t="shared" si="615"/>
        <v>1</v>
      </c>
      <c r="BG243" s="317" t="b">
        <f t="shared" si="615"/>
        <v>1</v>
      </c>
      <c r="BH243" s="317" t="b">
        <f t="shared" si="615"/>
        <v>1</v>
      </c>
      <c r="BI243" s="317" t="b">
        <f t="shared" si="615"/>
        <v>1</v>
      </c>
      <c r="BJ243" s="317" t="b">
        <f t="shared" si="615"/>
        <v>1</v>
      </c>
      <c r="BK243" s="317" t="b">
        <f t="shared" si="615"/>
        <v>1</v>
      </c>
      <c r="BL243" s="317" t="b">
        <f t="shared" si="615"/>
        <v>1</v>
      </c>
      <c r="BM243" s="317" t="b">
        <f t="shared" si="615"/>
        <v>1</v>
      </c>
      <c r="BN243" s="317" t="b">
        <f t="shared" si="615"/>
        <v>1</v>
      </c>
      <c r="BO243" s="317" t="b">
        <f t="shared" si="615"/>
        <v>1</v>
      </c>
      <c r="BP243" s="317" t="b">
        <f t="shared" si="615"/>
        <v>1</v>
      </c>
      <c r="BQ243" s="317" t="b">
        <f t="shared" si="615"/>
        <v>1</v>
      </c>
      <c r="BR243" s="317" t="b">
        <f t="shared" ref="BR243:CP243" si="616">IF(ABS(BR242-BR255)&lt;0.001,TRUE,BR242-BR255)</f>
        <v>1</v>
      </c>
      <c r="BS243" s="317" t="b">
        <f t="shared" si="616"/>
        <v>1</v>
      </c>
      <c r="BT243" s="317" t="b">
        <f t="shared" si="616"/>
        <v>1</v>
      </c>
      <c r="BU243" s="317" t="b">
        <f t="shared" si="616"/>
        <v>1</v>
      </c>
      <c r="BV243" s="317" t="b">
        <f t="shared" si="616"/>
        <v>1</v>
      </c>
      <c r="BW243" s="317" t="b">
        <f t="shared" si="616"/>
        <v>1</v>
      </c>
      <c r="BX243" s="317" t="b">
        <f t="shared" si="616"/>
        <v>1</v>
      </c>
      <c r="BY243" s="317" t="b">
        <f t="shared" si="616"/>
        <v>1</v>
      </c>
      <c r="BZ243" s="317" t="b">
        <f t="shared" si="616"/>
        <v>1</v>
      </c>
      <c r="CA243" s="317" t="b">
        <f t="shared" si="616"/>
        <v>1</v>
      </c>
      <c r="CB243" s="317" t="b">
        <f t="shared" si="616"/>
        <v>1</v>
      </c>
      <c r="CC243" s="317" t="b">
        <f t="shared" si="616"/>
        <v>1</v>
      </c>
      <c r="CD243" s="317" t="b">
        <f t="shared" si="616"/>
        <v>1</v>
      </c>
      <c r="CE243" s="317" t="b">
        <f t="shared" si="616"/>
        <v>1</v>
      </c>
      <c r="CF243" s="317" t="b">
        <f t="shared" si="616"/>
        <v>1</v>
      </c>
      <c r="CG243" s="317" t="b">
        <f t="shared" si="616"/>
        <v>1</v>
      </c>
      <c r="CH243" s="317" t="b">
        <f t="shared" si="616"/>
        <v>1</v>
      </c>
      <c r="CI243" s="317" t="b">
        <f t="shared" si="616"/>
        <v>1</v>
      </c>
      <c r="CJ243" s="317" t="b">
        <f t="shared" si="616"/>
        <v>1</v>
      </c>
      <c r="CK243" s="317" t="b">
        <f t="shared" si="616"/>
        <v>1</v>
      </c>
      <c r="CL243" s="317" t="b">
        <f t="shared" si="616"/>
        <v>1</v>
      </c>
      <c r="CM243" s="317" t="b">
        <f t="shared" si="616"/>
        <v>1</v>
      </c>
      <c r="CN243" s="317" t="b">
        <f t="shared" si="616"/>
        <v>1</v>
      </c>
      <c r="CO243" s="317" t="b">
        <f t="shared" si="616"/>
        <v>1</v>
      </c>
      <c r="CP243" s="317" t="b">
        <f t="shared" si="616"/>
        <v>1</v>
      </c>
      <c r="CQ243" s="52" t="s">
        <v>77</v>
      </c>
      <c r="CU243"/>
      <c r="CV243"/>
      <c r="CW243"/>
      <c r="CX243"/>
      <c r="CY243"/>
      <c r="CZ243"/>
    </row>
    <row r="244" spans="2:123" ht="11.25" customHeight="1" outlineLevel="1" x14ac:dyDescent="0.2">
      <c r="B244" s="1" t="s">
        <v>84</v>
      </c>
      <c r="D244" s="3"/>
      <c r="E244" s="3"/>
      <c r="F244" s="3"/>
      <c r="G244" s="3"/>
      <c r="H244" s="3"/>
      <c r="I244" s="3"/>
      <c r="J244" s="3"/>
      <c r="K244" s="3">
        <f t="shared" ref="K244:BD244" si="617">SUM(K245:K249)</f>
        <v>101.455</v>
      </c>
      <c r="L244" s="3">
        <f t="shared" si="617"/>
        <v>101.05533333333334</v>
      </c>
      <c r="M244" s="3">
        <f t="shared" si="617"/>
        <v>93.143666666666661</v>
      </c>
      <c r="N244" s="3">
        <f t="shared" si="617"/>
        <v>-193.71166666666667</v>
      </c>
      <c r="O244" s="3">
        <f t="shared" si="617"/>
        <v>163.07799999999997</v>
      </c>
      <c r="P244" s="3">
        <f t="shared" si="617"/>
        <v>212.76200000000006</v>
      </c>
      <c r="Q244" s="3">
        <f t="shared" si="617"/>
        <v>217.39733333333334</v>
      </c>
      <c r="R244" s="3">
        <f t="shared" si="617"/>
        <v>235.88233333333335</v>
      </c>
      <c r="S244" s="3">
        <f t="shared" si="617"/>
        <v>211.82966666666664</v>
      </c>
      <c r="T244" s="33">
        <f t="shared" si="617"/>
        <v>252.31533333333329</v>
      </c>
      <c r="U244" s="33">
        <f>SUM(U245:U249)</f>
        <v>-746.77033333333338</v>
      </c>
      <c r="V244" s="33">
        <f t="shared" si="617"/>
        <v>715.83333333333326</v>
      </c>
      <c r="W244" s="33">
        <f t="shared" si="617"/>
        <v>814.01733333333345</v>
      </c>
      <c r="X244" s="33">
        <f t="shared" si="617"/>
        <v>594.04614331182688</v>
      </c>
      <c r="Y244" s="33">
        <f t="shared" si="617"/>
        <v>733.85059710660767</v>
      </c>
      <c r="Z244" s="33">
        <f t="shared" si="617"/>
        <v>906.18604259198878</v>
      </c>
      <c r="AA244" s="33">
        <f t="shared" si="617"/>
        <v>872.25303263182673</v>
      </c>
      <c r="AB244" s="33">
        <f t="shared" si="617"/>
        <v>836.91809458495368</v>
      </c>
      <c r="AC244" s="33">
        <f t="shared" si="617"/>
        <v>823.50362859846234</v>
      </c>
      <c r="AD244" s="33">
        <f t="shared" si="617"/>
        <v>861.88271738060882</v>
      </c>
      <c r="AE244" s="33">
        <f t="shared" si="617"/>
        <v>881.01378908080096</v>
      </c>
      <c r="AF244" s="33">
        <f t="shared" si="617"/>
        <v>883.8869347842068</v>
      </c>
      <c r="AG244" s="33">
        <f t="shared" si="617"/>
        <v>878.00668025497316</v>
      </c>
      <c r="AH244" s="33">
        <f t="shared" si="617"/>
        <v>895.48259789100314</v>
      </c>
      <c r="AI244" s="33">
        <f t="shared" si="617"/>
        <v>805.02139405128469</v>
      </c>
      <c r="AJ244" s="33">
        <f t="shared" si="617"/>
        <v>747.92199161575286</v>
      </c>
      <c r="AK244" s="33">
        <f t="shared" si="617"/>
        <v>734.9982480059607</v>
      </c>
      <c r="AL244" s="33">
        <f t="shared" si="617"/>
        <v>752.6498396515542</v>
      </c>
      <c r="AM244" s="33">
        <f t="shared" si="617"/>
        <v>771.14342296049574</v>
      </c>
      <c r="AN244" s="33">
        <f t="shared" si="617"/>
        <v>780.42656120224331</v>
      </c>
      <c r="AO244" s="33">
        <f t="shared" si="617"/>
        <v>766.37765206541724</v>
      </c>
      <c r="AP244" s="33">
        <f t="shared" si="617"/>
        <v>362.8717522491724</v>
      </c>
      <c r="AQ244" s="33">
        <f t="shared" si="617"/>
        <v>387.42765130004113</v>
      </c>
      <c r="AR244" s="33">
        <f t="shared" si="617"/>
        <v>324.07217773231059</v>
      </c>
      <c r="AS244" s="33">
        <f t="shared" si="617"/>
        <v>239.60766872319576</v>
      </c>
      <c r="AT244" s="33">
        <f t="shared" si="617"/>
        <v>233.89484353477434</v>
      </c>
      <c r="AU244" s="33">
        <f t="shared" si="617"/>
        <v>254.78356115405916</v>
      </c>
      <c r="AV244" s="33">
        <f t="shared" si="617"/>
        <v>265.90996418821334</v>
      </c>
      <c r="AW244" s="33">
        <f t="shared" si="617"/>
        <v>241.48846328237494</v>
      </c>
      <c r="AX244" s="33">
        <f t="shared" si="617"/>
        <v>251.95316482716026</v>
      </c>
      <c r="AY244" s="33">
        <f t="shared" si="617"/>
        <v>262.767058476165</v>
      </c>
      <c r="AZ244" s="33">
        <f t="shared" si="617"/>
        <v>273.93317736256324</v>
      </c>
      <c r="BA244" s="33">
        <f t="shared" si="617"/>
        <v>129.12565689345007</v>
      </c>
      <c r="BB244" s="33">
        <f t="shared" si="617"/>
        <v>140.51571965696979</v>
      </c>
      <c r="BC244" s="33">
        <f t="shared" si="617"/>
        <v>152.25916517683595</v>
      </c>
      <c r="BD244" s="33">
        <f t="shared" si="617"/>
        <v>164.3645862243454</v>
      </c>
      <c r="BE244" s="33">
        <f t="shared" ref="BE244:CP244" si="618">SUM(BE245:BE249)</f>
        <v>176.84071989043198</v>
      </c>
      <c r="BF244" s="33">
        <f t="shared" si="618"/>
        <v>189.69345076311575</v>
      </c>
      <c r="BG244" s="33">
        <f t="shared" si="618"/>
        <v>202.93419289546068</v>
      </c>
      <c r="BH244" s="33">
        <f t="shared" si="618"/>
        <v>216.56766958680174</v>
      </c>
      <c r="BI244" s="33">
        <f t="shared" si="618"/>
        <v>230.6064115021972</v>
      </c>
      <c r="BJ244" s="33">
        <f t="shared" si="618"/>
        <v>245.05592817374696</v>
      </c>
      <c r="BK244" s="33">
        <f t="shared" si="618"/>
        <v>259.9280066069847</v>
      </c>
      <c r="BL244" s="33">
        <f t="shared" si="618"/>
        <v>275.23082977797827</v>
      </c>
      <c r="BM244" s="33">
        <f t="shared" si="618"/>
        <v>290.97395090346532</v>
      </c>
      <c r="BN244" s="33">
        <f t="shared" si="618"/>
        <v>307.16672140797561</v>
      </c>
      <c r="BO244" s="33">
        <f t="shared" si="618"/>
        <v>323.81950303490015</v>
      </c>
      <c r="BP244" s="33">
        <f t="shared" si="618"/>
        <v>340.94248829283401</v>
      </c>
      <c r="BQ244" s="33">
        <f t="shared" si="618"/>
        <v>332.57998287572718</v>
      </c>
      <c r="BR244" s="33">
        <f t="shared" si="618"/>
        <v>347.01022717156894</v>
      </c>
      <c r="BS244" s="33">
        <f t="shared" si="618"/>
        <v>330.00337276302923</v>
      </c>
      <c r="BT244" s="33">
        <f t="shared" si="618"/>
        <v>316.35965793210954</v>
      </c>
      <c r="BU244" s="33">
        <f t="shared" si="618"/>
        <v>330.71820635850213</v>
      </c>
      <c r="BV244" s="33">
        <f t="shared" si="618"/>
        <v>345.44418747248693</v>
      </c>
      <c r="BW244" s="33">
        <f t="shared" si="618"/>
        <v>360.5438807988001</v>
      </c>
      <c r="BX244" s="33">
        <f t="shared" si="618"/>
        <v>376.02467704681629</v>
      </c>
      <c r="BY244" s="33">
        <f t="shared" si="618"/>
        <v>391.89177100482209</v>
      </c>
      <c r="BZ244" s="33">
        <f t="shared" si="618"/>
        <v>408.15448603575391</v>
      </c>
      <c r="CA244" s="33">
        <f t="shared" si="618"/>
        <v>424.81904982337903</v>
      </c>
      <c r="CB244" s="33">
        <f t="shared" si="618"/>
        <v>441.89461817048294</v>
      </c>
      <c r="CC244" s="33">
        <f t="shared" si="618"/>
        <v>455.69735695218117</v>
      </c>
      <c r="CD244" s="33">
        <f t="shared" si="618"/>
        <v>429.27694648309398</v>
      </c>
      <c r="CE244" s="33">
        <f t="shared" si="618"/>
        <v>446.66503534259658</v>
      </c>
      <c r="CF244" s="33">
        <f t="shared" si="618"/>
        <v>464.47237154472361</v>
      </c>
      <c r="CG244" s="33">
        <f t="shared" si="618"/>
        <v>482.70783949717782</v>
      </c>
      <c r="CH244" s="33">
        <f t="shared" si="618"/>
        <v>49.775535139847918</v>
      </c>
      <c r="CI244" s="33">
        <f t="shared" si="618"/>
        <v>62.057518684755152</v>
      </c>
      <c r="CJ244" s="33">
        <f t="shared" si="618"/>
        <v>74.698737023852019</v>
      </c>
      <c r="CK244" s="33">
        <f t="shared" si="618"/>
        <v>87.705714243993597</v>
      </c>
      <c r="CL244" s="33">
        <f t="shared" si="618"/>
        <v>101.08554855375409</v>
      </c>
      <c r="CM244" s="33">
        <f t="shared" si="618"/>
        <v>114.84700111024081</v>
      </c>
      <c r="CN244" s="33">
        <f t="shared" si="618"/>
        <v>128.99864526182222</v>
      </c>
      <c r="CO244" s="33">
        <f t="shared" si="618"/>
        <v>143.54961670392649</v>
      </c>
      <c r="CP244" s="33">
        <f t="shared" si="618"/>
        <v>127.73089044601042</v>
      </c>
      <c r="CQ244" s="23" t="s">
        <v>77</v>
      </c>
      <c r="DD244" s="8"/>
      <c r="DE244" s="8"/>
      <c r="DF244" s="8"/>
      <c r="DG244" s="8"/>
      <c r="DH244" s="8"/>
      <c r="DI244" s="8"/>
      <c r="DJ244" s="8"/>
      <c r="DK244" s="8"/>
    </row>
    <row r="245" spans="2:123" ht="11.25" customHeight="1" outlineLevel="1" x14ac:dyDescent="0.2">
      <c r="B245" s="8" t="s">
        <v>82</v>
      </c>
      <c r="K245" s="9">
        <f>+K221</f>
        <v>106.22</v>
      </c>
      <c r="L245" s="9">
        <f t="shared" ref="L245:BD245" si="619">+L221</f>
        <v>112.17400000000001</v>
      </c>
      <c r="M245" s="9">
        <f t="shared" si="619"/>
        <v>136.708</v>
      </c>
      <c r="N245" s="9">
        <f t="shared" si="619"/>
        <v>186.423</v>
      </c>
      <c r="O245" s="9">
        <f t="shared" si="619"/>
        <v>226.369</v>
      </c>
      <c r="P245" s="9">
        <f t="shared" si="619"/>
        <v>267.76100000000002</v>
      </c>
      <c r="Q245" s="9">
        <f t="shared" si="619"/>
        <v>290.029</v>
      </c>
      <c r="R245" s="9">
        <f t="shared" si="619"/>
        <v>335.56900000000002</v>
      </c>
      <c r="S245" s="9">
        <f t="shared" si="619"/>
        <v>374.38099999999997</v>
      </c>
      <c r="T245" s="9">
        <f t="shared" si="619"/>
        <v>431.541</v>
      </c>
      <c r="U245" s="9">
        <f t="shared" si="619"/>
        <v>562.19000000000005</v>
      </c>
      <c r="V245" s="9">
        <f t="shared" si="619"/>
        <v>862.43499999999995</v>
      </c>
      <c r="W245" s="9">
        <f t="shared" si="619"/>
        <v>973.93600000000004</v>
      </c>
      <c r="X245" s="9">
        <f t="shared" si="619"/>
        <v>916.31280997849353</v>
      </c>
      <c r="Y245" s="9">
        <f t="shared" si="619"/>
        <v>992.9937637732744</v>
      </c>
      <c r="Z245" s="9">
        <f t="shared" si="619"/>
        <v>1051.3677701600054</v>
      </c>
      <c r="AA245" s="9">
        <f t="shared" si="619"/>
        <v>1022.319166572883</v>
      </c>
      <c r="AB245" s="9">
        <f t="shared" si="619"/>
        <v>991.26690296667857</v>
      </c>
      <c r="AC245" s="9">
        <f t="shared" si="619"/>
        <v>970.16529162071845</v>
      </c>
      <c r="AD245" s="9">
        <f t="shared" si="619"/>
        <v>1000.2502370735667</v>
      </c>
      <c r="AE245" s="9">
        <f t="shared" si="619"/>
        <v>1020.0546995759327</v>
      </c>
      <c r="AF245" s="9">
        <f t="shared" si="619"/>
        <v>1023.5314059677927</v>
      </c>
      <c r="AG245" s="9">
        <f t="shared" si="619"/>
        <v>1018.2556857466741</v>
      </c>
      <c r="AH245" s="9">
        <f t="shared" si="619"/>
        <v>1036.3371127439045</v>
      </c>
      <c r="AI245" s="9">
        <f t="shared" si="619"/>
        <v>946.48239475397634</v>
      </c>
      <c r="AJ245" s="9">
        <f t="shared" si="619"/>
        <v>889.9904560944118</v>
      </c>
      <c r="AK245" s="9">
        <f t="shared" si="619"/>
        <v>877.67515562643644</v>
      </c>
      <c r="AL245" s="9">
        <f t="shared" si="619"/>
        <v>895.93617122145758</v>
      </c>
      <c r="AM245" s="9">
        <f t="shared" si="619"/>
        <v>915.0401607312906</v>
      </c>
      <c r="AN245" s="9">
        <f t="shared" si="619"/>
        <v>924.93468887134134</v>
      </c>
      <c r="AO245" s="9">
        <f t="shared" si="619"/>
        <v>911.49815477827565</v>
      </c>
      <c r="AP245" s="9">
        <f t="shared" si="619"/>
        <v>508.60561660139467</v>
      </c>
      <c r="AQ245" s="9">
        <f t="shared" si="619"/>
        <v>533.7758653394809</v>
      </c>
      <c r="AR245" s="9">
        <f t="shared" si="619"/>
        <v>471.03573096117844</v>
      </c>
      <c r="AS245" s="9">
        <f t="shared" si="619"/>
        <v>387.18755210016946</v>
      </c>
      <c r="AT245" s="9">
        <f t="shared" si="619"/>
        <v>382.09204947711135</v>
      </c>
      <c r="AU245" s="9">
        <f t="shared" si="619"/>
        <v>403.59908353971298</v>
      </c>
      <c r="AV245" s="9">
        <f t="shared" si="619"/>
        <v>415.34479835795264</v>
      </c>
      <c r="AW245" s="9">
        <f t="shared" si="619"/>
        <v>391.5436060419056</v>
      </c>
      <c r="AX245" s="9">
        <f t="shared" si="619"/>
        <v>402.62961444925054</v>
      </c>
      <c r="AY245" s="9">
        <f t="shared" si="619"/>
        <v>414.06581470277411</v>
      </c>
      <c r="AZ245" s="9">
        <f t="shared" si="619"/>
        <v>425.85524140697248</v>
      </c>
      <c r="BA245" s="9">
        <f t="shared" si="619"/>
        <v>281.67203144239744</v>
      </c>
      <c r="BB245" s="9">
        <f t="shared" si="619"/>
        <v>293.68740887278761</v>
      </c>
      <c r="BC245" s="9">
        <f t="shared" si="619"/>
        <v>306.05717469959131</v>
      </c>
      <c r="BD245" s="9">
        <f t="shared" si="619"/>
        <v>318.78992317398416</v>
      </c>
      <c r="BE245" s="9">
        <f t="shared" ref="BE245:CP245" si="620">+BE221</f>
        <v>331.89439286892554</v>
      </c>
      <c r="BF245" s="9">
        <f t="shared" si="620"/>
        <v>345.37646985661092</v>
      </c>
      <c r="BG245" s="9">
        <f t="shared" si="620"/>
        <v>359.24756967643293</v>
      </c>
      <c r="BH245" s="9">
        <f t="shared" si="620"/>
        <v>373.51241711621128</v>
      </c>
      <c r="BI245" s="9">
        <f t="shared" si="620"/>
        <v>388.18354433164836</v>
      </c>
      <c r="BJ245" s="9">
        <f t="shared" si="620"/>
        <v>403.26646234765053</v>
      </c>
      <c r="BK245" s="9">
        <f t="shared" si="620"/>
        <v>418.77295966472366</v>
      </c>
      <c r="BL245" s="9">
        <f t="shared" si="620"/>
        <v>434.71122075607639</v>
      </c>
      <c r="BM245" s="9">
        <f t="shared" si="620"/>
        <v>451.09080033775899</v>
      </c>
      <c r="BN245" s="9">
        <f t="shared" si="620"/>
        <v>467.92105133578877</v>
      </c>
      <c r="BO245" s="9">
        <f t="shared" si="620"/>
        <v>485.21233699722279</v>
      </c>
      <c r="BP245" s="9">
        <f t="shared" si="620"/>
        <v>502.97485133650298</v>
      </c>
      <c r="BQ245" s="9">
        <f t="shared" si="620"/>
        <v>495.25290155561083</v>
      </c>
      <c r="BR245" s="9">
        <f t="shared" si="620"/>
        <v>510.32472955275477</v>
      </c>
      <c r="BS245" s="9">
        <f t="shared" si="620"/>
        <v>493.96048842301457</v>
      </c>
      <c r="BT245" s="9">
        <f t="shared" si="620"/>
        <v>480.96041796299562</v>
      </c>
      <c r="BU245" s="9">
        <f t="shared" si="620"/>
        <v>495.96364336919112</v>
      </c>
      <c r="BV245" s="9">
        <f t="shared" si="620"/>
        <v>511.3353355908821</v>
      </c>
      <c r="BW245" s="9">
        <f t="shared" si="620"/>
        <v>527.08177567400946</v>
      </c>
      <c r="BX245" s="9">
        <f t="shared" si="620"/>
        <v>543.21035585135928</v>
      </c>
      <c r="BY245" s="9">
        <f t="shared" si="620"/>
        <v>559.72627243683951</v>
      </c>
      <c r="BZ245" s="9">
        <f t="shared" si="620"/>
        <v>576.63885032122062</v>
      </c>
      <c r="CA245" s="9">
        <f t="shared" si="620"/>
        <v>593.95431871832056</v>
      </c>
      <c r="CB245" s="9">
        <f t="shared" si="620"/>
        <v>611.68183496319477</v>
      </c>
      <c r="CC245" s="9">
        <f t="shared" si="620"/>
        <v>626.13756646545153</v>
      </c>
      <c r="CD245" s="9">
        <f t="shared" si="620"/>
        <v>600.37119507642979</v>
      </c>
      <c r="CE245" s="9">
        <f t="shared" si="620"/>
        <v>618.41437091445232</v>
      </c>
      <c r="CF245" s="9">
        <f t="shared" si="620"/>
        <v>636.87784353473398</v>
      </c>
      <c r="CG245" s="9">
        <f t="shared" si="620"/>
        <v>655.77049888839304</v>
      </c>
      <c r="CH245" s="9">
        <f t="shared" si="620"/>
        <v>223.49643446097275</v>
      </c>
      <c r="CI245" s="9">
        <f t="shared" si="620"/>
        <v>236.43771201239076</v>
      </c>
      <c r="CJ245" s="9">
        <f t="shared" si="620"/>
        <v>249.73927998474142</v>
      </c>
      <c r="CK245" s="9">
        <f t="shared" si="620"/>
        <v>263.40766401727012</v>
      </c>
      <c r="CL245" s="9">
        <f t="shared" si="620"/>
        <v>277.44996387319327</v>
      </c>
      <c r="CM245" s="9">
        <f t="shared" si="620"/>
        <v>291.87494226651529</v>
      </c>
      <c r="CN245" s="9">
        <f t="shared" si="620"/>
        <v>306.69117410476019</v>
      </c>
      <c r="CO245" s="9">
        <f t="shared" si="620"/>
        <v>321.90779664477327</v>
      </c>
      <c r="CP245" s="9">
        <f t="shared" si="620"/>
        <v>306.75578645969324</v>
      </c>
      <c r="CQ245" s="23" t="s">
        <v>77</v>
      </c>
      <c r="DD245" s="8"/>
      <c r="DE245" s="8"/>
      <c r="DF245" s="8"/>
      <c r="DG245" s="8"/>
      <c r="DH245" s="8"/>
      <c r="DI245" s="8"/>
      <c r="DJ245" s="8"/>
      <c r="DK245" s="8"/>
    </row>
    <row r="246" spans="2:123" ht="11.25" customHeight="1" outlineLevel="1" x14ac:dyDescent="0.2">
      <c r="B246" s="8" t="s">
        <v>451</v>
      </c>
      <c r="K246" s="9">
        <f>+K223+K227</f>
        <v>-12.824999999999999</v>
      </c>
      <c r="L246" s="9">
        <f>+L223+L227</f>
        <v>-31.975999999999999</v>
      </c>
      <c r="M246" s="9">
        <f>+M223+M227</f>
        <v>-130.279</v>
      </c>
      <c r="N246" s="9">
        <f>+N223+N227</f>
        <v>-193.80799999999999</v>
      </c>
      <c r="O246" s="9">
        <f t="shared" ref="O246:BD246" si="621">-O193</f>
        <v>-12</v>
      </c>
      <c r="P246" s="9">
        <f t="shared" si="621"/>
        <v>-14.7</v>
      </c>
      <c r="Q246" s="9">
        <f t="shared" si="621"/>
        <v>-18</v>
      </c>
      <c r="R246" s="9">
        <f t="shared" si="621"/>
        <v>-24.4</v>
      </c>
      <c r="S246" s="9">
        <f t="shared" si="621"/>
        <v>-24.7</v>
      </c>
      <c r="T246" s="9">
        <f t="shared" si="621"/>
        <v>-45.1</v>
      </c>
      <c r="U246" s="9">
        <f t="shared" si="621"/>
        <v>-50.6</v>
      </c>
      <c r="V246" s="9">
        <f t="shared" si="621"/>
        <v>-52.7</v>
      </c>
      <c r="W246" s="9">
        <f t="shared" si="621"/>
        <v>-68.8</v>
      </c>
      <c r="X246" s="9">
        <f t="shared" si="621"/>
        <v>-90</v>
      </c>
      <c r="Y246" s="9">
        <f t="shared" si="621"/>
        <v>-110.9265</v>
      </c>
      <c r="Z246" s="9">
        <f t="shared" si="621"/>
        <v>-124.29373162500002</v>
      </c>
      <c r="AA246" s="9">
        <f t="shared" si="621"/>
        <v>-126.20472469277777</v>
      </c>
      <c r="AB246" s="9">
        <f t="shared" si="621"/>
        <v>-128.38380270629605</v>
      </c>
      <c r="AC246" s="9">
        <f t="shared" si="621"/>
        <v>-130.75274916776124</v>
      </c>
      <c r="AD246" s="9">
        <f t="shared" si="621"/>
        <v>-132.21723960195771</v>
      </c>
      <c r="AE246" s="9">
        <f t="shared" si="621"/>
        <v>-132.80381912004822</v>
      </c>
      <c r="AF246" s="9">
        <f t="shared" si="621"/>
        <v>-133.39835829858578</v>
      </c>
      <c r="AG246" s="9">
        <f t="shared" si="621"/>
        <v>-133.99385804781045</v>
      </c>
      <c r="AH246" s="9">
        <f t="shared" si="621"/>
        <v>-134.59031978227253</v>
      </c>
      <c r="AI246" s="9">
        <f t="shared" si="621"/>
        <v>-135.18774491857471</v>
      </c>
      <c r="AJ246" s="9">
        <f t="shared" si="621"/>
        <v>-135.7861348753749</v>
      </c>
      <c r="AK246" s="9">
        <f t="shared" si="621"/>
        <v>-136.38549107338932</v>
      </c>
      <c r="AL246" s="9">
        <f t="shared" si="621"/>
        <v>-136.98581493539544</v>
      </c>
      <c r="AM246" s="9">
        <f t="shared" si="621"/>
        <v>-137.587107886235</v>
      </c>
      <c r="AN246" s="9">
        <f t="shared" si="621"/>
        <v>-138.18937135281695</v>
      </c>
      <c r="AO246" s="9">
        <f t="shared" si="621"/>
        <v>-138.79260676412045</v>
      </c>
      <c r="AP246" s="9">
        <f t="shared" si="621"/>
        <v>-139.3968155511979</v>
      </c>
      <c r="AQ246" s="9">
        <f t="shared" si="621"/>
        <v>-140.00199914717791</v>
      </c>
      <c r="AR246" s="9">
        <f t="shared" si="621"/>
        <v>-140.60815898726827</v>
      </c>
      <c r="AS246" s="9">
        <f t="shared" si="621"/>
        <v>-141.21529650875908</v>
      </c>
      <c r="AT246" s="9">
        <f t="shared" si="621"/>
        <v>-141.82341315102559</v>
      </c>
      <c r="AU246" s="9">
        <f t="shared" si="621"/>
        <v>-142.43251035553138</v>
      </c>
      <c r="AV246" s="9">
        <f t="shared" si="621"/>
        <v>-143.04258956583129</v>
      </c>
      <c r="AW246" s="9">
        <f t="shared" si="621"/>
        <v>-143.6536522275745</v>
      </c>
      <c r="AX246" s="9">
        <f t="shared" si="621"/>
        <v>-144.26569978850745</v>
      </c>
      <c r="AY246" s="9">
        <f t="shared" si="621"/>
        <v>-144.87873369847705</v>
      </c>
      <c r="AZ246" s="9">
        <f t="shared" si="621"/>
        <v>-145.49275540943356</v>
      </c>
      <c r="BA246" s="9">
        <f t="shared" si="621"/>
        <v>-146.10776637543373</v>
      </c>
      <c r="BB246" s="9">
        <f t="shared" si="621"/>
        <v>-146.72376805264383</v>
      </c>
      <c r="BC246" s="9">
        <f t="shared" si="621"/>
        <v>-147.34076189934265</v>
      </c>
      <c r="BD246" s="9">
        <f t="shared" si="621"/>
        <v>-147.95874937592464</v>
      </c>
      <c r="BE246" s="9">
        <f t="shared" ref="BE246:CP246" si="622">-BE193</f>
        <v>-148.57773194490292</v>
      </c>
      <c r="BF246" s="9">
        <f t="shared" si="622"/>
        <v>-149.19771107091231</v>
      </c>
      <c r="BG246" s="9">
        <f t="shared" si="622"/>
        <v>-149.81868822071252</v>
      </c>
      <c r="BH246" s="9">
        <f t="shared" si="622"/>
        <v>-150.44066486319107</v>
      </c>
      <c r="BI246" s="9">
        <f t="shared" si="622"/>
        <v>-151.06364246936656</v>
      </c>
      <c r="BJ246" s="9">
        <f t="shared" si="622"/>
        <v>-151.68762251239153</v>
      </c>
      <c r="BK246" s="9">
        <f t="shared" si="622"/>
        <v>-152.31260646755572</v>
      </c>
      <c r="BL246" s="9">
        <f t="shared" si="622"/>
        <v>-152.93859581228912</v>
      </c>
      <c r="BM246" s="9">
        <f t="shared" si="622"/>
        <v>-153.56559202616501</v>
      </c>
      <c r="BN246" s="9">
        <f t="shared" si="622"/>
        <v>-154.19359659090313</v>
      </c>
      <c r="BO246" s="9">
        <f t="shared" si="622"/>
        <v>-154.82261099037277</v>
      </c>
      <c r="BP246" s="9">
        <f t="shared" si="622"/>
        <v>-155.45263671059587</v>
      </c>
      <c r="BQ246" s="9">
        <f t="shared" si="622"/>
        <v>-156.08367523975011</v>
      </c>
      <c r="BR246" s="9">
        <f t="shared" si="622"/>
        <v>-156.71572806817207</v>
      </c>
      <c r="BS246" s="9">
        <f t="shared" si="622"/>
        <v>-157.34879668836035</v>
      </c>
      <c r="BT246" s="9">
        <f t="shared" si="622"/>
        <v>-157.98288259497872</v>
      </c>
      <c r="BU246" s="9">
        <f t="shared" si="622"/>
        <v>-158.61798728485914</v>
      </c>
      <c r="BV246" s="9">
        <f t="shared" si="622"/>
        <v>-159.25411225700503</v>
      </c>
      <c r="BW246" s="9">
        <f t="shared" si="622"/>
        <v>-159.89125901259439</v>
      </c>
      <c r="BX246" s="9">
        <f t="shared" si="622"/>
        <v>-160.5294290549829</v>
      </c>
      <c r="BY246" s="9">
        <f t="shared" si="622"/>
        <v>-161.16862388970708</v>
      </c>
      <c r="BZ246" s="9">
        <f t="shared" si="622"/>
        <v>-161.80884502448745</v>
      </c>
      <c r="CA246" s="9">
        <f t="shared" si="622"/>
        <v>-162.45009396923172</v>
      </c>
      <c r="CB246" s="9">
        <f t="shared" si="622"/>
        <v>-163.0923722360379</v>
      </c>
      <c r="CC246" s="9">
        <f t="shared" si="622"/>
        <v>-163.73568133919758</v>
      </c>
      <c r="CD246" s="9">
        <f t="shared" si="622"/>
        <v>-164.38002279519895</v>
      </c>
      <c r="CE246" s="9">
        <f t="shared" si="622"/>
        <v>-165.02539812273008</v>
      </c>
      <c r="CF246" s="9">
        <f t="shared" si="622"/>
        <v>-165.67180884268208</v>
      </c>
      <c r="CG246" s="9">
        <f t="shared" si="622"/>
        <v>-166.31925647815231</v>
      </c>
      <c r="CH246" s="9">
        <f t="shared" si="622"/>
        <v>-166.96774255444754</v>
      </c>
      <c r="CI246" s="9">
        <f t="shared" si="622"/>
        <v>-167.61726859908711</v>
      </c>
      <c r="CJ246" s="9">
        <f t="shared" si="622"/>
        <v>-168.26783614180624</v>
      </c>
      <c r="CK246" s="9">
        <f t="shared" si="622"/>
        <v>-168.91944671455917</v>
      </c>
      <c r="CL246" s="9">
        <f t="shared" si="622"/>
        <v>-169.5721018515224</v>
      </c>
      <c r="CM246" s="9">
        <f t="shared" si="622"/>
        <v>-170.22580308909781</v>
      </c>
      <c r="CN246" s="9">
        <f t="shared" si="622"/>
        <v>-170.880551965916</v>
      </c>
      <c r="CO246" s="9">
        <f t="shared" si="622"/>
        <v>-171.53635002283949</v>
      </c>
      <c r="CP246" s="9">
        <f t="shared" si="622"/>
        <v>-172.19319880296587</v>
      </c>
      <c r="CQ246" s="23" t="s">
        <v>77</v>
      </c>
      <c r="DD246" s="8"/>
      <c r="DE246" s="8"/>
      <c r="DF246" s="8"/>
      <c r="DG246" s="8"/>
      <c r="DH246" s="8"/>
      <c r="DI246" s="8"/>
      <c r="DJ246" s="8"/>
      <c r="DK246" s="8"/>
    </row>
    <row r="247" spans="2:123" ht="11.25" customHeight="1" outlineLevel="1" x14ac:dyDescent="0.2">
      <c r="B247" s="8" t="s">
        <v>452</v>
      </c>
      <c r="K247" s="9">
        <f t="shared" ref="K247:BD247" si="623">-K192+K227</f>
        <v>0</v>
      </c>
      <c r="L247" s="9">
        <f t="shared" si="623"/>
        <v>0</v>
      </c>
      <c r="M247" s="9">
        <f t="shared" si="623"/>
        <v>0</v>
      </c>
      <c r="N247" s="9">
        <f t="shared" si="623"/>
        <v>-315.5</v>
      </c>
      <c r="O247" s="9">
        <f t="shared" si="623"/>
        <v>-153.60000000000002</v>
      </c>
      <c r="P247" s="9">
        <f t="shared" si="623"/>
        <v>-120.6</v>
      </c>
      <c r="Q247" s="9">
        <f t="shared" si="623"/>
        <v>-163.39999999999998</v>
      </c>
      <c r="R247" s="9">
        <f t="shared" si="623"/>
        <v>-225.143</v>
      </c>
      <c r="S247" s="9">
        <f t="shared" si="623"/>
        <v>-373.80700000000002</v>
      </c>
      <c r="T247" s="9">
        <f t="shared" si="623"/>
        <v>-402.37700000000007</v>
      </c>
      <c r="U247" s="9">
        <f>-U192+U227</f>
        <v>-3775.0810000000001</v>
      </c>
      <c r="V247" s="9">
        <f>-V192+V227</f>
        <v>-281.70499999999998</v>
      </c>
      <c r="W247" s="9">
        <f t="shared" si="623"/>
        <v>-273.35599999999999</v>
      </c>
      <c r="X247" s="9">
        <f t="shared" si="623"/>
        <v>-696.8</v>
      </c>
      <c r="Y247" s="9">
        <f t="shared" si="623"/>
        <v>-444.65</v>
      </c>
      <c r="Z247" s="9">
        <f t="shared" si="623"/>
        <v>-62.663987829050122</v>
      </c>
      <c r="AA247" s="9">
        <f t="shared" si="623"/>
        <v>-71.584227744835601</v>
      </c>
      <c r="AB247" s="9">
        <f t="shared" si="623"/>
        <v>-77.895017026286553</v>
      </c>
      <c r="AC247" s="9">
        <f t="shared" si="623"/>
        <v>-47.726741563484779</v>
      </c>
      <c r="AD247" s="9">
        <f t="shared" si="623"/>
        <v>-18.450840273000274</v>
      </c>
      <c r="AE247" s="9">
        <f t="shared" si="623"/>
        <v>-18.711274125250597</v>
      </c>
      <c r="AF247" s="9">
        <f t="shared" si="623"/>
        <v>-18.738338655000462</v>
      </c>
      <c r="AG247" s="9">
        <f t="shared" si="623"/>
        <v>-18.765442331671352</v>
      </c>
      <c r="AH247" s="9">
        <f t="shared" si="623"/>
        <v>-18.792585211886518</v>
      </c>
      <c r="AI247" s="9">
        <f t="shared" si="623"/>
        <v>-18.819767352351104</v>
      </c>
      <c r="AJ247" s="9">
        <f t="shared" si="623"/>
        <v>-18.84698880985227</v>
      </c>
      <c r="AK247" s="9">
        <f t="shared" si="623"/>
        <v>-18.874249641259322</v>
      </c>
      <c r="AL247" s="9">
        <f t="shared" si="623"/>
        <v>-18.901549903523815</v>
      </c>
      <c r="AM247" s="9">
        <f t="shared" si="623"/>
        <v>-18.92888965367969</v>
      </c>
      <c r="AN247" s="9">
        <f t="shared" si="623"/>
        <v>-18.95626894884337</v>
      </c>
      <c r="AO247" s="9">
        <f t="shared" si="623"/>
        <v>-18.983687846213911</v>
      </c>
      <c r="AP247" s="9">
        <f t="shared" si="623"/>
        <v>-19.011146403073091</v>
      </c>
      <c r="AQ247" s="9">
        <f t="shared" si="623"/>
        <v>-19.038644676785548</v>
      </c>
      <c r="AR247" s="9">
        <f t="shared" si="623"/>
        <v>-19.066182724798885</v>
      </c>
      <c r="AS247" s="9">
        <f t="shared" si="623"/>
        <v>-19.093760604643812</v>
      </c>
      <c r="AT247" s="9">
        <f t="shared" si="623"/>
        <v>-19.121378373934242</v>
      </c>
      <c r="AU247" s="9">
        <f t="shared" si="623"/>
        <v>-19.149036090367424</v>
      </c>
      <c r="AV247" s="9">
        <f t="shared" si="623"/>
        <v>-19.176733811724066</v>
      </c>
      <c r="AW247" s="9">
        <f t="shared" si="623"/>
        <v>-19.204471595868448</v>
      </c>
      <c r="AX247" s="9">
        <f t="shared" si="623"/>
        <v>-19.232249500748551</v>
      </c>
      <c r="AY247" s="9">
        <f t="shared" si="623"/>
        <v>-19.260067584396175</v>
      </c>
      <c r="AZ247" s="9">
        <f t="shared" si="623"/>
        <v>-19.287925904927043</v>
      </c>
      <c r="BA247" s="9">
        <f t="shared" si="623"/>
        <v>-19.315824520540957</v>
      </c>
      <c r="BB247" s="9">
        <f t="shared" si="623"/>
        <v>-19.343763489521898</v>
      </c>
      <c r="BC247" s="9">
        <f t="shared" si="623"/>
        <v>-19.371742870238148</v>
      </c>
      <c r="BD247" s="9">
        <f t="shared" si="623"/>
        <v>-19.399762721142405</v>
      </c>
      <c r="BE247" s="9">
        <f t="shared" ref="BE247:CP247" si="624">-BE192+BE227</f>
        <v>-19.427823100771931</v>
      </c>
      <c r="BF247" s="9">
        <f t="shared" si="624"/>
        <v>-19.455924067748644</v>
      </c>
      <c r="BG247" s="9">
        <f t="shared" si="624"/>
        <v>-19.484065680779263</v>
      </c>
      <c r="BH247" s="9">
        <f t="shared" si="624"/>
        <v>-19.512247998655418</v>
      </c>
      <c r="BI247" s="9">
        <f t="shared" si="624"/>
        <v>-19.540471080253781</v>
      </c>
      <c r="BJ247" s="9">
        <f t="shared" si="624"/>
        <v>-19.568734984536185</v>
      </c>
      <c r="BK247" s="9">
        <f t="shared" si="624"/>
        <v>-19.597039770549742</v>
      </c>
      <c r="BL247" s="9">
        <f t="shared" si="624"/>
        <v>-19.625385497426969</v>
      </c>
      <c r="BM247" s="9">
        <f t="shared" si="624"/>
        <v>-19.653772224385921</v>
      </c>
      <c r="BN247" s="9">
        <f t="shared" si="624"/>
        <v>-19.682200010730313</v>
      </c>
      <c r="BO247" s="9">
        <f t="shared" si="624"/>
        <v>-19.710668915849624</v>
      </c>
      <c r="BP247" s="9">
        <f t="shared" si="624"/>
        <v>-19.739178999219241</v>
      </c>
      <c r="BQ247" s="9">
        <f t="shared" si="624"/>
        <v>-19.767730320400588</v>
      </c>
      <c r="BR247" s="9">
        <f t="shared" si="624"/>
        <v>-19.796322939041225</v>
      </c>
      <c r="BS247" s="9">
        <f t="shared" si="624"/>
        <v>-19.824956914874999</v>
      </c>
      <c r="BT247" s="9">
        <f t="shared" si="624"/>
        <v>-19.853632307722155</v>
      </c>
      <c r="BU247" s="9">
        <f t="shared" si="624"/>
        <v>-19.882349177489459</v>
      </c>
      <c r="BV247" s="9">
        <f t="shared" si="624"/>
        <v>-19.911107584170335</v>
      </c>
      <c r="BW247" s="9">
        <f t="shared" si="624"/>
        <v>-19.939907587844978</v>
      </c>
      <c r="BX247" s="9">
        <f t="shared" si="624"/>
        <v>-19.968749248680489</v>
      </c>
      <c r="BY247" s="9">
        <f t="shared" si="624"/>
        <v>-19.997632626930994</v>
      </c>
      <c r="BZ247" s="9">
        <f t="shared" si="624"/>
        <v>-20.026557782937768</v>
      </c>
      <c r="CA247" s="9">
        <f t="shared" si="624"/>
        <v>-20.055524777129371</v>
      </c>
      <c r="CB247" s="9">
        <f t="shared" si="624"/>
        <v>-20.08453367002177</v>
      </c>
      <c r="CC247" s="9">
        <f t="shared" si="624"/>
        <v>-20.113584522218463</v>
      </c>
      <c r="CD247" s="9">
        <f t="shared" si="624"/>
        <v>-20.142677394410605</v>
      </c>
      <c r="CE247" s="9">
        <f t="shared" si="624"/>
        <v>-20.171812347377127</v>
      </c>
      <c r="CF247" s="9">
        <f t="shared" si="624"/>
        <v>-20.200989441984888</v>
      </c>
      <c r="CG247" s="9">
        <f t="shared" si="624"/>
        <v>-20.230208739188782</v>
      </c>
      <c r="CH247" s="9">
        <f t="shared" si="624"/>
        <v>-20.259470300031872</v>
      </c>
      <c r="CI247" s="9">
        <f t="shared" si="624"/>
        <v>-20.288774185645501</v>
      </c>
      <c r="CJ247" s="9">
        <f t="shared" si="624"/>
        <v>-20.318120457249456</v>
      </c>
      <c r="CK247" s="9">
        <f t="shared" si="624"/>
        <v>-20.347509176152059</v>
      </c>
      <c r="CL247" s="9">
        <f t="shared" si="624"/>
        <v>-20.376940403750314</v>
      </c>
      <c r="CM247" s="9">
        <f t="shared" si="624"/>
        <v>-20.40641420153003</v>
      </c>
      <c r="CN247" s="9">
        <f t="shared" si="624"/>
        <v>-20.435930631065951</v>
      </c>
      <c r="CO247" s="9">
        <f t="shared" si="624"/>
        <v>-20.465489754021892</v>
      </c>
      <c r="CP247" s="9">
        <f t="shared" si="624"/>
        <v>-20.495091632150853</v>
      </c>
      <c r="CQ247" s="23" t="s">
        <v>77</v>
      </c>
      <c r="DD247" s="8"/>
      <c r="DE247" s="8"/>
      <c r="DF247" s="8"/>
      <c r="DG247" s="8"/>
      <c r="DH247" s="8"/>
      <c r="DI247" s="8"/>
      <c r="DJ247" s="8"/>
      <c r="DK247" s="8"/>
    </row>
    <row r="248" spans="2:123" ht="11.25" customHeight="1" outlineLevel="1" x14ac:dyDescent="0.2">
      <c r="B248" s="487" t="s">
        <v>424</v>
      </c>
      <c r="C248" s="475"/>
      <c r="D248" s="64"/>
      <c r="E248" s="64"/>
      <c r="F248" s="64"/>
      <c r="G248" s="64"/>
      <c r="H248" s="64"/>
      <c r="I248" s="64"/>
      <c r="J248" s="64"/>
      <c r="K248" s="64">
        <f>K246*-(2/3)</f>
        <v>8.5499999999999989</v>
      </c>
      <c r="L248" s="64">
        <f>L246*-(2/3)</f>
        <v>21.31733333333333</v>
      </c>
      <c r="M248" s="64">
        <f>M246*-(2/3)</f>
        <v>86.852666666666664</v>
      </c>
      <c r="N248" s="64">
        <f>N246*-(2/3)</f>
        <v>129.20533333333333</v>
      </c>
      <c r="O248" s="64">
        <f>O247*-(2/3)</f>
        <v>102.4</v>
      </c>
      <c r="P248" s="64">
        <f t="shared" ref="P248:BD248" si="625">P247*-(2/3)</f>
        <v>80.399999999999991</v>
      </c>
      <c r="Q248" s="64">
        <f t="shared" si="625"/>
        <v>108.93333333333331</v>
      </c>
      <c r="R248" s="64">
        <f t="shared" si="625"/>
        <v>150.09533333333331</v>
      </c>
      <c r="S248" s="64">
        <f t="shared" si="625"/>
        <v>249.20466666666667</v>
      </c>
      <c r="T248" s="64">
        <f t="shared" si="625"/>
        <v>268.25133333333338</v>
      </c>
      <c r="U248" s="64">
        <f t="shared" si="625"/>
        <v>2516.7206666666666</v>
      </c>
      <c r="V248" s="64">
        <f t="shared" si="625"/>
        <v>187.80333333333331</v>
      </c>
      <c r="W248" s="64">
        <f t="shared" si="625"/>
        <v>182.23733333333331</v>
      </c>
      <c r="X248" s="64">
        <f t="shared" si="625"/>
        <v>464.5333333333333</v>
      </c>
      <c r="Y248" s="64">
        <f t="shared" si="625"/>
        <v>296.43333333333328</v>
      </c>
      <c r="Z248" s="64">
        <f t="shared" si="625"/>
        <v>41.77599188603341</v>
      </c>
      <c r="AA248" s="64">
        <f t="shared" si="625"/>
        <v>47.722818496557068</v>
      </c>
      <c r="AB248" s="64">
        <f t="shared" si="625"/>
        <v>51.930011350857697</v>
      </c>
      <c r="AC248" s="64">
        <f t="shared" si="625"/>
        <v>31.817827708989853</v>
      </c>
      <c r="AD248" s="64">
        <f t="shared" si="625"/>
        <v>12.300560182000183</v>
      </c>
      <c r="AE248" s="64">
        <f t="shared" si="625"/>
        <v>12.474182750167063</v>
      </c>
      <c r="AF248" s="64">
        <f t="shared" si="625"/>
        <v>12.492225770000307</v>
      </c>
      <c r="AG248" s="64">
        <f t="shared" si="625"/>
        <v>12.510294887780901</v>
      </c>
      <c r="AH248" s="64">
        <f t="shared" si="625"/>
        <v>12.528390141257677</v>
      </c>
      <c r="AI248" s="64">
        <f t="shared" si="625"/>
        <v>12.546511568234068</v>
      </c>
      <c r="AJ248" s="64">
        <f t="shared" si="625"/>
        <v>12.56465920656818</v>
      </c>
      <c r="AK248" s="64">
        <f t="shared" si="625"/>
        <v>12.58283309417288</v>
      </c>
      <c r="AL248" s="64">
        <f t="shared" si="625"/>
        <v>12.601033269015876</v>
      </c>
      <c r="AM248" s="64">
        <f t="shared" si="625"/>
        <v>12.619259769119793</v>
      </c>
      <c r="AN248" s="64">
        <f t="shared" si="625"/>
        <v>12.637512632562245</v>
      </c>
      <c r="AO248" s="64">
        <f t="shared" si="625"/>
        <v>12.65579189747594</v>
      </c>
      <c r="AP248" s="64">
        <f t="shared" si="625"/>
        <v>12.674097602048727</v>
      </c>
      <c r="AQ248" s="64">
        <f t="shared" si="625"/>
        <v>12.692429784523698</v>
      </c>
      <c r="AR248" s="64">
        <f t="shared" si="625"/>
        <v>12.710788483199256</v>
      </c>
      <c r="AS248" s="64">
        <f t="shared" si="625"/>
        <v>12.729173736429207</v>
      </c>
      <c r="AT248" s="64">
        <f t="shared" si="625"/>
        <v>12.747585582622827</v>
      </c>
      <c r="AU248" s="64">
        <f t="shared" si="625"/>
        <v>12.766024060244948</v>
      </c>
      <c r="AV248" s="64">
        <f t="shared" si="625"/>
        <v>12.784489207816044</v>
      </c>
      <c r="AW248" s="64">
        <f t="shared" si="625"/>
        <v>12.802981063912299</v>
      </c>
      <c r="AX248" s="64">
        <f t="shared" si="625"/>
        <v>12.8214996671657</v>
      </c>
      <c r="AY248" s="64">
        <f t="shared" si="625"/>
        <v>12.840045056264117</v>
      </c>
      <c r="AZ248" s="64">
        <f t="shared" si="625"/>
        <v>12.858617269951361</v>
      </c>
      <c r="BA248" s="64">
        <f t="shared" si="625"/>
        <v>12.877216347027304</v>
      </c>
      <c r="BB248" s="64">
        <f t="shared" si="625"/>
        <v>12.895842326347932</v>
      </c>
      <c r="BC248" s="64">
        <f t="shared" si="625"/>
        <v>12.914495246825432</v>
      </c>
      <c r="BD248" s="64">
        <f t="shared" si="625"/>
        <v>12.933175147428269</v>
      </c>
      <c r="BE248" s="64">
        <f t="shared" ref="BE248:CP248" si="626">BE247*-(2/3)</f>
        <v>12.951882067181288</v>
      </c>
      <c r="BF248" s="64">
        <f t="shared" si="626"/>
        <v>12.970616045165762</v>
      </c>
      <c r="BG248" s="64">
        <f t="shared" si="626"/>
        <v>12.989377120519508</v>
      </c>
      <c r="BH248" s="64">
        <f t="shared" si="626"/>
        <v>13.008165332436946</v>
      </c>
      <c r="BI248" s="64">
        <f t="shared" si="626"/>
        <v>13.026980720169187</v>
      </c>
      <c r="BJ248" s="64">
        <f t="shared" si="626"/>
        <v>13.045823323024123</v>
      </c>
      <c r="BK248" s="64">
        <f t="shared" si="626"/>
        <v>13.064693180366493</v>
      </c>
      <c r="BL248" s="64">
        <f t="shared" si="626"/>
        <v>13.083590331617978</v>
      </c>
      <c r="BM248" s="64">
        <f t="shared" si="626"/>
        <v>13.10251481625728</v>
      </c>
      <c r="BN248" s="64">
        <f t="shared" si="626"/>
        <v>13.121466673820208</v>
      </c>
      <c r="BO248" s="64">
        <f t="shared" si="626"/>
        <v>13.140445943899749</v>
      </c>
      <c r="BP248" s="64">
        <f t="shared" si="626"/>
        <v>13.15945266614616</v>
      </c>
      <c r="BQ248" s="64">
        <f t="shared" si="626"/>
        <v>13.178486880267059</v>
      </c>
      <c r="BR248" s="64">
        <f t="shared" si="626"/>
        <v>13.197548626027483</v>
      </c>
      <c r="BS248" s="64">
        <f t="shared" si="626"/>
        <v>13.216637943249999</v>
      </c>
      <c r="BT248" s="64">
        <f t="shared" si="626"/>
        <v>13.23575487181477</v>
      </c>
      <c r="BU248" s="64">
        <f t="shared" si="626"/>
        <v>13.254899451659639</v>
      </c>
      <c r="BV248" s="64">
        <f t="shared" si="626"/>
        <v>13.274071722780223</v>
      </c>
      <c r="BW248" s="64">
        <f t="shared" si="626"/>
        <v>13.293271725229985</v>
      </c>
      <c r="BX248" s="64">
        <f t="shared" si="626"/>
        <v>13.312499499120324</v>
      </c>
      <c r="BY248" s="64">
        <f t="shared" si="626"/>
        <v>13.331755084620662</v>
      </c>
      <c r="BZ248" s="64">
        <f t="shared" si="626"/>
        <v>13.351038521958511</v>
      </c>
      <c r="CA248" s="64">
        <f t="shared" si="626"/>
        <v>13.370349851419579</v>
      </c>
      <c r="CB248" s="64">
        <f t="shared" si="626"/>
        <v>13.389689113347846</v>
      </c>
      <c r="CC248" s="64">
        <f t="shared" si="626"/>
        <v>13.409056348145642</v>
      </c>
      <c r="CD248" s="64">
        <f t="shared" si="626"/>
        <v>13.428451596273735</v>
      </c>
      <c r="CE248" s="64">
        <f t="shared" si="626"/>
        <v>13.447874898251417</v>
      </c>
      <c r="CF248" s="64">
        <f t="shared" si="626"/>
        <v>13.467326294656591</v>
      </c>
      <c r="CG248" s="64">
        <f t="shared" si="626"/>
        <v>13.486805826125854</v>
      </c>
      <c r="CH248" s="64">
        <f t="shared" si="626"/>
        <v>13.506313533354581</v>
      </c>
      <c r="CI248" s="64">
        <f t="shared" si="626"/>
        <v>13.525849457096999</v>
      </c>
      <c r="CJ248" s="64">
        <f t="shared" si="626"/>
        <v>13.545413638166304</v>
      </c>
      <c r="CK248" s="64">
        <f t="shared" si="626"/>
        <v>13.565006117434706</v>
      </c>
      <c r="CL248" s="64">
        <f t="shared" si="626"/>
        <v>13.584626935833542</v>
      </c>
      <c r="CM248" s="64">
        <f t="shared" si="626"/>
        <v>13.604276134353352</v>
      </c>
      <c r="CN248" s="64">
        <f t="shared" si="626"/>
        <v>13.623953754043967</v>
      </c>
      <c r="CO248" s="64">
        <f t="shared" si="626"/>
        <v>13.643659836014594</v>
      </c>
      <c r="CP248" s="64">
        <f t="shared" si="626"/>
        <v>13.663394421433901</v>
      </c>
      <c r="CQ248" s="23" t="s">
        <v>77</v>
      </c>
      <c r="DD248" s="8"/>
      <c r="DE248" s="8"/>
      <c r="DF248" s="8"/>
      <c r="DG248" s="8"/>
      <c r="DH248" s="8"/>
      <c r="DI248" s="8"/>
      <c r="DJ248" s="8"/>
      <c r="DK248" s="8"/>
    </row>
    <row r="249" spans="2:123" ht="11.25" customHeight="1" outlineLevel="1" x14ac:dyDescent="0.2">
      <c r="B249" s="8" t="s">
        <v>99</v>
      </c>
      <c r="K249" s="9">
        <f t="shared" ref="K249:BD249" si="627">+K235</f>
        <v>-0.49</v>
      </c>
      <c r="L249" s="9">
        <f t="shared" si="627"/>
        <v>-0.46</v>
      </c>
      <c r="M249" s="9">
        <f t="shared" si="627"/>
        <v>-0.13800000000000001</v>
      </c>
      <c r="N249" s="9">
        <f t="shared" si="627"/>
        <v>-3.2000000000000001E-2</v>
      </c>
      <c r="O249" s="9">
        <f t="shared" si="627"/>
        <v>-9.0999999999999998E-2</v>
      </c>
      <c r="P249" s="9">
        <f t="shared" si="627"/>
        <v>-9.9000000000000005E-2</v>
      </c>
      <c r="Q249" s="9">
        <f t="shared" si="627"/>
        <v>-0.16500000000000001</v>
      </c>
      <c r="R249" s="9">
        <f t="shared" si="627"/>
        <v>-0.23899999999999999</v>
      </c>
      <c r="S249" s="9">
        <f t="shared" si="627"/>
        <v>-13.249000000000001</v>
      </c>
      <c r="T249" s="9">
        <f t="shared" si="627"/>
        <v>0</v>
      </c>
      <c r="U249" s="9">
        <f t="shared" si="627"/>
        <v>0</v>
      </c>
      <c r="V249" s="9">
        <f t="shared" si="627"/>
        <v>0</v>
      </c>
      <c r="W249" s="9">
        <f t="shared" si="627"/>
        <v>0</v>
      </c>
      <c r="X249" s="9">
        <f t="shared" si="627"/>
        <v>0</v>
      </c>
      <c r="Y249" s="9">
        <f t="shared" si="627"/>
        <v>0</v>
      </c>
      <c r="Z249" s="9">
        <f t="shared" si="627"/>
        <v>0</v>
      </c>
      <c r="AA249" s="9">
        <f t="shared" si="627"/>
        <v>0</v>
      </c>
      <c r="AB249" s="9">
        <f t="shared" si="627"/>
        <v>0</v>
      </c>
      <c r="AC249" s="9">
        <f t="shared" si="627"/>
        <v>0</v>
      </c>
      <c r="AD249" s="9">
        <f t="shared" si="627"/>
        <v>0</v>
      </c>
      <c r="AE249" s="9">
        <f t="shared" si="627"/>
        <v>0</v>
      </c>
      <c r="AF249" s="9">
        <f t="shared" si="627"/>
        <v>0</v>
      </c>
      <c r="AG249" s="9">
        <f t="shared" si="627"/>
        <v>0</v>
      </c>
      <c r="AH249" s="9">
        <f t="shared" si="627"/>
        <v>0</v>
      </c>
      <c r="AI249" s="9">
        <f t="shared" si="627"/>
        <v>0</v>
      </c>
      <c r="AJ249" s="9">
        <f t="shared" si="627"/>
        <v>0</v>
      </c>
      <c r="AK249" s="9">
        <f t="shared" si="627"/>
        <v>0</v>
      </c>
      <c r="AL249" s="9">
        <f t="shared" si="627"/>
        <v>0</v>
      </c>
      <c r="AM249" s="9">
        <f t="shared" si="627"/>
        <v>0</v>
      </c>
      <c r="AN249" s="9">
        <f t="shared" si="627"/>
        <v>0</v>
      </c>
      <c r="AO249" s="9">
        <f t="shared" si="627"/>
        <v>0</v>
      </c>
      <c r="AP249" s="9">
        <f t="shared" si="627"/>
        <v>0</v>
      </c>
      <c r="AQ249" s="9">
        <f t="shared" si="627"/>
        <v>0</v>
      </c>
      <c r="AR249" s="9">
        <f t="shared" si="627"/>
        <v>0</v>
      </c>
      <c r="AS249" s="9">
        <f t="shared" si="627"/>
        <v>0</v>
      </c>
      <c r="AT249" s="9">
        <f t="shared" si="627"/>
        <v>0</v>
      </c>
      <c r="AU249" s="9">
        <f t="shared" si="627"/>
        <v>0</v>
      </c>
      <c r="AV249" s="9">
        <f t="shared" si="627"/>
        <v>0</v>
      </c>
      <c r="AW249" s="9">
        <f t="shared" si="627"/>
        <v>0</v>
      </c>
      <c r="AX249" s="9">
        <f t="shared" si="627"/>
        <v>0</v>
      </c>
      <c r="AY249" s="9">
        <f t="shared" si="627"/>
        <v>0</v>
      </c>
      <c r="AZ249" s="9">
        <f t="shared" si="627"/>
        <v>0</v>
      </c>
      <c r="BA249" s="9">
        <f t="shared" si="627"/>
        <v>0</v>
      </c>
      <c r="BB249" s="9">
        <f t="shared" si="627"/>
        <v>0</v>
      </c>
      <c r="BC249" s="9">
        <f t="shared" si="627"/>
        <v>0</v>
      </c>
      <c r="BD249" s="9">
        <f t="shared" si="627"/>
        <v>0</v>
      </c>
      <c r="BE249" s="9">
        <f t="shared" ref="BE249:CP249" si="628">+BE235</f>
        <v>0</v>
      </c>
      <c r="BF249" s="9">
        <f t="shared" si="628"/>
        <v>0</v>
      </c>
      <c r="BG249" s="9">
        <f t="shared" si="628"/>
        <v>0</v>
      </c>
      <c r="BH249" s="9">
        <f t="shared" si="628"/>
        <v>0</v>
      </c>
      <c r="BI249" s="9">
        <f t="shared" si="628"/>
        <v>0</v>
      </c>
      <c r="BJ249" s="9">
        <f t="shared" si="628"/>
        <v>0</v>
      </c>
      <c r="BK249" s="9">
        <f t="shared" si="628"/>
        <v>0</v>
      </c>
      <c r="BL249" s="9">
        <f t="shared" si="628"/>
        <v>0</v>
      </c>
      <c r="BM249" s="9">
        <f t="shared" si="628"/>
        <v>0</v>
      </c>
      <c r="BN249" s="9">
        <f t="shared" si="628"/>
        <v>0</v>
      </c>
      <c r="BO249" s="9">
        <f t="shared" si="628"/>
        <v>0</v>
      </c>
      <c r="BP249" s="9">
        <f t="shared" si="628"/>
        <v>0</v>
      </c>
      <c r="BQ249" s="9">
        <f t="shared" si="628"/>
        <v>0</v>
      </c>
      <c r="BR249" s="9">
        <f t="shared" si="628"/>
        <v>0</v>
      </c>
      <c r="BS249" s="9">
        <f t="shared" si="628"/>
        <v>0</v>
      </c>
      <c r="BT249" s="9">
        <f t="shared" si="628"/>
        <v>0</v>
      </c>
      <c r="BU249" s="9">
        <f t="shared" si="628"/>
        <v>0</v>
      </c>
      <c r="BV249" s="9">
        <f t="shared" si="628"/>
        <v>0</v>
      </c>
      <c r="BW249" s="9">
        <f t="shared" si="628"/>
        <v>0</v>
      </c>
      <c r="BX249" s="9">
        <f t="shared" si="628"/>
        <v>0</v>
      </c>
      <c r="BY249" s="9">
        <f t="shared" si="628"/>
        <v>0</v>
      </c>
      <c r="BZ249" s="9">
        <f t="shared" si="628"/>
        <v>0</v>
      </c>
      <c r="CA249" s="9">
        <f t="shared" si="628"/>
        <v>0</v>
      </c>
      <c r="CB249" s="9">
        <f t="shared" si="628"/>
        <v>0</v>
      </c>
      <c r="CC249" s="9">
        <f t="shared" si="628"/>
        <v>0</v>
      </c>
      <c r="CD249" s="9">
        <f t="shared" si="628"/>
        <v>0</v>
      </c>
      <c r="CE249" s="9">
        <f t="shared" si="628"/>
        <v>0</v>
      </c>
      <c r="CF249" s="9">
        <f t="shared" si="628"/>
        <v>0</v>
      </c>
      <c r="CG249" s="9">
        <f t="shared" si="628"/>
        <v>0</v>
      </c>
      <c r="CH249" s="9">
        <f t="shared" si="628"/>
        <v>0</v>
      </c>
      <c r="CI249" s="9">
        <f t="shared" si="628"/>
        <v>0</v>
      </c>
      <c r="CJ249" s="9">
        <f t="shared" si="628"/>
        <v>0</v>
      </c>
      <c r="CK249" s="9">
        <f t="shared" si="628"/>
        <v>0</v>
      </c>
      <c r="CL249" s="9">
        <f t="shared" si="628"/>
        <v>0</v>
      </c>
      <c r="CM249" s="9">
        <f t="shared" si="628"/>
        <v>0</v>
      </c>
      <c r="CN249" s="9">
        <f t="shared" si="628"/>
        <v>0</v>
      </c>
      <c r="CO249" s="9">
        <f t="shared" si="628"/>
        <v>0</v>
      </c>
      <c r="CP249" s="9">
        <f t="shared" si="628"/>
        <v>0</v>
      </c>
      <c r="CQ249" s="23" t="s">
        <v>77</v>
      </c>
      <c r="DD249" s="8"/>
      <c r="DE249" s="8"/>
      <c r="DF249" s="8"/>
      <c r="DG249" s="8"/>
      <c r="DH249" s="8"/>
      <c r="DI249" s="8"/>
      <c r="DJ249" s="8"/>
      <c r="DK249" s="8"/>
    </row>
    <row r="250" spans="2:123" ht="11.25" customHeight="1" outlineLevel="1" x14ac:dyDescent="0.2">
      <c r="B250" s="1" t="s">
        <v>598</v>
      </c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3"/>
      <c r="U250" s="33">
        <f>U245+U246+U234</f>
        <v>208.63</v>
      </c>
      <c r="V250" s="33">
        <f t="shared" ref="V250:BD250" si="629">V245+V246+V234</f>
        <v>369.58299999999986</v>
      </c>
      <c r="W250" s="33">
        <f t="shared" si="629"/>
        <v>425.98400000000009</v>
      </c>
      <c r="X250" s="33">
        <f t="shared" si="629"/>
        <v>340.60605829849351</v>
      </c>
      <c r="Y250" s="33">
        <f t="shared" si="629"/>
        <v>335.40135122327433</v>
      </c>
      <c r="Z250" s="33">
        <f t="shared" si="629"/>
        <v>354.84460943000545</v>
      </c>
      <c r="AA250" s="33">
        <f t="shared" si="629"/>
        <v>306.18719538010521</v>
      </c>
      <c r="AB250" s="33">
        <f t="shared" si="629"/>
        <v>272.95585376038252</v>
      </c>
      <c r="AC250" s="33">
        <f t="shared" si="629"/>
        <v>249.48529595295724</v>
      </c>
      <c r="AD250" s="33">
        <f t="shared" si="629"/>
        <v>278.10575097160893</v>
      </c>
      <c r="AE250" s="33">
        <f>AE245+AE246+AE234</f>
        <v>297.32363395588447</v>
      </c>
      <c r="AF250" s="33">
        <f t="shared" si="629"/>
        <v>300.20580116920689</v>
      </c>
      <c r="AG250" s="33">
        <f t="shared" si="629"/>
        <v>294.33458119886359</v>
      </c>
      <c r="AH250" s="33">
        <f t="shared" si="629"/>
        <v>311.81954646163194</v>
      </c>
      <c r="AI250" s="33">
        <f t="shared" si="629"/>
        <v>221.3674033354016</v>
      </c>
      <c r="AJ250" s="33">
        <f t="shared" si="629"/>
        <v>164.27707471903693</v>
      </c>
      <c r="AK250" s="33">
        <f t="shared" si="629"/>
        <v>151.36241805304712</v>
      </c>
      <c r="AL250" s="33">
        <f t="shared" si="629"/>
        <v>169.02310978606215</v>
      </c>
      <c r="AM250" s="33">
        <f t="shared" si="629"/>
        <v>187.52580634505557</v>
      </c>
      <c r="AN250" s="33">
        <f t="shared" si="629"/>
        <v>196.81807101852439</v>
      </c>
      <c r="AO250" s="33">
        <f t="shared" si="629"/>
        <v>182.77830151415515</v>
      </c>
      <c r="AP250" s="33">
        <f t="shared" si="629"/>
        <v>-220.71844544980326</v>
      </c>
      <c r="AQ250" s="33">
        <f t="shared" si="629"/>
        <v>-196.15338030769703</v>
      </c>
      <c r="AR250" s="33">
        <f t="shared" si="629"/>
        <v>-259.49967452608985</v>
      </c>
      <c r="AS250" s="33">
        <f t="shared" si="629"/>
        <v>-343.95499090858965</v>
      </c>
      <c r="AT250" s="33">
        <f t="shared" si="629"/>
        <v>-349.65861017391427</v>
      </c>
      <c r="AU250" s="33">
        <f t="shared" si="629"/>
        <v>-328.76067331581839</v>
      </c>
      <c r="AV250" s="33">
        <f t="shared" si="629"/>
        <v>-317.62503770787868</v>
      </c>
      <c r="AW250" s="33">
        <f t="shared" si="629"/>
        <v>-342.03729268566894</v>
      </c>
      <c r="AX250" s="33">
        <f t="shared" si="629"/>
        <v>-331.56333183925693</v>
      </c>
      <c r="AY250" s="33">
        <f t="shared" si="629"/>
        <v>-320.74016549570297</v>
      </c>
      <c r="AZ250" s="33">
        <f t="shared" si="629"/>
        <v>-309.56476050246113</v>
      </c>
      <c r="BA250" s="33">
        <f t="shared" si="629"/>
        <v>-454.36298143303634</v>
      </c>
      <c r="BB250" s="33">
        <f t="shared" si="629"/>
        <v>-442.96360567985624</v>
      </c>
      <c r="BC250" s="33">
        <f t="shared" si="629"/>
        <v>-431.21083369975133</v>
      </c>
      <c r="BD250" s="33">
        <f t="shared" si="629"/>
        <v>-419.0960727019405</v>
      </c>
      <c r="BE250" s="33">
        <f t="shared" ref="BE250:CP250" si="630">BE245+BE246+BE234</f>
        <v>-406.61058557597744</v>
      </c>
      <c r="BF250" s="33">
        <f t="shared" si="630"/>
        <v>-393.7484877143014</v>
      </c>
      <c r="BG250" s="33">
        <f t="shared" si="630"/>
        <v>-380.49836504427958</v>
      </c>
      <c r="BH250" s="33">
        <f t="shared" si="630"/>
        <v>-366.85549424697979</v>
      </c>
      <c r="BI250" s="33">
        <f t="shared" si="630"/>
        <v>-352.80734463771819</v>
      </c>
      <c r="BJ250" s="33">
        <f t="shared" si="630"/>
        <v>-338.34840666474099</v>
      </c>
      <c r="BK250" s="33">
        <f t="shared" si="630"/>
        <v>-323.46689330283209</v>
      </c>
      <c r="BL250" s="33">
        <f t="shared" si="630"/>
        <v>-308.15462155621276</v>
      </c>
      <c r="BM250" s="33">
        <f t="shared" si="630"/>
        <v>-292.40203818840604</v>
      </c>
      <c r="BN250" s="33">
        <f t="shared" si="630"/>
        <v>-276.19979175511435</v>
      </c>
      <c r="BO250" s="33">
        <f t="shared" si="630"/>
        <v>-259.53752049315</v>
      </c>
      <c r="BP250" s="33">
        <f t="shared" si="630"/>
        <v>-242.40503187409291</v>
      </c>
      <c r="BQ250" s="33">
        <f t="shared" si="630"/>
        <v>-250.7580201841393</v>
      </c>
      <c r="BR250" s="33">
        <f t="shared" si="630"/>
        <v>-236.31824501541735</v>
      </c>
      <c r="BS250" s="33">
        <f t="shared" si="630"/>
        <v>-253.31555476534584</v>
      </c>
      <c r="BT250" s="33">
        <f t="shared" si="630"/>
        <v>-266.94971113198312</v>
      </c>
      <c r="BU250" s="33">
        <f t="shared" si="630"/>
        <v>-252.58159041566807</v>
      </c>
      <c r="BV250" s="33">
        <f t="shared" si="630"/>
        <v>-237.84602316612296</v>
      </c>
      <c r="BW250" s="33">
        <f t="shared" si="630"/>
        <v>-222.73672983858495</v>
      </c>
      <c r="BX250" s="33">
        <f t="shared" si="630"/>
        <v>-207.24631970362361</v>
      </c>
      <c r="BY250" s="33">
        <f t="shared" si="630"/>
        <v>-191.36959795286759</v>
      </c>
      <c r="BZ250" s="33">
        <f t="shared" si="630"/>
        <v>-175.09724120326689</v>
      </c>
      <c r="CA250" s="33">
        <f t="shared" si="630"/>
        <v>-158.42302175091118</v>
      </c>
      <c r="CB250" s="33">
        <f t="shared" si="630"/>
        <v>-141.33778377284318</v>
      </c>
      <c r="CC250" s="33">
        <f t="shared" si="630"/>
        <v>-127.52536137374608</v>
      </c>
      <c r="CD250" s="33">
        <f t="shared" si="630"/>
        <v>-153.93607421876919</v>
      </c>
      <c r="CE250" s="33">
        <f t="shared" si="630"/>
        <v>-136.53827370827776</v>
      </c>
      <c r="CF250" s="33">
        <f t="shared" si="630"/>
        <v>-118.72121180794812</v>
      </c>
      <c r="CG250" s="33">
        <f t="shared" si="630"/>
        <v>-100.47600408975927</v>
      </c>
      <c r="CH250" s="33">
        <f t="shared" si="630"/>
        <v>-533.39855459347484</v>
      </c>
      <c r="CI250" s="33">
        <f t="shared" si="630"/>
        <v>-521.10680308669635</v>
      </c>
      <c r="CJ250" s="33">
        <f t="shared" si="630"/>
        <v>-508.45580265706485</v>
      </c>
      <c r="CK250" s="33">
        <f t="shared" si="630"/>
        <v>-495.43902919728907</v>
      </c>
      <c r="CL250" s="33">
        <f t="shared" si="630"/>
        <v>-482.04938447832916</v>
      </c>
      <c r="CM250" s="33">
        <f t="shared" si="630"/>
        <v>-468.27810732258251</v>
      </c>
      <c r="CN250" s="33">
        <f t="shared" si="630"/>
        <v>-454.1166243611558</v>
      </c>
      <c r="CO250" s="33">
        <f t="shared" si="630"/>
        <v>-439.55579987806624</v>
      </c>
      <c r="CP250" s="33">
        <f t="shared" si="630"/>
        <v>-455.36465884327265</v>
      </c>
      <c r="CQ250" s="23"/>
      <c r="DD250" s="8"/>
      <c r="DE250" s="8"/>
      <c r="DF250" s="8"/>
      <c r="DG250" s="8"/>
      <c r="DH250" s="8"/>
      <c r="DI250" s="8"/>
      <c r="DJ250" s="8"/>
      <c r="DK250" s="8"/>
    </row>
    <row r="251" spans="2:123" ht="11.25" customHeight="1" outlineLevel="1" x14ac:dyDescent="0.2">
      <c r="CQ251" s="23"/>
      <c r="DD251" s="8"/>
      <c r="DE251" s="8"/>
      <c r="DF251" s="8"/>
      <c r="DG251" s="8"/>
      <c r="DH251" s="8"/>
      <c r="DI251" s="8"/>
      <c r="DJ251" s="8"/>
      <c r="DK251" s="8"/>
    </row>
    <row r="252" spans="2:123" x14ac:dyDescent="0.2">
      <c r="P252" s="40"/>
      <c r="Q252" s="40"/>
      <c r="R252" s="40"/>
      <c r="S252" s="40"/>
      <c r="T252" s="40"/>
      <c r="U252" s="40"/>
      <c r="V252" s="40"/>
      <c r="W252" s="40"/>
      <c r="X252" s="40"/>
      <c r="Y252" s="40"/>
      <c r="Z252" s="40"/>
      <c r="AA252" s="40"/>
      <c r="AB252" s="40"/>
      <c r="AC252" s="40"/>
      <c r="AD252" s="40"/>
      <c r="AE252" s="40"/>
      <c r="AF252" s="40"/>
      <c r="AG252" s="40"/>
      <c r="AH252" s="40"/>
      <c r="AI252" s="40"/>
      <c r="AJ252" s="40"/>
      <c r="AK252" s="40"/>
      <c r="AL252" s="40"/>
      <c r="AM252" s="40"/>
      <c r="AN252" s="40"/>
      <c r="AO252" s="40"/>
      <c r="AP252" s="40"/>
      <c r="AQ252" s="40"/>
      <c r="AR252" s="40"/>
      <c r="AS252" s="40"/>
      <c r="AT252" s="40"/>
      <c r="AU252" s="40"/>
      <c r="AV252" s="40"/>
      <c r="AW252" s="40"/>
      <c r="AX252" s="40"/>
      <c r="AY252" s="40"/>
      <c r="AZ252" s="40"/>
      <c r="BA252" s="40"/>
      <c r="BB252" s="40"/>
      <c r="BC252" s="40"/>
      <c r="BD252" s="40"/>
      <c r="BE252" s="40"/>
      <c r="BF252" s="40"/>
      <c r="BG252" s="40"/>
      <c r="BH252" s="40"/>
      <c r="BI252" s="40"/>
      <c r="BJ252" s="40"/>
      <c r="BK252" s="40"/>
      <c r="BL252" s="40"/>
      <c r="BM252" s="40"/>
      <c r="BN252" s="40"/>
      <c r="BO252" s="40"/>
      <c r="BP252" s="40"/>
      <c r="BQ252" s="40"/>
      <c r="BR252" s="40"/>
      <c r="BS252" s="40"/>
      <c r="BT252" s="40"/>
      <c r="BU252" s="40"/>
      <c r="BV252" s="40"/>
      <c r="BW252" s="40"/>
      <c r="BX252" s="40"/>
      <c r="BY252" s="40"/>
      <c r="BZ252" s="40"/>
      <c r="CA252" s="40"/>
      <c r="CB252" s="40"/>
      <c r="CC252" s="40"/>
      <c r="CD252" s="40"/>
      <c r="CE252" s="40"/>
      <c r="CF252" s="40"/>
      <c r="CG252" s="40"/>
      <c r="CH252" s="40"/>
      <c r="CI252" s="40"/>
      <c r="CJ252" s="40"/>
      <c r="CK252" s="40"/>
      <c r="CL252" s="40"/>
      <c r="CM252" s="40"/>
      <c r="CN252" s="40"/>
      <c r="CO252" s="40"/>
      <c r="CP252" s="40"/>
      <c r="CQ252" s="23" t="s">
        <v>77</v>
      </c>
      <c r="DD252" s="8"/>
      <c r="DE252" s="8"/>
      <c r="DF252" s="8"/>
      <c r="DG252" s="8"/>
      <c r="DH252" s="8"/>
      <c r="DI252" s="8"/>
      <c r="DJ252" s="8"/>
      <c r="DK252" s="8"/>
    </row>
    <row r="253" spans="2:123" s="233" customFormat="1" x14ac:dyDescent="0.2">
      <c r="B253" s="728" t="s">
        <v>32</v>
      </c>
      <c r="C253" s="312"/>
      <c r="D253" s="308"/>
      <c r="E253" s="308"/>
      <c r="F253" s="312">
        <f t="shared" ref="F253:BQ253" si="631">Fiscal_Year</f>
        <v>36707</v>
      </c>
      <c r="G253" s="312">
        <f t="shared" si="631"/>
        <v>37072</v>
      </c>
      <c r="H253" s="312">
        <f t="shared" si="631"/>
        <v>37437</v>
      </c>
      <c r="I253" s="312">
        <f t="shared" si="631"/>
        <v>37802</v>
      </c>
      <c r="J253" s="312">
        <f t="shared" si="631"/>
        <v>38168</v>
      </c>
      <c r="K253" s="312">
        <f t="shared" si="631"/>
        <v>38533</v>
      </c>
      <c r="L253" s="312">
        <f t="shared" si="631"/>
        <v>38898</v>
      </c>
      <c r="M253" s="312">
        <f t="shared" si="631"/>
        <v>39263</v>
      </c>
      <c r="N253" s="312">
        <f t="shared" si="631"/>
        <v>39629</v>
      </c>
      <c r="O253" s="312">
        <f t="shared" si="631"/>
        <v>39994</v>
      </c>
      <c r="P253" s="312">
        <f t="shared" si="631"/>
        <v>40359</v>
      </c>
      <c r="Q253" s="312">
        <f t="shared" si="631"/>
        <v>40724</v>
      </c>
      <c r="R253" s="312">
        <f t="shared" si="631"/>
        <v>41090</v>
      </c>
      <c r="S253" s="312">
        <f t="shared" si="631"/>
        <v>41455</v>
      </c>
      <c r="T253" s="312">
        <f t="shared" si="631"/>
        <v>41820</v>
      </c>
      <c r="U253" s="312">
        <f t="shared" si="631"/>
        <v>42185</v>
      </c>
      <c r="V253" s="312">
        <f t="shared" si="631"/>
        <v>42551</v>
      </c>
      <c r="W253" s="312">
        <f t="shared" si="631"/>
        <v>42916</v>
      </c>
      <c r="X253" s="312">
        <f t="shared" si="631"/>
        <v>43281</v>
      </c>
      <c r="Y253" s="312">
        <f t="shared" si="631"/>
        <v>43646</v>
      </c>
      <c r="Z253" s="312">
        <f t="shared" si="631"/>
        <v>44012</v>
      </c>
      <c r="AA253" s="312">
        <f t="shared" si="631"/>
        <v>44377</v>
      </c>
      <c r="AB253" s="312">
        <f t="shared" si="631"/>
        <v>44742</v>
      </c>
      <c r="AC253" s="312">
        <f t="shared" si="631"/>
        <v>45107</v>
      </c>
      <c r="AD253" s="312">
        <f t="shared" si="631"/>
        <v>45473</v>
      </c>
      <c r="AE253" s="312">
        <f t="shared" si="631"/>
        <v>45838</v>
      </c>
      <c r="AF253" s="312">
        <f t="shared" si="631"/>
        <v>46203</v>
      </c>
      <c r="AG253" s="312">
        <f t="shared" si="631"/>
        <v>46568</v>
      </c>
      <c r="AH253" s="312">
        <f t="shared" si="631"/>
        <v>46934</v>
      </c>
      <c r="AI253" s="312">
        <f t="shared" si="631"/>
        <v>47299</v>
      </c>
      <c r="AJ253" s="312">
        <f t="shared" si="631"/>
        <v>47664</v>
      </c>
      <c r="AK253" s="312">
        <f t="shared" si="631"/>
        <v>48029</v>
      </c>
      <c r="AL253" s="312">
        <f t="shared" si="631"/>
        <v>48395</v>
      </c>
      <c r="AM253" s="312">
        <f t="shared" si="631"/>
        <v>48760</v>
      </c>
      <c r="AN253" s="312">
        <f t="shared" si="631"/>
        <v>49125</v>
      </c>
      <c r="AO253" s="312">
        <f t="shared" si="631"/>
        <v>49490</v>
      </c>
      <c r="AP253" s="312">
        <f t="shared" si="631"/>
        <v>49856</v>
      </c>
      <c r="AQ253" s="312">
        <f t="shared" si="631"/>
        <v>50221</v>
      </c>
      <c r="AR253" s="312">
        <f t="shared" si="631"/>
        <v>50586</v>
      </c>
      <c r="AS253" s="312">
        <f t="shared" si="631"/>
        <v>50951</v>
      </c>
      <c r="AT253" s="312">
        <f t="shared" si="631"/>
        <v>51317</v>
      </c>
      <c r="AU253" s="312">
        <f t="shared" si="631"/>
        <v>51682</v>
      </c>
      <c r="AV253" s="312">
        <f t="shared" si="631"/>
        <v>52047</v>
      </c>
      <c r="AW253" s="312">
        <f t="shared" si="631"/>
        <v>52412</v>
      </c>
      <c r="AX253" s="312">
        <f t="shared" si="631"/>
        <v>52778</v>
      </c>
      <c r="AY253" s="312">
        <f t="shared" si="631"/>
        <v>53143</v>
      </c>
      <c r="AZ253" s="312">
        <f t="shared" si="631"/>
        <v>53508</v>
      </c>
      <c r="BA253" s="312">
        <f t="shared" si="631"/>
        <v>53873</v>
      </c>
      <c r="BB253" s="312">
        <f t="shared" si="631"/>
        <v>54239</v>
      </c>
      <c r="BC253" s="312">
        <f t="shared" si="631"/>
        <v>54604</v>
      </c>
      <c r="BD253" s="312">
        <f t="shared" si="631"/>
        <v>54969</v>
      </c>
      <c r="BE253" s="312">
        <f t="shared" si="631"/>
        <v>55334</v>
      </c>
      <c r="BF253" s="312">
        <f t="shared" si="631"/>
        <v>55700</v>
      </c>
      <c r="BG253" s="312">
        <f t="shared" si="631"/>
        <v>56065</v>
      </c>
      <c r="BH253" s="312">
        <f t="shared" si="631"/>
        <v>56430</v>
      </c>
      <c r="BI253" s="312">
        <f t="shared" si="631"/>
        <v>56795</v>
      </c>
      <c r="BJ253" s="312">
        <f t="shared" si="631"/>
        <v>57161</v>
      </c>
      <c r="BK253" s="312">
        <f t="shared" si="631"/>
        <v>57526</v>
      </c>
      <c r="BL253" s="312">
        <f t="shared" si="631"/>
        <v>57891</v>
      </c>
      <c r="BM253" s="312">
        <f t="shared" si="631"/>
        <v>58256</v>
      </c>
      <c r="BN253" s="312">
        <f t="shared" si="631"/>
        <v>58622</v>
      </c>
      <c r="BO253" s="312">
        <f t="shared" si="631"/>
        <v>58987</v>
      </c>
      <c r="BP253" s="312">
        <f t="shared" si="631"/>
        <v>59352</v>
      </c>
      <c r="BQ253" s="312">
        <f t="shared" si="631"/>
        <v>59717</v>
      </c>
      <c r="BR253" s="312">
        <f t="shared" ref="BR253:CP253" si="632">Fiscal_Year</f>
        <v>60083</v>
      </c>
      <c r="BS253" s="312">
        <f t="shared" si="632"/>
        <v>60448</v>
      </c>
      <c r="BT253" s="312">
        <f t="shared" si="632"/>
        <v>60813</v>
      </c>
      <c r="BU253" s="312">
        <f t="shared" si="632"/>
        <v>61178</v>
      </c>
      <c r="BV253" s="312">
        <f t="shared" si="632"/>
        <v>61544</v>
      </c>
      <c r="BW253" s="312">
        <f t="shared" si="632"/>
        <v>61909</v>
      </c>
      <c r="BX253" s="312">
        <f t="shared" si="632"/>
        <v>62274</v>
      </c>
      <c r="BY253" s="312">
        <f t="shared" si="632"/>
        <v>62639</v>
      </c>
      <c r="BZ253" s="312">
        <f t="shared" si="632"/>
        <v>63005</v>
      </c>
      <c r="CA253" s="312">
        <f t="shared" si="632"/>
        <v>63370</v>
      </c>
      <c r="CB253" s="312">
        <f t="shared" si="632"/>
        <v>63735</v>
      </c>
      <c r="CC253" s="312">
        <f t="shared" si="632"/>
        <v>64100</v>
      </c>
      <c r="CD253" s="312">
        <f t="shared" si="632"/>
        <v>64466</v>
      </c>
      <c r="CE253" s="312">
        <f t="shared" si="632"/>
        <v>64831</v>
      </c>
      <c r="CF253" s="312">
        <f t="shared" si="632"/>
        <v>65196</v>
      </c>
      <c r="CG253" s="312">
        <f t="shared" si="632"/>
        <v>65561</v>
      </c>
      <c r="CH253" s="312">
        <f t="shared" si="632"/>
        <v>65927</v>
      </c>
      <c r="CI253" s="312">
        <f t="shared" si="632"/>
        <v>66292</v>
      </c>
      <c r="CJ253" s="312">
        <f t="shared" si="632"/>
        <v>66657</v>
      </c>
      <c r="CK253" s="312">
        <f t="shared" si="632"/>
        <v>67022</v>
      </c>
      <c r="CL253" s="312">
        <f t="shared" si="632"/>
        <v>67388</v>
      </c>
      <c r="CM253" s="312">
        <f t="shared" si="632"/>
        <v>67753</v>
      </c>
      <c r="CN253" s="312">
        <f t="shared" si="632"/>
        <v>68118</v>
      </c>
      <c r="CO253" s="312">
        <f t="shared" si="632"/>
        <v>68483</v>
      </c>
      <c r="CP253" s="312">
        <f t="shared" si="632"/>
        <v>68849</v>
      </c>
      <c r="CQ253" s="23" t="s">
        <v>77</v>
      </c>
      <c r="CU253"/>
      <c r="CV253"/>
      <c r="CW253"/>
      <c r="CX253"/>
      <c r="CY253"/>
      <c r="CZ253"/>
      <c r="DB253" s="728" t="s">
        <v>32</v>
      </c>
      <c r="DC253" s="8"/>
      <c r="DD253" s="312">
        <f t="shared" ref="DD253:DQ253" si="633">+DD$3</f>
        <v>40908</v>
      </c>
      <c r="DE253" s="312">
        <f t="shared" si="633"/>
        <v>41090</v>
      </c>
      <c r="DF253" s="312">
        <f t="shared" si="633"/>
        <v>41274</v>
      </c>
      <c r="DG253" s="312">
        <f t="shared" si="633"/>
        <v>41455</v>
      </c>
      <c r="DH253" s="312">
        <f t="shared" si="633"/>
        <v>41639</v>
      </c>
      <c r="DI253" s="312">
        <f t="shared" si="633"/>
        <v>41820</v>
      </c>
      <c r="DJ253" s="312">
        <f t="shared" si="633"/>
        <v>42004</v>
      </c>
      <c r="DK253" s="312">
        <f t="shared" si="633"/>
        <v>42185</v>
      </c>
      <c r="DL253" s="312">
        <f t="shared" si="633"/>
        <v>42369</v>
      </c>
      <c r="DM253" s="312">
        <f t="shared" si="633"/>
        <v>42551</v>
      </c>
      <c r="DN253" s="312">
        <f t="shared" si="633"/>
        <v>42735</v>
      </c>
      <c r="DO253" s="312">
        <f t="shared" si="633"/>
        <v>42916</v>
      </c>
      <c r="DP253" s="312">
        <f t="shared" si="633"/>
        <v>43100</v>
      </c>
      <c r="DQ253" s="312">
        <f t="shared" si="633"/>
        <v>43281</v>
      </c>
      <c r="DR253" s="312"/>
      <c r="DS253" s="312"/>
    </row>
    <row r="254" spans="2:123" ht="5.0999999999999996" customHeight="1" x14ac:dyDescent="0.2">
      <c r="B254" s="107"/>
      <c r="D254" s="108"/>
      <c r="E254" s="108"/>
      <c r="F254" s="108"/>
      <c r="G254" s="108"/>
      <c r="H254" s="108"/>
      <c r="I254" s="108"/>
      <c r="J254" s="108"/>
      <c r="K254" s="108"/>
      <c r="L254" s="108"/>
      <c r="M254" s="108"/>
      <c r="N254" s="108"/>
      <c r="O254" s="108"/>
      <c r="P254" s="108"/>
      <c r="Q254" s="108"/>
      <c r="R254" s="108"/>
      <c r="S254" s="108"/>
      <c r="T254" s="108"/>
      <c r="U254" s="108"/>
      <c r="V254" s="108"/>
      <c r="W254" s="108"/>
      <c r="X254" s="108"/>
      <c r="Y254" s="108"/>
      <c r="Z254" s="108"/>
      <c r="AA254" s="108"/>
      <c r="AB254" s="108"/>
      <c r="AC254" s="108"/>
      <c r="AD254" s="108"/>
      <c r="AE254" s="108"/>
      <c r="AF254" s="108"/>
      <c r="AG254" s="108"/>
      <c r="AH254" s="108"/>
      <c r="AI254" s="108"/>
      <c r="AJ254" s="108"/>
      <c r="AK254" s="108"/>
      <c r="AL254" s="108"/>
      <c r="AM254" s="108"/>
      <c r="AN254" s="108"/>
      <c r="AO254" s="108"/>
      <c r="AP254" s="108"/>
      <c r="AQ254" s="108"/>
      <c r="AR254" s="108"/>
      <c r="AS254" s="108"/>
      <c r="AT254" s="108"/>
      <c r="AU254" s="108"/>
      <c r="AV254" s="108"/>
      <c r="AW254" s="108"/>
      <c r="AX254" s="108"/>
      <c r="AY254" s="108"/>
      <c r="AZ254" s="108"/>
      <c r="BA254" s="108"/>
      <c r="BB254" s="108"/>
      <c r="BC254" s="108"/>
      <c r="BD254" s="108"/>
      <c r="BE254" s="108"/>
      <c r="BF254" s="108"/>
      <c r="BG254" s="108"/>
      <c r="BH254" s="108"/>
      <c r="BI254" s="108"/>
      <c r="BJ254" s="108"/>
      <c r="BK254" s="108"/>
      <c r="BL254" s="108"/>
      <c r="BM254" s="108"/>
      <c r="BN254" s="108"/>
      <c r="BO254" s="108"/>
      <c r="BP254" s="108"/>
      <c r="BQ254" s="108"/>
      <c r="BR254" s="108"/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  <c r="CN254" s="108"/>
      <c r="CO254" s="108"/>
      <c r="CP254" s="108"/>
      <c r="CQ254" s="23" t="s">
        <v>77</v>
      </c>
      <c r="DB254" s="107"/>
      <c r="DD254" s="8"/>
      <c r="DE254" s="8"/>
      <c r="DF254" s="8"/>
      <c r="DG254" s="8"/>
      <c r="DH254" s="8"/>
      <c r="DI254" s="8"/>
      <c r="DJ254" s="8"/>
      <c r="DK254" s="8"/>
    </row>
    <row r="255" spans="2:123" s="12" customFormat="1" ht="11.25" customHeight="1" outlineLevel="1" x14ac:dyDescent="0.2">
      <c r="B255" s="11" t="s">
        <v>33</v>
      </c>
      <c r="D255" s="23"/>
      <c r="E255" s="23"/>
      <c r="F255" s="23"/>
      <c r="G255" s="23"/>
      <c r="H255" s="23"/>
      <c r="I255" s="23"/>
      <c r="J255" s="23"/>
      <c r="K255" s="23">
        <v>22.373000000000001</v>
      </c>
      <c r="L255" s="23">
        <v>12.628</v>
      </c>
      <c r="M255" s="23">
        <v>60.078000000000003</v>
      </c>
      <c r="N255" s="23">
        <v>105.455</v>
      </c>
      <c r="O255" s="52">
        <v>108.815</v>
      </c>
      <c r="P255" s="52">
        <v>80.94</v>
      </c>
      <c r="Q255" s="52">
        <v>95.367999999999995</v>
      </c>
      <c r="R255" s="52">
        <v>329.93400000000003</v>
      </c>
      <c r="S255" s="52">
        <v>80.954999999999998</v>
      </c>
      <c r="T255" s="186">
        <f t="shared" ref="T255:AY255" si="634">S255+T239+T241</f>
        <v>7.0090000000000856</v>
      </c>
      <c r="U255" s="186">
        <f t="shared" si="634"/>
        <v>411.92100000000096</v>
      </c>
      <c r="V255" s="186">
        <f t="shared" si="634"/>
        <v>84.506000000001023</v>
      </c>
      <c r="W255" s="186">
        <f t="shared" si="634"/>
        <v>394.50100000000111</v>
      </c>
      <c r="X255" s="51">
        <f t="shared" si="634"/>
        <v>743.02275439849473</v>
      </c>
      <c r="Y255" s="51">
        <f t="shared" si="634"/>
        <v>733.77410562176908</v>
      </c>
      <c r="Z255" s="51">
        <f t="shared" si="634"/>
        <v>1125.9547272227244</v>
      </c>
      <c r="AA255" s="51">
        <f t="shared" si="634"/>
        <v>1210.557694857994</v>
      </c>
      <c r="AB255" s="51">
        <f t="shared" si="634"/>
        <v>1255.6185315920898</v>
      </c>
      <c r="AC255" s="51">
        <f t="shared" si="634"/>
        <v>1307.3770859815622</v>
      </c>
      <c r="AD255" s="51">
        <f t="shared" si="634"/>
        <v>1417.0319966801708</v>
      </c>
      <c r="AE255" s="51">
        <f t="shared" si="634"/>
        <v>1545.6443565108048</v>
      </c>
      <c r="AF255" s="51">
        <f t="shared" si="634"/>
        <v>1677.1118190250113</v>
      </c>
      <c r="AG255" s="51">
        <f t="shared" si="634"/>
        <v>1802.6809578922034</v>
      </c>
      <c r="AH255" s="51">
        <f t="shared" si="634"/>
        <v>2195.7079191419489</v>
      </c>
      <c r="AI255" s="51">
        <f t="shared" si="634"/>
        <v>2248.2555551249993</v>
      </c>
      <c r="AJ255" s="51">
        <f t="shared" si="634"/>
        <v>2243.6856410341838</v>
      </c>
      <c r="AK255" s="51">
        <f t="shared" si="634"/>
        <v>2476.1738094459715</v>
      </c>
      <c r="AL255" s="51">
        <f t="shared" si="634"/>
        <v>2626.2953693285099</v>
      </c>
      <c r="AM255" s="51">
        <f t="shared" si="634"/>
        <v>2794.8922860198859</v>
      </c>
      <c r="AN255" s="51">
        <f t="shared" si="634"/>
        <v>2972.7540880895667</v>
      </c>
      <c r="AO255" s="51">
        <f t="shared" si="634"/>
        <v>2886.5487017575078</v>
      </c>
      <c r="AP255" s="51">
        <f t="shared" si="634"/>
        <v>2446.8191099046317</v>
      </c>
      <c r="AQ255" s="51">
        <f t="shared" si="634"/>
        <v>2031.6270849201492</v>
      </c>
      <c r="AR255" s="51">
        <f t="shared" si="634"/>
        <v>1553.0612276692605</v>
      </c>
      <c r="AS255" s="51">
        <f t="shared" si="634"/>
        <v>1040.0124761560269</v>
      </c>
      <c r="AT255" s="51">
        <f t="shared" si="634"/>
        <v>521.23248760817842</v>
      </c>
      <c r="AU255" s="51">
        <f t="shared" si="634"/>
        <v>23.322778201992605</v>
      </c>
      <c r="AV255" s="51">
        <f t="shared" si="634"/>
        <v>-250.69450410979414</v>
      </c>
      <c r="AW255" s="51">
        <f t="shared" si="634"/>
        <v>-549.13328732741923</v>
      </c>
      <c r="AX255" s="51">
        <f t="shared" si="634"/>
        <v>-837.10736900025904</v>
      </c>
      <c r="AY255" s="51">
        <f t="shared" si="634"/>
        <v>-1114.267557024094</v>
      </c>
      <c r="AZ255" s="51">
        <f t="shared" ref="AZ255:CE255" si="635">AY255+AZ239+AZ241</f>
        <v>-1380.2616261615308</v>
      </c>
      <c r="BA255" s="51">
        <f t="shared" si="635"/>
        <v>-1791.0632157680807</v>
      </c>
      <c r="BB255" s="51">
        <f t="shared" si="635"/>
        <v>-2190.4747426111107</v>
      </c>
      <c r="BC255" s="51">
        <f t="shared" si="635"/>
        <v>-2578.1428239342749</v>
      </c>
      <c r="BD255" s="51">
        <f t="shared" si="635"/>
        <v>-2953.7054842099296</v>
      </c>
      <c r="BE255" s="51">
        <f t="shared" si="635"/>
        <v>-3316.7920108194976</v>
      </c>
      <c r="BF255" s="51">
        <f t="shared" si="635"/>
        <v>-3667.0258065563817</v>
      </c>
      <c r="BG255" s="51">
        <f t="shared" si="635"/>
        <v>-4004.0188601609211</v>
      </c>
      <c r="BH255" s="51">
        <f t="shared" si="635"/>
        <v>-4327.3784370741196</v>
      </c>
      <c r="BI255" s="51">
        <f t="shared" si="635"/>
        <v>-4636.6992720719227</v>
      </c>
      <c r="BJ255" s="51">
        <f t="shared" si="635"/>
        <v>-4931.5705903981761</v>
      </c>
      <c r="BK255" s="51">
        <f t="shared" si="635"/>
        <v>-5211.5698302911915</v>
      </c>
      <c r="BL255" s="51">
        <f t="shared" si="635"/>
        <v>-5476.2662470132136</v>
      </c>
      <c r="BM255" s="51">
        <f t="shared" si="635"/>
        <v>-5725.2195426097478</v>
      </c>
      <c r="BN255" s="51">
        <f t="shared" si="635"/>
        <v>-5957.980067701772</v>
      </c>
      <c r="BO255" s="51">
        <f t="shared" si="635"/>
        <v>-6174.0878111668717</v>
      </c>
      <c r="BP255" s="51">
        <f t="shared" si="635"/>
        <v>-6373.0725693740378</v>
      </c>
      <c r="BQ255" s="51">
        <f t="shared" si="635"/>
        <v>-6580.419832998311</v>
      </c>
      <c r="BR255" s="51">
        <f t="shared" si="635"/>
        <v>-6773.3368523267418</v>
      </c>
      <c r="BS255" s="51">
        <f t="shared" si="635"/>
        <v>-6983.2607260637124</v>
      </c>
      <c r="BT255" s="51">
        <f t="shared" si="635"/>
        <v>-7206.8283146316026</v>
      </c>
      <c r="BU255" s="51">
        <f t="shared" si="635"/>
        <v>-7416.0373547731006</v>
      </c>
      <c r="BV255" s="51">
        <f t="shared" si="635"/>
        <v>-7610.5204138006138</v>
      </c>
      <c r="BW255" s="51">
        <f t="shared" si="635"/>
        <v>-7789.9037795018139</v>
      </c>
      <c r="BX255" s="51">
        <f t="shared" si="635"/>
        <v>-7953.8063489549977</v>
      </c>
      <c r="BY255" s="51">
        <f t="shared" si="635"/>
        <v>-8101.8418244501754</v>
      </c>
      <c r="BZ255" s="51">
        <f t="shared" si="635"/>
        <v>-8233.6145849144214</v>
      </c>
      <c r="CA255" s="51">
        <f t="shared" si="635"/>
        <v>-8348.7227815910428</v>
      </c>
      <c r="CB255" s="51">
        <f t="shared" si="635"/>
        <v>-8446.755409920559</v>
      </c>
      <c r="CC255" s="51">
        <f t="shared" si="635"/>
        <v>-8530.9852994683788</v>
      </c>
      <c r="CD255" s="51">
        <f t="shared" si="635"/>
        <v>-8641.6355994852856</v>
      </c>
      <c r="CE255" s="51">
        <f t="shared" si="635"/>
        <v>-8734.8978106426894</v>
      </c>
      <c r="CF255" s="51">
        <f t="shared" ref="CF255:CP255" si="636">CE255+CF239+CF241</f>
        <v>-8810.3526855979653</v>
      </c>
      <c r="CG255" s="51">
        <f t="shared" si="636"/>
        <v>-8867.5720926007871</v>
      </c>
      <c r="CH255" s="51">
        <f t="shared" si="636"/>
        <v>-9357.7238039609383</v>
      </c>
      <c r="CI255" s="51">
        <f t="shared" si="636"/>
        <v>-9835.5935317761832</v>
      </c>
      <c r="CJ255" s="51">
        <f t="shared" si="636"/>
        <v>-10300.822041252331</v>
      </c>
      <c r="CK255" s="51">
        <f t="shared" si="636"/>
        <v>-10753.043573508337</v>
      </c>
      <c r="CL255" s="51">
        <f t="shared" si="636"/>
        <v>-11191.885271454583</v>
      </c>
      <c r="CM255" s="51">
        <f t="shared" si="636"/>
        <v>-11616.965516844342</v>
      </c>
      <c r="CN255" s="51">
        <f t="shared" si="636"/>
        <v>-12027.89411808252</v>
      </c>
      <c r="CO255" s="51">
        <f t="shared" si="636"/>
        <v>-12424.271747878594</v>
      </c>
      <c r="CP255" s="51">
        <f t="shared" si="636"/>
        <v>-12836.468103932584</v>
      </c>
      <c r="CQ255" s="23" t="s">
        <v>77</v>
      </c>
      <c r="CR255" s="51"/>
      <c r="CU255"/>
      <c r="CV255"/>
      <c r="CW255"/>
      <c r="CX255"/>
      <c r="CY255"/>
      <c r="CZ255"/>
      <c r="DB255" s="11" t="s">
        <v>33</v>
      </c>
      <c r="DJ255" s="52">
        <v>913.75199999999995</v>
      </c>
      <c r="DK255" s="12">
        <f>U255</f>
        <v>411.92100000000096</v>
      </c>
      <c r="DL255" s="52">
        <v>153.53899999999999</v>
      </c>
      <c r="DM255" s="12">
        <f>V255</f>
        <v>84.506000000001023</v>
      </c>
      <c r="DN255" s="52">
        <v>132.58600000000001</v>
      </c>
      <c r="DO255" s="12">
        <f>W255</f>
        <v>394.50100000000111</v>
      </c>
      <c r="DP255" s="52">
        <v>273.23399999999998</v>
      </c>
      <c r="DQ255" s="12">
        <f>X255</f>
        <v>743.02275439849473</v>
      </c>
    </row>
    <row r="256" spans="2:123" ht="11.25" customHeight="1" outlineLevel="1" x14ac:dyDescent="0.2">
      <c r="B256" s="7" t="s">
        <v>34</v>
      </c>
      <c r="D256" s="52"/>
      <c r="E256" s="52"/>
      <c r="F256" s="52"/>
      <c r="G256" s="52"/>
      <c r="H256" s="52"/>
      <c r="I256" s="52"/>
      <c r="J256" s="52"/>
      <c r="K256" s="52">
        <v>30.635999999999999</v>
      </c>
      <c r="L256" s="52">
        <v>35.259</v>
      </c>
      <c r="M256" s="52">
        <v>67.463999999999999</v>
      </c>
      <c r="N256" s="52">
        <v>130.202</v>
      </c>
      <c r="O256" s="52">
        <v>142.49799999999999</v>
      </c>
      <c r="P256" s="52">
        <v>142.529</v>
      </c>
      <c r="Q256" s="52">
        <v>145.69800000000001</v>
      </c>
      <c r="R256" s="52">
        <v>238.51900000000001</v>
      </c>
      <c r="S256" s="52">
        <v>164.56899999999999</v>
      </c>
      <c r="T256" s="186">
        <v>156.43899999999999</v>
      </c>
      <c r="U256" s="186">
        <v>254.94</v>
      </c>
      <c r="V256" s="186">
        <v>263.23200000000003</v>
      </c>
      <c r="W256" s="186">
        <v>289.709</v>
      </c>
      <c r="X256" s="272">
        <f t="shared" ref="X256:BD258" si="637">+W256</f>
        <v>289.709</v>
      </c>
      <c r="Y256" s="272">
        <f t="shared" si="637"/>
        <v>289.709</v>
      </c>
      <c r="Z256" s="272">
        <f t="shared" si="637"/>
        <v>289.709</v>
      </c>
      <c r="AA256" s="272">
        <f t="shared" si="637"/>
        <v>289.709</v>
      </c>
      <c r="AB256" s="272">
        <f t="shared" si="637"/>
        <v>289.709</v>
      </c>
      <c r="AC256" s="272">
        <f t="shared" si="637"/>
        <v>289.709</v>
      </c>
      <c r="AD256" s="272">
        <f t="shared" si="637"/>
        <v>289.709</v>
      </c>
      <c r="AE256" s="272">
        <f t="shared" si="637"/>
        <v>289.709</v>
      </c>
      <c r="AF256" s="272">
        <f t="shared" si="637"/>
        <v>289.709</v>
      </c>
      <c r="AG256" s="272">
        <f t="shared" si="637"/>
        <v>289.709</v>
      </c>
      <c r="AH256" s="272">
        <f t="shared" si="637"/>
        <v>289.709</v>
      </c>
      <c r="AI256" s="272">
        <f t="shared" si="637"/>
        <v>289.709</v>
      </c>
      <c r="AJ256" s="272">
        <f t="shared" si="637"/>
        <v>289.709</v>
      </c>
      <c r="AK256" s="272">
        <f t="shared" si="637"/>
        <v>289.709</v>
      </c>
      <c r="AL256" s="272">
        <f t="shared" si="637"/>
        <v>289.709</v>
      </c>
      <c r="AM256" s="272">
        <f t="shared" si="637"/>
        <v>289.709</v>
      </c>
      <c r="AN256" s="272">
        <f t="shared" si="637"/>
        <v>289.709</v>
      </c>
      <c r="AO256" s="272">
        <f t="shared" si="637"/>
        <v>289.709</v>
      </c>
      <c r="AP256" s="272">
        <f t="shared" si="637"/>
        <v>289.709</v>
      </c>
      <c r="AQ256" s="272">
        <f t="shared" si="637"/>
        <v>289.709</v>
      </c>
      <c r="AR256" s="272">
        <f t="shared" si="637"/>
        <v>289.709</v>
      </c>
      <c r="AS256" s="272">
        <f t="shared" si="637"/>
        <v>289.709</v>
      </c>
      <c r="AT256" s="272">
        <f t="shared" si="637"/>
        <v>289.709</v>
      </c>
      <c r="AU256" s="272">
        <f t="shared" si="637"/>
        <v>289.709</v>
      </c>
      <c r="AV256" s="272">
        <f t="shared" si="637"/>
        <v>289.709</v>
      </c>
      <c r="AW256" s="272">
        <f t="shared" si="637"/>
        <v>289.709</v>
      </c>
      <c r="AX256" s="272">
        <f>+AW256</f>
        <v>289.709</v>
      </c>
      <c r="AY256" s="272">
        <f t="shared" si="637"/>
        <v>289.709</v>
      </c>
      <c r="AZ256" s="272">
        <f t="shared" si="637"/>
        <v>289.709</v>
      </c>
      <c r="BA256" s="272">
        <f t="shared" si="637"/>
        <v>289.709</v>
      </c>
      <c r="BB256" s="272">
        <f t="shared" si="637"/>
        <v>289.709</v>
      </c>
      <c r="BC256" s="272">
        <f t="shared" si="637"/>
        <v>289.709</v>
      </c>
      <c r="BD256" s="272">
        <f t="shared" si="637"/>
        <v>289.709</v>
      </c>
      <c r="BE256" s="272">
        <f t="shared" ref="BE256:CP256" si="638">+BD256</f>
        <v>289.709</v>
      </c>
      <c r="BF256" s="272">
        <f t="shared" si="638"/>
        <v>289.709</v>
      </c>
      <c r="BG256" s="272">
        <f t="shared" si="638"/>
        <v>289.709</v>
      </c>
      <c r="BH256" s="272">
        <f t="shared" si="638"/>
        <v>289.709</v>
      </c>
      <c r="BI256" s="272">
        <f t="shared" si="638"/>
        <v>289.709</v>
      </c>
      <c r="BJ256" s="272">
        <f t="shared" si="638"/>
        <v>289.709</v>
      </c>
      <c r="BK256" s="272">
        <f t="shared" si="638"/>
        <v>289.709</v>
      </c>
      <c r="BL256" s="272">
        <f t="shared" si="638"/>
        <v>289.709</v>
      </c>
      <c r="BM256" s="272">
        <f t="shared" si="638"/>
        <v>289.709</v>
      </c>
      <c r="BN256" s="272">
        <f t="shared" si="638"/>
        <v>289.709</v>
      </c>
      <c r="BO256" s="272">
        <f t="shared" si="638"/>
        <v>289.709</v>
      </c>
      <c r="BP256" s="272">
        <f t="shared" si="638"/>
        <v>289.709</v>
      </c>
      <c r="BQ256" s="272">
        <f t="shared" si="638"/>
        <v>289.709</v>
      </c>
      <c r="BR256" s="272">
        <f t="shared" si="638"/>
        <v>289.709</v>
      </c>
      <c r="BS256" s="272">
        <f t="shared" si="638"/>
        <v>289.709</v>
      </c>
      <c r="BT256" s="272">
        <f t="shared" si="638"/>
        <v>289.709</v>
      </c>
      <c r="BU256" s="272">
        <f t="shared" si="638"/>
        <v>289.709</v>
      </c>
      <c r="BV256" s="272">
        <f t="shared" si="638"/>
        <v>289.709</v>
      </c>
      <c r="BW256" s="272">
        <f t="shared" si="638"/>
        <v>289.709</v>
      </c>
      <c r="BX256" s="272">
        <f t="shared" si="638"/>
        <v>289.709</v>
      </c>
      <c r="BY256" s="272">
        <f t="shared" si="638"/>
        <v>289.709</v>
      </c>
      <c r="BZ256" s="272">
        <f t="shared" si="638"/>
        <v>289.709</v>
      </c>
      <c r="CA256" s="272">
        <f t="shared" si="638"/>
        <v>289.709</v>
      </c>
      <c r="CB256" s="272">
        <f t="shared" si="638"/>
        <v>289.709</v>
      </c>
      <c r="CC256" s="272">
        <f t="shared" si="638"/>
        <v>289.709</v>
      </c>
      <c r="CD256" s="272">
        <f t="shared" si="638"/>
        <v>289.709</v>
      </c>
      <c r="CE256" s="272">
        <f t="shared" si="638"/>
        <v>289.709</v>
      </c>
      <c r="CF256" s="272">
        <f t="shared" si="638"/>
        <v>289.709</v>
      </c>
      <c r="CG256" s="272">
        <f t="shared" si="638"/>
        <v>289.709</v>
      </c>
      <c r="CH256" s="272">
        <f t="shared" si="638"/>
        <v>289.709</v>
      </c>
      <c r="CI256" s="272">
        <f t="shared" si="638"/>
        <v>289.709</v>
      </c>
      <c r="CJ256" s="272">
        <f t="shared" si="638"/>
        <v>289.709</v>
      </c>
      <c r="CK256" s="272">
        <f t="shared" si="638"/>
        <v>289.709</v>
      </c>
      <c r="CL256" s="272">
        <f t="shared" si="638"/>
        <v>289.709</v>
      </c>
      <c r="CM256" s="272">
        <f t="shared" si="638"/>
        <v>289.709</v>
      </c>
      <c r="CN256" s="272">
        <f t="shared" si="638"/>
        <v>289.709</v>
      </c>
      <c r="CO256" s="272">
        <f t="shared" si="638"/>
        <v>289.709</v>
      </c>
      <c r="CP256" s="272">
        <f t="shared" si="638"/>
        <v>289.709</v>
      </c>
      <c r="CQ256" s="23" t="s">
        <v>77</v>
      </c>
      <c r="CR256" s="51"/>
      <c r="DB256" s="7" t="s">
        <v>34</v>
      </c>
      <c r="DD256" s="8"/>
      <c r="DE256" s="8"/>
      <c r="DF256" s="8"/>
      <c r="DG256" s="8"/>
      <c r="DH256" s="8"/>
      <c r="DI256" s="12"/>
      <c r="DJ256" s="52">
        <v>156.08600000000001</v>
      </c>
      <c r="DK256" s="12">
        <f>U256</f>
        <v>254.94</v>
      </c>
      <c r="DL256" s="52">
        <v>215.19399999999999</v>
      </c>
      <c r="DM256" s="12">
        <f>V256</f>
        <v>263.23200000000003</v>
      </c>
      <c r="DN256" s="52">
        <v>250.285</v>
      </c>
      <c r="DO256" s="12">
        <f>W256</f>
        <v>289.709</v>
      </c>
      <c r="DP256" s="52">
        <v>267.60300000000001</v>
      </c>
      <c r="DQ256" s="12">
        <f t="shared" ref="DQ256:DQ259" si="639">X256</f>
        <v>289.709</v>
      </c>
      <c r="DR256" s="12"/>
      <c r="DS256" s="12"/>
    </row>
    <row r="257" spans="1:123" ht="11.25" customHeight="1" outlineLevel="1" x14ac:dyDescent="0.2">
      <c r="B257" s="7" t="s">
        <v>92</v>
      </c>
      <c r="D257" s="52"/>
      <c r="E257" s="52"/>
      <c r="F257" s="52"/>
      <c r="G257" s="52"/>
      <c r="H257" s="52"/>
      <c r="I257" s="52"/>
      <c r="J257" s="52"/>
      <c r="K257" s="52">
        <v>3.121</v>
      </c>
      <c r="L257" s="52">
        <v>4.0960000000000001</v>
      </c>
      <c r="M257" s="52">
        <v>6.5880000000000001</v>
      </c>
      <c r="N257" s="52">
        <v>10.962</v>
      </c>
      <c r="O257" s="52">
        <v>14.156000000000001</v>
      </c>
      <c r="P257" s="52">
        <v>10.698</v>
      </c>
      <c r="Q257" s="52">
        <v>11.076000000000001</v>
      </c>
      <c r="R257" s="52">
        <v>11.504</v>
      </c>
      <c r="S257" s="52">
        <v>12.726000000000001</v>
      </c>
      <c r="T257" s="186">
        <v>17.349</v>
      </c>
      <c r="U257" s="186">
        <v>21.29</v>
      </c>
      <c r="V257" s="186">
        <v>24.890999999999998</v>
      </c>
      <c r="W257" s="186">
        <v>25.26</v>
      </c>
      <c r="X257" s="272">
        <f t="shared" ref="X257:BC257" si="640">W257-X220</f>
        <v>25.26</v>
      </c>
      <c r="Y257" s="272">
        <f t="shared" si="640"/>
        <v>25.26</v>
      </c>
      <c r="Z257" s="272">
        <f t="shared" si="640"/>
        <v>25.26</v>
      </c>
      <c r="AA257" s="272">
        <f t="shared" si="640"/>
        <v>25.26</v>
      </c>
      <c r="AB257" s="272">
        <f t="shared" si="640"/>
        <v>25.26</v>
      </c>
      <c r="AC257" s="272">
        <f t="shared" si="640"/>
        <v>25.26</v>
      </c>
      <c r="AD257" s="272">
        <f t="shared" si="640"/>
        <v>25.26</v>
      </c>
      <c r="AE257" s="272">
        <f t="shared" si="640"/>
        <v>25.26</v>
      </c>
      <c r="AF257" s="272">
        <f t="shared" si="640"/>
        <v>25.26</v>
      </c>
      <c r="AG257" s="272">
        <f t="shared" si="640"/>
        <v>25.26</v>
      </c>
      <c r="AH257" s="272">
        <f t="shared" si="640"/>
        <v>25.26</v>
      </c>
      <c r="AI257" s="272">
        <f t="shared" si="640"/>
        <v>25.26</v>
      </c>
      <c r="AJ257" s="272">
        <f t="shared" si="640"/>
        <v>25.26</v>
      </c>
      <c r="AK257" s="272">
        <f t="shared" si="640"/>
        <v>25.26</v>
      </c>
      <c r="AL257" s="272">
        <f t="shared" si="640"/>
        <v>25.26</v>
      </c>
      <c r="AM257" s="272">
        <f t="shared" si="640"/>
        <v>25.26</v>
      </c>
      <c r="AN257" s="272">
        <f t="shared" si="640"/>
        <v>25.26</v>
      </c>
      <c r="AO257" s="272">
        <f t="shared" si="640"/>
        <v>25.26</v>
      </c>
      <c r="AP257" s="272">
        <f t="shared" si="640"/>
        <v>25.26</v>
      </c>
      <c r="AQ257" s="272">
        <f t="shared" si="640"/>
        <v>25.26</v>
      </c>
      <c r="AR257" s="272">
        <f t="shared" si="640"/>
        <v>25.26</v>
      </c>
      <c r="AS257" s="272">
        <f t="shared" si="640"/>
        <v>25.26</v>
      </c>
      <c r="AT257" s="272">
        <f t="shared" si="640"/>
        <v>25.26</v>
      </c>
      <c r="AU257" s="272">
        <f t="shared" si="640"/>
        <v>25.26</v>
      </c>
      <c r="AV257" s="272">
        <f t="shared" si="640"/>
        <v>25.26</v>
      </c>
      <c r="AW257" s="272">
        <f t="shared" si="640"/>
        <v>25.26</v>
      </c>
      <c r="AX257" s="272">
        <f t="shared" si="640"/>
        <v>25.26</v>
      </c>
      <c r="AY257" s="272">
        <f t="shared" si="640"/>
        <v>25.26</v>
      </c>
      <c r="AZ257" s="272">
        <f t="shared" si="640"/>
        <v>25.26</v>
      </c>
      <c r="BA257" s="272">
        <f t="shared" si="640"/>
        <v>25.26</v>
      </c>
      <c r="BB257" s="272">
        <f t="shared" si="640"/>
        <v>25.26</v>
      </c>
      <c r="BC257" s="272">
        <f t="shared" si="640"/>
        <v>25.26</v>
      </c>
      <c r="BD257" s="272">
        <f t="shared" ref="BD257:CI257" si="641">BC257-BD220</f>
        <v>25.26</v>
      </c>
      <c r="BE257" s="272">
        <f t="shared" si="641"/>
        <v>25.26</v>
      </c>
      <c r="BF257" s="272">
        <f t="shared" si="641"/>
        <v>25.26</v>
      </c>
      <c r="BG257" s="272">
        <f t="shared" si="641"/>
        <v>25.26</v>
      </c>
      <c r="BH257" s="272">
        <f t="shared" si="641"/>
        <v>25.26</v>
      </c>
      <c r="BI257" s="272">
        <f t="shared" si="641"/>
        <v>25.26</v>
      </c>
      <c r="BJ257" s="272">
        <f t="shared" si="641"/>
        <v>25.26</v>
      </c>
      <c r="BK257" s="272">
        <f t="shared" si="641"/>
        <v>25.26</v>
      </c>
      <c r="BL257" s="272">
        <f t="shared" si="641"/>
        <v>25.26</v>
      </c>
      <c r="BM257" s="272">
        <f t="shared" si="641"/>
        <v>25.26</v>
      </c>
      <c r="BN257" s="272">
        <f t="shared" si="641"/>
        <v>25.26</v>
      </c>
      <c r="BO257" s="272">
        <f t="shared" si="641"/>
        <v>25.26</v>
      </c>
      <c r="BP257" s="272">
        <f t="shared" si="641"/>
        <v>25.26</v>
      </c>
      <c r="BQ257" s="272">
        <f t="shared" si="641"/>
        <v>25.26</v>
      </c>
      <c r="BR257" s="272">
        <f t="shared" si="641"/>
        <v>25.26</v>
      </c>
      <c r="BS257" s="272">
        <f t="shared" si="641"/>
        <v>25.26</v>
      </c>
      <c r="BT257" s="272">
        <f t="shared" si="641"/>
        <v>25.26</v>
      </c>
      <c r="BU257" s="272">
        <f t="shared" si="641"/>
        <v>25.26</v>
      </c>
      <c r="BV257" s="272">
        <f t="shared" si="641"/>
        <v>25.26</v>
      </c>
      <c r="BW257" s="272">
        <f t="shared" si="641"/>
        <v>25.26</v>
      </c>
      <c r="BX257" s="272">
        <f t="shared" si="641"/>
        <v>25.26</v>
      </c>
      <c r="BY257" s="272">
        <f t="shared" si="641"/>
        <v>25.26</v>
      </c>
      <c r="BZ257" s="272">
        <f t="shared" si="641"/>
        <v>25.26</v>
      </c>
      <c r="CA257" s="272">
        <f t="shared" si="641"/>
        <v>25.26</v>
      </c>
      <c r="CB257" s="272">
        <f t="shared" si="641"/>
        <v>25.26</v>
      </c>
      <c r="CC257" s="272">
        <f t="shared" si="641"/>
        <v>25.26</v>
      </c>
      <c r="CD257" s="272">
        <f t="shared" si="641"/>
        <v>25.26</v>
      </c>
      <c r="CE257" s="272">
        <f t="shared" si="641"/>
        <v>25.26</v>
      </c>
      <c r="CF257" s="272">
        <f t="shared" si="641"/>
        <v>25.26</v>
      </c>
      <c r="CG257" s="272">
        <f t="shared" si="641"/>
        <v>25.26</v>
      </c>
      <c r="CH257" s="272">
        <f t="shared" si="641"/>
        <v>25.26</v>
      </c>
      <c r="CI257" s="272">
        <f t="shared" si="641"/>
        <v>25.26</v>
      </c>
      <c r="CJ257" s="272">
        <f t="shared" ref="CJ257:CP257" si="642">CI257-CJ220</f>
        <v>25.26</v>
      </c>
      <c r="CK257" s="272">
        <f t="shared" si="642"/>
        <v>25.26</v>
      </c>
      <c r="CL257" s="272">
        <f t="shared" si="642"/>
        <v>25.26</v>
      </c>
      <c r="CM257" s="272">
        <f t="shared" si="642"/>
        <v>25.26</v>
      </c>
      <c r="CN257" s="272">
        <f t="shared" si="642"/>
        <v>25.26</v>
      </c>
      <c r="CO257" s="272">
        <f t="shared" si="642"/>
        <v>25.26</v>
      </c>
      <c r="CP257" s="272">
        <f t="shared" si="642"/>
        <v>25.26</v>
      </c>
      <c r="CQ257" s="23" t="s">
        <v>77</v>
      </c>
      <c r="CR257" s="51"/>
      <c r="DB257" s="7" t="s">
        <v>92</v>
      </c>
      <c r="DD257" s="8"/>
      <c r="DE257" s="8"/>
      <c r="DF257" s="8"/>
      <c r="DG257" s="8"/>
      <c r="DH257" s="8"/>
      <c r="DI257" s="12"/>
      <c r="DJ257" s="52">
        <v>18.838000000000001</v>
      </c>
      <c r="DK257" s="12">
        <f>U257</f>
        <v>21.29</v>
      </c>
      <c r="DL257" s="52">
        <v>21.616</v>
      </c>
      <c r="DM257" s="12">
        <f>V257</f>
        <v>24.890999999999998</v>
      </c>
      <c r="DN257" s="52">
        <v>24.655000000000001</v>
      </c>
      <c r="DO257" s="12">
        <f>W257</f>
        <v>25.26</v>
      </c>
      <c r="DP257" s="52">
        <v>25.988</v>
      </c>
      <c r="DQ257" s="12">
        <f t="shared" si="639"/>
        <v>25.26</v>
      </c>
      <c r="DR257" s="12"/>
      <c r="DS257" s="12"/>
    </row>
    <row r="258" spans="1:123" ht="11.25" customHeight="1" outlineLevel="1" x14ac:dyDescent="0.2">
      <c r="B258" s="7" t="s">
        <v>268</v>
      </c>
      <c r="D258" s="52"/>
      <c r="E258" s="52"/>
      <c r="F258" s="52"/>
      <c r="G258" s="52"/>
      <c r="H258" s="52"/>
      <c r="I258" s="52"/>
      <c r="J258" s="52"/>
      <c r="K258" s="52">
        <v>0</v>
      </c>
      <c r="L258" s="52">
        <v>0</v>
      </c>
      <c r="M258" s="52">
        <v>6.3890000000000002</v>
      </c>
      <c r="N258" s="52">
        <v>0</v>
      </c>
      <c r="O258" s="52">
        <v>0</v>
      </c>
      <c r="P258" s="52">
        <v>0</v>
      </c>
      <c r="Q258" s="52">
        <v>0</v>
      </c>
      <c r="R258" s="52">
        <v>0.42</v>
      </c>
      <c r="S258" s="52">
        <v>16.469000000000001</v>
      </c>
      <c r="T258" s="186">
        <v>16.574999999999999</v>
      </c>
      <c r="U258" s="186">
        <v>24.789000000000001</v>
      </c>
      <c r="V258" s="186">
        <v>35.14</v>
      </c>
      <c r="W258" s="186">
        <v>52.334000000000003</v>
      </c>
      <c r="X258" s="272">
        <f t="shared" si="637"/>
        <v>52.334000000000003</v>
      </c>
      <c r="Y258" s="272">
        <f t="shared" si="637"/>
        <v>52.334000000000003</v>
      </c>
      <c r="Z258" s="272">
        <f t="shared" si="637"/>
        <v>52.334000000000003</v>
      </c>
      <c r="AA258" s="272">
        <f t="shared" si="637"/>
        <v>52.334000000000003</v>
      </c>
      <c r="AB258" s="272">
        <f t="shared" si="637"/>
        <v>52.334000000000003</v>
      </c>
      <c r="AC258" s="272">
        <f t="shared" si="637"/>
        <v>52.334000000000003</v>
      </c>
      <c r="AD258" s="272">
        <f t="shared" si="637"/>
        <v>52.334000000000003</v>
      </c>
      <c r="AE258" s="272">
        <f t="shared" si="637"/>
        <v>52.334000000000003</v>
      </c>
      <c r="AF258" s="272">
        <f t="shared" si="637"/>
        <v>52.334000000000003</v>
      </c>
      <c r="AG258" s="272">
        <f t="shared" si="637"/>
        <v>52.334000000000003</v>
      </c>
      <c r="AH258" s="272">
        <f t="shared" si="637"/>
        <v>52.334000000000003</v>
      </c>
      <c r="AI258" s="272">
        <f t="shared" si="637"/>
        <v>52.334000000000003</v>
      </c>
      <c r="AJ258" s="272">
        <f t="shared" si="637"/>
        <v>52.334000000000003</v>
      </c>
      <c r="AK258" s="272">
        <f t="shared" si="637"/>
        <v>52.334000000000003</v>
      </c>
      <c r="AL258" s="272">
        <f t="shared" si="637"/>
        <v>52.334000000000003</v>
      </c>
      <c r="AM258" s="272">
        <f t="shared" si="637"/>
        <v>52.334000000000003</v>
      </c>
      <c r="AN258" s="272">
        <f t="shared" si="637"/>
        <v>52.334000000000003</v>
      </c>
      <c r="AO258" s="272">
        <f t="shared" si="637"/>
        <v>52.334000000000003</v>
      </c>
      <c r="AP258" s="272">
        <f t="shared" si="637"/>
        <v>52.334000000000003</v>
      </c>
      <c r="AQ258" s="272">
        <f t="shared" si="637"/>
        <v>52.334000000000003</v>
      </c>
      <c r="AR258" s="272">
        <f t="shared" si="637"/>
        <v>52.334000000000003</v>
      </c>
      <c r="AS258" s="272">
        <f t="shared" si="637"/>
        <v>52.334000000000003</v>
      </c>
      <c r="AT258" s="272">
        <f t="shared" si="637"/>
        <v>52.334000000000003</v>
      </c>
      <c r="AU258" s="272">
        <f t="shared" si="637"/>
        <v>52.334000000000003</v>
      </c>
      <c r="AV258" s="272">
        <f t="shared" si="637"/>
        <v>52.334000000000003</v>
      </c>
      <c r="AW258" s="272">
        <f t="shared" si="637"/>
        <v>52.334000000000003</v>
      </c>
      <c r="AX258" s="272">
        <f t="shared" si="637"/>
        <v>52.334000000000003</v>
      </c>
      <c r="AY258" s="272">
        <f t="shared" si="637"/>
        <v>52.334000000000003</v>
      </c>
      <c r="AZ258" s="272">
        <f t="shared" si="637"/>
        <v>52.334000000000003</v>
      </c>
      <c r="BA258" s="272">
        <f t="shared" si="637"/>
        <v>52.334000000000003</v>
      </c>
      <c r="BB258" s="272">
        <f t="shared" si="637"/>
        <v>52.334000000000003</v>
      </c>
      <c r="BC258" s="272">
        <f t="shared" si="637"/>
        <v>52.334000000000003</v>
      </c>
      <c r="BD258" s="272">
        <f t="shared" si="637"/>
        <v>52.334000000000003</v>
      </c>
      <c r="BE258" s="272">
        <f t="shared" ref="BE258:CP258" si="643">+BD258</f>
        <v>52.334000000000003</v>
      </c>
      <c r="BF258" s="272">
        <f t="shared" si="643"/>
        <v>52.334000000000003</v>
      </c>
      <c r="BG258" s="272">
        <f t="shared" si="643"/>
        <v>52.334000000000003</v>
      </c>
      <c r="BH258" s="272">
        <f t="shared" si="643"/>
        <v>52.334000000000003</v>
      </c>
      <c r="BI258" s="272">
        <f t="shared" si="643"/>
        <v>52.334000000000003</v>
      </c>
      <c r="BJ258" s="272">
        <f t="shared" si="643"/>
        <v>52.334000000000003</v>
      </c>
      <c r="BK258" s="272">
        <f t="shared" si="643"/>
        <v>52.334000000000003</v>
      </c>
      <c r="BL258" s="272">
        <f t="shared" si="643"/>
        <v>52.334000000000003</v>
      </c>
      <c r="BM258" s="272">
        <f t="shared" si="643"/>
        <v>52.334000000000003</v>
      </c>
      <c r="BN258" s="272">
        <f t="shared" si="643"/>
        <v>52.334000000000003</v>
      </c>
      <c r="BO258" s="272">
        <f t="shared" si="643"/>
        <v>52.334000000000003</v>
      </c>
      <c r="BP258" s="272">
        <f t="shared" si="643"/>
        <v>52.334000000000003</v>
      </c>
      <c r="BQ258" s="272">
        <f t="shared" si="643"/>
        <v>52.334000000000003</v>
      </c>
      <c r="BR258" s="272">
        <f t="shared" si="643"/>
        <v>52.334000000000003</v>
      </c>
      <c r="BS258" s="272">
        <f t="shared" si="643"/>
        <v>52.334000000000003</v>
      </c>
      <c r="BT258" s="272">
        <f t="shared" si="643"/>
        <v>52.334000000000003</v>
      </c>
      <c r="BU258" s="272">
        <f t="shared" si="643"/>
        <v>52.334000000000003</v>
      </c>
      <c r="BV258" s="272">
        <f t="shared" si="643"/>
        <v>52.334000000000003</v>
      </c>
      <c r="BW258" s="272">
        <f t="shared" si="643"/>
        <v>52.334000000000003</v>
      </c>
      <c r="BX258" s="272">
        <f t="shared" si="643"/>
        <v>52.334000000000003</v>
      </c>
      <c r="BY258" s="272">
        <f t="shared" si="643"/>
        <v>52.334000000000003</v>
      </c>
      <c r="BZ258" s="272">
        <f t="shared" si="643"/>
        <v>52.334000000000003</v>
      </c>
      <c r="CA258" s="272">
        <f t="shared" si="643"/>
        <v>52.334000000000003</v>
      </c>
      <c r="CB258" s="272">
        <f t="shared" si="643"/>
        <v>52.334000000000003</v>
      </c>
      <c r="CC258" s="272">
        <f t="shared" si="643"/>
        <v>52.334000000000003</v>
      </c>
      <c r="CD258" s="272">
        <f t="shared" si="643"/>
        <v>52.334000000000003</v>
      </c>
      <c r="CE258" s="272">
        <f t="shared" si="643"/>
        <v>52.334000000000003</v>
      </c>
      <c r="CF258" s="272">
        <f t="shared" si="643"/>
        <v>52.334000000000003</v>
      </c>
      <c r="CG258" s="272">
        <f t="shared" si="643"/>
        <v>52.334000000000003</v>
      </c>
      <c r="CH258" s="272">
        <f t="shared" si="643"/>
        <v>52.334000000000003</v>
      </c>
      <c r="CI258" s="272">
        <f t="shared" si="643"/>
        <v>52.334000000000003</v>
      </c>
      <c r="CJ258" s="272">
        <f t="shared" si="643"/>
        <v>52.334000000000003</v>
      </c>
      <c r="CK258" s="272">
        <f t="shared" si="643"/>
        <v>52.334000000000003</v>
      </c>
      <c r="CL258" s="272">
        <f t="shared" si="643"/>
        <v>52.334000000000003</v>
      </c>
      <c r="CM258" s="272">
        <f t="shared" si="643"/>
        <v>52.334000000000003</v>
      </c>
      <c r="CN258" s="272">
        <f t="shared" si="643"/>
        <v>52.334000000000003</v>
      </c>
      <c r="CO258" s="272">
        <f t="shared" si="643"/>
        <v>52.334000000000003</v>
      </c>
      <c r="CP258" s="272">
        <f t="shared" si="643"/>
        <v>52.334000000000003</v>
      </c>
      <c r="CQ258" s="23" t="s">
        <v>77</v>
      </c>
      <c r="DB258" s="7" t="s">
        <v>268</v>
      </c>
      <c r="DD258" s="8"/>
      <c r="DE258" s="8"/>
      <c r="DF258" s="8"/>
      <c r="DG258" s="8"/>
      <c r="DH258" s="8"/>
      <c r="DI258" s="12"/>
      <c r="DJ258" s="52">
        <v>18.981999999999999</v>
      </c>
      <c r="DK258" s="12">
        <f>U258</f>
        <v>24.789000000000001</v>
      </c>
      <c r="DL258" s="52">
        <v>41.826000000000001</v>
      </c>
      <c r="DM258" s="12">
        <f>V258</f>
        <v>35.14</v>
      </c>
      <c r="DN258" s="52">
        <v>47.68</v>
      </c>
      <c r="DO258" s="12">
        <f>W258</f>
        <v>52.334000000000003</v>
      </c>
      <c r="DP258" s="52">
        <v>80.230999999999995</v>
      </c>
      <c r="DQ258" s="12">
        <f t="shared" si="639"/>
        <v>52.334000000000003</v>
      </c>
      <c r="DR258" s="12"/>
      <c r="DS258" s="12"/>
    </row>
    <row r="259" spans="1:123" ht="11.25" customHeight="1" outlineLevel="1" x14ac:dyDescent="0.2">
      <c r="B259" s="7" t="s">
        <v>93</v>
      </c>
      <c r="D259" s="52"/>
      <c r="E259" s="52"/>
      <c r="F259" s="52"/>
      <c r="G259" s="52"/>
      <c r="H259" s="52"/>
      <c r="I259" s="52"/>
      <c r="J259" s="52"/>
      <c r="K259" s="52">
        <v>2.2240000000000002</v>
      </c>
      <c r="L259" s="52">
        <f>7.164+1.401-12.628+13.004</f>
        <v>8.9409999999999989</v>
      </c>
      <c r="M259" s="52">
        <f>2.942+0</f>
        <v>2.9420000000000002</v>
      </c>
      <c r="N259" s="52">
        <f>2.883+601.731</f>
        <v>604.61400000000003</v>
      </c>
      <c r="O259" s="52">
        <v>4.1820000000000004</v>
      </c>
      <c r="P259" s="52">
        <v>3.7570000000000001</v>
      </c>
      <c r="Q259" s="52">
        <v>3.3570000000000002</v>
      </c>
      <c r="R259" s="52">
        <v>4.1340000000000003</v>
      </c>
      <c r="S259" s="52">
        <v>5.6619999999999999</v>
      </c>
      <c r="T259" s="186">
        <v>5.9960000000000004</v>
      </c>
      <c r="U259" s="186">
        <v>8.3140000000000001</v>
      </c>
      <c r="V259" s="186">
        <v>13.023</v>
      </c>
      <c r="W259" s="186">
        <v>10.526999999999999</v>
      </c>
      <c r="X259" s="272">
        <f t="shared" ref="X259:BD259" si="644">W259</f>
        <v>10.526999999999999</v>
      </c>
      <c r="Y259" s="272">
        <f t="shared" si="644"/>
        <v>10.526999999999999</v>
      </c>
      <c r="Z259" s="272">
        <f t="shared" si="644"/>
        <v>10.526999999999999</v>
      </c>
      <c r="AA259" s="272">
        <f t="shared" si="644"/>
        <v>10.526999999999999</v>
      </c>
      <c r="AB259" s="272">
        <f t="shared" si="644"/>
        <v>10.526999999999999</v>
      </c>
      <c r="AC259" s="272">
        <f t="shared" si="644"/>
        <v>10.526999999999999</v>
      </c>
      <c r="AD259" s="272">
        <f t="shared" si="644"/>
        <v>10.526999999999999</v>
      </c>
      <c r="AE259" s="272">
        <f t="shared" si="644"/>
        <v>10.526999999999999</v>
      </c>
      <c r="AF259" s="272">
        <f t="shared" si="644"/>
        <v>10.526999999999999</v>
      </c>
      <c r="AG259" s="272">
        <f t="shared" si="644"/>
        <v>10.526999999999999</v>
      </c>
      <c r="AH259" s="272">
        <f t="shared" si="644"/>
        <v>10.526999999999999</v>
      </c>
      <c r="AI259" s="272">
        <f t="shared" si="644"/>
        <v>10.526999999999999</v>
      </c>
      <c r="AJ259" s="272">
        <f t="shared" si="644"/>
        <v>10.526999999999999</v>
      </c>
      <c r="AK259" s="272">
        <f t="shared" si="644"/>
        <v>10.526999999999999</v>
      </c>
      <c r="AL259" s="272">
        <f t="shared" si="644"/>
        <v>10.526999999999999</v>
      </c>
      <c r="AM259" s="272">
        <f t="shared" si="644"/>
        <v>10.526999999999999</v>
      </c>
      <c r="AN259" s="272">
        <f t="shared" si="644"/>
        <v>10.526999999999999</v>
      </c>
      <c r="AO259" s="272">
        <f t="shared" si="644"/>
        <v>10.526999999999999</v>
      </c>
      <c r="AP259" s="272">
        <f t="shared" si="644"/>
        <v>10.526999999999999</v>
      </c>
      <c r="AQ259" s="272">
        <f t="shared" si="644"/>
        <v>10.526999999999999</v>
      </c>
      <c r="AR259" s="272">
        <f t="shared" si="644"/>
        <v>10.526999999999999</v>
      </c>
      <c r="AS259" s="272">
        <f t="shared" si="644"/>
        <v>10.526999999999999</v>
      </c>
      <c r="AT259" s="272">
        <f t="shared" si="644"/>
        <v>10.526999999999999</v>
      </c>
      <c r="AU259" s="272">
        <f t="shared" si="644"/>
        <v>10.526999999999999</v>
      </c>
      <c r="AV259" s="272">
        <f t="shared" si="644"/>
        <v>10.526999999999999</v>
      </c>
      <c r="AW259" s="272">
        <f t="shared" si="644"/>
        <v>10.526999999999999</v>
      </c>
      <c r="AX259" s="272">
        <f t="shared" si="644"/>
        <v>10.526999999999999</v>
      </c>
      <c r="AY259" s="272">
        <f t="shared" si="644"/>
        <v>10.526999999999999</v>
      </c>
      <c r="AZ259" s="272">
        <f t="shared" si="644"/>
        <v>10.526999999999999</v>
      </c>
      <c r="BA259" s="272">
        <f t="shared" si="644"/>
        <v>10.526999999999999</v>
      </c>
      <c r="BB259" s="272">
        <f t="shared" si="644"/>
        <v>10.526999999999999</v>
      </c>
      <c r="BC259" s="272">
        <f t="shared" si="644"/>
        <v>10.526999999999999</v>
      </c>
      <c r="BD259" s="272">
        <f t="shared" si="644"/>
        <v>10.526999999999999</v>
      </c>
      <c r="BE259" s="272">
        <f t="shared" ref="BE259:CP259" si="645">BD259</f>
        <v>10.526999999999999</v>
      </c>
      <c r="BF259" s="272">
        <f t="shared" si="645"/>
        <v>10.526999999999999</v>
      </c>
      <c r="BG259" s="272">
        <f t="shared" si="645"/>
        <v>10.526999999999999</v>
      </c>
      <c r="BH259" s="272">
        <f t="shared" si="645"/>
        <v>10.526999999999999</v>
      </c>
      <c r="BI259" s="272">
        <f t="shared" si="645"/>
        <v>10.526999999999999</v>
      </c>
      <c r="BJ259" s="272">
        <f t="shared" si="645"/>
        <v>10.526999999999999</v>
      </c>
      <c r="BK259" s="272">
        <f t="shared" si="645"/>
        <v>10.526999999999999</v>
      </c>
      <c r="BL259" s="272">
        <f t="shared" si="645"/>
        <v>10.526999999999999</v>
      </c>
      <c r="BM259" s="272">
        <f t="shared" si="645"/>
        <v>10.526999999999999</v>
      </c>
      <c r="BN259" s="272">
        <f t="shared" si="645"/>
        <v>10.526999999999999</v>
      </c>
      <c r="BO259" s="272">
        <f t="shared" si="645"/>
        <v>10.526999999999999</v>
      </c>
      <c r="BP259" s="272">
        <f t="shared" si="645"/>
        <v>10.526999999999999</v>
      </c>
      <c r="BQ259" s="272">
        <f t="shared" si="645"/>
        <v>10.526999999999999</v>
      </c>
      <c r="BR259" s="272">
        <f t="shared" si="645"/>
        <v>10.526999999999999</v>
      </c>
      <c r="BS259" s="272">
        <f t="shared" si="645"/>
        <v>10.526999999999999</v>
      </c>
      <c r="BT259" s="272">
        <f t="shared" si="645"/>
        <v>10.526999999999999</v>
      </c>
      <c r="BU259" s="272">
        <f t="shared" si="645"/>
        <v>10.526999999999999</v>
      </c>
      <c r="BV259" s="272">
        <f t="shared" si="645"/>
        <v>10.526999999999999</v>
      </c>
      <c r="BW259" s="272">
        <f t="shared" si="645"/>
        <v>10.526999999999999</v>
      </c>
      <c r="BX259" s="272">
        <f t="shared" si="645"/>
        <v>10.526999999999999</v>
      </c>
      <c r="BY259" s="272">
        <f t="shared" si="645"/>
        <v>10.526999999999999</v>
      </c>
      <c r="BZ259" s="272">
        <f t="shared" si="645"/>
        <v>10.526999999999999</v>
      </c>
      <c r="CA259" s="272">
        <f t="shared" si="645"/>
        <v>10.526999999999999</v>
      </c>
      <c r="CB259" s="272">
        <f t="shared" si="645"/>
        <v>10.526999999999999</v>
      </c>
      <c r="CC259" s="272">
        <f t="shared" si="645"/>
        <v>10.526999999999999</v>
      </c>
      <c r="CD259" s="272">
        <f t="shared" si="645"/>
        <v>10.526999999999999</v>
      </c>
      <c r="CE259" s="272">
        <f t="shared" si="645"/>
        <v>10.526999999999999</v>
      </c>
      <c r="CF259" s="272">
        <f t="shared" si="645"/>
        <v>10.526999999999999</v>
      </c>
      <c r="CG259" s="272">
        <f t="shared" si="645"/>
        <v>10.526999999999999</v>
      </c>
      <c r="CH259" s="272">
        <f t="shared" si="645"/>
        <v>10.526999999999999</v>
      </c>
      <c r="CI259" s="272">
        <f t="shared" si="645"/>
        <v>10.526999999999999</v>
      </c>
      <c r="CJ259" s="272">
        <f t="shared" si="645"/>
        <v>10.526999999999999</v>
      </c>
      <c r="CK259" s="272">
        <f t="shared" si="645"/>
        <v>10.526999999999999</v>
      </c>
      <c r="CL259" s="272">
        <f t="shared" si="645"/>
        <v>10.526999999999999</v>
      </c>
      <c r="CM259" s="272">
        <f t="shared" si="645"/>
        <v>10.526999999999999</v>
      </c>
      <c r="CN259" s="272">
        <f t="shared" si="645"/>
        <v>10.526999999999999</v>
      </c>
      <c r="CO259" s="272">
        <f t="shared" si="645"/>
        <v>10.526999999999999</v>
      </c>
      <c r="CP259" s="272">
        <f t="shared" si="645"/>
        <v>10.526999999999999</v>
      </c>
      <c r="CQ259" s="23" t="s">
        <v>77</v>
      </c>
      <c r="DB259" s="7" t="s">
        <v>93</v>
      </c>
      <c r="DD259" s="8"/>
      <c r="DE259" s="8"/>
      <c r="DF259" s="8"/>
      <c r="DG259" s="8"/>
      <c r="DH259" s="8"/>
      <c r="DI259" s="12"/>
      <c r="DJ259" s="52">
        <v>5.931</v>
      </c>
      <c r="DK259" s="12">
        <f>U259</f>
        <v>8.3140000000000001</v>
      </c>
      <c r="DL259" s="52">
        <v>5.7949999999999999</v>
      </c>
      <c r="DM259" s="12">
        <f>V259</f>
        <v>13.023</v>
      </c>
      <c r="DN259" s="52">
        <f>11.92</f>
        <v>11.92</v>
      </c>
      <c r="DO259" s="12">
        <f>W259</f>
        <v>10.526999999999999</v>
      </c>
      <c r="DP259" s="52">
        <v>12.38</v>
      </c>
      <c r="DQ259" s="12">
        <f t="shared" si="639"/>
        <v>10.526999999999999</v>
      </c>
      <c r="DR259" s="12"/>
      <c r="DS259" s="12"/>
    </row>
    <row r="260" spans="1:123" ht="11.25" customHeight="1" outlineLevel="1" x14ac:dyDescent="0.2">
      <c r="A260" s="233"/>
      <c r="B260" s="1" t="s">
        <v>35</v>
      </c>
      <c r="D260" s="3"/>
      <c r="E260" s="3"/>
      <c r="F260" s="3"/>
      <c r="G260" s="3"/>
      <c r="H260" s="3"/>
      <c r="I260" s="3"/>
      <c r="J260" s="3"/>
      <c r="K260" s="3">
        <f t="shared" ref="K260:BD260" si="646">SUM(K255:K259)</f>
        <v>58.353999999999999</v>
      </c>
      <c r="L260" s="3">
        <f t="shared" si="646"/>
        <v>60.924000000000007</v>
      </c>
      <c r="M260" s="3">
        <f t="shared" si="646"/>
        <v>143.46100000000001</v>
      </c>
      <c r="N260" s="3">
        <f t="shared" si="646"/>
        <v>851.23299999999995</v>
      </c>
      <c r="O260" s="3">
        <f t="shared" si="646"/>
        <v>269.65100000000001</v>
      </c>
      <c r="P260" s="3">
        <f t="shared" si="646"/>
        <v>237.92400000000001</v>
      </c>
      <c r="Q260" s="3">
        <f t="shared" si="646"/>
        <v>255.499</v>
      </c>
      <c r="R260" s="3">
        <f t="shared" si="646"/>
        <v>584.51099999999997</v>
      </c>
      <c r="S260" s="3">
        <f t="shared" si="646"/>
        <v>280.38099999999997</v>
      </c>
      <c r="T260" s="3">
        <f t="shared" si="646"/>
        <v>203.36800000000008</v>
      </c>
      <c r="U260" s="3">
        <f t="shared" si="646"/>
        <v>721.25400000000093</v>
      </c>
      <c r="V260" s="3">
        <f t="shared" si="646"/>
        <v>420.79200000000111</v>
      </c>
      <c r="W260" s="3">
        <f t="shared" si="646"/>
        <v>772.33100000000127</v>
      </c>
      <c r="X260" s="3">
        <f t="shared" si="646"/>
        <v>1120.8527543984949</v>
      </c>
      <c r="Y260" s="3">
        <f t="shared" si="646"/>
        <v>1111.6041056217691</v>
      </c>
      <c r="Z260" s="3">
        <f t="shared" si="646"/>
        <v>1503.7847272227245</v>
      </c>
      <c r="AA260" s="3">
        <f t="shared" si="646"/>
        <v>1588.3876948579941</v>
      </c>
      <c r="AB260" s="3">
        <f t="shared" si="646"/>
        <v>1633.4485315920899</v>
      </c>
      <c r="AC260" s="3">
        <f t="shared" si="646"/>
        <v>1685.2070859815624</v>
      </c>
      <c r="AD260" s="3">
        <f t="shared" si="646"/>
        <v>1794.8619966801709</v>
      </c>
      <c r="AE260" s="3">
        <f t="shared" si="646"/>
        <v>1923.4743565108049</v>
      </c>
      <c r="AF260" s="3">
        <f t="shared" si="646"/>
        <v>2054.9418190250112</v>
      </c>
      <c r="AG260" s="3">
        <f t="shared" si="646"/>
        <v>2180.5109578922034</v>
      </c>
      <c r="AH260" s="3">
        <f t="shared" si="646"/>
        <v>2573.5379191419488</v>
      </c>
      <c r="AI260" s="3">
        <f t="shared" si="646"/>
        <v>2626.0855551249992</v>
      </c>
      <c r="AJ260" s="3">
        <f t="shared" si="646"/>
        <v>2621.5156410341838</v>
      </c>
      <c r="AK260" s="3">
        <f t="shared" si="646"/>
        <v>2854.0038094459715</v>
      </c>
      <c r="AL260" s="3">
        <f t="shared" si="646"/>
        <v>3004.1253693285098</v>
      </c>
      <c r="AM260" s="3">
        <f t="shared" si="646"/>
        <v>3172.7222860198858</v>
      </c>
      <c r="AN260" s="3">
        <f t="shared" si="646"/>
        <v>3350.5840880895666</v>
      </c>
      <c r="AO260" s="3">
        <f t="shared" si="646"/>
        <v>3264.3787017575078</v>
      </c>
      <c r="AP260" s="3">
        <f t="shared" si="646"/>
        <v>2824.6491099046316</v>
      </c>
      <c r="AQ260" s="3">
        <f t="shared" si="646"/>
        <v>2409.4570849201491</v>
      </c>
      <c r="AR260" s="3">
        <f t="shared" si="646"/>
        <v>1930.8912276692606</v>
      </c>
      <c r="AS260" s="3">
        <f t="shared" si="646"/>
        <v>1417.842476156027</v>
      </c>
      <c r="AT260" s="3">
        <f t="shared" si="646"/>
        <v>899.06248760817857</v>
      </c>
      <c r="AU260" s="3">
        <f t="shared" si="646"/>
        <v>401.15277820199259</v>
      </c>
      <c r="AV260" s="3">
        <f t="shared" si="646"/>
        <v>127.13549589020587</v>
      </c>
      <c r="AW260" s="3">
        <f t="shared" si="646"/>
        <v>-171.30328732741924</v>
      </c>
      <c r="AX260" s="3">
        <f t="shared" si="646"/>
        <v>-459.277369000259</v>
      </c>
      <c r="AY260" s="3">
        <f t="shared" si="646"/>
        <v>-736.43755702409385</v>
      </c>
      <c r="AZ260" s="3">
        <f t="shared" si="646"/>
        <v>-1002.4316261615306</v>
      </c>
      <c r="BA260" s="3">
        <f t="shared" si="646"/>
        <v>-1413.2332157680805</v>
      </c>
      <c r="BB260" s="3">
        <f t="shared" si="646"/>
        <v>-1812.6447426111106</v>
      </c>
      <c r="BC260" s="3">
        <f t="shared" si="646"/>
        <v>-2200.312823934275</v>
      </c>
      <c r="BD260" s="3">
        <f t="shared" si="646"/>
        <v>-2575.8754842099297</v>
      </c>
      <c r="BE260" s="3">
        <f t="shared" ref="BE260:CP260" si="647">SUM(BE255:BE259)</f>
        <v>-2938.9620108194977</v>
      </c>
      <c r="BF260" s="3">
        <f t="shared" si="647"/>
        <v>-3289.1958065563817</v>
      </c>
      <c r="BG260" s="3">
        <f t="shared" si="647"/>
        <v>-3626.1888601609212</v>
      </c>
      <c r="BH260" s="3">
        <f t="shared" si="647"/>
        <v>-3949.5484370741196</v>
      </c>
      <c r="BI260" s="3">
        <f t="shared" si="647"/>
        <v>-4258.8692720719228</v>
      </c>
      <c r="BJ260" s="3">
        <f t="shared" si="647"/>
        <v>-4553.7405903981762</v>
      </c>
      <c r="BK260" s="3">
        <f t="shared" si="647"/>
        <v>-4833.7398302911915</v>
      </c>
      <c r="BL260" s="3">
        <f t="shared" si="647"/>
        <v>-5098.4362470132137</v>
      </c>
      <c r="BM260" s="3">
        <f t="shared" si="647"/>
        <v>-5347.3895426097479</v>
      </c>
      <c r="BN260" s="3">
        <f t="shared" si="647"/>
        <v>-5580.1500677017721</v>
      </c>
      <c r="BO260" s="3">
        <f t="shared" si="647"/>
        <v>-5796.2578111668718</v>
      </c>
      <c r="BP260" s="3">
        <f t="shared" si="647"/>
        <v>-5995.2425693740379</v>
      </c>
      <c r="BQ260" s="3">
        <f t="shared" si="647"/>
        <v>-6202.5898329983111</v>
      </c>
      <c r="BR260" s="3">
        <f t="shared" si="647"/>
        <v>-6395.5068523267419</v>
      </c>
      <c r="BS260" s="3">
        <f t="shared" si="647"/>
        <v>-6605.4307260637124</v>
      </c>
      <c r="BT260" s="3">
        <f t="shared" si="647"/>
        <v>-6828.9983146316026</v>
      </c>
      <c r="BU260" s="3">
        <f t="shared" si="647"/>
        <v>-7038.2073547731006</v>
      </c>
      <c r="BV260" s="3">
        <f t="shared" si="647"/>
        <v>-7232.6904138006139</v>
      </c>
      <c r="BW260" s="3">
        <f t="shared" si="647"/>
        <v>-7412.073779501814</v>
      </c>
      <c r="BX260" s="3">
        <f t="shared" si="647"/>
        <v>-7575.9763489549978</v>
      </c>
      <c r="BY260" s="3">
        <f t="shared" si="647"/>
        <v>-7724.0118244501755</v>
      </c>
      <c r="BZ260" s="3">
        <f t="shared" si="647"/>
        <v>-7855.7845849144214</v>
      </c>
      <c r="CA260" s="3">
        <f t="shared" si="647"/>
        <v>-7970.8927815910429</v>
      </c>
      <c r="CB260" s="3">
        <f t="shared" si="647"/>
        <v>-8068.9254099205591</v>
      </c>
      <c r="CC260" s="3">
        <f t="shared" si="647"/>
        <v>-8153.155299468378</v>
      </c>
      <c r="CD260" s="3">
        <f t="shared" si="647"/>
        <v>-8263.8055994852839</v>
      </c>
      <c r="CE260" s="3">
        <f t="shared" si="647"/>
        <v>-8357.0678106426876</v>
      </c>
      <c r="CF260" s="3">
        <f t="shared" si="647"/>
        <v>-8432.5226855979636</v>
      </c>
      <c r="CG260" s="3">
        <f t="shared" si="647"/>
        <v>-8489.7420926007853</v>
      </c>
      <c r="CH260" s="3">
        <f t="shared" si="647"/>
        <v>-8979.8938039609366</v>
      </c>
      <c r="CI260" s="3">
        <f t="shared" si="647"/>
        <v>-9457.7635317761815</v>
      </c>
      <c r="CJ260" s="3">
        <f t="shared" si="647"/>
        <v>-9922.9920412523297</v>
      </c>
      <c r="CK260" s="3">
        <f t="shared" si="647"/>
        <v>-10375.213573508336</v>
      </c>
      <c r="CL260" s="3">
        <f t="shared" si="647"/>
        <v>-10814.055271454581</v>
      </c>
      <c r="CM260" s="3">
        <f t="shared" si="647"/>
        <v>-11239.135516844341</v>
      </c>
      <c r="CN260" s="3">
        <f t="shared" si="647"/>
        <v>-11650.064118082519</v>
      </c>
      <c r="CO260" s="3">
        <f t="shared" si="647"/>
        <v>-12046.441747878593</v>
      </c>
      <c r="CP260" s="3">
        <f t="shared" si="647"/>
        <v>-12458.638103932582</v>
      </c>
      <c r="CQ260" s="23" t="s">
        <v>77</v>
      </c>
      <c r="DB260" s="1" t="s">
        <v>35</v>
      </c>
      <c r="DD260" s="3"/>
      <c r="DE260" s="3"/>
      <c r="DF260" s="3"/>
      <c r="DG260" s="3"/>
      <c r="DH260" s="3"/>
      <c r="DI260" s="3"/>
      <c r="DJ260" s="3">
        <f t="shared" ref="DJ260:DO260" si="648">SUM(DJ255:DJ259)</f>
        <v>1113.5889999999999</v>
      </c>
      <c r="DK260" s="3">
        <f t="shared" si="648"/>
        <v>721.25400000000093</v>
      </c>
      <c r="DL260" s="3">
        <f t="shared" si="648"/>
        <v>437.96999999999997</v>
      </c>
      <c r="DM260" s="3">
        <f t="shared" si="648"/>
        <v>420.79200000000111</v>
      </c>
      <c r="DN260" s="3">
        <f t="shared" si="648"/>
        <v>467.12599999999998</v>
      </c>
      <c r="DO260" s="3">
        <f t="shared" si="648"/>
        <v>772.33100000000127</v>
      </c>
      <c r="DP260" s="3">
        <f t="shared" ref="DP260:DQ260" si="649">SUM(DP255:DP259)</f>
        <v>659.43600000000004</v>
      </c>
      <c r="DQ260" s="3">
        <f t="shared" si="649"/>
        <v>1120.8527543984949</v>
      </c>
      <c r="DR260" s="3"/>
      <c r="DS260" s="3"/>
    </row>
    <row r="261" spans="1:123" ht="11.25" customHeight="1" outlineLevel="1" x14ac:dyDescent="0.2">
      <c r="CQ261" s="23" t="s">
        <v>77</v>
      </c>
      <c r="DD261" s="8"/>
      <c r="DE261" s="8"/>
      <c r="DF261" s="8"/>
      <c r="DG261" s="8"/>
      <c r="DH261" s="8"/>
      <c r="DI261" s="8"/>
      <c r="DJ261" s="8"/>
      <c r="DK261" s="8"/>
    </row>
    <row r="262" spans="1:123" ht="11.25" customHeight="1" outlineLevel="1" x14ac:dyDescent="0.2">
      <c r="B262" s="7" t="s">
        <v>94</v>
      </c>
      <c r="D262" s="52"/>
      <c r="E262" s="52"/>
      <c r="F262" s="52"/>
      <c r="G262" s="52"/>
      <c r="H262" s="52"/>
      <c r="I262" s="52"/>
      <c r="J262" s="52"/>
      <c r="K262" s="52">
        <v>2E-3</v>
      </c>
      <c r="L262" s="52">
        <v>10.956</v>
      </c>
      <c r="M262" s="52">
        <v>69.503</v>
      </c>
      <c r="N262" s="52">
        <v>21.425999999999998</v>
      </c>
      <c r="O262" s="52">
        <v>21.167999999999999</v>
      </c>
      <c r="P262" s="52">
        <v>21.402000000000001</v>
      </c>
      <c r="Q262" s="52">
        <v>25.86</v>
      </c>
      <c r="R262" s="52">
        <v>22.244</v>
      </c>
      <c r="S262" s="52">
        <v>34.317999999999998</v>
      </c>
      <c r="T262" s="186">
        <v>147.83500000000001</v>
      </c>
      <c r="U262" s="186">
        <v>92.47</v>
      </c>
      <c r="V262" s="186">
        <v>17.283000000000001</v>
      </c>
      <c r="W262" s="186">
        <v>15.496</v>
      </c>
      <c r="X262" s="272">
        <f t="shared" ref="X262:BD262" si="650">+W262</f>
        <v>15.496</v>
      </c>
      <c r="Y262" s="272">
        <f t="shared" si="650"/>
        <v>15.496</v>
      </c>
      <c r="Z262" s="272">
        <f t="shared" si="650"/>
        <v>15.496</v>
      </c>
      <c r="AA262" s="272">
        <f t="shared" si="650"/>
        <v>15.496</v>
      </c>
      <c r="AB262" s="272">
        <f t="shared" si="650"/>
        <v>15.496</v>
      </c>
      <c r="AC262" s="272">
        <f t="shared" si="650"/>
        <v>15.496</v>
      </c>
      <c r="AD262" s="272">
        <f t="shared" si="650"/>
        <v>15.496</v>
      </c>
      <c r="AE262" s="272">
        <f t="shared" si="650"/>
        <v>15.496</v>
      </c>
      <c r="AF262" s="272">
        <f t="shared" si="650"/>
        <v>15.496</v>
      </c>
      <c r="AG262" s="272">
        <f t="shared" si="650"/>
        <v>15.496</v>
      </c>
      <c r="AH262" s="272">
        <f t="shared" si="650"/>
        <v>15.496</v>
      </c>
      <c r="AI262" s="272">
        <f t="shared" si="650"/>
        <v>15.496</v>
      </c>
      <c r="AJ262" s="272">
        <f t="shared" si="650"/>
        <v>15.496</v>
      </c>
      <c r="AK262" s="272">
        <f t="shared" si="650"/>
        <v>15.496</v>
      </c>
      <c r="AL262" s="272">
        <f t="shared" si="650"/>
        <v>15.496</v>
      </c>
      <c r="AM262" s="272">
        <f t="shared" si="650"/>
        <v>15.496</v>
      </c>
      <c r="AN262" s="272">
        <f t="shared" si="650"/>
        <v>15.496</v>
      </c>
      <c r="AO262" s="272">
        <f t="shared" si="650"/>
        <v>15.496</v>
      </c>
      <c r="AP262" s="272">
        <f t="shared" si="650"/>
        <v>15.496</v>
      </c>
      <c r="AQ262" s="272">
        <f t="shared" si="650"/>
        <v>15.496</v>
      </c>
      <c r="AR262" s="272">
        <f t="shared" si="650"/>
        <v>15.496</v>
      </c>
      <c r="AS262" s="272">
        <f t="shared" si="650"/>
        <v>15.496</v>
      </c>
      <c r="AT262" s="272">
        <f t="shared" si="650"/>
        <v>15.496</v>
      </c>
      <c r="AU262" s="272">
        <f t="shared" si="650"/>
        <v>15.496</v>
      </c>
      <c r="AV262" s="272">
        <f t="shared" si="650"/>
        <v>15.496</v>
      </c>
      <c r="AW262" s="272">
        <f t="shared" si="650"/>
        <v>15.496</v>
      </c>
      <c r="AX262" s="272">
        <f t="shared" si="650"/>
        <v>15.496</v>
      </c>
      <c r="AY262" s="272">
        <f t="shared" si="650"/>
        <v>15.496</v>
      </c>
      <c r="AZ262" s="272">
        <f t="shared" si="650"/>
        <v>15.496</v>
      </c>
      <c r="BA262" s="272">
        <f t="shared" si="650"/>
        <v>15.496</v>
      </c>
      <c r="BB262" s="272">
        <f t="shared" si="650"/>
        <v>15.496</v>
      </c>
      <c r="BC262" s="272">
        <f t="shared" si="650"/>
        <v>15.496</v>
      </c>
      <c r="BD262" s="272">
        <f t="shared" si="650"/>
        <v>15.496</v>
      </c>
      <c r="BE262" s="272">
        <f t="shared" ref="BE262:CP262" si="651">+BD262</f>
        <v>15.496</v>
      </c>
      <c r="BF262" s="272">
        <f t="shared" si="651"/>
        <v>15.496</v>
      </c>
      <c r="BG262" s="272">
        <f t="shared" si="651"/>
        <v>15.496</v>
      </c>
      <c r="BH262" s="272">
        <f t="shared" si="651"/>
        <v>15.496</v>
      </c>
      <c r="BI262" s="272">
        <f t="shared" si="651"/>
        <v>15.496</v>
      </c>
      <c r="BJ262" s="272">
        <f t="shared" si="651"/>
        <v>15.496</v>
      </c>
      <c r="BK262" s="272">
        <f t="shared" si="651"/>
        <v>15.496</v>
      </c>
      <c r="BL262" s="272">
        <f t="shared" si="651"/>
        <v>15.496</v>
      </c>
      <c r="BM262" s="272">
        <f t="shared" si="651"/>
        <v>15.496</v>
      </c>
      <c r="BN262" s="272">
        <f t="shared" si="651"/>
        <v>15.496</v>
      </c>
      <c r="BO262" s="272">
        <f t="shared" si="651"/>
        <v>15.496</v>
      </c>
      <c r="BP262" s="272">
        <f t="shared" si="651"/>
        <v>15.496</v>
      </c>
      <c r="BQ262" s="272">
        <f t="shared" si="651"/>
        <v>15.496</v>
      </c>
      <c r="BR262" s="272">
        <f t="shared" si="651"/>
        <v>15.496</v>
      </c>
      <c r="BS262" s="272">
        <f t="shared" si="651"/>
        <v>15.496</v>
      </c>
      <c r="BT262" s="272">
        <f t="shared" si="651"/>
        <v>15.496</v>
      </c>
      <c r="BU262" s="272">
        <f t="shared" si="651"/>
        <v>15.496</v>
      </c>
      <c r="BV262" s="272">
        <f t="shared" si="651"/>
        <v>15.496</v>
      </c>
      <c r="BW262" s="272">
        <f t="shared" si="651"/>
        <v>15.496</v>
      </c>
      <c r="BX262" s="272">
        <f t="shared" si="651"/>
        <v>15.496</v>
      </c>
      <c r="BY262" s="272">
        <f t="shared" si="651"/>
        <v>15.496</v>
      </c>
      <c r="BZ262" s="272">
        <f t="shared" si="651"/>
        <v>15.496</v>
      </c>
      <c r="CA262" s="272">
        <f t="shared" si="651"/>
        <v>15.496</v>
      </c>
      <c r="CB262" s="272">
        <f t="shared" si="651"/>
        <v>15.496</v>
      </c>
      <c r="CC262" s="272">
        <f t="shared" si="651"/>
        <v>15.496</v>
      </c>
      <c r="CD262" s="272">
        <f t="shared" si="651"/>
        <v>15.496</v>
      </c>
      <c r="CE262" s="272">
        <f t="shared" si="651"/>
        <v>15.496</v>
      </c>
      <c r="CF262" s="272">
        <f t="shared" si="651"/>
        <v>15.496</v>
      </c>
      <c r="CG262" s="272">
        <f t="shared" si="651"/>
        <v>15.496</v>
      </c>
      <c r="CH262" s="272">
        <f t="shared" si="651"/>
        <v>15.496</v>
      </c>
      <c r="CI262" s="272">
        <f t="shared" si="651"/>
        <v>15.496</v>
      </c>
      <c r="CJ262" s="272">
        <f t="shared" si="651"/>
        <v>15.496</v>
      </c>
      <c r="CK262" s="272">
        <f t="shared" si="651"/>
        <v>15.496</v>
      </c>
      <c r="CL262" s="272">
        <f t="shared" si="651"/>
        <v>15.496</v>
      </c>
      <c r="CM262" s="272">
        <f t="shared" si="651"/>
        <v>15.496</v>
      </c>
      <c r="CN262" s="272">
        <f t="shared" si="651"/>
        <v>15.496</v>
      </c>
      <c r="CO262" s="272">
        <f t="shared" si="651"/>
        <v>15.496</v>
      </c>
      <c r="CP262" s="272">
        <f t="shared" si="651"/>
        <v>15.496</v>
      </c>
      <c r="CQ262" s="23" t="s">
        <v>77</v>
      </c>
      <c r="DB262" s="7" t="s">
        <v>94</v>
      </c>
      <c r="DD262" s="8"/>
      <c r="DE262" s="8"/>
      <c r="DF262" s="8"/>
      <c r="DG262" s="8"/>
      <c r="DH262" s="8"/>
      <c r="DI262" s="12"/>
      <c r="DJ262" s="52">
        <v>101.10299999999999</v>
      </c>
      <c r="DK262" s="12">
        <f>U262</f>
        <v>92.47</v>
      </c>
      <c r="DL262" s="52">
        <v>91.841999999999999</v>
      </c>
      <c r="DM262" s="12">
        <f>V262</f>
        <v>17.283000000000001</v>
      </c>
      <c r="DN262" s="52">
        <v>16.382000000000001</v>
      </c>
      <c r="DO262" s="12">
        <f>W262</f>
        <v>15.496</v>
      </c>
      <c r="DP262" s="52">
        <v>14.78</v>
      </c>
      <c r="DQ262" s="12">
        <f t="shared" ref="DQ262:DQ268" si="652">X262</f>
        <v>15.496</v>
      </c>
      <c r="DR262" s="12"/>
      <c r="DS262" s="12"/>
    </row>
    <row r="263" spans="1:123" ht="11.25" customHeight="1" outlineLevel="1" x14ac:dyDescent="0.2">
      <c r="B263" s="7" t="s">
        <v>268</v>
      </c>
      <c r="D263" s="52"/>
      <c r="E263" s="52"/>
      <c r="F263" s="52"/>
      <c r="G263" s="52"/>
      <c r="H263" s="52"/>
      <c r="I263" s="52"/>
      <c r="J263" s="52"/>
      <c r="K263" s="52">
        <v>0</v>
      </c>
      <c r="L263" s="52">
        <v>23.199000000000002</v>
      </c>
      <c r="M263" s="52">
        <v>0.01</v>
      </c>
      <c r="N263" s="52">
        <v>153.14400000000001</v>
      </c>
      <c r="O263" s="52">
        <v>14.259</v>
      </c>
      <c r="P263" s="52">
        <v>129.185</v>
      </c>
      <c r="Q263" s="52">
        <v>182.28200000000001</v>
      </c>
      <c r="R263" s="52">
        <v>299.07</v>
      </c>
      <c r="S263" s="52">
        <v>168.54</v>
      </c>
      <c r="T263" s="186">
        <v>110.768</v>
      </c>
      <c r="U263" s="186">
        <v>496.53699999999998</v>
      </c>
      <c r="V263" s="186">
        <v>447.07</v>
      </c>
      <c r="W263" s="186">
        <v>458.77300000000002</v>
      </c>
      <c r="X263" s="272">
        <f t="shared" ref="X263:BC263" si="653">+W263+X111</f>
        <v>464.69051500000006</v>
      </c>
      <c r="Y263" s="272">
        <f t="shared" si="653"/>
        <v>475.83585631597748</v>
      </c>
      <c r="Z263" s="272">
        <f t="shared" si="653"/>
        <v>486.84246790030403</v>
      </c>
      <c r="AA263" s="272">
        <f t="shared" si="653"/>
        <v>503.73178880864486</v>
      </c>
      <c r="AB263" s="272">
        <f t="shared" si="653"/>
        <v>521.89015423151477</v>
      </c>
      <c r="AC263" s="272">
        <f t="shared" si="653"/>
        <v>540.72443220539617</v>
      </c>
      <c r="AD263" s="272">
        <f t="shared" si="653"/>
        <v>560.33508849511963</v>
      </c>
      <c r="AE263" s="272">
        <f t="shared" si="653"/>
        <v>581.59056844532222</v>
      </c>
      <c r="AF263" s="272">
        <f t="shared" si="653"/>
        <v>604.7752337929843</v>
      </c>
      <c r="AG263" s="272">
        <f t="shared" si="653"/>
        <v>629.93191107835946</v>
      </c>
      <c r="AH263" s="272">
        <f t="shared" si="653"/>
        <v>656.97212544674255</v>
      </c>
      <c r="AI263" s="272">
        <f t="shared" si="653"/>
        <v>689.90774423387177</v>
      </c>
      <c r="AJ263" s="272">
        <f t="shared" si="653"/>
        <v>723.63157756074679</v>
      </c>
      <c r="AK263" s="272">
        <f t="shared" si="653"/>
        <v>757.28686217625955</v>
      </c>
      <c r="AL263" s="272">
        <f t="shared" si="653"/>
        <v>794.42946931794916</v>
      </c>
      <c r="AM263" s="272">
        <f t="shared" si="653"/>
        <v>833.82389985787677</v>
      </c>
      <c r="AN263" s="272">
        <f t="shared" si="653"/>
        <v>875.74728414817503</v>
      </c>
      <c r="AO263" s="272">
        <f t="shared" si="653"/>
        <v>920.33859546951851</v>
      </c>
      <c r="AP263" s="272">
        <f t="shared" si="653"/>
        <v>963.63682599588117</v>
      </c>
      <c r="AQ263" s="272">
        <f t="shared" si="653"/>
        <v>1000.3391126444507</v>
      </c>
      <c r="AR263" s="272">
        <f t="shared" si="653"/>
        <v>1030.8135189182528</v>
      </c>
      <c r="AS263" s="272">
        <f t="shared" si="653"/>
        <v>1054.1094373332917</v>
      </c>
      <c r="AT263" s="272">
        <f t="shared" si="653"/>
        <v>1069.7096244756322</v>
      </c>
      <c r="AU263" s="272">
        <f t="shared" si="653"/>
        <v>1077.5281117897548</v>
      </c>
      <c r="AV263" s="272">
        <f t="shared" si="653"/>
        <v>1077.8779534627847</v>
      </c>
      <c r="AW263" s="272">
        <f t="shared" si="653"/>
        <v>1074.1175359011379</v>
      </c>
      <c r="AX263" s="272">
        <f t="shared" si="653"/>
        <v>1065.8805365912267</v>
      </c>
      <c r="AY263" s="272">
        <f t="shared" si="653"/>
        <v>1053.3239260562227</v>
      </c>
      <c r="AZ263" s="272">
        <f t="shared" si="653"/>
        <v>1036.6099127008613</v>
      </c>
      <c r="BA263" s="272">
        <f t="shared" si="653"/>
        <v>1015.9059883084383</v>
      </c>
      <c r="BB263" s="272">
        <f t="shared" si="653"/>
        <v>989.04004007191702</v>
      </c>
      <c r="BC263" s="272">
        <f t="shared" si="653"/>
        <v>956.18291893275034</v>
      </c>
      <c r="BD263" s="272">
        <f t="shared" ref="BD263:CI263" si="654">+BC263+BD111</f>
        <v>917.51077657373617</v>
      </c>
      <c r="BE263" s="272">
        <f t="shared" si="654"/>
        <v>873.20519431058722</v>
      </c>
      <c r="BF263" s="272">
        <f t="shared" si="654"/>
        <v>823.45331414829479</v>
      </c>
      <c r="BG263" s="272">
        <f t="shared" si="654"/>
        <v>768.44792704994904</v>
      </c>
      <c r="BH263" s="272">
        <f t="shared" si="654"/>
        <v>708.38764414753518</v>
      </c>
      <c r="BI263" s="272">
        <f t="shared" si="654"/>
        <v>643.47696759142343</v>
      </c>
      <c r="BJ263" s="272">
        <f t="shared" si="654"/>
        <v>573.92647851034462</v>
      </c>
      <c r="BK263" s="272">
        <f t="shared" si="654"/>
        <v>499.95291965437195</v>
      </c>
      <c r="BL263" s="272">
        <f t="shared" si="654"/>
        <v>421.7793722000041</v>
      </c>
      <c r="BM263" s="272">
        <f t="shared" si="654"/>
        <v>339.63537849480588</v>
      </c>
      <c r="BN263" s="272">
        <f t="shared" si="654"/>
        <v>253.75708535565968</v>
      </c>
      <c r="BO263" s="272">
        <f t="shared" si="654"/>
        <v>164.38738434013311</v>
      </c>
      <c r="BP263" s="272">
        <f t="shared" si="654"/>
        <v>71.776067172630036</v>
      </c>
      <c r="BQ263" s="272">
        <f t="shared" si="654"/>
        <v>-23.82002136798053</v>
      </c>
      <c r="BR263" s="272">
        <f t="shared" si="654"/>
        <v>-122.52631886295519</v>
      </c>
      <c r="BS263" s="272">
        <f t="shared" si="654"/>
        <v>-224.12637164785633</v>
      </c>
      <c r="BT263" s="272">
        <f t="shared" si="654"/>
        <v>-328.87528253881203</v>
      </c>
      <c r="BU263" s="272">
        <f t="shared" si="654"/>
        <v>-436.97770725828605</v>
      </c>
      <c r="BV263" s="272">
        <f t="shared" si="654"/>
        <v>-548.21826757988254</v>
      </c>
      <c r="BW263" s="272">
        <f t="shared" si="654"/>
        <v>-662.37607378689177</v>
      </c>
      <c r="BX263" s="272">
        <f t="shared" si="654"/>
        <v>-779.22463047941892</v>
      </c>
      <c r="BY263" s="272">
        <f t="shared" si="654"/>
        <v>-898.53172571374387</v>
      </c>
      <c r="BZ263" s="272">
        <f t="shared" si="654"/>
        <v>-1020.0593530804965</v>
      </c>
      <c r="CA263" s="272">
        <f t="shared" si="654"/>
        <v>-1143.5635718542128</v>
      </c>
      <c r="CB263" s="272">
        <f t="shared" si="654"/>
        <v>-1268.7944135780785</v>
      </c>
      <c r="CC263" s="272">
        <f t="shared" si="654"/>
        <v>-1395.4957447268869</v>
      </c>
      <c r="CD263" s="272">
        <f t="shared" si="654"/>
        <v>-1523.4605242189125</v>
      </c>
      <c r="CE263" s="272">
        <f t="shared" si="654"/>
        <v>-1653.0850582111918</v>
      </c>
      <c r="CF263" s="272">
        <f t="shared" si="654"/>
        <v>-1784.1085253708322</v>
      </c>
      <c r="CG263" s="272">
        <f t="shared" si="654"/>
        <v>-1916.2638156548016</v>
      </c>
      <c r="CH263" s="272">
        <f t="shared" si="654"/>
        <v>-2049.2773970438134</v>
      </c>
      <c r="CI263" s="272">
        <f t="shared" si="654"/>
        <v>-2189.6432541032273</v>
      </c>
      <c r="CJ263" s="272">
        <f t="shared" ref="CJ263:CP263" si="655">+CI263+CJ111</f>
        <v>-2337.1771570798701</v>
      </c>
      <c r="CK263" s="272">
        <f t="shared" si="655"/>
        <v>-2491.6894876986553</v>
      </c>
      <c r="CL263" s="272">
        <f t="shared" si="655"/>
        <v>-2652.9851413012802</v>
      </c>
      <c r="CM263" s="272">
        <f t="shared" si="655"/>
        <v>-2820.863420373099</v>
      </c>
      <c r="CN263" s="272">
        <f t="shared" si="655"/>
        <v>-2995.1179031257643</v>
      </c>
      <c r="CO263" s="272">
        <f t="shared" si="655"/>
        <v>-3175.5363148970023</v>
      </c>
      <c r="CP263" s="272">
        <f t="shared" si="655"/>
        <v>-3361.9003911151813</v>
      </c>
      <c r="CQ263" s="23" t="s">
        <v>77</v>
      </c>
      <c r="DB263" s="7" t="s">
        <v>268</v>
      </c>
      <c r="DD263" s="8"/>
      <c r="DE263" s="8"/>
      <c r="DF263" s="8"/>
      <c r="DG263" s="8"/>
      <c r="DH263" s="8"/>
      <c r="DI263" s="12"/>
      <c r="DJ263" s="52">
        <v>277.572</v>
      </c>
      <c r="DK263" s="12">
        <f t="shared" ref="DK263:DK268" si="656">U263</f>
        <v>496.53699999999998</v>
      </c>
      <c r="DL263" s="52">
        <v>496.44600000000003</v>
      </c>
      <c r="DM263" s="12">
        <f t="shared" ref="DM263:DM268" si="657">V263</f>
        <v>447.07</v>
      </c>
      <c r="DN263" s="52">
        <v>447.10399999999998</v>
      </c>
      <c r="DO263" s="12">
        <f t="shared" ref="DO263:DO268" si="658">W263</f>
        <v>458.77300000000002</v>
      </c>
      <c r="DP263" s="52">
        <v>561.58699999999999</v>
      </c>
      <c r="DQ263" s="12">
        <f t="shared" si="652"/>
        <v>464.69051500000006</v>
      </c>
      <c r="DR263" s="12"/>
      <c r="DS263" s="12"/>
    </row>
    <row r="264" spans="1:123" ht="11.25" customHeight="1" outlineLevel="1" x14ac:dyDescent="0.2">
      <c r="B264" s="7" t="s">
        <v>269</v>
      </c>
      <c r="D264" s="52"/>
      <c r="E264" s="52"/>
      <c r="F264" s="52"/>
      <c r="G264" s="52"/>
      <c r="H264" s="52"/>
      <c r="I264" s="52"/>
      <c r="J264" s="52"/>
      <c r="K264" s="52">
        <v>0</v>
      </c>
      <c r="L264" s="52">
        <v>0</v>
      </c>
      <c r="M264" s="52">
        <v>135.578</v>
      </c>
      <c r="N264" s="52">
        <v>136.31399999999999</v>
      </c>
      <c r="O264" s="52">
        <v>388.416</v>
      </c>
      <c r="P264" s="52">
        <v>403.52800000000002</v>
      </c>
      <c r="Q264" s="52">
        <v>479.40899999999999</v>
      </c>
      <c r="R264" s="52">
        <v>512.94799999999998</v>
      </c>
      <c r="S264" s="52">
        <v>589.13099999999997</v>
      </c>
      <c r="T264" s="186">
        <v>593.32500000000005</v>
      </c>
      <c r="U264" s="186">
        <v>257.42500000000001</v>
      </c>
      <c r="V264" s="186">
        <v>197.185</v>
      </c>
      <c r="W264" s="186">
        <v>259.88200000000001</v>
      </c>
      <c r="X264" s="272">
        <f t="shared" ref="X264:BC264" si="659">+W264-X225</f>
        <v>259.88200000000001</v>
      </c>
      <c r="Y264" s="272">
        <f t="shared" si="659"/>
        <v>259.88200000000001</v>
      </c>
      <c r="Z264" s="272">
        <f t="shared" si="659"/>
        <v>259.88200000000001</v>
      </c>
      <c r="AA264" s="272">
        <f t="shared" si="659"/>
        <v>259.88200000000001</v>
      </c>
      <c r="AB264" s="272">
        <f t="shared" si="659"/>
        <v>259.88200000000001</v>
      </c>
      <c r="AC264" s="272">
        <f t="shared" si="659"/>
        <v>259.88200000000001</v>
      </c>
      <c r="AD264" s="272">
        <f t="shared" si="659"/>
        <v>259.88200000000001</v>
      </c>
      <c r="AE264" s="272">
        <f t="shared" si="659"/>
        <v>259.88200000000001</v>
      </c>
      <c r="AF264" s="272">
        <f t="shared" si="659"/>
        <v>259.88200000000001</v>
      </c>
      <c r="AG264" s="272">
        <f t="shared" si="659"/>
        <v>259.88200000000001</v>
      </c>
      <c r="AH264" s="272">
        <f t="shared" si="659"/>
        <v>259.88200000000001</v>
      </c>
      <c r="AI264" s="272">
        <f t="shared" si="659"/>
        <v>259.88200000000001</v>
      </c>
      <c r="AJ264" s="272">
        <f t="shared" si="659"/>
        <v>259.88200000000001</v>
      </c>
      <c r="AK264" s="272">
        <f t="shared" si="659"/>
        <v>259.88200000000001</v>
      </c>
      <c r="AL264" s="272">
        <f t="shared" si="659"/>
        <v>259.88200000000001</v>
      </c>
      <c r="AM264" s="272">
        <f t="shared" si="659"/>
        <v>259.88200000000001</v>
      </c>
      <c r="AN264" s="272">
        <f t="shared" si="659"/>
        <v>259.88200000000001</v>
      </c>
      <c r="AO264" s="272">
        <f t="shared" si="659"/>
        <v>259.88200000000001</v>
      </c>
      <c r="AP264" s="272">
        <f t="shared" si="659"/>
        <v>259.88200000000001</v>
      </c>
      <c r="AQ264" s="272">
        <f t="shared" si="659"/>
        <v>259.88200000000001</v>
      </c>
      <c r="AR264" s="272">
        <f t="shared" si="659"/>
        <v>259.88200000000001</v>
      </c>
      <c r="AS264" s="272">
        <f t="shared" si="659"/>
        <v>259.88200000000001</v>
      </c>
      <c r="AT264" s="272">
        <f t="shared" si="659"/>
        <v>259.88200000000001</v>
      </c>
      <c r="AU264" s="272">
        <f t="shared" si="659"/>
        <v>259.88200000000001</v>
      </c>
      <c r="AV264" s="272">
        <f t="shared" si="659"/>
        <v>259.88200000000001</v>
      </c>
      <c r="AW264" s="272">
        <f t="shared" si="659"/>
        <v>259.88200000000001</v>
      </c>
      <c r="AX264" s="272">
        <f t="shared" si="659"/>
        <v>259.88200000000001</v>
      </c>
      <c r="AY264" s="272">
        <f t="shared" si="659"/>
        <v>259.88200000000001</v>
      </c>
      <c r="AZ264" s="272">
        <f t="shared" si="659"/>
        <v>259.88200000000001</v>
      </c>
      <c r="BA264" s="272">
        <f t="shared" si="659"/>
        <v>259.88200000000001</v>
      </c>
      <c r="BB264" s="272">
        <f t="shared" si="659"/>
        <v>259.88200000000001</v>
      </c>
      <c r="BC264" s="272">
        <f t="shared" si="659"/>
        <v>259.88200000000001</v>
      </c>
      <c r="BD264" s="272">
        <f t="shared" ref="BD264:CI264" si="660">+BC264-BD225</f>
        <v>259.88200000000001</v>
      </c>
      <c r="BE264" s="272">
        <f t="shared" si="660"/>
        <v>259.88200000000001</v>
      </c>
      <c r="BF264" s="272">
        <f t="shared" si="660"/>
        <v>259.88200000000001</v>
      </c>
      <c r="BG264" s="272">
        <f t="shared" si="660"/>
        <v>259.88200000000001</v>
      </c>
      <c r="BH264" s="272">
        <f t="shared" si="660"/>
        <v>259.88200000000001</v>
      </c>
      <c r="BI264" s="272">
        <f t="shared" si="660"/>
        <v>259.88200000000001</v>
      </c>
      <c r="BJ264" s="272">
        <f t="shared" si="660"/>
        <v>259.88200000000001</v>
      </c>
      <c r="BK264" s="272">
        <f t="shared" si="660"/>
        <v>259.88200000000001</v>
      </c>
      <c r="BL264" s="272">
        <f t="shared" si="660"/>
        <v>259.88200000000001</v>
      </c>
      <c r="BM264" s="272">
        <f t="shared" si="660"/>
        <v>259.88200000000001</v>
      </c>
      <c r="BN264" s="272">
        <f t="shared" si="660"/>
        <v>259.88200000000001</v>
      </c>
      <c r="BO264" s="272">
        <f t="shared" si="660"/>
        <v>259.88200000000001</v>
      </c>
      <c r="BP264" s="272">
        <f t="shared" si="660"/>
        <v>259.88200000000001</v>
      </c>
      <c r="BQ264" s="272">
        <f t="shared" si="660"/>
        <v>259.88200000000001</v>
      </c>
      <c r="BR264" s="272">
        <f t="shared" si="660"/>
        <v>259.88200000000001</v>
      </c>
      <c r="BS264" s="272">
        <f t="shared" si="660"/>
        <v>259.88200000000001</v>
      </c>
      <c r="BT264" s="272">
        <f t="shared" si="660"/>
        <v>259.88200000000001</v>
      </c>
      <c r="BU264" s="272">
        <f t="shared" si="660"/>
        <v>259.88200000000001</v>
      </c>
      <c r="BV264" s="272">
        <f t="shared" si="660"/>
        <v>259.88200000000001</v>
      </c>
      <c r="BW264" s="272">
        <f t="shared" si="660"/>
        <v>259.88200000000001</v>
      </c>
      <c r="BX264" s="272">
        <f t="shared" si="660"/>
        <v>259.88200000000001</v>
      </c>
      <c r="BY264" s="272">
        <f t="shared" si="660"/>
        <v>259.88200000000001</v>
      </c>
      <c r="BZ264" s="272">
        <f t="shared" si="660"/>
        <v>259.88200000000001</v>
      </c>
      <c r="CA264" s="272">
        <f t="shared" si="660"/>
        <v>259.88200000000001</v>
      </c>
      <c r="CB264" s="272">
        <f t="shared" si="660"/>
        <v>259.88200000000001</v>
      </c>
      <c r="CC264" s="272">
        <f t="shared" si="660"/>
        <v>259.88200000000001</v>
      </c>
      <c r="CD264" s="272">
        <f t="shared" si="660"/>
        <v>259.88200000000001</v>
      </c>
      <c r="CE264" s="272">
        <f t="shared" si="660"/>
        <v>259.88200000000001</v>
      </c>
      <c r="CF264" s="272">
        <f t="shared" si="660"/>
        <v>259.88200000000001</v>
      </c>
      <c r="CG264" s="272">
        <f t="shared" si="660"/>
        <v>259.88200000000001</v>
      </c>
      <c r="CH264" s="272">
        <f t="shared" si="660"/>
        <v>259.88200000000001</v>
      </c>
      <c r="CI264" s="272">
        <f t="shared" si="660"/>
        <v>259.88200000000001</v>
      </c>
      <c r="CJ264" s="272">
        <f t="shared" ref="CJ264:CP264" si="661">+CI264-CJ225</f>
        <v>259.88200000000001</v>
      </c>
      <c r="CK264" s="272">
        <f t="shared" si="661"/>
        <v>259.88200000000001</v>
      </c>
      <c r="CL264" s="272">
        <f t="shared" si="661"/>
        <v>259.88200000000001</v>
      </c>
      <c r="CM264" s="272">
        <f t="shared" si="661"/>
        <v>259.88200000000001</v>
      </c>
      <c r="CN264" s="272">
        <f t="shared" si="661"/>
        <v>259.88200000000001</v>
      </c>
      <c r="CO264" s="272">
        <f t="shared" si="661"/>
        <v>259.88200000000001</v>
      </c>
      <c r="CP264" s="272">
        <f t="shared" si="661"/>
        <v>259.88200000000001</v>
      </c>
      <c r="CQ264" s="23" t="s">
        <v>77</v>
      </c>
      <c r="DB264" s="7" t="s">
        <v>269</v>
      </c>
      <c r="DD264" s="8"/>
      <c r="DE264" s="8"/>
      <c r="DF264" s="8"/>
      <c r="DG264" s="8"/>
      <c r="DH264" s="8"/>
      <c r="DI264" s="12"/>
      <c r="DJ264" s="52">
        <v>255.78299999999999</v>
      </c>
      <c r="DK264" s="12">
        <f t="shared" si="656"/>
        <v>257.42500000000001</v>
      </c>
      <c r="DL264" s="52">
        <v>254.43600000000001</v>
      </c>
      <c r="DM264" s="12">
        <f t="shared" si="657"/>
        <v>197.185</v>
      </c>
      <c r="DN264" s="52">
        <v>258.02499999999998</v>
      </c>
      <c r="DO264" s="12">
        <f t="shared" si="658"/>
        <v>259.88200000000001</v>
      </c>
      <c r="DP264" s="52">
        <v>264.18599999999998</v>
      </c>
      <c r="DQ264" s="12">
        <f t="shared" si="652"/>
        <v>259.88200000000001</v>
      </c>
      <c r="DR264" s="12"/>
      <c r="DS264" s="12"/>
    </row>
    <row r="265" spans="1:123" ht="11.25" customHeight="1" outlineLevel="1" x14ac:dyDescent="0.2">
      <c r="B265" s="7" t="s">
        <v>37</v>
      </c>
      <c r="D265" s="52"/>
      <c r="E265" s="52"/>
      <c r="F265" s="52"/>
      <c r="G265" s="52"/>
      <c r="H265" s="52"/>
      <c r="I265" s="52"/>
      <c r="J265" s="52"/>
      <c r="K265" s="52">
        <v>1819.6010000000001</v>
      </c>
      <c r="L265" s="52">
        <v>1956.037</v>
      </c>
      <c r="M265" s="52">
        <v>3570.223</v>
      </c>
      <c r="N265" s="52">
        <v>3236.723</v>
      </c>
      <c r="O265" s="52">
        <v>3362.4450000000002</v>
      </c>
      <c r="P265" s="52">
        <v>3483.328</v>
      </c>
      <c r="Q265" s="52">
        <v>3768.3420000000001</v>
      </c>
      <c r="R265" s="52">
        <v>3472.1979999999999</v>
      </c>
      <c r="S265" s="52">
        <v>5280.4110000000001</v>
      </c>
      <c r="T265" s="186">
        <v>5574.4809999999998</v>
      </c>
      <c r="U265" s="186">
        <v>8355.1929999999993</v>
      </c>
      <c r="V265" s="186">
        <v>9189.0869999999995</v>
      </c>
      <c r="W265" s="186">
        <v>9150.1650000000009</v>
      </c>
      <c r="X265" s="272">
        <f t="shared" ref="X265:BC265" si="662">W265+X103+-X223-X224-X226</f>
        <v>9549.8250000000007</v>
      </c>
      <c r="Y265" s="272">
        <f t="shared" si="662"/>
        <v>9701.3520374493255</v>
      </c>
      <c r="Z265" s="272">
        <f t="shared" si="662"/>
        <v>9477.8492430461793</v>
      </c>
      <c r="AA265" s="272">
        <f t="shared" si="662"/>
        <v>9274.6339998268941</v>
      </c>
      <c r="AB265" s="272">
        <f t="shared" si="662"/>
        <v>9088.5065835306195</v>
      </c>
      <c r="AC265" s="272">
        <f t="shared" si="662"/>
        <v>8882.4548184049454</v>
      </c>
      <c r="AD265" s="272">
        <f t="shared" si="662"/>
        <v>8657.3096142137383</v>
      </c>
      <c r="AE265" s="272">
        <f t="shared" si="662"/>
        <v>8442.5372313264525</v>
      </c>
      <c r="AF265" s="272">
        <f t="shared" si="662"/>
        <v>8237.4733899579733</v>
      </c>
      <c r="AG265" s="272">
        <f t="shared" si="662"/>
        <v>8041.70832512783</v>
      </c>
      <c r="AH265" s="272">
        <f t="shared" si="662"/>
        <v>7854.8496103271555</v>
      </c>
      <c r="AI265" s="272">
        <f t="shared" si="662"/>
        <v>7676.5214239366851</v>
      </c>
      <c r="AJ265" s="272">
        <f t="shared" si="662"/>
        <v>7506.3638466823286</v>
      </c>
      <c r="AK265" s="272">
        <f t="shared" si="662"/>
        <v>7344.0321888151375</v>
      </c>
      <c r="AL265" s="272">
        <f t="shared" si="662"/>
        <v>7189.1963457580359</v>
      </c>
      <c r="AM265" s="272">
        <f t="shared" si="662"/>
        <v>7041.5401810148915</v>
      </c>
      <c r="AN265" s="272">
        <f t="shared" si="662"/>
        <v>6900.7609351884757</v>
      </c>
      <c r="AO265" s="272">
        <f t="shared" si="662"/>
        <v>6766.5686600026511</v>
      </c>
      <c r="AP265" s="272">
        <f t="shared" si="662"/>
        <v>6638.6856762708685</v>
      </c>
      <c r="AQ265" s="272">
        <f t="shared" si="662"/>
        <v>6516.846054797812</v>
      </c>
      <c r="AR265" s="272">
        <f t="shared" si="662"/>
        <v>6400.7951192439032</v>
      </c>
      <c r="AS265" s="272">
        <f t="shared" si="662"/>
        <v>6290.2889700234218</v>
      </c>
      <c r="AT265" s="272">
        <f t="shared" si="662"/>
        <v>6185.0940283463178</v>
      </c>
      <c r="AU265" s="272">
        <f t="shared" si="662"/>
        <v>6084.9865995514438</v>
      </c>
      <c r="AV265" s="272">
        <f t="shared" si="662"/>
        <v>5989.7524549149966</v>
      </c>
      <c r="AW265" s="272">
        <f t="shared" si="662"/>
        <v>5899.1864311524896</v>
      </c>
      <c r="AX265" s="272">
        <f t="shared" si="662"/>
        <v>5813.0920468656441</v>
      </c>
      <c r="AY265" s="272">
        <f t="shared" si="662"/>
        <v>5731.2811352172675</v>
      </c>
      <c r="AZ265" s="272">
        <f t="shared" si="662"/>
        <v>5653.5734921475314</v>
      </c>
      <c r="BA265" s="272">
        <f t="shared" si="662"/>
        <v>5579.7965394740731</v>
      </c>
      <c r="BB265" s="272">
        <f t="shared" si="662"/>
        <v>5509.7850022462235</v>
      </c>
      <c r="BC265" s="272">
        <f t="shared" si="662"/>
        <v>5443.3805997502413</v>
      </c>
      <c r="BD265" s="272">
        <f t="shared" ref="BD265:CI265" si="663">BC265+BD103+-BD223-BD224-BD226</f>
        <v>5380.431749588015</v>
      </c>
      <c r="BE265" s="272">
        <f t="shared" si="663"/>
        <v>5320.7932842760783</v>
      </c>
      <c r="BF265" s="272">
        <f t="shared" si="663"/>
        <v>5264.3261798352196</v>
      </c>
      <c r="BG265" s="272">
        <f t="shared" si="663"/>
        <v>5210.8972958633613</v>
      </c>
      <c r="BH265" s="272">
        <f t="shared" si="663"/>
        <v>5160.3791266058652</v>
      </c>
      <c r="BI265" s="272">
        <f t="shared" si="663"/>
        <v>5112.6495625579564</v>
      </c>
      <c r="BJ265" s="272">
        <f t="shared" si="663"/>
        <v>5067.591662153668</v>
      </c>
      <c r="BK265" s="272">
        <f t="shared" si="663"/>
        <v>5025.0934331145336</v>
      </c>
      <c r="BL265" s="272">
        <f t="shared" si="663"/>
        <v>4985.0476230493441</v>
      </c>
      <c r="BM265" s="272">
        <f t="shared" si="663"/>
        <v>4947.3515189135514</v>
      </c>
      <c r="BN265" s="272">
        <f t="shared" si="663"/>
        <v>4911.9067549534693</v>
      </c>
      <c r="BO265" s="272">
        <f t="shared" si="663"/>
        <v>4878.619128776284</v>
      </c>
      <c r="BP265" s="272">
        <f t="shared" si="663"/>
        <v>4847.3984252020809</v>
      </c>
      <c r="BQ265" s="272">
        <f t="shared" si="663"/>
        <v>4818.1582475686246</v>
      </c>
      <c r="BR265" s="272">
        <f t="shared" si="663"/>
        <v>4790.8158561735727</v>
      </c>
      <c r="BS265" s="272">
        <f t="shared" si="663"/>
        <v>4765.2920135521454</v>
      </c>
      <c r="BT265" s="272">
        <f t="shared" si="663"/>
        <v>4741.5108363010359</v>
      </c>
      <c r="BU265" s="272">
        <f t="shared" si="663"/>
        <v>4719.3996531715975</v>
      </c>
      <c r="BV265" s="272">
        <f t="shared" si="663"/>
        <v>4698.8888691670663</v>
      </c>
      <c r="BW265" s="272">
        <f t="shared" si="663"/>
        <v>4679.9118353897702</v>
      </c>
      <c r="BX265" s="272">
        <f t="shared" si="663"/>
        <v>4662.4047243950663</v>
      </c>
      <c r="BY265" s="272">
        <f t="shared" si="663"/>
        <v>4646.3064108190001</v>
      </c>
      <c r="BZ265" s="272">
        <f t="shared" si="663"/>
        <v>4631.558357056575</v>
      </c>
      <c r="CA265" s="272">
        <f t="shared" si="663"/>
        <v>4618.1045037769254</v>
      </c>
      <c r="CB265" s="272">
        <f t="shared" si="663"/>
        <v>4605.8911650707623</v>
      </c>
      <c r="CC265" s="272">
        <f t="shared" si="663"/>
        <v>4594.8669280340891</v>
      </c>
      <c r="CD265" s="272">
        <f t="shared" si="663"/>
        <v>4584.9825566004965</v>
      </c>
      <c r="CE265" s="272">
        <f t="shared" si="663"/>
        <v>4576.1908994422802</v>
      </c>
      <c r="CF265" s="272">
        <f t="shared" si="663"/>
        <v>4568.4468017682311</v>
      </c>
      <c r="CG265" s="272">
        <f t="shared" si="663"/>
        <v>4561.7070208532286</v>
      </c>
      <c r="CH265" s="272">
        <f t="shared" si="663"/>
        <v>4555.9301451417505</v>
      </c>
      <c r="CI265" s="272">
        <f t="shared" si="663"/>
        <v>4551.0765167740856</v>
      </c>
      <c r="CJ265" s="272">
        <f t="shared" ref="CJ265:CP265" si="664">CI265+CJ103+-CJ223-CJ224-CJ226</f>
        <v>4547.108157390433</v>
      </c>
      <c r="CK265" s="272">
        <f t="shared" si="664"/>
        <v>4543.9886970742091</v>
      </c>
      <c r="CL265" s="272">
        <f t="shared" si="664"/>
        <v>4541.6833063017375</v>
      </c>
      <c r="CM265" s="272">
        <f t="shared" si="664"/>
        <v>4540.1586307711259</v>
      </c>
      <c r="CN265" s="272">
        <f t="shared" si="664"/>
        <v>4539.3827289885103</v>
      </c>
      <c r="CO265" s="272">
        <f t="shared" si="664"/>
        <v>4539.3250124950082</v>
      </c>
      <c r="CP265" s="272">
        <f t="shared" si="664"/>
        <v>4539.9561886226438</v>
      </c>
      <c r="CQ265" s="23" t="s">
        <v>77</v>
      </c>
      <c r="DB265" s="7" t="s">
        <v>37</v>
      </c>
      <c r="DD265" s="8"/>
      <c r="DE265" s="8"/>
      <c r="DF265" s="8"/>
      <c r="DG265" s="8"/>
      <c r="DH265" s="8"/>
      <c r="DI265" s="12"/>
      <c r="DJ265" s="52">
        <v>5676.9380000000001</v>
      </c>
      <c r="DK265" s="12">
        <f t="shared" si="656"/>
        <v>8355.1929999999993</v>
      </c>
      <c r="DL265" s="52">
        <v>8329.741</v>
      </c>
      <c r="DM265" s="12">
        <f t="shared" si="657"/>
        <v>9189.0869999999995</v>
      </c>
      <c r="DN265" s="52">
        <v>9098.1409999999996</v>
      </c>
      <c r="DO265" s="12">
        <f t="shared" si="658"/>
        <v>9150.1650000000009</v>
      </c>
      <c r="DP265" s="52">
        <v>9290.5429999999997</v>
      </c>
      <c r="DQ265" s="12">
        <f t="shared" si="652"/>
        <v>9549.8250000000007</v>
      </c>
      <c r="DR265" s="12"/>
      <c r="DS265" s="12"/>
    </row>
    <row r="266" spans="1:123" ht="11.25" customHeight="1" outlineLevel="1" x14ac:dyDescent="0.2">
      <c r="B266" s="7" t="s">
        <v>270</v>
      </c>
      <c r="D266" s="52"/>
      <c r="E266" s="52"/>
      <c r="F266" s="52"/>
      <c r="G266" s="52"/>
      <c r="H266" s="52"/>
      <c r="I266" s="52"/>
      <c r="J266" s="52"/>
      <c r="K266" s="52">
        <v>0.93500000000000005</v>
      </c>
      <c r="L266" s="52">
        <v>0.93500000000000005</v>
      </c>
      <c r="M266" s="52">
        <v>297.745</v>
      </c>
      <c r="N266" s="52">
        <v>520.774</v>
      </c>
      <c r="O266" s="52">
        <v>520.779</v>
      </c>
      <c r="P266" s="52">
        <v>520.779</v>
      </c>
      <c r="Q266" s="52">
        <v>515.34400000000005</v>
      </c>
      <c r="R266" s="52">
        <v>411.88299999999998</v>
      </c>
      <c r="S266" s="52">
        <v>1150.5</v>
      </c>
      <c r="T266" s="186">
        <v>1150.5</v>
      </c>
      <c r="U266" s="186">
        <v>1140.5</v>
      </c>
      <c r="V266" s="186">
        <v>1184.588</v>
      </c>
      <c r="W266" s="186">
        <v>1183.604</v>
      </c>
      <c r="X266" s="272">
        <f t="shared" ref="X266:BD266" si="665">+W266</f>
        <v>1183.604</v>
      </c>
      <c r="Y266" s="272">
        <f t="shared" si="665"/>
        <v>1183.604</v>
      </c>
      <c r="Z266" s="272">
        <f t="shared" si="665"/>
        <v>1183.604</v>
      </c>
      <c r="AA266" s="272">
        <f t="shared" si="665"/>
        <v>1183.604</v>
      </c>
      <c r="AB266" s="272">
        <f t="shared" si="665"/>
        <v>1183.604</v>
      </c>
      <c r="AC266" s="272">
        <f t="shared" si="665"/>
        <v>1183.604</v>
      </c>
      <c r="AD266" s="272">
        <f t="shared" si="665"/>
        <v>1183.604</v>
      </c>
      <c r="AE266" s="272">
        <f t="shared" si="665"/>
        <v>1183.604</v>
      </c>
      <c r="AF266" s="272">
        <f t="shared" si="665"/>
        <v>1183.604</v>
      </c>
      <c r="AG266" s="272">
        <f t="shared" si="665"/>
        <v>1183.604</v>
      </c>
      <c r="AH266" s="272">
        <f t="shared" si="665"/>
        <v>1183.604</v>
      </c>
      <c r="AI266" s="272">
        <f t="shared" si="665"/>
        <v>1183.604</v>
      </c>
      <c r="AJ266" s="272">
        <f t="shared" si="665"/>
        <v>1183.604</v>
      </c>
      <c r="AK266" s="272">
        <f t="shared" si="665"/>
        <v>1183.604</v>
      </c>
      <c r="AL266" s="272">
        <f t="shared" si="665"/>
        <v>1183.604</v>
      </c>
      <c r="AM266" s="272">
        <f t="shared" si="665"/>
        <v>1183.604</v>
      </c>
      <c r="AN266" s="272">
        <f t="shared" si="665"/>
        <v>1183.604</v>
      </c>
      <c r="AO266" s="272">
        <f t="shared" si="665"/>
        <v>1183.604</v>
      </c>
      <c r="AP266" s="272">
        <f t="shared" si="665"/>
        <v>1183.604</v>
      </c>
      <c r="AQ266" s="272">
        <f t="shared" si="665"/>
        <v>1183.604</v>
      </c>
      <c r="AR266" s="272">
        <f t="shared" si="665"/>
        <v>1183.604</v>
      </c>
      <c r="AS266" s="272">
        <f t="shared" si="665"/>
        <v>1183.604</v>
      </c>
      <c r="AT266" s="272">
        <f t="shared" si="665"/>
        <v>1183.604</v>
      </c>
      <c r="AU266" s="272">
        <f t="shared" si="665"/>
        <v>1183.604</v>
      </c>
      <c r="AV266" s="272">
        <f t="shared" si="665"/>
        <v>1183.604</v>
      </c>
      <c r="AW266" s="272">
        <f t="shared" si="665"/>
        <v>1183.604</v>
      </c>
      <c r="AX266" s="272">
        <f t="shared" si="665"/>
        <v>1183.604</v>
      </c>
      <c r="AY266" s="272">
        <f t="shared" si="665"/>
        <v>1183.604</v>
      </c>
      <c r="AZ266" s="272">
        <f t="shared" si="665"/>
        <v>1183.604</v>
      </c>
      <c r="BA266" s="272">
        <f t="shared" si="665"/>
        <v>1183.604</v>
      </c>
      <c r="BB266" s="272">
        <f t="shared" si="665"/>
        <v>1183.604</v>
      </c>
      <c r="BC266" s="272">
        <f t="shared" si="665"/>
        <v>1183.604</v>
      </c>
      <c r="BD266" s="272">
        <f t="shared" si="665"/>
        <v>1183.604</v>
      </c>
      <c r="BE266" s="272">
        <f t="shared" ref="BE266:CP266" si="666">+BD266</f>
        <v>1183.604</v>
      </c>
      <c r="BF266" s="272">
        <f t="shared" si="666"/>
        <v>1183.604</v>
      </c>
      <c r="BG266" s="272">
        <f t="shared" si="666"/>
        <v>1183.604</v>
      </c>
      <c r="BH266" s="272">
        <f t="shared" si="666"/>
        <v>1183.604</v>
      </c>
      <c r="BI266" s="272">
        <f t="shared" si="666"/>
        <v>1183.604</v>
      </c>
      <c r="BJ266" s="272">
        <f t="shared" si="666"/>
        <v>1183.604</v>
      </c>
      <c r="BK266" s="272">
        <f t="shared" si="666"/>
        <v>1183.604</v>
      </c>
      <c r="BL266" s="272">
        <f t="shared" si="666"/>
        <v>1183.604</v>
      </c>
      <c r="BM266" s="272">
        <f t="shared" si="666"/>
        <v>1183.604</v>
      </c>
      <c r="BN266" s="272">
        <f t="shared" si="666"/>
        <v>1183.604</v>
      </c>
      <c r="BO266" s="272">
        <f t="shared" si="666"/>
        <v>1183.604</v>
      </c>
      <c r="BP266" s="272">
        <f t="shared" si="666"/>
        <v>1183.604</v>
      </c>
      <c r="BQ266" s="272">
        <f t="shared" si="666"/>
        <v>1183.604</v>
      </c>
      <c r="BR266" s="272">
        <f t="shared" si="666"/>
        <v>1183.604</v>
      </c>
      <c r="BS266" s="272">
        <f t="shared" si="666"/>
        <v>1183.604</v>
      </c>
      <c r="BT266" s="272">
        <f t="shared" si="666"/>
        <v>1183.604</v>
      </c>
      <c r="BU266" s="272">
        <f t="shared" si="666"/>
        <v>1183.604</v>
      </c>
      <c r="BV266" s="272">
        <f t="shared" si="666"/>
        <v>1183.604</v>
      </c>
      <c r="BW266" s="272">
        <f t="shared" si="666"/>
        <v>1183.604</v>
      </c>
      <c r="BX266" s="272">
        <f t="shared" si="666"/>
        <v>1183.604</v>
      </c>
      <c r="BY266" s="272">
        <f t="shared" si="666"/>
        <v>1183.604</v>
      </c>
      <c r="BZ266" s="272">
        <f t="shared" si="666"/>
        <v>1183.604</v>
      </c>
      <c r="CA266" s="272">
        <f t="shared" si="666"/>
        <v>1183.604</v>
      </c>
      <c r="CB266" s="272">
        <f t="shared" si="666"/>
        <v>1183.604</v>
      </c>
      <c r="CC266" s="272">
        <f t="shared" si="666"/>
        <v>1183.604</v>
      </c>
      <c r="CD266" s="272">
        <f t="shared" si="666"/>
        <v>1183.604</v>
      </c>
      <c r="CE266" s="272">
        <f t="shared" si="666"/>
        <v>1183.604</v>
      </c>
      <c r="CF266" s="272">
        <f t="shared" si="666"/>
        <v>1183.604</v>
      </c>
      <c r="CG266" s="272">
        <f t="shared" si="666"/>
        <v>1183.604</v>
      </c>
      <c r="CH266" s="272">
        <f t="shared" si="666"/>
        <v>1183.604</v>
      </c>
      <c r="CI266" s="272">
        <f t="shared" si="666"/>
        <v>1183.604</v>
      </c>
      <c r="CJ266" s="272">
        <f t="shared" si="666"/>
        <v>1183.604</v>
      </c>
      <c r="CK266" s="272">
        <f t="shared" si="666"/>
        <v>1183.604</v>
      </c>
      <c r="CL266" s="272">
        <f t="shared" si="666"/>
        <v>1183.604</v>
      </c>
      <c r="CM266" s="272">
        <f t="shared" si="666"/>
        <v>1183.604</v>
      </c>
      <c r="CN266" s="272">
        <f t="shared" si="666"/>
        <v>1183.604</v>
      </c>
      <c r="CO266" s="272">
        <f t="shared" si="666"/>
        <v>1183.604</v>
      </c>
      <c r="CP266" s="272">
        <f t="shared" si="666"/>
        <v>1183.604</v>
      </c>
      <c r="CQ266" s="23" t="s">
        <v>77</v>
      </c>
      <c r="DB266" s="7" t="s">
        <v>270</v>
      </c>
      <c r="DD266" s="8"/>
      <c r="DE266" s="8"/>
      <c r="DF266" s="8"/>
      <c r="DG266" s="8"/>
      <c r="DH266" s="8"/>
      <c r="DI266" s="12"/>
      <c r="DJ266" s="52">
        <v>1140.5</v>
      </c>
      <c r="DK266" s="12">
        <f t="shared" si="656"/>
        <v>1140.5</v>
      </c>
      <c r="DL266" s="52">
        <v>1140.5</v>
      </c>
      <c r="DM266" s="12">
        <f t="shared" si="657"/>
        <v>1184.588</v>
      </c>
      <c r="DN266" s="52">
        <v>1183.604</v>
      </c>
      <c r="DO266" s="12">
        <f t="shared" si="658"/>
        <v>1183.604</v>
      </c>
      <c r="DP266" s="52">
        <v>1183.604</v>
      </c>
      <c r="DQ266" s="12">
        <f t="shared" si="652"/>
        <v>1183.604</v>
      </c>
      <c r="DR266" s="12"/>
      <c r="DS266" s="12"/>
    </row>
    <row r="267" spans="1:123" ht="11.25" customHeight="1" outlineLevel="1" x14ac:dyDescent="0.2">
      <c r="B267" s="7" t="s">
        <v>38</v>
      </c>
      <c r="D267" s="52"/>
      <c r="E267" s="52"/>
      <c r="F267" s="52"/>
      <c r="G267" s="52"/>
      <c r="H267" s="52"/>
      <c r="I267" s="52"/>
      <c r="J267" s="52"/>
      <c r="K267" s="52">
        <v>4.5529999999999999</v>
      </c>
      <c r="L267" s="52">
        <v>3.8530000000000002</v>
      </c>
      <c r="M267" s="52">
        <v>3.153</v>
      </c>
      <c r="N267" s="52">
        <v>171.643</v>
      </c>
      <c r="O267" s="52">
        <v>168.52099999999999</v>
      </c>
      <c r="P267" s="52">
        <v>179.28200000000001</v>
      </c>
      <c r="Q267" s="52">
        <v>192.90299999999999</v>
      </c>
      <c r="R267" s="52">
        <v>183.65899999999999</v>
      </c>
      <c r="S267" s="52">
        <v>177.01499999999999</v>
      </c>
      <c r="T267" s="186">
        <v>170.804</v>
      </c>
      <c r="U267" s="186">
        <v>3556.2460000000001</v>
      </c>
      <c r="V267" s="186">
        <v>3355.7069999999999</v>
      </c>
      <c r="W267" s="186">
        <v>3174.2820000000002</v>
      </c>
      <c r="X267" s="272">
        <f t="shared" ref="X267:BC267" si="667">+W267-X227+X104</f>
        <v>2991.4010000000003</v>
      </c>
      <c r="Y267" s="272">
        <f t="shared" si="667"/>
        <v>2800.532141807279</v>
      </c>
      <c r="Z267" s="272">
        <f t="shared" si="667"/>
        <v>2606.6347681576485</v>
      </c>
      <c r="AA267" s="272">
        <f t="shared" si="667"/>
        <v>2417.2044630847313</v>
      </c>
      <c r="AB267" s="272">
        <f t="shared" si="667"/>
        <v>2231.8357467258083</v>
      </c>
      <c r="AC267" s="272">
        <f t="shared" si="667"/>
        <v>2050.1870909362501</v>
      </c>
      <c r="AD267" s="272">
        <f t="shared" si="667"/>
        <v>1872.6567163862048</v>
      </c>
      <c r="AE267" s="272">
        <f t="shared" si="667"/>
        <v>1699.6262366563833</v>
      </c>
      <c r="AF267" s="272">
        <f t="shared" si="667"/>
        <v>1530.8883339625836</v>
      </c>
      <c r="AG267" s="272">
        <f t="shared" si="667"/>
        <v>1366.2489672376225</v>
      </c>
      <c r="AH267" s="272">
        <f t="shared" si="667"/>
        <v>1205.5222852370573</v>
      </c>
      <c r="AI267" s="272">
        <f t="shared" si="667"/>
        <v>1048.530280001497</v>
      </c>
      <c r="AJ267" s="272">
        <f t="shared" si="667"/>
        <v>895.10245498074983</v>
      </c>
      <c r="AK267" s="272">
        <f t="shared" si="667"/>
        <v>745.07550719946812</v>
      </c>
      <c r="AL267" s="272">
        <f t="shared" si="667"/>
        <v>598.29302287020187</v>
      </c>
      <c r="AM267" s="272">
        <f t="shared" si="667"/>
        <v>454.6051858849043</v>
      </c>
      <c r="AN267" s="272">
        <f t="shared" si="667"/>
        <v>313.86849864000931</v>
      </c>
      <c r="AO267" s="272">
        <f t="shared" si="667"/>
        <v>175.94551467324982</v>
      </c>
      <c r="AP267" s="272">
        <f t="shared" si="667"/>
        <v>40.704582612467846</v>
      </c>
      <c r="AQ267" s="272">
        <f t="shared" si="667"/>
        <v>-91.980399042190044</v>
      </c>
      <c r="AR267" s="272">
        <f t="shared" si="667"/>
        <v>-222.23021676104852</v>
      </c>
      <c r="AS267" s="272">
        <f t="shared" si="667"/>
        <v>-350.16056689161388</v>
      </c>
      <c r="AT267" s="272">
        <f t="shared" si="667"/>
        <v>-475.88227104961032</v>
      </c>
      <c r="AU267" s="272">
        <f t="shared" si="667"/>
        <v>-599.50148239694704</v>
      </c>
      <c r="AV267" s="272">
        <f t="shared" si="667"/>
        <v>-721.11988319218597</v>
      </c>
      <c r="AW267" s="272">
        <f t="shared" si="667"/>
        <v>-840.83487398276839</v>
      </c>
      <c r="AX267" s="272">
        <f t="shared" si="667"/>
        <v>-958.73975479263345</v>
      </c>
      <c r="AY267" s="272">
        <f t="shared" si="667"/>
        <v>-1074.9238986439013</v>
      </c>
      <c r="AZ267" s="272">
        <f t="shared" si="667"/>
        <v>-1189.4729177369636</v>
      </c>
      <c r="BA267" s="272">
        <f t="shared" si="667"/>
        <v>-1302.4688225996008</v>
      </c>
      <c r="BB267" s="272">
        <f t="shared" si="667"/>
        <v>-1413.9901745026057</v>
      </c>
      <c r="BC267" s="272">
        <f t="shared" si="667"/>
        <v>-1524.1122314268023</v>
      </c>
      <c r="BD267" s="272">
        <f t="shared" ref="BD267:CI267" si="668">+BC267-BD227+BD104</f>
        <v>-1632.9070878543012</v>
      </c>
      <c r="BE267" s="272">
        <f t="shared" si="668"/>
        <v>-1740.4438086452822</v>
      </c>
      <c r="BF267" s="272">
        <f t="shared" si="668"/>
        <v>-1846.788557250547</v>
      </c>
      <c r="BG267" s="272">
        <f t="shared" si="668"/>
        <v>-1952.0047184994912</v>
      </c>
      <c r="BH267" s="272">
        <f t="shared" si="668"/>
        <v>-2056.1530161930068</v>
      </c>
      <c r="BI267" s="272">
        <f t="shared" si="668"/>
        <v>-2159.29162572112</v>
      </c>
      <c r="BJ267" s="272">
        <f t="shared" si="668"/>
        <v>-2261.4762819158623</v>
      </c>
      <c r="BK267" s="272">
        <f t="shared" si="668"/>
        <v>-2362.7603823409722</v>
      </c>
      <c r="BL267" s="272">
        <f t="shared" si="668"/>
        <v>-2463.1950862114945</v>
      </c>
      <c r="BM267" s="272">
        <f t="shared" si="668"/>
        <v>-2562.8294091281728</v>
      </c>
      <c r="BN267" s="272">
        <f t="shared" si="668"/>
        <v>-2661.7103138037091</v>
      </c>
      <c r="BO267" s="272">
        <f t="shared" si="668"/>
        <v>-2759.8827969504769</v>
      </c>
      <c r="BP267" s="272">
        <f t="shared" si="668"/>
        <v>-2857.3899724920911</v>
      </c>
      <c r="BQ267" s="272">
        <f t="shared" si="668"/>
        <v>-2954.2731512543737</v>
      </c>
      <c r="BR267" s="272">
        <f t="shared" si="668"/>
        <v>-3050.5719172846693</v>
      </c>
      <c r="BS267" s="272">
        <f t="shared" si="668"/>
        <v>-3146.3242009421638</v>
      </c>
      <c r="BT267" s="272">
        <f t="shared" si="668"/>
        <v>-3241.5663488958271</v>
      </c>
      <c r="BU267" s="272">
        <f t="shared" si="668"/>
        <v>-3336.3331911608102</v>
      </c>
      <c r="BV267" s="272">
        <f t="shared" si="668"/>
        <v>-3430.6581052986071</v>
      </c>
      <c r="BW267" s="272">
        <f t="shared" si="668"/>
        <v>-3524.5730779009746</v>
      </c>
      <c r="BX267" s="272">
        <f t="shared" si="668"/>
        <v>-3618.1087634725372</v>
      </c>
      <c r="BY267" s="272">
        <f t="shared" si="668"/>
        <v>-3711.2945408221362</v>
      </c>
      <c r="BZ267" s="272">
        <f t="shared" si="668"/>
        <v>-3804.1585670683285</v>
      </c>
      <c r="CA267" s="272">
        <f t="shared" si="668"/>
        <v>-3896.727829359977</v>
      </c>
      <c r="CB267" s="272">
        <f t="shared" si="668"/>
        <v>-3989.0281944086105</v>
      </c>
      <c r="CC267" s="272">
        <f t="shared" si="668"/>
        <v>-4081.0844559251304</v>
      </c>
      <c r="CD267" s="272">
        <f t="shared" si="668"/>
        <v>-4172.920380049537</v>
      </c>
      <c r="CE267" s="272">
        <f t="shared" si="668"/>
        <v>-4264.5587488585861</v>
      </c>
      <c r="CF267" s="272">
        <f t="shared" si="668"/>
        <v>-4356.0214020326985</v>
      </c>
      <c r="CG267" s="272">
        <f t="shared" si="668"/>
        <v>-4447.3292767600042</v>
      </c>
      <c r="CH267" s="272">
        <f t="shared" si="668"/>
        <v>-4538.5024459521073</v>
      </c>
      <c r="CI267" s="272">
        <f t="shared" si="668"/>
        <v>-4629.5601548430041</v>
      </c>
      <c r="CJ267" s="272">
        <f t="shared" ref="CJ267:CP267" si="669">+CI267-CJ227+CJ104</f>
        <v>-4720.5208560395577</v>
      </c>
      <c r="CK267" s="272">
        <f t="shared" si="669"/>
        <v>-4811.40224308905</v>
      </c>
      <c r="CL267" s="272">
        <f t="shared" si="669"/>
        <v>-4902.2212826265477</v>
      </c>
      <c r="CM267" s="272">
        <f t="shared" si="669"/>
        <v>-4992.994245162171</v>
      </c>
      <c r="CN267" s="272">
        <f t="shared" si="669"/>
        <v>-5083.7367345658104</v>
      </c>
      <c r="CO267" s="272">
        <f t="shared" si="669"/>
        <v>-5174.4637163044072</v>
      </c>
      <c r="CP267" s="272">
        <f t="shared" si="669"/>
        <v>-5265.1895444845659</v>
      </c>
      <c r="CQ267" s="23" t="s">
        <v>77</v>
      </c>
      <c r="DB267" s="7" t="s">
        <v>38</v>
      </c>
      <c r="DD267" s="8"/>
      <c r="DE267" s="8"/>
      <c r="DF267" s="8"/>
      <c r="DG267" s="8"/>
      <c r="DH267" s="8"/>
      <c r="DI267" s="12"/>
      <c r="DJ267" s="52">
        <v>163.75800000000001</v>
      </c>
      <c r="DK267" s="12">
        <f t="shared" si="656"/>
        <v>3556.2460000000001</v>
      </c>
      <c r="DL267" s="52">
        <v>3458.3939999999998</v>
      </c>
      <c r="DM267" s="12">
        <f t="shared" si="657"/>
        <v>3355.7069999999999</v>
      </c>
      <c r="DN267" s="52">
        <v>3265.2220000000002</v>
      </c>
      <c r="DO267" s="12">
        <f t="shared" si="658"/>
        <v>3174.2820000000002</v>
      </c>
      <c r="DP267" s="52">
        <v>3083.1</v>
      </c>
      <c r="DQ267" s="12">
        <f t="shared" si="652"/>
        <v>2991.4010000000003</v>
      </c>
      <c r="DR267" s="12"/>
      <c r="DS267" s="12"/>
    </row>
    <row r="268" spans="1:123" ht="11.25" customHeight="1" outlineLevel="1" x14ac:dyDescent="0.2">
      <c r="B268" s="7" t="s">
        <v>19</v>
      </c>
      <c r="D268" s="52"/>
      <c r="E268" s="52"/>
      <c r="F268" s="52"/>
      <c r="G268" s="52"/>
      <c r="H268" s="52"/>
      <c r="I268" s="52"/>
      <c r="J268" s="52"/>
      <c r="K268" s="52">
        <v>0.05</v>
      </c>
      <c r="L268" s="52">
        <v>4.9509999999999996</v>
      </c>
      <c r="M268" s="52">
        <v>18.260999999999999</v>
      </c>
      <c r="N268" s="52">
        <v>5.7350000000000003</v>
      </c>
      <c r="O268" s="52">
        <v>2.0880000000000001</v>
      </c>
      <c r="P268" s="52">
        <v>7.008</v>
      </c>
      <c r="Q268" s="52">
        <v>7.9660000000000002</v>
      </c>
      <c r="R268" s="52">
        <v>9.5410000000000004</v>
      </c>
      <c r="S268" s="52">
        <v>18.632000000000001</v>
      </c>
      <c r="T268" s="186">
        <v>21.428999999999998</v>
      </c>
      <c r="U268" s="186">
        <v>33.261000000000003</v>
      </c>
      <c r="V268" s="186">
        <f>28.814+2.149</f>
        <v>30.963000000000001</v>
      </c>
      <c r="W268" s="186">
        <v>31.414999999999999</v>
      </c>
      <c r="X268" s="272">
        <f t="shared" ref="X268:BD268" si="670">W268</f>
        <v>31.414999999999999</v>
      </c>
      <c r="Y268" s="272">
        <f t="shared" si="670"/>
        <v>31.414999999999999</v>
      </c>
      <c r="Z268" s="272">
        <f t="shared" si="670"/>
        <v>31.414999999999999</v>
      </c>
      <c r="AA268" s="272">
        <f t="shared" si="670"/>
        <v>31.414999999999999</v>
      </c>
      <c r="AB268" s="272">
        <f t="shared" si="670"/>
        <v>31.414999999999999</v>
      </c>
      <c r="AC268" s="272">
        <f t="shared" si="670"/>
        <v>31.414999999999999</v>
      </c>
      <c r="AD268" s="272">
        <f t="shared" si="670"/>
        <v>31.414999999999999</v>
      </c>
      <c r="AE268" s="272">
        <f t="shared" si="670"/>
        <v>31.414999999999999</v>
      </c>
      <c r="AF268" s="272">
        <f t="shared" si="670"/>
        <v>31.414999999999999</v>
      </c>
      <c r="AG268" s="272">
        <f t="shared" si="670"/>
        <v>31.414999999999999</v>
      </c>
      <c r="AH268" s="272">
        <f t="shared" si="670"/>
        <v>31.414999999999999</v>
      </c>
      <c r="AI268" s="272">
        <f t="shared" si="670"/>
        <v>31.414999999999999</v>
      </c>
      <c r="AJ268" s="272">
        <f t="shared" si="670"/>
        <v>31.414999999999999</v>
      </c>
      <c r="AK268" s="272">
        <f t="shared" si="670"/>
        <v>31.414999999999999</v>
      </c>
      <c r="AL268" s="272">
        <f t="shared" si="670"/>
        <v>31.414999999999999</v>
      </c>
      <c r="AM268" s="272">
        <f t="shared" si="670"/>
        <v>31.414999999999999</v>
      </c>
      <c r="AN268" s="272">
        <f t="shared" si="670"/>
        <v>31.414999999999999</v>
      </c>
      <c r="AO268" s="272">
        <f t="shared" si="670"/>
        <v>31.414999999999999</v>
      </c>
      <c r="AP268" s="272">
        <f t="shared" si="670"/>
        <v>31.414999999999999</v>
      </c>
      <c r="AQ268" s="272">
        <f t="shared" si="670"/>
        <v>31.414999999999999</v>
      </c>
      <c r="AR268" s="272">
        <f t="shared" si="670"/>
        <v>31.414999999999999</v>
      </c>
      <c r="AS268" s="272">
        <f t="shared" si="670"/>
        <v>31.414999999999999</v>
      </c>
      <c r="AT268" s="272">
        <f t="shared" si="670"/>
        <v>31.414999999999999</v>
      </c>
      <c r="AU268" s="272">
        <f t="shared" si="670"/>
        <v>31.414999999999999</v>
      </c>
      <c r="AV268" s="272">
        <f t="shared" si="670"/>
        <v>31.414999999999999</v>
      </c>
      <c r="AW268" s="272">
        <f t="shared" si="670"/>
        <v>31.414999999999999</v>
      </c>
      <c r="AX268" s="272">
        <f t="shared" si="670"/>
        <v>31.414999999999999</v>
      </c>
      <c r="AY268" s="272">
        <f t="shared" si="670"/>
        <v>31.414999999999999</v>
      </c>
      <c r="AZ268" s="272">
        <f t="shared" si="670"/>
        <v>31.414999999999999</v>
      </c>
      <c r="BA268" s="272">
        <f t="shared" si="670"/>
        <v>31.414999999999999</v>
      </c>
      <c r="BB268" s="272">
        <f t="shared" si="670"/>
        <v>31.414999999999999</v>
      </c>
      <c r="BC268" s="272">
        <f t="shared" si="670"/>
        <v>31.414999999999999</v>
      </c>
      <c r="BD268" s="272">
        <f t="shared" si="670"/>
        <v>31.414999999999999</v>
      </c>
      <c r="BE268" s="272">
        <f t="shared" ref="BE268:CP268" si="671">BD268</f>
        <v>31.414999999999999</v>
      </c>
      <c r="BF268" s="272">
        <f t="shared" si="671"/>
        <v>31.414999999999999</v>
      </c>
      <c r="BG268" s="272">
        <f t="shared" si="671"/>
        <v>31.414999999999999</v>
      </c>
      <c r="BH268" s="272">
        <f t="shared" si="671"/>
        <v>31.414999999999999</v>
      </c>
      <c r="BI268" s="272">
        <f t="shared" si="671"/>
        <v>31.414999999999999</v>
      </c>
      <c r="BJ268" s="272">
        <f t="shared" si="671"/>
        <v>31.414999999999999</v>
      </c>
      <c r="BK268" s="272">
        <f t="shared" si="671"/>
        <v>31.414999999999999</v>
      </c>
      <c r="BL268" s="272">
        <f t="shared" si="671"/>
        <v>31.414999999999999</v>
      </c>
      <c r="BM268" s="272">
        <f t="shared" si="671"/>
        <v>31.414999999999999</v>
      </c>
      <c r="BN268" s="272">
        <f t="shared" si="671"/>
        <v>31.414999999999999</v>
      </c>
      <c r="BO268" s="272">
        <f t="shared" si="671"/>
        <v>31.414999999999999</v>
      </c>
      <c r="BP268" s="272">
        <f t="shared" si="671"/>
        <v>31.414999999999999</v>
      </c>
      <c r="BQ268" s="272">
        <f t="shared" si="671"/>
        <v>31.414999999999999</v>
      </c>
      <c r="BR268" s="272">
        <f t="shared" si="671"/>
        <v>31.414999999999999</v>
      </c>
      <c r="BS268" s="272">
        <f t="shared" si="671"/>
        <v>31.414999999999999</v>
      </c>
      <c r="BT268" s="272">
        <f t="shared" si="671"/>
        <v>31.414999999999999</v>
      </c>
      <c r="BU268" s="272">
        <f t="shared" si="671"/>
        <v>31.414999999999999</v>
      </c>
      <c r="BV268" s="272">
        <f t="shared" si="671"/>
        <v>31.414999999999999</v>
      </c>
      <c r="BW268" s="272">
        <f t="shared" si="671"/>
        <v>31.414999999999999</v>
      </c>
      <c r="BX268" s="272">
        <f t="shared" si="671"/>
        <v>31.414999999999999</v>
      </c>
      <c r="BY268" s="272">
        <f t="shared" si="671"/>
        <v>31.414999999999999</v>
      </c>
      <c r="BZ268" s="272">
        <f t="shared" si="671"/>
        <v>31.414999999999999</v>
      </c>
      <c r="CA268" s="272">
        <f t="shared" si="671"/>
        <v>31.414999999999999</v>
      </c>
      <c r="CB268" s="272">
        <f t="shared" si="671"/>
        <v>31.414999999999999</v>
      </c>
      <c r="CC268" s="272">
        <f t="shared" si="671"/>
        <v>31.414999999999999</v>
      </c>
      <c r="CD268" s="272">
        <f t="shared" si="671"/>
        <v>31.414999999999999</v>
      </c>
      <c r="CE268" s="272">
        <f t="shared" si="671"/>
        <v>31.414999999999999</v>
      </c>
      <c r="CF268" s="272">
        <f t="shared" si="671"/>
        <v>31.414999999999999</v>
      </c>
      <c r="CG268" s="272">
        <f t="shared" si="671"/>
        <v>31.414999999999999</v>
      </c>
      <c r="CH268" s="272">
        <f t="shared" si="671"/>
        <v>31.414999999999999</v>
      </c>
      <c r="CI268" s="272">
        <f t="shared" si="671"/>
        <v>31.414999999999999</v>
      </c>
      <c r="CJ268" s="272">
        <f t="shared" si="671"/>
        <v>31.414999999999999</v>
      </c>
      <c r="CK268" s="272">
        <f t="shared" si="671"/>
        <v>31.414999999999999</v>
      </c>
      <c r="CL268" s="272">
        <f t="shared" si="671"/>
        <v>31.414999999999999</v>
      </c>
      <c r="CM268" s="272">
        <f t="shared" si="671"/>
        <v>31.414999999999999</v>
      </c>
      <c r="CN268" s="272">
        <f t="shared" si="671"/>
        <v>31.414999999999999</v>
      </c>
      <c r="CO268" s="272">
        <f t="shared" si="671"/>
        <v>31.414999999999999</v>
      </c>
      <c r="CP268" s="272">
        <f t="shared" si="671"/>
        <v>31.414999999999999</v>
      </c>
      <c r="CQ268" s="23" t="s">
        <v>77</v>
      </c>
      <c r="DB268" s="7" t="s">
        <v>19</v>
      </c>
      <c r="DD268" s="8"/>
      <c r="DE268" s="8"/>
      <c r="DF268" s="8"/>
      <c r="DG268" s="8"/>
      <c r="DH268" s="8"/>
      <c r="DI268" s="12"/>
      <c r="DJ268" s="52">
        <v>21.443999999999999</v>
      </c>
      <c r="DK268" s="12">
        <f t="shared" si="656"/>
        <v>33.261000000000003</v>
      </c>
      <c r="DL268" s="52">
        <v>31.143000000000001</v>
      </c>
      <c r="DM268" s="12">
        <f t="shared" si="657"/>
        <v>30.963000000000001</v>
      </c>
      <c r="DN268" s="52">
        <v>33.061</v>
      </c>
      <c r="DO268" s="12">
        <f t="shared" si="658"/>
        <v>31.414999999999999</v>
      </c>
      <c r="DP268" s="52">
        <v>34.747999999999998</v>
      </c>
      <c r="DQ268" s="12">
        <f t="shared" si="652"/>
        <v>31.414999999999999</v>
      </c>
      <c r="DR268" s="12"/>
      <c r="DS268" s="12"/>
    </row>
    <row r="269" spans="1:123" ht="11.25" customHeight="1" outlineLevel="1" x14ac:dyDescent="0.2">
      <c r="B269" s="1" t="s">
        <v>36</v>
      </c>
      <c r="D269" s="3"/>
      <c r="E269" s="3"/>
      <c r="F269" s="3"/>
      <c r="G269" s="3"/>
      <c r="H269" s="3"/>
      <c r="I269" s="3"/>
      <c r="J269" s="3"/>
      <c r="K269" s="3">
        <f t="shared" ref="K269:T269" si="672">SUM(K262:K268)</f>
        <v>1825.1410000000001</v>
      </c>
      <c r="L269" s="3">
        <f t="shared" si="672"/>
        <v>1999.931</v>
      </c>
      <c r="M269" s="3">
        <f t="shared" si="672"/>
        <v>4094.4729999999995</v>
      </c>
      <c r="N269" s="3">
        <f t="shared" si="672"/>
        <v>4245.7589999999991</v>
      </c>
      <c r="O269" s="3">
        <f t="shared" si="672"/>
        <v>4477.6759999999995</v>
      </c>
      <c r="P269" s="3">
        <f t="shared" si="672"/>
        <v>4744.5119999999997</v>
      </c>
      <c r="Q269" s="3">
        <f t="shared" si="672"/>
        <v>5172.1060000000007</v>
      </c>
      <c r="R269" s="3">
        <f t="shared" si="672"/>
        <v>4911.5429999999997</v>
      </c>
      <c r="S269" s="3">
        <f t="shared" si="672"/>
        <v>7418.5469999999996</v>
      </c>
      <c r="T269" s="33">
        <f t="shared" si="672"/>
        <v>7769.1419999999998</v>
      </c>
      <c r="U269" s="33">
        <f t="shared" ref="U269:BD269" si="673">SUM(U262:U268)</f>
        <v>13931.632</v>
      </c>
      <c r="V269" s="33">
        <f t="shared" si="673"/>
        <v>14421.883</v>
      </c>
      <c r="W269" s="33">
        <f t="shared" si="673"/>
        <v>14273.617000000002</v>
      </c>
      <c r="X269" s="33">
        <f t="shared" si="673"/>
        <v>14496.313515000002</v>
      </c>
      <c r="Y269" s="33">
        <f t="shared" si="673"/>
        <v>14468.117035572581</v>
      </c>
      <c r="Z269" s="33">
        <f t="shared" si="673"/>
        <v>14061.723479104132</v>
      </c>
      <c r="AA269" s="33">
        <f t="shared" si="673"/>
        <v>13685.967251720271</v>
      </c>
      <c r="AB269" s="33">
        <f t="shared" si="673"/>
        <v>13332.629484487943</v>
      </c>
      <c r="AC269" s="33">
        <f t="shared" si="673"/>
        <v>12963.763341546592</v>
      </c>
      <c r="AD269" s="33">
        <f t="shared" si="673"/>
        <v>12580.698419095064</v>
      </c>
      <c r="AE269" s="33">
        <f t="shared" si="673"/>
        <v>12214.151036428157</v>
      </c>
      <c r="AF269" s="33">
        <f t="shared" si="673"/>
        <v>11863.533957713542</v>
      </c>
      <c r="AG269" s="33">
        <f t="shared" si="673"/>
        <v>11528.286203443813</v>
      </c>
      <c r="AH269" s="33">
        <f t="shared" si="673"/>
        <v>11207.741021010956</v>
      </c>
      <c r="AI269" s="33">
        <f t="shared" si="673"/>
        <v>10905.356448172053</v>
      </c>
      <c r="AJ269" s="33">
        <f t="shared" si="673"/>
        <v>10615.494879223825</v>
      </c>
      <c r="AK269" s="33">
        <f t="shared" si="673"/>
        <v>10336.791558190866</v>
      </c>
      <c r="AL269" s="33">
        <f t="shared" si="673"/>
        <v>10072.315837946187</v>
      </c>
      <c r="AM269" s="33">
        <f t="shared" si="673"/>
        <v>9820.3662667576737</v>
      </c>
      <c r="AN269" s="33">
        <f t="shared" si="673"/>
        <v>9580.7737179766609</v>
      </c>
      <c r="AO269" s="33">
        <f t="shared" si="673"/>
        <v>9353.2497701454195</v>
      </c>
      <c r="AP269" s="33">
        <f t="shared" si="673"/>
        <v>9133.4240848792197</v>
      </c>
      <c r="AQ269" s="33">
        <f t="shared" si="673"/>
        <v>8915.6017684000744</v>
      </c>
      <c r="AR269" s="33">
        <f t="shared" si="673"/>
        <v>8699.7754214011075</v>
      </c>
      <c r="AS269" s="33">
        <f t="shared" si="673"/>
        <v>8484.6348404650998</v>
      </c>
      <c r="AT269" s="33">
        <f t="shared" si="673"/>
        <v>8269.3183817723402</v>
      </c>
      <c r="AU269" s="33">
        <f t="shared" si="673"/>
        <v>8053.4102289442517</v>
      </c>
      <c r="AV269" s="33">
        <f t="shared" si="673"/>
        <v>7836.9075251855957</v>
      </c>
      <c r="AW269" s="33">
        <f t="shared" si="673"/>
        <v>7622.8660930708584</v>
      </c>
      <c r="AX269" s="33">
        <f t="shared" si="673"/>
        <v>7410.6298286642368</v>
      </c>
      <c r="AY269" s="33">
        <f t="shared" si="673"/>
        <v>7200.0781626295893</v>
      </c>
      <c r="AZ269" s="33">
        <f t="shared" si="673"/>
        <v>6991.1074871114297</v>
      </c>
      <c r="BA269" s="33">
        <f t="shared" si="673"/>
        <v>6783.6307051829108</v>
      </c>
      <c r="BB269" s="33">
        <f t="shared" si="673"/>
        <v>6575.2318678155352</v>
      </c>
      <c r="BC269" s="33">
        <f t="shared" si="673"/>
        <v>6365.8482872561899</v>
      </c>
      <c r="BD269" s="33">
        <f t="shared" si="673"/>
        <v>6155.43243830745</v>
      </c>
      <c r="BE269" s="33">
        <f t="shared" ref="BE269:CP269" si="674">SUM(BE262:BE268)</f>
        <v>5943.9516699413844</v>
      </c>
      <c r="BF269" s="33">
        <f t="shared" si="674"/>
        <v>5731.3879367329673</v>
      </c>
      <c r="BG269" s="33">
        <f t="shared" si="674"/>
        <v>5517.7375044138198</v>
      </c>
      <c r="BH269" s="33">
        <f t="shared" si="674"/>
        <v>5303.0107545603942</v>
      </c>
      <c r="BI269" s="33">
        <f t="shared" si="674"/>
        <v>5087.2319044282603</v>
      </c>
      <c r="BJ269" s="33">
        <f t="shared" si="674"/>
        <v>4870.4388587481508</v>
      </c>
      <c r="BK269" s="33">
        <f t="shared" si="674"/>
        <v>4652.6829704279326</v>
      </c>
      <c r="BL269" s="33">
        <f t="shared" si="674"/>
        <v>4434.0289090378537</v>
      </c>
      <c r="BM269" s="33">
        <f t="shared" si="674"/>
        <v>4214.5544882801851</v>
      </c>
      <c r="BN269" s="33">
        <f t="shared" si="674"/>
        <v>3994.35052650542</v>
      </c>
      <c r="BO269" s="33">
        <f t="shared" si="674"/>
        <v>3773.5207161659405</v>
      </c>
      <c r="BP269" s="33">
        <f t="shared" si="674"/>
        <v>3552.1815198826198</v>
      </c>
      <c r="BQ269" s="33">
        <f t="shared" si="674"/>
        <v>3330.4620749462706</v>
      </c>
      <c r="BR269" s="33">
        <f t="shared" si="674"/>
        <v>3108.1146200259482</v>
      </c>
      <c r="BS269" s="33">
        <f t="shared" si="674"/>
        <v>2885.2384409621254</v>
      </c>
      <c r="BT269" s="33">
        <f t="shared" si="674"/>
        <v>2661.4662048663968</v>
      </c>
      <c r="BU269" s="33">
        <f t="shared" si="674"/>
        <v>2436.4857547525016</v>
      </c>
      <c r="BV269" s="33">
        <f t="shared" si="674"/>
        <v>2210.409496288577</v>
      </c>
      <c r="BW269" s="33">
        <f t="shared" si="674"/>
        <v>1983.359683701904</v>
      </c>
      <c r="BX269" s="33">
        <f t="shared" si="674"/>
        <v>1755.4683304431101</v>
      </c>
      <c r="BY269" s="33">
        <f t="shared" si="674"/>
        <v>1526.8771442831198</v>
      </c>
      <c r="BZ269" s="33">
        <f t="shared" si="674"/>
        <v>1297.7374369077502</v>
      </c>
      <c r="CA269" s="33">
        <f t="shared" si="674"/>
        <v>1068.2101025627358</v>
      </c>
      <c r="CB269" s="33">
        <f t="shared" si="674"/>
        <v>838.46555708407368</v>
      </c>
      <c r="CC269" s="33">
        <f t="shared" si="674"/>
        <v>608.68372738207245</v>
      </c>
      <c r="CD269" s="33">
        <f t="shared" si="674"/>
        <v>378.9986523320477</v>
      </c>
      <c r="CE269" s="33">
        <f t="shared" si="674"/>
        <v>148.94409237250241</v>
      </c>
      <c r="CF269" s="33">
        <f t="shared" si="674"/>
        <v>-81.28612563529893</v>
      </c>
      <c r="CG269" s="33">
        <f t="shared" si="674"/>
        <v>-311.48907156157651</v>
      </c>
      <c r="CH269" s="33">
        <f t="shared" si="674"/>
        <v>-541.45269785416986</v>
      </c>
      <c r="CI269" s="33">
        <f t="shared" si="674"/>
        <v>-777.72989217214581</v>
      </c>
      <c r="CJ269" s="33">
        <f t="shared" si="674"/>
        <v>-1020.1928557289948</v>
      </c>
      <c r="CK269" s="33">
        <f t="shared" si="674"/>
        <v>-1268.7060337134963</v>
      </c>
      <c r="CL269" s="33">
        <f t="shared" si="674"/>
        <v>-1523.1261176260905</v>
      </c>
      <c r="CM269" s="33">
        <f t="shared" si="674"/>
        <v>-1783.3020347641441</v>
      </c>
      <c r="CN269" s="33">
        <f t="shared" si="674"/>
        <v>-2049.0749087030645</v>
      </c>
      <c r="CO269" s="33">
        <f t="shared" si="674"/>
        <v>-2320.2780187064009</v>
      </c>
      <c r="CP269" s="33">
        <f t="shared" si="674"/>
        <v>-2596.7367469771034</v>
      </c>
      <c r="CQ269" s="23" t="s">
        <v>77</v>
      </c>
      <c r="DB269" s="1" t="s">
        <v>36</v>
      </c>
      <c r="DD269" s="3"/>
      <c r="DE269" s="3"/>
      <c r="DF269" s="3"/>
      <c r="DG269" s="3"/>
      <c r="DH269" s="3"/>
      <c r="DI269" s="3"/>
      <c r="DJ269" s="3">
        <f t="shared" ref="DJ269:DO269" si="675">SUM(DJ262:DJ268)</f>
        <v>7637.098</v>
      </c>
      <c r="DK269" s="3">
        <f t="shared" si="675"/>
        <v>13931.632</v>
      </c>
      <c r="DL269" s="3">
        <f t="shared" si="675"/>
        <v>13802.502</v>
      </c>
      <c r="DM269" s="3">
        <f t="shared" si="675"/>
        <v>14421.883</v>
      </c>
      <c r="DN269" s="3">
        <f>SUM(DN262:DN268)</f>
        <v>14301.538999999999</v>
      </c>
      <c r="DO269" s="3">
        <f t="shared" si="675"/>
        <v>14273.617000000002</v>
      </c>
      <c r="DP269" s="3">
        <f>SUM(DP262:DP268)</f>
        <v>14432.547999999999</v>
      </c>
      <c r="DQ269" s="3">
        <f>SUM(DQ262:DQ268)</f>
        <v>14496.313515000002</v>
      </c>
      <c r="DR269" s="3"/>
      <c r="DS269" s="3"/>
    </row>
    <row r="270" spans="1:123" ht="11.25" customHeight="1" outlineLevel="1" x14ac:dyDescent="0.2">
      <c r="CQ270" s="23" t="s">
        <v>77</v>
      </c>
      <c r="DD270" s="8"/>
      <c r="DE270" s="8"/>
      <c r="DF270" s="8"/>
      <c r="DG270" s="8"/>
      <c r="DH270" s="8"/>
      <c r="DI270" s="8"/>
      <c r="DJ270" s="8"/>
      <c r="DK270" s="8"/>
    </row>
    <row r="271" spans="1:123" ht="11.25" customHeight="1" outlineLevel="1" x14ac:dyDescent="0.2">
      <c r="B271" s="7" t="s">
        <v>95</v>
      </c>
      <c r="D271" s="52"/>
      <c r="E271" s="52"/>
      <c r="F271" s="52"/>
      <c r="G271" s="52"/>
      <c r="H271" s="52"/>
      <c r="I271" s="52"/>
      <c r="J271" s="52"/>
      <c r="K271" s="52">
        <v>63.241999999999997</v>
      </c>
      <c r="L271" s="52">
        <v>58.823</v>
      </c>
      <c r="M271" s="52">
        <v>108.325</v>
      </c>
      <c r="N271" s="52">
        <v>151.55799999999999</v>
      </c>
      <c r="O271" s="52">
        <v>109.88200000000001</v>
      </c>
      <c r="P271" s="52">
        <v>131.839</v>
      </c>
      <c r="Q271" s="52">
        <v>135.65100000000001</v>
      </c>
      <c r="R271" s="52">
        <v>173.44499999999999</v>
      </c>
      <c r="S271" s="52">
        <v>190.06200000000001</v>
      </c>
      <c r="T271" s="186">
        <v>185.988</v>
      </c>
      <c r="U271" s="186">
        <v>405.685</v>
      </c>
      <c r="V271" s="186">
        <v>252.661</v>
      </c>
      <c r="W271" s="186">
        <v>312.61099999999999</v>
      </c>
      <c r="X271" s="272">
        <f t="shared" ref="X271:BD271" si="676">W271</f>
        <v>312.61099999999999</v>
      </c>
      <c r="Y271" s="272">
        <f t="shared" si="676"/>
        <v>312.61099999999999</v>
      </c>
      <c r="Z271" s="272">
        <f t="shared" si="676"/>
        <v>312.61099999999999</v>
      </c>
      <c r="AA271" s="272">
        <f t="shared" si="676"/>
        <v>312.61099999999999</v>
      </c>
      <c r="AB271" s="272">
        <f t="shared" si="676"/>
        <v>312.61099999999999</v>
      </c>
      <c r="AC271" s="272">
        <f t="shared" si="676"/>
        <v>312.61099999999999</v>
      </c>
      <c r="AD271" s="272">
        <f t="shared" si="676"/>
        <v>312.61099999999999</v>
      </c>
      <c r="AE271" s="272">
        <f t="shared" si="676"/>
        <v>312.61099999999999</v>
      </c>
      <c r="AF271" s="272">
        <f t="shared" si="676"/>
        <v>312.61099999999999</v>
      </c>
      <c r="AG271" s="272">
        <f t="shared" si="676"/>
        <v>312.61099999999999</v>
      </c>
      <c r="AH271" s="272">
        <f t="shared" si="676"/>
        <v>312.61099999999999</v>
      </c>
      <c r="AI271" s="272">
        <f t="shared" si="676"/>
        <v>312.61099999999999</v>
      </c>
      <c r="AJ271" s="272">
        <f t="shared" si="676"/>
        <v>312.61099999999999</v>
      </c>
      <c r="AK271" s="272">
        <f t="shared" si="676"/>
        <v>312.61099999999999</v>
      </c>
      <c r="AL271" s="272">
        <f t="shared" si="676"/>
        <v>312.61099999999999</v>
      </c>
      <c r="AM271" s="272">
        <f t="shared" si="676"/>
        <v>312.61099999999999</v>
      </c>
      <c r="AN271" s="272">
        <f t="shared" si="676"/>
        <v>312.61099999999999</v>
      </c>
      <c r="AO271" s="272">
        <f t="shared" si="676"/>
        <v>312.61099999999999</v>
      </c>
      <c r="AP271" s="272">
        <f t="shared" si="676"/>
        <v>312.61099999999999</v>
      </c>
      <c r="AQ271" s="272">
        <f t="shared" si="676"/>
        <v>312.61099999999999</v>
      </c>
      <c r="AR271" s="272">
        <f t="shared" si="676"/>
        <v>312.61099999999999</v>
      </c>
      <c r="AS271" s="272">
        <f t="shared" si="676"/>
        <v>312.61099999999999</v>
      </c>
      <c r="AT271" s="272">
        <f t="shared" si="676"/>
        <v>312.61099999999999</v>
      </c>
      <c r="AU271" s="272">
        <f t="shared" si="676"/>
        <v>312.61099999999999</v>
      </c>
      <c r="AV271" s="272">
        <f t="shared" si="676"/>
        <v>312.61099999999999</v>
      </c>
      <c r="AW271" s="272">
        <f t="shared" si="676"/>
        <v>312.61099999999999</v>
      </c>
      <c r="AX271" s="272">
        <f t="shared" si="676"/>
        <v>312.61099999999999</v>
      </c>
      <c r="AY271" s="272">
        <f t="shared" si="676"/>
        <v>312.61099999999999</v>
      </c>
      <c r="AZ271" s="272">
        <f t="shared" si="676"/>
        <v>312.61099999999999</v>
      </c>
      <c r="BA271" s="272">
        <f t="shared" si="676"/>
        <v>312.61099999999999</v>
      </c>
      <c r="BB271" s="272">
        <f t="shared" si="676"/>
        <v>312.61099999999999</v>
      </c>
      <c r="BC271" s="272">
        <f t="shared" si="676"/>
        <v>312.61099999999999</v>
      </c>
      <c r="BD271" s="272">
        <f t="shared" si="676"/>
        <v>312.61099999999999</v>
      </c>
      <c r="BE271" s="272">
        <f t="shared" ref="BE271:CP271" si="677">BD271</f>
        <v>312.61099999999999</v>
      </c>
      <c r="BF271" s="272">
        <f t="shared" si="677"/>
        <v>312.61099999999999</v>
      </c>
      <c r="BG271" s="272">
        <f t="shared" si="677"/>
        <v>312.61099999999999</v>
      </c>
      <c r="BH271" s="272">
        <f t="shared" si="677"/>
        <v>312.61099999999999</v>
      </c>
      <c r="BI271" s="272">
        <f t="shared" si="677"/>
        <v>312.61099999999999</v>
      </c>
      <c r="BJ271" s="272">
        <f t="shared" si="677"/>
        <v>312.61099999999999</v>
      </c>
      <c r="BK271" s="272">
        <f t="shared" si="677"/>
        <v>312.61099999999999</v>
      </c>
      <c r="BL271" s="272">
        <f t="shared" si="677"/>
        <v>312.61099999999999</v>
      </c>
      <c r="BM271" s="272">
        <f t="shared" si="677"/>
        <v>312.61099999999999</v>
      </c>
      <c r="BN271" s="272">
        <f t="shared" si="677"/>
        <v>312.61099999999999</v>
      </c>
      <c r="BO271" s="272">
        <f t="shared" si="677"/>
        <v>312.61099999999999</v>
      </c>
      <c r="BP271" s="272">
        <f t="shared" si="677"/>
        <v>312.61099999999999</v>
      </c>
      <c r="BQ271" s="272">
        <f t="shared" si="677"/>
        <v>312.61099999999999</v>
      </c>
      <c r="BR271" s="272">
        <f t="shared" si="677"/>
        <v>312.61099999999999</v>
      </c>
      <c r="BS271" s="272">
        <f t="shared" si="677"/>
        <v>312.61099999999999</v>
      </c>
      <c r="BT271" s="272">
        <f t="shared" si="677"/>
        <v>312.61099999999999</v>
      </c>
      <c r="BU271" s="272">
        <f t="shared" si="677"/>
        <v>312.61099999999999</v>
      </c>
      <c r="BV271" s="272">
        <f t="shared" si="677"/>
        <v>312.61099999999999</v>
      </c>
      <c r="BW271" s="272">
        <f t="shared" si="677"/>
        <v>312.61099999999999</v>
      </c>
      <c r="BX271" s="272">
        <f t="shared" si="677"/>
        <v>312.61099999999999</v>
      </c>
      <c r="BY271" s="272">
        <f t="shared" si="677"/>
        <v>312.61099999999999</v>
      </c>
      <c r="BZ271" s="272">
        <f t="shared" si="677"/>
        <v>312.61099999999999</v>
      </c>
      <c r="CA271" s="272">
        <f t="shared" si="677"/>
        <v>312.61099999999999</v>
      </c>
      <c r="CB271" s="272">
        <f t="shared" si="677"/>
        <v>312.61099999999999</v>
      </c>
      <c r="CC271" s="272">
        <f t="shared" si="677"/>
        <v>312.61099999999999</v>
      </c>
      <c r="CD271" s="272">
        <f t="shared" si="677"/>
        <v>312.61099999999999</v>
      </c>
      <c r="CE271" s="272">
        <f t="shared" si="677"/>
        <v>312.61099999999999</v>
      </c>
      <c r="CF271" s="272">
        <f t="shared" si="677"/>
        <v>312.61099999999999</v>
      </c>
      <c r="CG271" s="272">
        <f t="shared" si="677"/>
        <v>312.61099999999999</v>
      </c>
      <c r="CH271" s="272">
        <f t="shared" si="677"/>
        <v>312.61099999999999</v>
      </c>
      <c r="CI271" s="272">
        <f t="shared" si="677"/>
        <v>312.61099999999999</v>
      </c>
      <c r="CJ271" s="272">
        <f t="shared" si="677"/>
        <v>312.61099999999999</v>
      </c>
      <c r="CK271" s="272">
        <f t="shared" si="677"/>
        <v>312.61099999999999</v>
      </c>
      <c r="CL271" s="272">
        <f t="shared" si="677"/>
        <v>312.61099999999999</v>
      </c>
      <c r="CM271" s="272">
        <f t="shared" si="677"/>
        <v>312.61099999999999</v>
      </c>
      <c r="CN271" s="272">
        <f t="shared" si="677"/>
        <v>312.61099999999999</v>
      </c>
      <c r="CO271" s="272">
        <f t="shared" si="677"/>
        <v>312.61099999999999</v>
      </c>
      <c r="CP271" s="272">
        <f t="shared" si="677"/>
        <v>312.61099999999999</v>
      </c>
      <c r="CQ271" s="23" t="s">
        <v>77</v>
      </c>
      <c r="DB271" s="7" t="s">
        <v>95</v>
      </c>
      <c r="DD271" s="8"/>
      <c r="DE271" s="8"/>
      <c r="DF271" s="8"/>
      <c r="DG271" s="8"/>
      <c r="DH271" s="8"/>
      <c r="DI271" s="12"/>
      <c r="DJ271" s="52">
        <v>164.184</v>
      </c>
      <c r="DK271" s="12">
        <f>U271</f>
        <v>405.685</v>
      </c>
      <c r="DL271" s="52">
        <v>245.55500000000001</v>
      </c>
      <c r="DM271" s="12">
        <f>V271</f>
        <v>252.661</v>
      </c>
      <c r="DN271" s="52">
        <v>277.185</v>
      </c>
      <c r="DO271" s="12">
        <f>W271</f>
        <v>312.61099999999999</v>
      </c>
      <c r="DP271" s="52">
        <v>310.14499999999998</v>
      </c>
      <c r="DQ271" s="12">
        <f t="shared" ref="DQ271:DQ275" si="678">X271</f>
        <v>312.61099999999999</v>
      </c>
      <c r="DR271" s="12"/>
      <c r="DS271" s="12"/>
    </row>
    <row r="272" spans="1:123" ht="11.25" customHeight="1" outlineLevel="1" x14ac:dyDescent="0.2">
      <c r="B272" s="7" t="s">
        <v>40</v>
      </c>
      <c r="D272" s="52"/>
      <c r="E272" s="52"/>
      <c r="F272" s="52"/>
      <c r="G272" s="52"/>
      <c r="H272" s="52"/>
      <c r="I272" s="52"/>
      <c r="J272" s="52"/>
      <c r="K272" s="52">
        <v>0.188</v>
      </c>
      <c r="L272" s="52">
        <v>158.542</v>
      </c>
      <c r="M272" s="52">
        <v>4.4939999999999998</v>
      </c>
      <c r="N272" s="52">
        <v>450.15</v>
      </c>
      <c r="O272" s="52">
        <v>900.21900000000005</v>
      </c>
      <c r="P272" s="52">
        <v>103.883</v>
      </c>
      <c r="Q272" s="52">
        <v>900</v>
      </c>
      <c r="R272" s="52">
        <v>0</v>
      </c>
      <c r="S272" s="52">
        <v>80.91</v>
      </c>
      <c r="T272" s="186">
        <v>0</v>
      </c>
      <c r="U272" s="186">
        <v>164.35300000000001</v>
      </c>
      <c r="V272" s="186">
        <v>409.82900000000001</v>
      </c>
      <c r="W272" s="186">
        <v>126.858</v>
      </c>
      <c r="X272" s="272">
        <f t="shared" ref="X272:BD272" si="679">W272</f>
        <v>126.858</v>
      </c>
      <c r="Y272" s="272">
        <f t="shared" si="679"/>
        <v>126.858</v>
      </c>
      <c r="Z272" s="272">
        <f t="shared" si="679"/>
        <v>126.858</v>
      </c>
      <c r="AA272" s="272">
        <f t="shared" si="679"/>
        <v>126.858</v>
      </c>
      <c r="AB272" s="272">
        <f t="shared" si="679"/>
        <v>126.858</v>
      </c>
      <c r="AC272" s="272">
        <f t="shared" si="679"/>
        <v>126.858</v>
      </c>
      <c r="AD272" s="272">
        <f t="shared" si="679"/>
        <v>126.858</v>
      </c>
      <c r="AE272" s="272">
        <f t="shared" si="679"/>
        <v>126.858</v>
      </c>
      <c r="AF272" s="272">
        <f t="shared" si="679"/>
        <v>126.858</v>
      </c>
      <c r="AG272" s="272">
        <f t="shared" si="679"/>
        <v>126.858</v>
      </c>
      <c r="AH272" s="272">
        <f t="shared" si="679"/>
        <v>126.858</v>
      </c>
      <c r="AI272" s="272">
        <f t="shared" si="679"/>
        <v>126.858</v>
      </c>
      <c r="AJ272" s="272">
        <f t="shared" si="679"/>
        <v>126.858</v>
      </c>
      <c r="AK272" s="272">
        <f t="shared" si="679"/>
        <v>126.858</v>
      </c>
      <c r="AL272" s="272">
        <f t="shared" si="679"/>
        <v>126.858</v>
      </c>
      <c r="AM272" s="272">
        <f t="shared" si="679"/>
        <v>126.858</v>
      </c>
      <c r="AN272" s="272">
        <f t="shared" si="679"/>
        <v>126.858</v>
      </c>
      <c r="AO272" s="272">
        <f t="shared" si="679"/>
        <v>126.858</v>
      </c>
      <c r="AP272" s="272">
        <f t="shared" si="679"/>
        <v>126.858</v>
      </c>
      <c r="AQ272" s="272">
        <f t="shared" si="679"/>
        <v>126.858</v>
      </c>
      <c r="AR272" s="272">
        <f t="shared" si="679"/>
        <v>126.858</v>
      </c>
      <c r="AS272" s="272">
        <f t="shared" si="679"/>
        <v>126.858</v>
      </c>
      <c r="AT272" s="272">
        <f t="shared" si="679"/>
        <v>126.858</v>
      </c>
      <c r="AU272" s="272">
        <f t="shared" si="679"/>
        <v>126.858</v>
      </c>
      <c r="AV272" s="272">
        <f t="shared" si="679"/>
        <v>126.858</v>
      </c>
      <c r="AW272" s="272">
        <f t="shared" si="679"/>
        <v>126.858</v>
      </c>
      <c r="AX272" s="272">
        <f t="shared" si="679"/>
        <v>126.858</v>
      </c>
      <c r="AY272" s="272">
        <f t="shared" si="679"/>
        <v>126.858</v>
      </c>
      <c r="AZ272" s="272">
        <f t="shared" si="679"/>
        <v>126.858</v>
      </c>
      <c r="BA272" s="272">
        <f t="shared" si="679"/>
        <v>126.858</v>
      </c>
      <c r="BB272" s="272">
        <f t="shared" si="679"/>
        <v>126.858</v>
      </c>
      <c r="BC272" s="272">
        <f t="shared" si="679"/>
        <v>126.858</v>
      </c>
      <c r="BD272" s="272">
        <f t="shared" si="679"/>
        <v>126.858</v>
      </c>
      <c r="BE272" s="272">
        <f t="shared" ref="BE272:CP272" si="680">BD272</f>
        <v>126.858</v>
      </c>
      <c r="BF272" s="272">
        <f t="shared" si="680"/>
        <v>126.858</v>
      </c>
      <c r="BG272" s="272">
        <f t="shared" si="680"/>
        <v>126.858</v>
      </c>
      <c r="BH272" s="272">
        <f t="shared" si="680"/>
        <v>126.858</v>
      </c>
      <c r="BI272" s="272">
        <f t="shared" si="680"/>
        <v>126.858</v>
      </c>
      <c r="BJ272" s="272">
        <f t="shared" si="680"/>
        <v>126.858</v>
      </c>
      <c r="BK272" s="272">
        <f t="shared" si="680"/>
        <v>126.858</v>
      </c>
      <c r="BL272" s="272">
        <f t="shared" si="680"/>
        <v>126.858</v>
      </c>
      <c r="BM272" s="272">
        <f t="shared" si="680"/>
        <v>126.858</v>
      </c>
      <c r="BN272" s="272">
        <f t="shared" si="680"/>
        <v>126.858</v>
      </c>
      <c r="BO272" s="272">
        <f t="shared" si="680"/>
        <v>126.858</v>
      </c>
      <c r="BP272" s="272">
        <f t="shared" si="680"/>
        <v>126.858</v>
      </c>
      <c r="BQ272" s="272">
        <f t="shared" si="680"/>
        <v>126.858</v>
      </c>
      <c r="BR272" s="272">
        <f t="shared" si="680"/>
        <v>126.858</v>
      </c>
      <c r="BS272" s="272">
        <f t="shared" si="680"/>
        <v>126.858</v>
      </c>
      <c r="BT272" s="272">
        <f t="shared" si="680"/>
        <v>126.858</v>
      </c>
      <c r="BU272" s="272">
        <f t="shared" si="680"/>
        <v>126.858</v>
      </c>
      <c r="BV272" s="272">
        <f t="shared" si="680"/>
        <v>126.858</v>
      </c>
      <c r="BW272" s="272">
        <f t="shared" si="680"/>
        <v>126.858</v>
      </c>
      <c r="BX272" s="272">
        <f t="shared" si="680"/>
        <v>126.858</v>
      </c>
      <c r="BY272" s="272">
        <f t="shared" si="680"/>
        <v>126.858</v>
      </c>
      <c r="BZ272" s="272">
        <f t="shared" si="680"/>
        <v>126.858</v>
      </c>
      <c r="CA272" s="272">
        <f t="shared" si="680"/>
        <v>126.858</v>
      </c>
      <c r="CB272" s="272">
        <f t="shared" si="680"/>
        <v>126.858</v>
      </c>
      <c r="CC272" s="272">
        <f t="shared" si="680"/>
        <v>126.858</v>
      </c>
      <c r="CD272" s="272">
        <f t="shared" si="680"/>
        <v>126.858</v>
      </c>
      <c r="CE272" s="272">
        <f t="shared" si="680"/>
        <v>126.858</v>
      </c>
      <c r="CF272" s="272">
        <f t="shared" si="680"/>
        <v>126.858</v>
      </c>
      <c r="CG272" s="272">
        <f t="shared" si="680"/>
        <v>126.858</v>
      </c>
      <c r="CH272" s="272">
        <f t="shared" si="680"/>
        <v>126.858</v>
      </c>
      <c r="CI272" s="272">
        <f t="shared" si="680"/>
        <v>126.858</v>
      </c>
      <c r="CJ272" s="272">
        <f t="shared" si="680"/>
        <v>126.858</v>
      </c>
      <c r="CK272" s="272">
        <f t="shared" si="680"/>
        <v>126.858</v>
      </c>
      <c r="CL272" s="272">
        <f t="shared" si="680"/>
        <v>126.858</v>
      </c>
      <c r="CM272" s="272">
        <f t="shared" si="680"/>
        <v>126.858</v>
      </c>
      <c r="CN272" s="272">
        <f t="shared" si="680"/>
        <v>126.858</v>
      </c>
      <c r="CO272" s="272">
        <f t="shared" si="680"/>
        <v>126.858</v>
      </c>
      <c r="CP272" s="272">
        <f t="shared" si="680"/>
        <v>126.858</v>
      </c>
      <c r="CQ272" s="23" t="s">
        <v>77</v>
      </c>
      <c r="DB272" s="7" t="s">
        <v>40</v>
      </c>
      <c r="DD272" s="8"/>
      <c r="DE272" s="8"/>
      <c r="DF272" s="8"/>
      <c r="DG272" s="8"/>
      <c r="DH272" s="8"/>
      <c r="DI272" s="12"/>
      <c r="DJ272" s="52">
        <v>149.49100000000001</v>
      </c>
      <c r="DK272" s="12">
        <f>U272</f>
        <v>164.35300000000001</v>
      </c>
      <c r="DL272" s="52">
        <v>95.820999999999998</v>
      </c>
      <c r="DM272" s="12">
        <f>V272</f>
        <v>409.82900000000001</v>
      </c>
      <c r="DN272" s="52">
        <v>620.80100000000004</v>
      </c>
      <c r="DO272" s="12">
        <f>W272</f>
        <v>126.858</v>
      </c>
      <c r="DP272" s="52">
        <v>205.029</v>
      </c>
      <c r="DQ272" s="12">
        <f t="shared" si="678"/>
        <v>126.858</v>
      </c>
      <c r="DR272" s="12"/>
      <c r="DS272" s="12"/>
    </row>
    <row r="273" spans="2:123" ht="11.25" customHeight="1" outlineLevel="1" x14ac:dyDescent="0.2">
      <c r="B273" s="7" t="s">
        <v>271</v>
      </c>
      <c r="D273" s="52"/>
      <c r="E273" s="52"/>
      <c r="F273" s="52"/>
      <c r="G273" s="52"/>
      <c r="H273" s="52"/>
      <c r="I273" s="52"/>
      <c r="J273" s="52"/>
      <c r="K273" s="52">
        <v>0</v>
      </c>
      <c r="L273" s="52">
        <v>3.2730000000000001</v>
      </c>
      <c r="M273" s="52">
        <v>4.8410000000000002</v>
      </c>
      <c r="N273" s="52">
        <v>5.1870000000000003</v>
      </c>
      <c r="O273" s="52">
        <v>7.6479999999999997</v>
      </c>
      <c r="P273" s="52">
        <v>8.7379999999999995</v>
      </c>
      <c r="Q273" s="52">
        <v>44.985999999999997</v>
      </c>
      <c r="R273" s="52">
        <v>59.307000000000002</v>
      </c>
      <c r="S273" s="52">
        <v>126.38500000000001</v>
      </c>
      <c r="T273" s="186">
        <v>90.573999999999998</v>
      </c>
      <c r="U273" s="186">
        <v>145.815</v>
      </c>
      <c r="V273" s="186">
        <v>114.67400000000001</v>
      </c>
      <c r="W273" s="186">
        <v>145.768</v>
      </c>
      <c r="X273" s="272">
        <f t="shared" ref="X273:BD274" si="681">W273</f>
        <v>145.768</v>
      </c>
      <c r="Y273" s="272">
        <f t="shared" si="681"/>
        <v>145.768</v>
      </c>
      <c r="Z273" s="272">
        <f t="shared" si="681"/>
        <v>145.768</v>
      </c>
      <c r="AA273" s="272">
        <f t="shared" si="681"/>
        <v>145.768</v>
      </c>
      <c r="AB273" s="272">
        <f t="shared" si="681"/>
        <v>145.768</v>
      </c>
      <c r="AC273" s="272">
        <f t="shared" si="681"/>
        <v>145.768</v>
      </c>
      <c r="AD273" s="272">
        <f t="shared" si="681"/>
        <v>145.768</v>
      </c>
      <c r="AE273" s="272">
        <f t="shared" si="681"/>
        <v>145.768</v>
      </c>
      <c r="AF273" s="272">
        <f t="shared" si="681"/>
        <v>145.768</v>
      </c>
      <c r="AG273" s="272">
        <f t="shared" si="681"/>
        <v>145.768</v>
      </c>
      <c r="AH273" s="272">
        <f t="shared" si="681"/>
        <v>145.768</v>
      </c>
      <c r="AI273" s="272">
        <f t="shared" si="681"/>
        <v>145.768</v>
      </c>
      <c r="AJ273" s="272">
        <f t="shared" si="681"/>
        <v>145.768</v>
      </c>
      <c r="AK273" s="272">
        <f t="shared" si="681"/>
        <v>145.768</v>
      </c>
      <c r="AL273" s="272">
        <f t="shared" si="681"/>
        <v>145.768</v>
      </c>
      <c r="AM273" s="272">
        <f t="shared" si="681"/>
        <v>145.768</v>
      </c>
      <c r="AN273" s="272">
        <f t="shared" si="681"/>
        <v>145.768</v>
      </c>
      <c r="AO273" s="272">
        <f t="shared" si="681"/>
        <v>145.768</v>
      </c>
      <c r="AP273" s="272">
        <f t="shared" si="681"/>
        <v>145.768</v>
      </c>
      <c r="AQ273" s="272">
        <f t="shared" si="681"/>
        <v>145.768</v>
      </c>
      <c r="AR273" s="272">
        <f t="shared" si="681"/>
        <v>145.768</v>
      </c>
      <c r="AS273" s="272">
        <f t="shared" si="681"/>
        <v>145.768</v>
      </c>
      <c r="AT273" s="272">
        <f t="shared" si="681"/>
        <v>145.768</v>
      </c>
      <c r="AU273" s="272">
        <f t="shared" si="681"/>
        <v>145.768</v>
      </c>
      <c r="AV273" s="272">
        <f t="shared" si="681"/>
        <v>145.768</v>
      </c>
      <c r="AW273" s="272">
        <f t="shared" si="681"/>
        <v>145.768</v>
      </c>
      <c r="AX273" s="272">
        <f t="shared" si="681"/>
        <v>145.768</v>
      </c>
      <c r="AY273" s="272">
        <f t="shared" si="681"/>
        <v>145.768</v>
      </c>
      <c r="AZ273" s="272">
        <f t="shared" si="681"/>
        <v>145.768</v>
      </c>
      <c r="BA273" s="272">
        <f t="shared" si="681"/>
        <v>145.768</v>
      </c>
      <c r="BB273" s="272">
        <f t="shared" si="681"/>
        <v>145.768</v>
      </c>
      <c r="BC273" s="272">
        <f t="shared" si="681"/>
        <v>145.768</v>
      </c>
      <c r="BD273" s="272">
        <f t="shared" si="681"/>
        <v>145.768</v>
      </c>
      <c r="BE273" s="272">
        <f t="shared" ref="BE273:CP273" si="682">BD273</f>
        <v>145.768</v>
      </c>
      <c r="BF273" s="272">
        <f t="shared" si="682"/>
        <v>145.768</v>
      </c>
      <c r="BG273" s="272">
        <f t="shared" si="682"/>
        <v>145.768</v>
      </c>
      <c r="BH273" s="272">
        <f t="shared" si="682"/>
        <v>145.768</v>
      </c>
      <c r="BI273" s="272">
        <f t="shared" si="682"/>
        <v>145.768</v>
      </c>
      <c r="BJ273" s="272">
        <f t="shared" si="682"/>
        <v>145.768</v>
      </c>
      <c r="BK273" s="272">
        <f t="shared" si="682"/>
        <v>145.768</v>
      </c>
      <c r="BL273" s="272">
        <f t="shared" si="682"/>
        <v>145.768</v>
      </c>
      <c r="BM273" s="272">
        <f t="shared" si="682"/>
        <v>145.768</v>
      </c>
      <c r="BN273" s="272">
        <f t="shared" si="682"/>
        <v>145.768</v>
      </c>
      <c r="BO273" s="272">
        <f t="shared" si="682"/>
        <v>145.768</v>
      </c>
      <c r="BP273" s="272">
        <f t="shared" si="682"/>
        <v>145.768</v>
      </c>
      <c r="BQ273" s="272">
        <f t="shared" si="682"/>
        <v>145.768</v>
      </c>
      <c r="BR273" s="272">
        <f t="shared" si="682"/>
        <v>145.768</v>
      </c>
      <c r="BS273" s="272">
        <f t="shared" si="682"/>
        <v>145.768</v>
      </c>
      <c r="BT273" s="272">
        <f t="shared" si="682"/>
        <v>145.768</v>
      </c>
      <c r="BU273" s="272">
        <f t="shared" si="682"/>
        <v>145.768</v>
      </c>
      <c r="BV273" s="272">
        <f t="shared" si="682"/>
        <v>145.768</v>
      </c>
      <c r="BW273" s="272">
        <f t="shared" si="682"/>
        <v>145.768</v>
      </c>
      <c r="BX273" s="272">
        <f t="shared" si="682"/>
        <v>145.768</v>
      </c>
      <c r="BY273" s="272">
        <f t="shared" si="682"/>
        <v>145.768</v>
      </c>
      <c r="BZ273" s="272">
        <f t="shared" si="682"/>
        <v>145.768</v>
      </c>
      <c r="CA273" s="272">
        <f t="shared" si="682"/>
        <v>145.768</v>
      </c>
      <c r="CB273" s="272">
        <f t="shared" si="682"/>
        <v>145.768</v>
      </c>
      <c r="CC273" s="272">
        <f t="shared" si="682"/>
        <v>145.768</v>
      </c>
      <c r="CD273" s="272">
        <f t="shared" si="682"/>
        <v>145.768</v>
      </c>
      <c r="CE273" s="272">
        <f t="shared" si="682"/>
        <v>145.768</v>
      </c>
      <c r="CF273" s="272">
        <f t="shared" si="682"/>
        <v>145.768</v>
      </c>
      <c r="CG273" s="272">
        <f t="shared" si="682"/>
        <v>145.768</v>
      </c>
      <c r="CH273" s="272">
        <f t="shared" si="682"/>
        <v>145.768</v>
      </c>
      <c r="CI273" s="272">
        <f t="shared" si="682"/>
        <v>145.768</v>
      </c>
      <c r="CJ273" s="272">
        <f t="shared" si="682"/>
        <v>145.768</v>
      </c>
      <c r="CK273" s="272">
        <f t="shared" si="682"/>
        <v>145.768</v>
      </c>
      <c r="CL273" s="272">
        <f t="shared" si="682"/>
        <v>145.768</v>
      </c>
      <c r="CM273" s="272">
        <f t="shared" si="682"/>
        <v>145.768</v>
      </c>
      <c r="CN273" s="272">
        <f t="shared" si="682"/>
        <v>145.768</v>
      </c>
      <c r="CO273" s="272">
        <f t="shared" si="682"/>
        <v>145.768</v>
      </c>
      <c r="CP273" s="272">
        <f t="shared" si="682"/>
        <v>145.768</v>
      </c>
      <c r="CQ273" s="23" t="s">
        <v>77</v>
      </c>
      <c r="DB273" s="7" t="s">
        <v>271</v>
      </c>
      <c r="DD273" s="8"/>
      <c r="DE273" s="8"/>
      <c r="DF273" s="8"/>
      <c r="DG273" s="8"/>
      <c r="DH273" s="8"/>
      <c r="DI273" s="12"/>
      <c r="DJ273" s="52">
        <v>120.98</v>
      </c>
      <c r="DK273" s="12">
        <f>U273</f>
        <v>145.815</v>
      </c>
      <c r="DL273" s="52">
        <v>150.761</v>
      </c>
      <c r="DM273" s="12">
        <f>V273</f>
        <v>114.67400000000001</v>
      </c>
      <c r="DN273" s="52">
        <v>137.13900000000001</v>
      </c>
      <c r="DO273" s="12">
        <f>W273</f>
        <v>145.768</v>
      </c>
      <c r="DP273" s="52">
        <v>181.46899999999999</v>
      </c>
      <c r="DQ273" s="12">
        <f t="shared" si="678"/>
        <v>145.768</v>
      </c>
      <c r="DR273" s="12"/>
      <c r="DS273" s="12"/>
    </row>
    <row r="274" spans="2:123" ht="11.25" customHeight="1" outlineLevel="1" x14ac:dyDescent="0.2">
      <c r="B274" s="7" t="s">
        <v>96</v>
      </c>
      <c r="D274" s="52"/>
      <c r="E274" s="52"/>
      <c r="F274" s="52"/>
      <c r="G274" s="52"/>
      <c r="H274" s="52"/>
      <c r="I274" s="52"/>
      <c r="J274" s="52"/>
      <c r="K274" s="52">
        <v>23.324999999999999</v>
      </c>
      <c r="L274" s="52">
        <v>22.847999999999999</v>
      </c>
      <c r="M274" s="52">
        <v>20.074000000000002</v>
      </c>
      <c r="N274" s="52">
        <v>38.752000000000002</v>
      </c>
      <c r="O274" s="52">
        <v>39.433999999999997</v>
      </c>
      <c r="P274" s="52">
        <v>42.957000000000001</v>
      </c>
      <c r="Q274" s="52">
        <v>54.731000000000002</v>
      </c>
      <c r="R274" s="52">
        <v>67.465999999999994</v>
      </c>
      <c r="S274" s="52">
        <v>81.942999999999998</v>
      </c>
      <c r="T274" s="186">
        <v>81.003</v>
      </c>
      <c r="U274" s="186">
        <v>85.451999999999998</v>
      </c>
      <c r="V274" s="186">
        <v>93.033000000000001</v>
      </c>
      <c r="W274" s="186">
        <v>93.772999999999996</v>
      </c>
      <c r="X274" s="272">
        <f t="shared" si="681"/>
        <v>93.772999999999996</v>
      </c>
      <c r="Y274" s="272">
        <f t="shared" si="681"/>
        <v>93.772999999999996</v>
      </c>
      <c r="Z274" s="272">
        <f t="shared" si="681"/>
        <v>93.772999999999996</v>
      </c>
      <c r="AA274" s="272">
        <f t="shared" si="681"/>
        <v>93.772999999999996</v>
      </c>
      <c r="AB274" s="272">
        <f t="shared" si="681"/>
        <v>93.772999999999996</v>
      </c>
      <c r="AC274" s="272">
        <f t="shared" si="681"/>
        <v>93.772999999999996</v>
      </c>
      <c r="AD274" s="272">
        <f t="shared" si="681"/>
        <v>93.772999999999996</v>
      </c>
      <c r="AE274" s="272">
        <f t="shared" si="681"/>
        <v>93.772999999999996</v>
      </c>
      <c r="AF274" s="272">
        <f t="shared" si="681"/>
        <v>93.772999999999996</v>
      </c>
      <c r="AG274" s="272">
        <f t="shared" si="681"/>
        <v>93.772999999999996</v>
      </c>
      <c r="AH274" s="272">
        <f t="shared" si="681"/>
        <v>93.772999999999996</v>
      </c>
      <c r="AI274" s="272">
        <f t="shared" si="681"/>
        <v>93.772999999999996</v>
      </c>
      <c r="AJ274" s="272">
        <f t="shared" si="681"/>
        <v>93.772999999999996</v>
      </c>
      <c r="AK274" s="272">
        <f t="shared" si="681"/>
        <v>93.772999999999996</v>
      </c>
      <c r="AL274" s="272">
        <f t="shared" si="681"/>
        <v>93.772999999999996</v>
      </c>
      <c r="AM274" s="272">
        <f t="shared" si="681"/>
        <v>93.772999999999996</v>
      </c>
      <c r="AN274" s="272">
        <f t="shared" si="681"/>
        <v>93.772999999999996</v>
      </c>
      <c r="AO274" s="272">
        <f t="shared" si="681"/>
        <v>93.772999999999996</v>
      </c>
      <c r="AP274" s="272">
        <f t="shared" si="681"/>
        <v>93.772999999999996</v>
      </c>
      <c r="AQ274" s="272">
        <f t="shared" si="681"/>
        <v>93.772999999999996</v>
      </c>
      <c r="AR274" s="272">
        <f t="shared" si="681"/>
        <v>93.772999999999996</v>
      </c>
      <c r="AS274" s="272">
        <f t="shared" si="681"/>
        <v>93.772999999999996</v>
      </c>
      <c r="AT274" s="272">
        <f t="shared" si="681"/>
        <v>93.772999999999996</v>
      </c>
      <c r="AU274" s="272">
        <f t="shared" si="681"/>
        <v>93.772999999999996</v>
      </c>
      <c r="AV274" s="272">
        <f t="shared" si="681"/>
        <v>93.772999999999996</v>
      </c>
      <c r="AW274" s="272">
        <f t="shared" si="681"/>
        <v>93.772999999999996</v>
      </c>
      <c r="AX274" s="272">
        <f t="shared" si="681"/>
        <v>93.772999999999996</v>
      </c>
      <c r="AY274" s="272">
        <f t="shared" si="681"/>
        <v>93.772999999999996</v>
      </c>
      <c r="AZ274" s="272">
        <f t="shared" si="681"/>
        <v>93.772999999999996</v>
      </c>
      <c r="BA274" s="272">
        <f t="shared" si="681"/>
        <v>93.772999999999996</v>
      </c>
      <c r="BB274" s="272">
        <f t="shared" si="681"/>
        <v>93.772999999999996</v>
      </c>
      <c r="BC274" s="272">
        <f t="shared" si="681"/>
        <v>93.772999999999996</v>
      </c>
      <c r="BD274" s="272">
        <f t="shared" si="681"/>
        <v>93.772999999999996</v>
      </c>
      <c r="BE274" s="272">
        <f t="shared" ref="BE274:CP274" si="683">BD274</f>
        <v>93.772999999999996</v>
      </c>
      <c r="BF274" s="272">
        <f t="shared" si="683"/>
        <v>93.772999999999996</v>
      </c>
      <c r="BG274" s="272">
        <f t="shared" si="683"/>
        <v>93.772999999999996</v>
      </c>
      <c r="BH274" s="272">
        <f t="shared" si="683"/>
        <v>93.772999999999996</v>
      </c>
      <c r="BI274" s="272">
        <f t="shared" si="683"/>
        <v>93.772999999999996</v>
      </c>
      <c r="BJ274" s="272">
        <f t="shared" si="683"/>
        <v>93.772999999999996</v>
      </c>
      <c r="BK274" s="272">
        <f t="shared" si="683"/>
        <v>93.772999999999996</v>
      </c>
      <c r="BL274" s="272">
        <f t="shared" si="683"/>
        <v>93.772999999999996</v>
      </c>
      <c r="BM274" s="272">
        <f t="shared" si="683"/>
        <v>93.772999999999996</v>
      </c>
      <c r="BN274" s="272">
        <f t="shared" si="683"/>
        <v>93.772999999999996</v>
      </c>
      <c r="BO274" s="272">
        <f t="shared" si="683"/>
        <v>93.772999999999996</v>
      </c>
      <c r="BP274" s="272">
        <f t="shared" si="683"/>
        <v>93.772999999999996</v>
      </c>
      <c r="BQ274" s="272">
        <f t="shared" si="683"/>
        <v>93.772999999999996</v>
      </c>
      <c r="BR274" s="272">
        <f t="shared" si="683"/>
        <v>93.772999999999996</v>
      </c>
      <c r="BS274" s="272">
        <f t="shared" si="683"/>
        <v>93.772999999999996</v>
      </c>
      <c r="BT274" s="272">
        <f t="shared" si="683"/>
        <v>93.772999999999996</v>
      </c>
      <c r="BU274" s="272">
        <f t="shared" si="683"/>
        <v>93.772999999999996</v>
      </c>
      <c r="BV274" s="272">
        <f t="shared" si="683"/>
        <v>93.772999999999996</v>
      </c>
      <c r="BW274" s="272">
        <f t="shared" si="683"/>
        <v>93.772999999999996</v>
      </c>
      <c r="BX274" s="272">
        <f t="shared" si="683"/>
        <v>93.772999999999996</v>
      </c>
      <c r="BY274" s="272">
        <f t="shared" si="683"/>
        <v>93.772999999999996</v>
      </c>
      <c r="BZ274" s="272">
        <f t="shared" si="683"/>
        <v>93.772999999999996</v>
      </c>
      <c r="CA274" s="272">
        <f t="shared" si="683"/>
        <v>93.772999999999996</v>
      </c>
      <c r="CB274" s="272">
        <f t="shared" si="683"/>
        <v>93.772999999999996</v>
      </c>
      <c r="CC274" s="272">
        <f t="shared" si="683"/>
        <v>93.772999999999996</v>
      </c>
      <c r="CD274" s="272">
        <f t="shared" si="683"/>
        <v>93.772999999999996</v>
      </c>
      <c r="CE274" s="272">
        <f t="shared" si="683"/>
        <v>93.772999999999996</v>
      </c>
      <c r="CF274" s="272">
        <f t="shared" si="683"/>
        <v>93.772999999999996</v>
      </c>
      <c r="CG274" s="272">
        <f t="shared" si="683"/>
        <v>93.772999999999996</v>
      </c>
      <c r="CH274" s="272">
        <f t="shared" si="683"/>
        <v>93.772999999999996</v>
      </c>
      <c r="CI274" s="272">
        <f t="shared" si="683"/>
        <v>93.772999999999996</v>
      </c>
      <c r="CJ274" s="272">
        <f t="shared" si="683"/>
        <v>93.772999999999996</v>
      </c>
      <c r="CK274" s="272">
        <f t="shared" si="683"/>
        <v>93.772999999999996</v>
      </c>
      <c r="CL274" s="272">
        <f t="shared" si="683"/>
        <v>93.772999999999996</v>
      </c>
      <c r="CM274" s="272">
        <f t="shared" si="683"/>
        <v>93.772999999999996</v>
      </c>
      <c r="CN274" s="272">
        <f t="shared" si="683"/>
        <v>93.772999999999996</v>
      </c>
      <c r="CO274" s="272">
        <f t="shared" si="683"/>
        <v>93.772999999999996</v>
      </c>
      <c r="CP274" s="272">
        <f t="shared" si="683"/>
        <v>93.772999999999996</v>
      </c>
      <c r="CQ274" s="23" t="s">
        <v>77</v>
      </c>
      <c r="DB274" s="7" t="s">
        <v>96</v>
      </c>
      <c r="DD274" s="8"/>
      <c r="DE274" s="8"/>
      <c r="DF274" s="8"/>
      <c r="DG274" s="8"/>
      <c r="DH274" s="8"/>
      <c r="DI274" s="12"/>
      <c r="DJ274" s="52">
        <v>67.582999999999998</v>
      </c>
      <c r="DK274" s="12">
        <f>U274</f>
        <v>85.451999999999998</v>
      </c>
      <c r="DL274" s="52">
        <v>75.656000000000006</v>
      </c>
      <c r="DM274" s="12">
        <f>V274</f>
        <v>93.033000000000001</v>
      </c>
      <c r="DN274" s="52">
        <v>78.712000000000003</v>
      </c>
      <c r="DO274" s="12">
        <f>W274</f>
        <v>93.772999999999996</v>
      </c>
      <c r="DP274" s="52">
        <v>77.343999999999994</v>
      </c>
      <c r="DQ274" s="12">
        <f t="shared" si="678"/>
        <v>93.772999999999996</v>
      </c>
      <c r="DR274" s="12"/>
      <c r="DS274" s="12"/>
    </row>
    <row r="275" spans="2:123" ht="11.25" customHeight="1" outlineLevel="1" x14ac:dyDescent="0.2">
      <c r="B275" s="7" t="s">
        <v>19</v>
      </c>
      <c r="D275" s="52"/>
      <c r="E275" s="52"/>
      <c r="F275" s="52"/>
      <c r="G275" s="52"/>
      <c r="H275" s="52"/>
      <c r="I275" s="52"/>
      <c r="J275" s="52"/>
      <c r="K275" s="52">
        <f>1.187+56.601</f>
        <v>57.787999999999997</v>
      </c>
      <c r="L275" s="52">
        <v>9.2750000000000004</v>
      </c>
      <c r="M275" s="52">
        <v>15.717000000000001</v>
      </c>
      <c r="N275" s="52">
        <f>12.109+99.678</f>
        <v>111.78699999999999</v>
      </c>
      <c r="O275" s="52">
        <v>13.042</v>
      </c>
      <c r="P275" s="52">
        <v>10.874000000000001</v>
      </c>
      <c r="Q275" s="52">
        <v>2.347</v>
      </c>
      <c r="R275" s="52">
        <v>0.76100000000000001</v>
      </c>
      <c r="S275" s="52">
        <v>12.920999999999999</v>
      </c>
      <c r="T275" s="186">
        <v>15.975</v>
      </c>
      <c r="U275" s="186">
        <v>7.4770000000000003</v>
      </c>
      <c r="V275" s="186">
        <v>13.734999999999999</v>
      </c>
      <c r="W275" s="186">
        <v>19.225000000000001</v>
      </c>
      <c r="X275" s="272">
        <f t="shared" ref="X275:BD275" si="684">+W275</f>
        <v>19.225000000000001</v>
      </c>
      <c r="Y275" s="272">
        <f t="shared" si="684"/>
        <v>19.225000000000001</v>
      </c>
      <c r="Z275" s="272">
        <f t="shared" si="684"/>
        <v>19.225000000000001</v>
      </c>
      <c r="AA275" s="272">
        <f t="shared" si="684"/>
        <v>19.225000000000001</v>
      </c>
      <c r="AB275" s="272">
        <f t="shared" si="684"/>
        <v>19.225000000000001</v>
      </c>
      <c r="AC275" s="272">
        <f t="shared" si="684"/>
        <v>19.225000000000001</v>
      </c>
      <c r="AD275" s="272">
        <f t="shared" si="684"/>
        <v>19.225000000000001</v>
      </c>
      <c r="AE275" s="272">
        <f t="shared" si="684"/>
        <v>19.225000000000001</v>
      </c>
      <c r="AF275" s="272">
        <f t="shared" si="684"/>
        <v>19.225000000000001</v>
      </c>
      <c r="AG275" s="272">
        <f t="shared" si="684"/>
        <v>19.225000000000001</v>
      </c>
      <c r="AH275" s="272">
        <f t="shared" si="684"/>
        <v>19.225000000000001</v>
      </c>
      <c r="AI275" s="272">
        <f t="shared" si="684"/>
        <v>19.225000000000001</v>
      </c>
      <c r="AJ275" s="272">
        <f t="shared" si="684"/>
        <v>19.225000000000001</v>
      </c>
      <c r="AK275" s="272">
        <f t="shared" si="684"/>
        <v>19.225000000000001</v>
      </c>
      <c r="AL275" s="272">
        <f t="shared" si="684"/>
        <v>19.225000000000001</v>
      </c>
      <c r="AM275" s="272">
        <f t="shared" si="684"/>
        <v>19.225000000000001</v>
      </c>
      <c r="AN275" s="272">
        <f t="shared" si="684"/>
        <v>19.225000000000001</v>
      </c>
      <c r="AO275" s="272">
        <f t="shared" si="684"/>
        <v>19.225000000000001</v>
      </c>
      <c r="AP275" s="272">
        <f t="shared" si="684"/>
        <v>19.225000000000001</v>
      </c>
      <c r="AQ275" s="272">
        <f t="shared" si="684"/>
        <v>19.225000000000001</v>
      </c>
      <c r="AR275" s="272">
        <f t="shared" si="684"/>
        <v>19.225000000000001</v>
      </c>
      <c r="AS275" s="272">
        <f t="shared" si="684"/>
        <v>19.225000000000001</v>
      </c>
      <c r="AT275" s="272">
        <f t="shared" si="684"/>
        <v>19.225000000000001</v>
      </c>
      <c r="AU275" s="272">
        <f t="shared" si="684"/>
        <v>19.225000000000001</v>
      </c>
      <c r="AV275" s="272">
        <f t="shared" si="684"/>
        <v>19.225000000000001</v>
      </c>
      <c r="AW275" s="272">
        <f t="shared" si="684"/>
        <v>19.225000000000001</v>
      </c>
      <c r="AX275" s="272">
        <f t="shared" si="684"/>
        <v>19.225000000000001</v>
      </c>
      <c r="AY275" s="272">
        <f t="shared" si="684"/>
        <v>19.225000000000001</v>
      </c>
      <c r="AZ275" s="272">
        <f t="shared" si="684"/>
        <v>19.225000000000001</v>
      </c>
      <c r="BA275" s="272">
        <f t="shared" si="684"/>
        <v>19.225000000000001</v>
      </c>
      <c r="BB275" s="272">
        <f t="shared" si="684"/>
        <v>19.225000000000001</v>
      </c>
      <c r="BC275" s="272">
        <f t="shared" si="684"/>
        <v>19.225000000000001</v>
      </c>
      <c r="BD275" s="272">
        <f t="shared" si="684"/>
        <v>19.225000000000001</v>
      </c>
      <c r="BE275" s="272">
        <f t="shared" ref="BE275:CP275" si="685">+BD275</f>
        <v>19.225000000000001</v>
      </c>
      <c r="BF275" s="272">
        <f t="shared" si="685"/>
        <v>19.225000000000001</v>
      </c>
      <c r="BG275" s="272">
        <f t="shared" si="685"/>
        <v>19.225000000000001</v>
      </c>
      <c r="BH275" s="272">
        <f t="shared" si="685"/>
        <v>19.225000000000001</v>
      </c>
      <c r="BI275" s="272">
        <f t="shared" si="685"/>
        <v>19.225000000000001</v>
      </c>
      <c r="BJ275" s="272">
        <f t="shared" si="685"/>
        <v>19.225000000000001</v>
      </c>
      <c r="BK275" s="272">
        <f t="shared" si="685"/>
        <v>19.225000000000001</v>
      </c>
      <c r="BL275" s="272">
        <f t="shared" si="685"/>
        <v>19.225000000000001</v>
      </c>
      <c r="BM275" s="272">
        <f t="shared" si="685"/>
        <v>19.225000000000001</v>
      </c>
      <c r="BN275" s="272">
        <f t="shared" si="685"/>
        <v>19.225000000000001</v>
      </c>
      <c r="BO275" s="272">
        <f t="shared" si="685"/>
        <v>19.225000000000001</v>
      </c>
      <c r="BP275" s="272">
        <f t="shared" si="685"/>
        <v>19.225000000000001</v>
      </c>
      <c r="BQ275" s="272">
        <f t="shared" si="685"/>
        <v>19.225000000000001</v>
      </c>
      <c r="BR275" s="272">
        <f t="shared" si="685"/>
        <v>19.225000000000001</v>
      </c>
      <c r="BS275" s="272">
        <f t="shared" si="685"/>
        <v>19.225000000000001</v>
      </c>
      <c r="BT275" s="272">
        <f t="shared" si="685"/>
        <v>19.225000000000001</v>
      </c>
      <c r="BU275" s="272">
        <f t="shared" si="685"/>
        <v>19.225000000000001</v>
      </c>
      <c r="BV275" s="272">
        <f t="shared" si="685"/>
        <v>19.225000000000001</v>
      </c>
      <c r="BW275" s="272">
        <f t="shared" si="685"/>
        <v>19.225000000000001</v>
      </c>
      <c r="BX275" s="272">
        <f t="shared" si="685"/>
        <v>19.225000000000001</v>
      </c>
      <c r="BY275" s="272">
        <f t="shared" si="685"/>
        <v>19.225000000000001</v>
      </c>
      <c r="BZ275" s="272">
        <f t="shared" si="685"/>
        <v>19.225000000000001</v>
      </c>
      <c r="CA275" s="272">
        <f t="shared" si="685"/>
        <v>19.225000000000001</v>
      </c>
      <c r="CB275" s="272">
        <f t="shared" si="685"/>
        <v>19.225000000000001</v>
      </c>
      <c r="CC275" s="272">
        <f t="shared" si="685"/>
        <v>19.225000000000001</v>
      </c>
      <c r="CD275" s="272">
        <f t="shared" si="685"/>
        <v>19.225000000000001</v>
      </c>
      <c r="CE275" s="272">
        <f t="shared" si="685"/>
        <v>19.225000000000001</v>
      </c>
      <c r="CF275" s="272">
        <f t="shared" si="685"/>
        <v>19.225000000000001</v>
      </c>
      <c r="CG275" s="272">
        <f t="shared" si="685"/>
        <v>19.225000000000001</v>
      </c>
      <c r="CH275" s="272">
        <f t="shared" si="685"/>
        <v>19.225000000000001</v>
      </c>
      <c r="CI275" s="272">
        <f t="shared" si="685"/>
        <v>19.225000000000001</v>
      </c>
      <c r="CJ275" s="272">
        <f t="shared" si="685"/>
        <v>19.225000000000001</v>
      </c>
      <c r="CK275" s="272">
        <f t="shared" si="685"/>
        <v>19.225000000000001</v>
      </c>
      <c r="CL275" s="272">
        <f t="shared" si="685"/>
        <v>19.225000000000001</v>
      </c>
      <c r="CM275" s="272">
        <f t="shared" si="685"/>
        <v>19.225000000000001</v>
      </c>
      <c r="CN275" s="272">
        <f t="shared" si="685"/>
        <v>19.225000000000001</v>
      </c>
      <c r="CO275" s="272">
        <f t="shared" si="685"/>
        <v>19.225000000000001</v>
      </c>
      <c r="CP275" s="272">
        <f t="shared" si="685"/>
        <v>19.225000000000001</v>
      </c>
      <c r="CQ275" s="23" t="s">
        <v>77</v>
      </c>
      <c r="DB275" s="7" t="s">
        <v>19</v>
      </c>
      <c r="DD275" s="8"/>
      <c r="DE275" s="8"/>
      <c r="DF275" s="8"/>
      <c r="DG275" s="8"/>
      <c r="DH275" s="8"/>
      <c r="DI275" s="12"/>
      <c r="DJ275" s="52">
        <v>10.331</v>
      </c>
      <c r="DK275" s="12">
        <f>U275</f>
        <v>7.4770000000000003</v>
      </c>
      <c r="DL275" s="52">
        <v>10.086</v>
      </c>
      <c r="DM275" s="12">
        <f>V275</f>
        <v>13.734999999999999</v>
      </c>
      <c r="DN275" s="52">
        <v>15.099</v>
      </c>
      <c r="DO275" s="12">
        <f>W275</f>
        <v>19.225000000000001</v>
      </c>
      <c r="DP275" s="52">
        <v>32.853999999999999</v>
      </c>
      <c r="DQ275" s="12">
        <f t="shared" si="678"/>
        <v>19.225000000000001</v>
      </c>
      <c r="DR275" s="12"/>
      <c r="DS275" s="12"/>
    </row>
    <row r="276" spans="2:123" ht="11.25" customHeight="1" outlineLevel="1" x14ac:dyDescent="0.2">
      <c r="B276" s="1" t="s">
        <v>39</v>
      </c>
      <c r="D276" s="3"/>
      <c r="E276" s="3"/>
      <c r="F276" s="3"/>
      <c r="G276" s="3"/>
      <c r="H276" s="3"/>
      <c r="I276" s="3"/>
      <c r="J276" s="3"/>
      <c r="K276" s="3">
        <f t="shared" ref="K276:S276" si="686">SUM(K271:K275)</f>
        <v>144.54300000000001</v>
      </c>
      <c r="L276" s="3">
        <f t="shared" si="686"/>
        <v>252.761</v>
      </c>
      <c r="M276" s="3">
        <f t="shared" si="686"/>
        <v>153.45100000000002</v>
      </c>
      <c r="N276" s="3">
        <f t="shared" si="686"/>
        <v>757.43399999999997</v>
      </c>
      <c r="O276" s="3">
        <f t="shared" si="686"/>
        <v>1070.2250000000001</v>
      </c>
      <c r="P276" s="3">
        <f t="shared" si="686"/>
        <v>298.291</v>
      </c>
      <c r="Q276" s="3">
        <f t="shared" si="686"/>
        <v>1137.7150000000001</v>
      </c>
      <c r="R276" s="3">
        <f t="shared" si="686"/>
        <v>300.97900000000004</v>
      </c>
      <c r="S276" s="3">
        <f t="shared" si="686"/>
        <v>492.22099999999995</v>
      </c>
      <c r="T276" s="33">
        <f t="shared" ref="T276:BD276" si="687">SUM(T271:T275)</f>
        <v>373.54</v>
      </c>
      <c r="U276" s="33">
        <f t="shared" si="687"/>
        <v>808.78200000000004</v>
      </c>
      <c r="V276" s="33">
        <f t="shared" si="687"/>
        <v>883.93200000000002</v>
      </c>
      <c r="W276" s="33">
        <f t="shared" si="687"/>
        <v>698.23500000000001</v>
      </c>
      <c r="X276" s="33">
        <f t="shared" si="687"/>
        <v>698.23500000000001</v>
      </c>
      <c r="Y276" s="33">
        <f t="shared" si="687"/>
        <v>698.23500000000001</v>
      </c>
      <c r="Z276" s="33">
        <f t="shared" si="687"/>
        <v>698.23500000000001</v>
      </c>
      <c r="AA276" s="33">
        <f t="shared" si="687"/>
        <v>698.23500000000001</v>
      </c>
      <c r="AB276" s="33">
        <f t="shared" si="687"/>
        <v>698.23500000000001</v>
      </c>
      <c r="AC276" s="33">
        <f t="shared" si="687"/>
        <v>698.23500000000001</v>
      </c>
      <c r="AD276" s="33">
        <f t="shared" si="687"/>
        <v>698.23500000000001</v>
      </c>
      <c r="AE276" s="33">
        <f t="shared" si="687"/>
        <v>698.23500000000001</v>
      </c>
      <c r="AF276" s="33">
        <f t="shared" si="687"/>
        <v>698.23500000000001</v>
      </c>
      <c r="AG276" s="33">
        <f t="shared" si="687"/>
        <v>698.23500000000001</v>
      </c>
      <c r="AH276" s="33">
        <f t="shared" si="687"/>
        <v>698.23500000000001</v>
      </c>
      <c r="AI276" s="33">
        <f t="shared" si="687"/>
        <v>698.23500000000001</v>
      </c>
      <c r="AJ276" s="33">
        <f t="shared" si="687"/>
        <v>698.23500000000001</v>
      </c>
      <c r="AK276" s="33">
        <f t="shared" si="687"/>
        <v>698.23500000000001</v>
      </c>
      <c r="AL276" s="33">
        <f t="shared" si="687"/>
        <v>698.23500000000001</v>
      </c>
      <c r="AM276" s="33">
        <f t="shared" si="687"/>
        <v>698.23500000000001</v>
      </c>
      <c r="AN276" s="33">
        <f t="shared" si="687"/>
        <v>698.23500000000001</v>
      </c>
      <c r="AO276" s="33">
        <f t="shared" si="687"/>
        <v>698.23500000000001</v>
      </c>
      <c r="AP276" s="33">
        <f t="shared" si="687"/>
        <v>698.23500000000001</v>
      </c>
      <c r="AQ276" s="33">
        <f t="shared" si="687"/>
        <v>698.23500000000001</v>
      </c>
      <c r="AR276" s="33">
        <f t="shared" si="687"/>
        <v>698.23500000000001</v>
      </c>
      <c r="AS276" s="33">
        <f t="shared" si="687"/>
        <v>698.23500000000001</v>
      </c>
      <c r="AT276" s="33">
        <f t="shared" si="687"/>
        <v>698.23500000000001</v>
      </c>
      <c r="AU276" s="33">
        <f t="shared" si="687"/>
        <v>698.23500000000001</v>
      </c>
      <c r="AV276" s="33">
        <f t="shared" si="687"/>
        <v>698.23500000000001</v>
      </c>
      <c r="AW276" s="33">
        <f t="shared" si="687"/>
        <v>698.23500000000001</v>
      </c>
      <c r="AX276" s="33">
        <f t="shared" si="687"/>
        <v>698.23500000000001</v>
      </c>
      <c r="AY276" s="33">
        <f t="shared" si="687"/>
        <v>698.23500000000001</v>
      </c>
      <c r="AZ276" s="33">
        <f t="shared" si="687"/>
        <v>698.23500000000001</v>
      </c>
      <c r="BA276" s="33">
        <f t="shared" si="687"/>
        <v>698.23500000000001</v>
      </c>
      <c r="BB276" s="33">
        <f t="shared" si="687"/>
        <v>698.23500000000001</v>
      </c>
      <c r="BC276" s="33">
        <f t="shared" si="687"/>
        <v>698.23500000000001</v>
      </c>
      <c r="BD276" s="33">
        <f t="shared" si="687"/>
        <v>698.23500000000001</v>
      </c>
      <c r="BE276" s="33">
        <f t="shared" ref="BE276:CP276" si="688">SUM(BE271:BE275)</f>
        <v>698.23500000000001</v>
      </c>
      <c r="BF276" s="33">
        <f t="shared" si="688"/>
        <v>698.23500000000001</v>
      </c>
      <c r="BG276" s="33">
        <f t="shared" si="688"/>
        <v>698.23500000000001</v>
      </c>
      <c r="BH276" s="33">
        <f t="shared" si="688"/>
        <v>698.23500000000001</v>
      </c>
      <c r="BI276" s="33">
        <f t="shared" si="688"/>
        <v>698.23500000000001</v>
      </c>
      <c r="BJ276" s="33">
        <f t="shared" si="688"/>
        <v>698.23500000000001</v>
      </c>
      <c r="BK276" s="33">
        <f t="shared" si="688"/>
        <v>698.23500000000001</v>
      </c>
      <c r="BL276" s="33">
        <f t="shared" si="688"/>
        <v>698.23500000000001</v>
      </c>
      <c r="BM276" s="33">
        <f t="shared" si="688"/>
        <v>698.23500000000001</v>
      </c>
      <c r="BN276" s="33">
        <f t="shared" si="688"/>
        <v>698.23500000000001</v>
      </c>
      <c r="BO276" s="33">
        <f t="shared" si="688"/>
        <v>698.23500000000001</v>
      </c>
      <c r="BP276" s="33">
        <f t="shared" si="688"/>
        <v>698.23500000000001</v>
      </c>
      <c r="BQ276" s="33">
        <f t="shared" si="688"/>
        <v>698.23500000000001</v>
      </c>
      <c r="BR276" s="33">
        <f t="shared" si="688"/>
        <v>698.23500000000001</v>
      </c>
      <c r="BS276" s="33">
        <f t="shared" si="688"/>
        <v>698.23500000000001</v>
      </c>
      <c r="BT276" s="33">
        <f t="shared" si="688"/>
        <v>698.23500000000001</v>
      </c>
      <c r="BU276" s="33">
        <f t="shared" si="688"/>
        <v>698.23500000000001</v>
      </c>
      <c r="BV276" s="33">
        <f t="shared" si="688"/>
        <v>698.23500000000001</v>
      </c>
      <c r="BW276" s="33">
        <f t="shared" si="688"/>
        <v>698.23500000000001</v>
      </c>
      <c r="BX276" s="33">
        <f t="shared" si="688"/>
        <v>698.23500000000001</v>
      </c>
      <c r="BY276" s="33">
        <f t="shared" si="688"/>
        <v>698.23500000000001</v>
      </c>
      <c r="BZ276" s="33">
        <f t="shared" si="688"/>
        <v>698.23500000000001</v>
      </c>
      <c r="CA276" s="33">
        <f t="shared" si="688"/>
        <v>698.23500000000001</v>
      </c>
      <c r="CB276" s="33">
        <f t="shared" si="688"/>
        <v>698.23500000000001</v>
      </c>
      <c r="CC276" s="33">
        <f t="shared" si="688"/>
        <v>698.23500000000001</v>
      </c>
      <c r="CD276" s="33">
        <f t="shared" si="688"/>
        <v>698.23500000000001</v>
      </c>
      <c r="CE276" s="33">
        <f t="shared" si="688"/>
        <v>698.23500000000001</v>
      </c>
      <c r="CF276" s="33">
        <f t="shared" si="688"/>
        <v>698.23500000000001</v>
      </c>
      <c r="CG276" s="33">
        <f t="shared" si="688"/>
        <v>698.23500000000001</v>
      </c>
      <c r="CH276" s="33">
        <f t="shared" si="688"/>
        <v>698.23500000000001</v>
      </c>
      <c r="CI276" s="33">
        <f t="shared" si="688"/>
        <v>698.23500000000001</v>
      </c>
      <c r="CJ276" s="33">
        <f t="shared" si="688"/>
        <v>698.23500000000001</v>
      </c>
      <c r="CK276" s="33">
        <f t="shared" si="688"/>
        <v>698.23500000000001</v>
      </c>
      <c r="CL276" s="33">
        <f t="shared" si="688"/>
        <v>698.23500000000001</v>
      </c>
      <c r="CM276" s="33">
        <f t="shared" si="688"/>
        <v>698.23500000000001</v>
      </c>
      <c r="CN276" s="33">
        <f t="shared" si="688"/>
        <v>698.23500000000001</v>
      </c>
      <c r="CO276" s="33">
        <f t="shared" si="688"/>
        <v>698.23500000000001</v>
      </c>
      <c r="CP276" s="33">
        <f t="shared" si="688"/>
        <v>698.23500000000001</v>
      </c>
      <c r="CQ276" s="23" t="s">
        <v>77</v>
      </c>
      <c r="DB276" s="1" t="s">
        <v>39</v>
      </c>
      <c r="DD276" s="3"/>
      <c r="DE276" s="3"/>
      <c r="DF276" s="3"/>
      <c r="DG276" s="3"/>
      <c r="DH276" s="3"/>
      <c r="DI276" s="3"/>
      <c r="DJ276" s="3">
        <f t="shared" ref="DJ276:DO276" si="689">SUM(DJ271:DJ275)</f>
        <v>512.56900000000007</v>
      </c>
      <c r="DK276" s="3">
        <f t="shared" si="689"/>
        <v>808.78200000000004</v>
      </c>
      <c r="DL276" s="3">
        <f t="shared" si="689"/>
        <v>577.87899999999991</v>
      </c>
      <c r="DM276" s="3">
        <f t="shared" si="689"/>
        <v>883.93200000000002</v>
      </c>
      <c r="DN276" s="3">
        <f t="shared" si="689"/>
        <v>1128.9359999999999</v>
      </c>
      <c r="DO276" s="3">
        <f t="shared" si="689"/>
        <v>698.23500000000001</v>
      </c>
      <c r="DP276" s="3">
        <f t="shared" ref="DP276:DQ276" si="690">SUM(DP271:DP275)</f>
        <v>806.84100000000012</v>
      </c>
      <c r="DQ276" s="3">
        <f t="shared" si="690"/>
        <v>698.23500000000001</v>
      </c>
      <c r="DR276" s="3"/>
      <c r="DS276" s="3"/>
    </row>
    <row r="277" spans="2:123" ht="11.25" customHeight="1" outlineLevel="1" x14ac:dyDescent="0.2">
      <c r="CQ277" s="23" t="s">
        <v>77</v>
      </c>
      <c r="DD277" s="8"/>
      <c r="DE277" s="8"/>
      <c r="DF277" s="8"/>
      <c r="DG277" s="8"/>
      <c r="DH277" s="8"/>
      <c r="DI277" s="8"/>
      <c r="DJ277" s="8"/>
      <c r="DK277" s="8"/>
    </row>
    <row r="278" spans="2:123" ht="11.25" customHeight="1" outlineLevel="1" x14ac:dyDescent="0.2">
      <c r="B278" s="7" t="s">
        <v>95</v>
      </c>
      <c r="D278" s="52"/>
      <c r="E278" s="52"/>
      <c r="F278" s="52"/>
      <c r="G278" s="52"/>
      <c r="H278" s="52"/>
      <c r="I278" s="52"/>
      <c r="J278" s="52"/>
      <c r="K278" s="52">
        <v>54.92</v>
      </c>
      <c r="L278" s="52">
        <v>0</v>
      </c>
      <c r="M278" s="52">
        <v>0</v>
      </c>
      <c r="N278" s="52">
        <v>0</v>
      </c>
      <c r="O278" s="52">
        <v>0</v>
      </c>
      <c r="P278" s="52">
        <v>0</v>
      </c>
      <c r="Q278" s="52">
        <v>0</v>
      </c>
      <c r="R278" s="52">
        <v>1.0680000000000001</v>
      </c>
      <c r="S278" s="52">
        <v>3.7490000000000001</v>
      </c>
      <c r="T278" s="186">
        <v>3.5990000000000002</v>
      </c>
      <c r="U278" s="186">
        <v>3.2610000000000001</v>
      </c>
      <c r="V278" s="186">
        <v>3.0070000000000001</v>
      </c>
      <c r="W278" s="186">
        <v>4.984</v>
      </c>
      <c r="X278" s="272">
        <f t="shared" ref="X278:BD278" si="691">+W278</f>
        <v>4.984</v>
      </c>
      <c r="Y278" s="272">
        <f t="shared" si="691"/>
        <v>4.984</v>
      </c>
      <c r="Z278" s="272">
        <f t="shared" si="691"/>
        <v>4.984</v>
      </c>
      <c r="AA278" s="272">
        <f t="shared" si="691"/>
        <v>4.984</v>
      </c>
      <c r="AB278" s="272">
        <f t="shared" si="691"/>
        <v>4.984</v>
      </c>
      <c r="AC278" s="272">
        <f t="shared" si="691"/>
        <v>4.984</v>
      </c>
      <c r="AD278" s="272">
        <f t="shared" si="691"/>
        <v>4.984</v>
      </c>
      <c r="AE278" s="272">
        <f t="shared" si="691"/>
        <v>4.984</v>
      </c>
      <c r="AF278" s="272">
        <f t="shared" si="691"/>
        <v>4.984</v>
      </c>
      <c r="AG278" s="272">
        <f t="shared" si="691"/>
        <v>4.984</v>
      </c>
      <c r="AH278" s="272">
        <f t="shared" si="691"/>
        <v>4.984</v>
      </c>
      <c r="AI278" s="272">
        <f t="shared" si="691"/>
        <v>4.984</v>
      </c>
      <c r="AJ278" s="272">
        <f t="shared" si="691"/>
        <v>4.984</v>
      </c>
      <c r="AK278" s="272">
        <f t="shared" si="691"/>
        <v>4.984</v>
      </c>
      <c r="AL278" s="272">
        <f t="shared" si="691"/>
        <v>4.984</v>
      </c>
      <c r="AM278" s="272">
        <f t="shared" si="691"/>
        <v>4.984</v>
      </c>
      <c r="AN278" s="272">
        <f t="shared" si="691"/>
        <v>4.984</v>
      </c>
      <c r="AO278" s="272">
        <f t="shared" si="691"/>
        <v>4.984</v>
      </c>
      <c r="AP278" s="272">
        <f t="shared" si="691"/>
        <v>4.984</v>
      </c>
      <c r="AQ278" s="272">
        <f t="shared" si="691"/>
        <v>4.984</v>
      </c>
      <c r="AR278" s="272">
        <f t="shared" si="691"/>
        <v>4.984</v>
      </c>
      <c r="AS278" s="272">
        <f t="shared" si="691"/>
        <v>4.984</v>
      </c>
      <c r="AT278" s="272">
        <f t="shared" si="691"/>
        <v>4.984</v>
      </c>
      <c r="AU278" s="272">
        <f t="shared" si="691"/>
        <v>4.984</v>
      </c>
      <c r="AV278" s="272">
        <f t="shared" si="691"/>
        <v>4.984</v>
      </c>
      <c r="AW278" s="272">
        <f t="shared" si="691"/>
        <v>4.984</v>
      </c>
      <c r="AX278" s="272">
        <f t="shared" si="691"/>
        <v>4.984</v>
      </c>
      <c r="AY278" s="272">
        <f t="shared" si="691"/>
        <v>4.984</v>
      </c>
      <c r="AZ278" s="272">
        <f t="shared" si="691"/>
        <v>4.984</v>
      </c>
      <c r="BA278" s="272">
        <f t="shared" si="691"/>
        <v>4.984</v>
      </c>
      <c r="BB278" s="272">
        <f t="shared" si="691"/>
        <v>4.984</v>
      </c>
      <c r="BC278" s="272">
        <f t="shared" si="691"/>
        <v>4.984</v>
      </c>
      <c r="BD278" s="272">
        <f t="shared" si="691"/>
        <v>4.984</v>
      </c>
      <c r="BE278" s="272">
        <f t="shared" ref="BE278:CP278" si="692">+BD278</f>
        <v>4.984</v>
      </c>
      <c r="BF278" s="272">
        <f t="shared" si="692"/>
        <v>4.984</v>
      </c>
      <c r="BG278" s="272">
        <f t="shared" si="692"/>
        <v>4.984</v>
      </c>
      <c r="BH278" s="272">
        <f t="shared" si="692"/>
        <v>4.984</v>
      </c>
      <c r="BI278" s="272">
        <f t="shared" si="692"/>
        <v>4.984</v>
      </c>
      <c r="BJ278" s="272">
        <f t="shared" si="692"/>
        <v>4.984</v>
      </c>
      <c r="BK278" s="272">
        <f t="shared" si="692"/>
        <v>4.984</v>
      </c>
      <c r="BL278" s="272">
        <f t="shared" si="692"/>
        <v>4.984</v>
      </c>
      <c r="BM278" s="272">
        <f t="shared" si="692"/>
        <v>4.984</v>
      </c>
      <c r="BN278" s="272">
        <f t="shared" si="692"/>
        <v>4.984</v>
      </c>
      <c r="BO278" s="272">
        <f t="shared" si="692"/>
        <v>4.984</v>
      </c>
      <c r="BP278" s="272">
        <f t="shared" si="692"/>
        <v>4.984</v>
      </c>
      <c r="BQ278" s="272">
        <f t="shared" si="692"/>
        <v>4.984</v>
      </c>
      <c r="BR278" s="272">
        <f t="shared" si="692"/>
        <v>4.984</v>
      </c>
      <c r="BS278" s="272">
        <f t="shared" si="692"/>
        <v>4.984</v>
      </c>
      <c r="BT278" s="272">
        <f t="shared" si="692"/>
        <v>4.984</v>
      </c>
      <c r="BU278" s="272">
        <f t="shared" si="692"/>
        <v>4.984</v>
      </c>
      <c r="BV278" s="272">
        <f t="shared" si="692"/>
        <v>4.984</v>
      </c>
      <c r="BW278" s="272">
        <f t="shared" si="692"/>
        <v>4.984</v>
      </c>
      <c r="BX278" s="272">
        <f t="shared" si="692"/>
        <v>4.984</v>
      </c>
      <c r="BY278" s="272">
        <f t="shared" si="692"/>
        <v>4.984</v>
      </c>
      <c r="BZ278" s="272">
        <f t="shared" si="692"/>
        <v>4.984</v>
      </c>
      <c r="CA278" s="272">
        <f t="shared" si="692"/>
        <v>4.984</v>
      </c>
      <c r="CB278" s="272">
        <f t="shared" si="692"/>
        <v>4.984</v>
      </c>
      <c r="CC278" s="272">
        <f t="shared" si="692"/>
        <v>4.984</v>
      </c>
      <c r="CD278" s="272">
        <f t="shared" si="692"/>
        <v>4.984</v>
      </c>
      <c r="CE278" s="272">
        <f t="shared" si="692"/>
        <v>4.984</v>
      </c>
      <c r="CF278" s="272">
        <f t="shared" si="692"/>
        <v>4.984</v>
      </c>
      <c r="CG278" s="272">
        <f t="shared" si="692"/>
        <v>4.984</v>
      </c>
      <c r="CH278" s="272">
        <f t="shared" si="692"/>
        <v>4.984</v>
      </c>
      <c r="CI278" s="272">
        <f t="shared" si="692"/>
        <v>4.984</v>
      </c>
      <c r="CJ278" s="272">
        <f t="shared" si="692"/>
        <v>4.984</v>
      </c>
      <c r="CK278" s="272">
        <f t="shared" si="692"/>
        <v>4.984</v>
      </c>
      <c r="CL278" s="272">
        <f t="shared" si="692"/>
        <v>4.984</v>
      </c>
      <c r="CM278" s="272">
        <f t="shared" si="692"/>
        <v>4.984</v>
      </c>
      <c r="CN278" s="272">
        <f t="shared" si="692"/>
        <v>4.984</v>
      </c>
      <c r="CO278" s="272">
        <f t="shared" si="692"/>
        <v>4.984</v>
      </c>
      <c r="CP278" s="272">
        <f t="shared" si="692"/>
        <v>4.984</v>
      </c>
      <c r="CQ278" s="23" t="s">
        <v>77</v>
      </c>
      <c r="DB278" s="7" t="s">
        <v>95</v>
      </c>
      <c r="DD278" s="8"/>
      <c r="DE278" s="8"/>
      <c r="DF278" s="8"/>
      <c r="DG278" s="8"/>
      <c r="DH278" s="8"/>
      <c r="DI278" s="12"/>
      <c r="DJ278" s="52">
        <v>3.4630000000000001</v>
      </c>
      <c r="DK278" s="12">
        <f t="shared" ref="DK278:DK283" si="693">U278</f>
        <v>3.2610000000000001</v>
      </c>
      <c r="DL278" s="52">
        <v>3.1389999999999998</v>
      </c>
      <c r="DM278" s="12">
        <f t="shared" ref="DM278:DM283" si="694">V278</f>
        <v>3.0070000000000001</v>
      </c>
      <c r="DN278" s="52">
        <v>2.875</v>
      </c>
      <c r="DO278" s="12">
        <f t="shared" ref="DO278:DO283" si="695">W278</f>
        <v>4.984</v>
      </c>
      <c r="DP278" s="52">
        <v>6.3310000000000004</v>
      </c>
      <c r="DQ278" s="12">
        <f t="shared" ref="DQ278:DQ283" si="696">X278</f>
        <v>4.984</v>
      </c>
      <c r="DR278" s="12"/>
      <c r="DS278" s="12"/>
    </row>
    <row r="279" spans="2:123" ht="11.25" customHeight="1" outlineLevel="1" x14ac:dyDescent="0.2">
      <c r="B279" s="7" t="s">
        <v>40</v>
      </c>
      <c r="D279" s="52"/>
      <c r="E279" s="52"/>
      <c r="F279" s="52"/>
      <c r="G279" s="52"/>
      <c r="H279" s="52"/>
      <c r="I279" s="52"/>
      <c r="J279" s="52"/>
      <c r="K279" s="52">
        <v>1007.78</v>
      </c>
      <c r="L279" s="52">
        <v>1055.7080000000001</v>
      </c>
      <c r="M279" s="52">
        <v>2593.1579999999999</v>
      </c>
      <c r="N279" s="52">
        <v>2660.973</v>
      </c>
      <c r="O279" s="52">
        <v>2057.875</v>
      </c>
      <c r="P279" s="52">
        <v>2891.8910000000001</v>
      </c>
      <c r="Q279" s="52">
        <v>1990.4459999999999</v>
      </c>
      <c r="R279" s="52">
        <v>2905.9459999999999</v>
      </c>
      <c r="S279" s="52">
        <v>4233.2420000000002</v>
      </c>
      <c r="T279" s="186">
        <v>4708.2830000000004</v>
      </c>
      <c r="U279" s="186">
        <v>9141.4969999999994</v>
      </c>
      <c r="V279" s="186">
        <v>9314.3729999999996</v>
      </c>
      <c r="W279" s="186">
        <v>9573.9069999999992</v>
      </c>
      <c r="X279" s="51">
        <f t="shared" ref="X279:BC279" si="697">W279+X232</f>
        <v>9773.9069999999992</v>
      </c>
      <c r="Y279" s="51">
        <f t="shared" si="697"/>
        <v>9873.9069999999992</v>
      </c>
      <c r="Z279" s="51">
        <f t="shared" si="697"/>
        <v>9973.9069999999992</v>
      </c>
      <c r="AA279" s="51">
        <f t="shared" si="697"/>
        <v>9823.9069999999992</v>
      </c>
      <c r="AB279" s="51">
        <f t="shared" si="697"/>
        <v>9673.9069999999992</v>
      </c>
      <c r="AC279" s="51">
        <f t="shared" si="697"/>
        <v>9523.9069999999992</v>
      </c>
      <c r="AD279" s="51">
        <f t="shared" si="697"/>
        <v>9373.9069999999992</v>
      </c>
      <c r="AE279" s="51">
        <f t="shared" si="697"/>
        <v>9223.9069999999992</v>
      </c>
      <c r="AF279" s="51">
        <f t="shared" si="697"/>
        <v>9073.9069999999992</v>
      </c>
      <c r="AG279" s="51">
        <f t="shared" si="697"/>
        <v>8923.9069999999992</v>
      </c>
      <c r="AH279" s="51">
        <f t="shared" si="697"/>
        <v>9023.9069999999992</v>
      </c>
      <c r="AI279" s="51">
        <f t="shared" si="697"/>
        <v>8873.9069999999992</v>
      </c>
      <c r="AJ279" s="51">
        <f t="shared" si="697"/>
        <v>8723.9069999999992</v>
      </c>
      <c r="AK279" s="51">
        <f t="shared" si="697"/>
        <v>8823.9069999999992</v>
      </c>
      <c r="AL279" s="51">
        <f t="shared" si="697"/>
        <v>8823.9069999999992</v>
      </c>
      <c r="AM279" s="51">
        <f t="shared" si="697"/>
        <v>8823.9069999999992</v>
      </c>
      <c r="AN279" s="51">
        <f t="shared" si="697"/>
        <v>8823.9069999999992</v>
      </c>
      <c r="AO279" s="51">
        <f t="shared" si="697"/>
        <v>8573.9069999999992</v>
      </c>
      <c r="AP279" s="51">
        <f t="shared" si="697"/>
        <v>8373.9069999999992</v>
      </c>
      <c r="AQ279" s="51">
        <f t="shared" si="697"/>
        <v>8173.9069999999992</v>
      </c>
      <c r="AR279" s="51">
        <f t="shared" si="697"/>
        <v>7973.9069999999992</v>
      </c>
      <c r="AS279" s="51">
        <f t="shared" si="697"/>
        <v>7823.9069999999992</v>
      </c>
      <c r="AT279" s="51">
        <f t="shared" si="697"/>
        <v>7673.9069999999992</v>
      </c>
      <c r="AU279" s="51">
        <f t="shared" si="697"/>
        <v>7523.9069999999992</v>
      </c>
      <c r="AV279" s="51">
        <f t="shared" si="697"/>
        <v>7586.6914892078157</v>
      </c>
      <c r="AW279" s="51">
        <f t="shared" si="697"/>
        <v>7649.4944702717285</v>
      </c>
      <c r="AX279" s="51">
        <f t="shared" si="697"/>
        <v>7712.3159699388943</v>
      </c>
      <c r="AY279" s="51">
        <f t="shared" si="697"/>
        <v>7775.1560149951583</v>
      </c>
      <c r="AZ279" s="51">
        <f t="shared" si="697"/>
        <v>7838.0146322651099</v>
      </c>
      <c r="BA279" s="51">
        <f t="shared" si="697"/>
        <v>7900.8918486121374</v>
      </c>
      <c r="BB279" s="51">
        <f t="shared" si="697"/>
        <v>7963.787690938485</v>
      </c>
      <c r="BC279" s="51">
        <f t="shared" si="697"/>
        <v>8026.70218618531</v>
      </c>
      <c r="BD279" s="51">
        <f t="shared" ref="BD279:CI279" si="698">BC279+BD232</f>
        <v>8089.6353613327383</v>
      </c>
      <c r="BE279" s="51">
        <f t="shared" si="698"/>
        <v>8152.5872433999193</v>
      </c>
      <c r="BF279" s="51">
        <f t="shared" si="698"/>
        <v>8215.5578594450853</v>
      </c>
      <c r="BG279" s="51">
        <f t="shared" si="698"/>
        <v>8278.5472365656042</v>
      </c>
      <c r="BH279" s="51">
        <f t="shared" si="698"/>
        <v>8341.555401898042</v>
      </c>
      <c r="BI279" s="51">
        <f t="shared" si="698"/>
        <v>8404.5823826182113</v>
      </c>
      <c r="BJ279" s="51">
        <f t="shared" si="698"/>
        <v>8467.6282059412351</v>
      </c>
      <c r="BK279" s="51">
        <f t="shared" si="698"/>
        <v>8530.6928991216009</v>
      </c>
      <c r="BL279" s="51">
        <f t="shared" si="698"/>
        <v>8593.7764894532193</v>
      </c>
      <c r="BM279" s="51">
        <f t="shared" si="698"/>
        <v>8656.8790042694764</v>
      </c>
      <c r="BN279" s="51">
        <f t="shared" si="698"/>
        <v>8720.000470943296</v>
      </c>
      <c r="BO279" s="51">
        <f t="shared" si="698"/>
        <v>8783.140916887196</v>
      </c>
      <c r="BP279" s="51">
        <f t="shared" si="698"/>
        <v>8846.3003695533425</v>
      </c>
      <c r="BQ279" s="51">
        <f t="shared" si="698"/>
        <v>8909.4788564336104</v>
      </c>
      <c r="BR279" s="51">
        <f t="shared" si="698"/>
        <v>8972.6764050596375</v>
      </c>
      <c r="BS279" s="51">
        <f t="shared" si="698"/>
        <v>9035.8930430028868</v>
      </c>
      <c r="BT279" s="51">
        <f t="shared" si="698"/>
        <v>9099.1287978747023</v>
      </c>
      <c r="BU279" s="51">
        <f t="shared" si="698"/>
        <v>9162.3836973263624</v>
      </c>
      <c r="BV279" s="51">
        <f t="shared" si="698"/>
        <v>9225.6577690491431</v>
      </c>
      <c r="BW279" s="51">
        <f t="shared" si="698"/>
        <v>9288.9510407743728</v>
      </c>
      <c r="BX279" s="51">
        <f t="shared" si="698"/>
        <v>9352.2635402734923</v>
      </c>
      <c r="BY279" s="51">
        <f t="shared" si="698"/>
        <v>9415.5952953581127</v>
      </c>
      <c r="BZ279" s="51">
        <f t="shared" si="698"/>
        <v>9478.9463338800706</v>
      </c>
      <c r="CA279" s="51">
        <f t="shared" si="698"/>
        <v>9542.3166837314893</v>
      </c>
      <c r="CB279" s="51">
        <f t="shared" si="698"/>
        <v>9605.7063728448375</v>
      </c>
      <c r="CC279" s="51">
        <f t="shared" si="698"/>
        <v>9669.1154291929834</v>
      </c>
      <c r="CD279" s="51">
        <f t="shared" si="698"/>
        <v>9732.5438807892569</v>
      </c>
      <c r="CE279" s="51">
        <f t="shared" si="698"/>
        <v>9795.991755687508</v>
      </c>
      <c r="CF279" s="51">
        <f t="shared" si="698"/>
        <v>9859.4590819821642</v>
      </c>
      <c r="CG279" s="51">
        <f t="shared" si="698"/>
        <v>9922.9458878082896</v>
      </c>
      <c r="CH279" s="51">
        <f t="shared" si="698"/>
        <v>9986.4522013416445</v>
      </c>
      <c r="CI279" s="51">
        <f t="shared" si="698"/>
        <v>10049.978050798742</v>
      </c>
      <c r="CJ279" s="51">
        <f t="shared" ref="CJ279:CP279" si="699">CI279+CJ232</f>
        <v>10113.523464436908</v>
      </c>
      <c r="CK279" s="51">
        <f t="shared" si="699"/>
        <v>10177.088470554343</v>
      </c>
      <c r="CL279" s="51">
        <f t="shared" si="699"/>
        <v>10240.673097490177</v>
      </c>
      <c r="CM279" s="51">
        <f t="shared" si="699"/>
        <v>10304.277373624531</v>
      </c>
      <c r="CN279" s="51">
        <f t="shared" si="699"/>
        <v>10367.901327378575</v>
      </c>
      <c r="CO279" s="51">
        <f t="shared" si="699"/>
        <v>10431.544987214589</v>
      </c>
      <c r="CP279" s="51">
        <f t="shared" si="699"/>
        <v>10495.208381636023</v>
      </c>
      <c r="CQ279" s="23" t="s">
        <v>77</v>
      </c>
      <c r="DB279" s="7" t="s">
        <v>40</v>
      </c>
      <c r="DD279" s="8"/>
      <c r="DE279" s="8"/>
      <c r="DF279" s="8"/>
      <c r="DG279" s="8"/>
      <c r="DH279" s="8"/>
      <c r="DI279" s="12"/>
      <c r="DJ279" s="52">
        <v>4125.0590000000002</v>
      </c>
      <c r="DK279" s="12">
        <f t="shared" si="693"/>
        <v>9141.4969999999994</v>
      </c>
      <c r="DL279" s="52">
        <v>9301.7119999999995</v>
      </c>
      <c r="DM279" s="12">
        <f t="shared" si="694"/>
        <v>9314.3729999999996</v>
      </c>
      <c r="DN279" s="52">
        <v>9058.3009999999995</v>
      </c>
      <c r="DO279" s="12">
        <f t="shared" si="695"/>
        <v>9573.9069999999992</v>
      </c>
      <c r="DP279" s="52">
        <v>9528.5689999999995</v>
      </c>
      <c r="DQ279" s="12">
        <f t="shared" si="696"/>
        <v>9773.9069999999992</v>
      </c>
      <c r="DR279" s="12"/>
      <c r="DS279" s="12"/>
    </row>
    <row r="280" spans="2:123" ht="11.25" customHeight="1" outlineLevel="1" x14ac:dyDescent="0.2">
      <c r="B280" s="7" t="s">
        <v>545</v>
      </c>
      <c r="D280" s="52"/>
      <c r="E280" s="52"/>
      <c r="F280" s="52"/>
      <c r="G280" s="52"/>
      <c r="H280" s="52"/>
      <c r="I280" s="52"/>
      <c r="J280" s="52"/>
      <c r="K280" s="52">
        <v>0</v>
      </c>
      <c r="L280" s="52">
        <v>79.337999999999994</v>
      </c>
      <c r="M280" s="52">
        <v>131.161</v>
      </c>
      <c r="N280" s="52">
        <v>160.19499999999999</v>
      </c>
      <c r="O280" s="52">
        <v>71.628</v>
      </c>
      <c r="P280" s="52">
        <v>66.691000000000003</v>
      </c>
      <c r="Q280" s="52">
        <v>263.786</v>
      </c>
      <c r="R280" s="52">
        <v>286.59199999999998</v>
      </c>
      <c r="S280" s="52">
        <v>177.256</v>
      </c>
      <c r="T280" s="186">
        <v>216.93600000000001</v>
      </c>
      <c r="U280" s="186">
        <v>44.792999999999999</v>
      </c>
      <c r="V280" s="186">
        <v>194.59100000000001</v>
      </c>
      <c r="W280" s="186">
        <v>182.08699999999999</v>
      </c>
      <c r="X280" s="51">
        <f t="shared" ref="X280:BC280" si="700">+W280+X229</f>
        <v>182.08699999999999</v>
      </c>
      <c r="Y280" s="51">
        <f t="shared" si="700"/>
        <v>182.08699999999999</v>
      </c>
      <c r="Z280" s="51">
        <f t="shared" si="700"/>
        <v>182.08699999999999</v>
      </c>
      <c r="AA280" s="51">
        <f t="shared" si="700"/>
        <v>182.08699999999999</v>
      </c>
      <c r="AB280" s="51">
        <f t="shared" si="700"/>
        <v>182.08699999999999</v>
      </c>
      <c r="AC280" s="51">
        <f t="shared" si="700"/>
        <v>182.08699999999999</v>
      </c>
      <c r="AD280" s="51">
        <f t="shared" si="700"/>
        <v>182.08699999999999</v>
      </c>
      <c r="AE280" s="51">
        <f t="shared" si="700"/>
        <v>182.08699999999999</v>
      </c>
      <c r="AF280" s="51">
        <f t="shared" si="700"/>
        <v>182.08699999999999</v>
      </c>
      <c r="AG280" s="51">
        <f t="shared" si="700"/>
        <v>182.08699999999999</v>
      </c>
      <c r="AH280" s="51">
        <f t="shared" si="700"/>
        <v>182.08699999999999</v>
      </c>
      <c r="AI280" s="51">
        <f t="shared" si="700"/>
        <v>182.08699999999999</v>
      </c>
      <c r="AJ280" s="51">
        <f t="shared" si="700"/>
        <v>182.08699999999999</v>
      </c>
      <c r="AK280" s="51">
        <f t="shared" si="700"/>
        <v>182.08699999999999</v>
      </c>
      <c r="AL280" s="51">
        <f t="shared" si="700"/>
        <v>182.08699999999999</v>
      </c>
      <c r="AM280" s="51">
        <f t="shared" si="700"/>
        <v>182.08699999999999</v>
      </c>
      <c r="AN280" s="51">
        <f t="shared" si="700"/>
        <v>182.08699999999999</v>
      </c>
      <c r="AO280" s="51">
        <f t="shared" si="700"/>
        <v>182.08699999999999</v>
      </c>
      <c r="AP280" s="51">
        <f t="shared" si="700"/>
        <v>182.08699999999999</v>
      </c>
      <c r="AQ280" s="51">
        <f t="shared" si="700"/>
        <v>182.08699999999999</v>
      </c>
      <c r="AR280" s="51">
        <f t="shared" si="700"/>
        <v>182.08699999999999</v>
      </c>
      <c r="AS280" s="51">
        <f t="shared" si="700"/>
        <v>182.08699999999999</v>
      </c>
      <c r="AT280" s="51">
        <f t="shared" si="700"/>
        <v>182.08699999999999</v>
      </c>
      <c r="AU280" s="51">
        <f t="shared" si="700"/>
        <v>182.08699999999999</v>
      </c>
      <c r="AV280" s="51">
        <f t="shared" si="700"/>
        <v>182.08699999999999</v>
      </c>
      <c r="AW280" s="51">
        <f t="shared" si="700"/>
        <v>182.08699999999999</v>
      </c>
      <c r="AX280" s="51">
        <f t="shared" si="700"/>
        <v>182.08699999999999</v>
      </c>
      <c r="AY280" s="51">
        <f t="shared" si="700"/>
        <v>182.08699999999999</v>
      </c>
      <c r="AZ280" s="51">
        <f t="shared" si="700"/>
        <v>182.08699999999999</v>
      </c>
      <c r="BA280" s="51">
        <f t="shared" si="700"/>
        <v>182.08699999999999</v>
      </c>
      <c r="BB280" s="51">
        <f t="shared" si="700"/>
        <v>182.08699999999999</v>
      </c>
      <c r="BC280" s="51">
        <f t="shared" si="700"/>
        <v>182.08699999999999</v>
      </c>
      <c r="BD280" s="51">
        <f t="shared" ref="BD280:CI280" si="701">+BC280+BD229</f>
        <v>182.08699999999999</v>
      </c>
      <c r="BE280" s="51">
        <f t="shared" si="701"/>
        <v>182.08699999999999</v>
      </c>
      <c r="BF280" s="51">
        <f t="shared" si="701"/>
        <v>182.08699999999999</v>
      </c>
      <c r="BG280" s="51">
        <f t="shared" si="701"/>
        <v>182.08699999999999</v>
      </c>
      <c r="BH280" s="51">
        <f t="shared" si="701"/>
        <v>182.08699999999999</v>
      </c>
      <c r="BI280" s="51">
        <f t="shared" si="701"/>
        <v>182.08699999999999</v>
      </c>
      <c r="BJ280" s="51">
        <f t="shared" si="701"/>
        <v>182.08699999999999</v>
      </c>
      <c r="BK280" s="51">
        <f t="shared" si="701"/>
        <v>182.08699999999999</v>
      </c>
      <c r="BL280" s="51">
        <f t="shared" si="701"/>
        <v>182.08699999999999</v>
      </c>
      <c r="BM280" s="51">
        <f t="shared" si="701"/>
        <v>182.08699999999999</v>
      </c>
      <c r="BN280" s="51">
        <f t="shared" si="701"/>
        <v>182.08699999999999</v>
      </c>
      <c r="BO280" s="51">
        <f t="shared" si="701"/>
        <v>182.08699999999999</v>
      </c>
      <c r="BP280" s="51">
        <f t="shared" si="701"/>
        <v>182.08699999999999</v>
      </c>
      <c r="BQ280" s="51">
        <f t="shared" si="701"/>
        <v>182.08699999999999</v>
      </c>
      <c r="BR280" s="51">
        <f t="shared" si="701"/>
        <v>182.08699999999999</v>
      </c>
      <c r="BS280" s="51">
        <f t="shared" si="701"/>
        <v>182.08699999999999</v>
      </c>
      <c r="BT280" s="51">
        <f t="shared" si="701"/>
        <v>182.08699999999999</v>
      </c>
      <c r="BU280" s="51">
        <f t="shared" si="701"/>
        <v>182.08699999999999</v>
      </c>
      <c r="BV280" s="51">
        <f t="shared" si="701"/>
        <v>182.08699999999999</v>
      </c>
      <c r="BW280" s="51">
        <f t="shared" si="701"/>
        <v>182.08699999999999</v>
      </c>
      <c r="BX280" s="51">
        <f t="shared" si="701"/>
        <v>182.08699999999999</v>
      </c>
      <c r="BY280" s="51">
        <f t="shared" si="701"/>
        <v>182.08699999999999</v>
      </c>
      <c r="BZ280" s="51">
        <f t="shared" si="701"/>
        <v>182.08699999999999</v>
      </c>
      <c r="CA280" s="51">
        <f t="shared" si="701"/>
        <v>182.08699999999999</v>
      </c>
      <c r="CB280" s="51">
        <f t="shared" si="701"/>
        <v>182.08699999999999</v>
      </c>
      <c r="CC280" s="51">
        <f t="shared" si="701"/>
        <v>182.08699999999999</v>
      </c>
      <c r="CD280" s="51">
        <f t="shared" si="701"/>
        <v>182.08699999999999</v>
      </c>
      <c r="CE280" s="51">
        <f t="shared" si="701"/>
        <v>182.08699999999999</v>
      </c>
      <c r="CF280" s="51">
        <f t="shared" si="701"/>
        <v>182.08699999999999</v>
      </c>
      <c r="CG280" s="51">
        <f t="shared" si="701"/>
        <v>182.08699999999999</v>
      </c>
      <c r="CH280" s="51">
        <f t="shared" si="701"/>
        <v>182.08699999999999</v>
      </c>
      <c r="CI280" s="51">
        <f t="shared" si="701"/>
        <v>182.08699999999999</v>
      </c>
      <c r="CJ280" s="51">
        <f t="shared" ref="CJ280:CP280" si="702">+CI280+CJ229</f>
        <v>182.08699999999999</v>
      </c>
      <c r="CK280" s="51">
        <f t="shared" si="702"/>
        <v>182.08699999999999</v>
      </c>
      <c r="CL280" s="51">
        <f t="shared" si="702"/>
        <v>182.08699999999999</v>
      </c>
      <c r="CM280" s="51">
        <f t="shared" si="702"/>
        <v>182.08699999999999</v>
      </c>
      <c r="CN280" s="51">
        <f t="shared" si="702"/>
        <v>182.08699999999999</v>
      </c>
      <c r="CO280" s="51">
        <f t="shared" si="702"/>
        <v>182.08699999999999</v>
      </c>
      <c r="CP280" s="51">
        <f t="shared" si="702"/>
        <v>182.08699999999999</v>
      </c>
      <c r="CQ280" s="23" t="s">
        <v>77</v>
      </c>
      <c r="DB280" s="7" t="s">
        <v>76</v>
      </c>
      <c r="DD280" s="8"/>
      <c r="DE280" s="8"/>
      <c r="DF280" s="8"/>
      <c r="DG280" s="8"/>
      <c r="DH280" s="8"/>
      <c r="DI280" s="12"/>
      <c r="DJ280" s="52">
        <v>74.17</v>
      </c>
      <c r="DK280" s="12">
        <f t="shared" si="693"/>
        <v>44.792999999999999</v>
      </c>
      <c r="DL280" s="52">
        <v>95.661000000000001</v>
      </c>
      <c r="DM280" s="12">
        <f t="shared" si="694"/>
        <v>194.59100000000001</v>
      </c>
      <c r="DN280" s="52">
        <v>175.56899999999999</v>
      </c>
      <c r="DO280" s="12">
        <f t="shared" si="695"/>
        <v>182.08699999999999</v>
      </c>
      <c r="DP280" s="52">
        <v>108.05500000000001</v>
      </c>
      <c r="DQ280" s="12">
        <f t="shared" si="696"/>
        <v>182.08699999999999</v>
      </c>
      <c r="DR280" s="12"/>
      <c r="DS280" s="12"/>
    </row>
    <row r="281" spans="2:123" ht="11.25" customHeight="1" outlineLevel="1" x14ac:dyDescent="0.2">
      <c r="B281" s="7" t="s">
        <v>75</v>
      </c>
      <c r="D281" s="52"/>
      <c r="E281" s="52"/>
      <c r="F281" s="52"/>
      <c r="G281" s="52"/>
      <c r="H281" s="52"/>
      <c r="I281" s="52"/>
      <c r="J281" s="52"/>
      <c r="K281" s="52">
        <v>57.981999999999999</v>
      </c>
      <c r="L281" s="52">
        <v>77.197999999999993</v>
      </c>
      <c r="M281" s="52">
        <v>192.107</v>
      </c>
      <c r="N281" s="52">
        <v>246.995</v>
      </c>
      <c r="O281" s="52">
        <v>242.48500000000001</v>
      </c>
      <c r="P281" s="52">
        <v>297.80799999999999</v>
      </c>
      <c r="Q281" s="52">
        <v>336.17099999999999</v>
      </c>
      <c r="R281" s="52">
        <v>319.28199999999998</v>
      </c>
      <c r="S281" s="52">
        <v>213.238</v>
      </c>
      <c r="T281" s="186">
        <v>110.783</v>
      </c>
      <c r="U281" s="186">
        <v>194.69200000000001</v>
      </c>
      <c r="V281" s="186">
        <v>304.84899999999999</v>
      </c>
      <c r="W281" s="186">
        <v>502.26499999999999</v>
      </c>
      <c r="X281" s="51">
        <f t="shared" ref="X281:BC281" si="703">W281+X216</f>
        <v>572.03669749354799</v>
      </c>
      <c r="Y281" s="51">
        <f t="shared" si="703"/>
        <v>668.90293279730463</v>
      </c>
      <c r="Z281" s="51">
        <f t="shared" si="703"/>
        <v>774.8078810685563</v>
      </c>
      <c r="AA281" s="51">
        <f t="shared" si="703"/>
        <v>874.44007709397908</v>
      </c>
      <c r="AB281" s="51">
        <f t="shared" si="703"/>
        <v>968.93517189450984</v>
      </c>
      <c r="AC281" s="51">
        <f t="shared" si="703"/>
        <v>1017.1045000151818</v>
      </c>
      <c r="AD281" s="51">
        <f t="shared" si="703"/>
        <v>1070.2520330876339</v>
      </c>
      <c r="AE281" s="51">
        <f t="shared" si="703"/>
        <v>1127.4410205936283</v>
      </c>
      <c r="AF281" s="51">
        <f t="shared" si="703"/>
        <v>1186.7701177163663</v>
      </c>
      <c r="AG281" s="51">
        <f t="shared" si="703"/>
        <v>1247.1781896135456</v>
      </c>
      <c r="AH281" s="51">
        <f t="shared" si="703"/>
        <v>1311.2501038901532</v>
      </c>
      <c r="AI281" s="51">
        <f t="shared" si="703"/>
        <v>1367.0831771407525</v>
      </c>
      <c r="AJ281" s="51">
        <f t="shared" si="703"/>
        <v>1417.8358590540258</v>
      </c>
      <c r="AK281" s="51">
        <f t="shared" si="703"/>
        <v>1468.3853381035126</v>
      </c>
      <c r="AL281" s="51">
        <f t="shared" si="703"/>
        <v>1522.5645504483321</v>
      </c>
      <c r="AM281" s="51">
        <f t="shared" si="703"/>
        <v>1580.2755799170125</v>
      </c>
      <c r="AN281" s="51">
        <f t="shared" si="703"/>
        <v>1640.4498647030632</v>
      </c>
      <c r="AO281" s="51">
        <f t="shared" si="703"/>
        <v>1700.3964623110419</v>
      </c>
      <c r="AP281" s="51">
        <f t="shared" si="703"/>
        <v>1715.2489651519063</v>
      </c>
      <c r="AQ281" s="51">
        <f t="shared" si="703"/>
        <v>1733.1251188902272</v>
      </c>
      <c r="AR281" s="51">
        <f t="shared" si="703"/>
        <v>1744.0088578807502</v>
      </c>
      <c r="AS281" s="51">
        <f t="shared" si="703"/>
        <v>1745.3460885953937</v>
      </c>
      <c r="AT281" s="51">
        <f t="shared" si="703"/>
        <v>1746.0103568654508</v>
      </c>
      <c r="AU281" s="51">
        <f t="shared" si="703"/>
        <v>1748.9848436805335</v>
      </c>
      <c r="AV281" s="51">
        <f t="shared" si="703"/>
        <v>1753.1570581235167</v>
      </c>
      <c r="AW281" s="51">
        <f t="shared" si="703"/>
        <v>1754.8253676290044</v>
      </c>
      <c r="AX281" s="51">
        <f t="shared" si="703"/>
        <v>1757.889400626224</v>
      </c>
      <c r="AY281" s="51">
        <f t="shared" si="703"/>
        <v>1762.37519969543</v>
      </c>
      <c r="AZ281" s="51">
        <f t="shared" si="703"/>
        <v>1768.3110852798611</v>
      </c>
      <c r="BA281" s="51">
        <f t="shared" si="703"/>
        <v>1740.9425828652327</v>
      </c>
      <c r="BB281" s="51">
        <f t="shared" si="703"/>
        <v>1716.7088948542064</v>
      </c>
      <c r="BC281" s="51">
        <f t="shared" si="703"/>
        <v>1695.6972216654058</v>
      </c>
      <c r="BD281" s="51">
        <f t="shared" ref="BD281:CI281" si="704">BC281+BD216</f>
        <v>1678.0018903038592</v>
      </c>
      <c r="BE281" s="51">
        <f t="shared" si="704"/>
        <v>1663.7243111410146</v>
      </c>
      <c r="BF281" s="51">
        <f t="shared" si="704"/>
        <v>1652.9720415938746</v>
      </c>
      <c r="BG281" s="51">
        <f t="shared" si="704"/>
        <v>1645.8603566306124</v>
      </c>
      <c r="BH281" s="51">
        <f t="shared" si="704"/>
        <v>1642.510182950894</v>
      </c>
      <c r="BI281" s="51">
        <f t="shared" si="704"/>
        <v>1643.0503571458623</v>
      </c>
      <c r="BJ281" s="51">
        <f t="shared" si="704"/>
        <v>1647.6154748970462</v>
      </c>
      <c r="BK281" s="51">
        <f t="shared" si="704"/>
        <v>1656.3477024289664</v>
      </c>
      <c r="BL281" s="51">
        <f t="shared" si="704"/>
        <v>1669.3956558458506</v>
      </c>
      <c r="BM281" s="51">
        <f t="shared" si="704"/>
        <v>1686.9147604447123</v>
      </c>
      <c r="BN281" s="51">
        <f t="shared" si="704"/>
        <v>1709.0671483325295</v>
      </c>
      <c r="BO281" s="51">
        <f t="shared" si="704"/>
        <v>1736.0219223579857</v>
      </c>
      <c r="BP281" s="51">
        <f t="shared" si="704"/>
        <v>1767.9550741609958</v>
      </c>
      <c r="BQ281" s="51">
        <f t="shared" si="704"/>
        <v>1779.0834090917806</v>
      </c>
      <c r="BR281" s="51">
        <f t="shared" si="704"/>
        <v>1791.7819788718689</v>
      </c>
      <c r="BS281" s="51">
        <f t="shared" si="704"/>
        <v>1802.4806497807754</v>
      </c>
      <c r="BT281" s="51">
        <f t="shared" si="704"/>
        <v>1811.5207131058526</v>
      </c>
      <c r="BU281" s="51">
        <f t="shared" si="704"/>
        <v>1822.0567347658086</v>
      </c>
      <c r="BV281" s="51">
        <f t="shared" si="704"/>
        <v>1834.143376735075</v>
      </c>
      <c r="BW281" s="51">
        <f t="shared" si="704"/>
        <v>1847.8371383601645</v>
      </c>
      <c r="BX281" s="51">
        <f t="shared" si="704"/>
        <v>1863.1964727728243</v>
      </c>
      <c r="BY281" s="51">
        <f t="shared" si="704"/>
        <v>1880.2815293277852</v>
      </c>
      <c r="BZ281" s="51">
        <f t="shared" si="704"/>
        <v>1899.1546136473526</v>
      </c>
      <c r="CA281" s="51">
        <f t="shared" si="704"/>
        <v>1919.879832516245</v>
      </c>
      <c r="CB281" s="51">
        <f t="shared" si="704"/>
        <v>1942.5234205188558</v>
      </c>
      <c r="CC281" s="51">
        <f t="shared" si="704"/>
        <v>1966.7330184697205</v>
      </c>
      <c r="CD281" s="51">
        <f t="shared" si="704"/>
        <v>1987.9415093372036</v>
      </c>
      <c r="CE281" s="51">
        <f t="shared" si="704"/>
        <v>2011.086615721548</v>
      </c>
      <c r="CF281" s="51">
        <f t="shared" si="704"/>
        <v>2036.2381783187682</v>
      </c>
      <c r="CG281" s="51">
        <f t="shared" si="704"/>
        <v>2063.4680870491857</v>
      </c>
      <c r="CH281" s="51">
        <f t="shared" si="704"/>
        <v>2005.359765643356</v>
      </c>
      <c r="CI281" s="51">
        <f t="shared" si="704"/>
        <v>1949.0361081162609</v>
      </c>
      <c r="CJ281" s="51">
        <f t="shared" ref="CJ281:CP281" si="705">CI281+CJ216</f>
        <v>1894.6432160649119</v>
      </c>
      <c r="CK281" s="51">
        <f t="shared" si="705"/>
        <v>1842.3314751075291</v>
      </c>
      <c r="CL281" s="51">
        <f t="shared" si="705"/>
        <v>1792.2557264191269</v>
      </c>
      <c r="CM281" s="51">
        <f t="shared" si="705"/>
        <v>1744.5757687704772</v>
      </c>
      <c r="CN281" s="51">
        <f t="shared" si="705"/>
        <v>1699.4563140411349</v>
      </c>
      <c r="CO281" s="51">
        <f t="shared" si="705"/>
        <v>1657.0671681005074</v>
      </c>
      <c r="CP281" s="51">
        <f t="shared" si="705"/>
        <v>1608.3497984266696</v>
      </c>
      <c r="CQ281" s="23" t="s">
        <v>77</v>
      </c>
      <c r="DB281" s="7" t="s">
        <v>75</v>
      </c>
      <c r="DD281" s="8"/>
      <c r="DE281" s="8"/>
      <c r="DF281" s="8"/>
      <c r="DG281" s="8"/>
      <c r="DH281" s="8"/>
      <c r="DI281" s="12"/>
      <c r="DJ281" s="52">
        <v>237.43199999999999</v>
      </c>
      <c r="DK281" s="12">
        <f t="shared" si="693"/>
        <v>194.69200000000001</v>
      </c>
      <c r="DL281" s="52">
        <v>146.44200000000001</v>
      </c>
      <c r="DM281" s="12">
        <f t="shared" si="694"/>
        <v>304.84899999999999</v>
      </c>
      <c r="DN281" s="52">
        <v>368.75200000000001</v>
      </c>
      <c r="DO281" s="12">
        <f t="shared" si="695"/>
        <v>502.26499999999999</v>
      </c>
      <c r="DP281" s="52">
        <v>596.39200000000005</v>
      </c>
      <c r="DQ281" s="12">
        <f t="shared" si="696"/>
        <v>572.03669749354799</v>
      </c>
      <c r="DR281" s="12"/>
      <c r="DS281" s="12"/>
    </row>
    <row r="282" spans="2:123" ht="11.25" customHeight="1" outlineLevel="1" x14ac:dyDescent="0.2">
      <c r="B282" s="7" t="s">
        <v>96</v>
      </c>
      <c r="D282" s="52"/>
      <c r="E282" s="52"/>
      <c r="F282" s="52"/>
      <c r="G282" s="52"/>
      <c r="H282" s="52"/>
      <c r="I282" s="52"/>
      <c r="J282" s="52"/>
      <c r="K282" s="52">
        <v>1.968</v>
      </c>
      <c r="L282" s="52">
        <v>2.61</v>
      </c>
      <c r="M282" s="52">
        <v>5.5979999999999999</v>
      </c>
      <c r="N282" s="52">
        <v>19.007000000000001</v>
      </c>
      <c r="O282" s="52">
        <v>23.457000000000001</v>
      </c>
      <c r="P282" s="52">
        <v>31.684999999999999</v>
      </c>
      <c r="Q282" s="52">
        <v>30.84</v>
      </c>
      <c r="R282" s="52">
        <v>64.066999999999993</v>
      </c>
      <c r="S282" s="52">
        <v>50.241999999999997</v>
      </c>
      <c r="T282" s="186">
        <v>47.442</v>
      </c>
      <c r="U282" s="186">
        <v>60.41</v>
      </c>
      <c r="V282" s="186">
        <v>70.917000000000002</v>
      </c>
      <c r="W282" s="186">
        <v>69.051000000000002</v>
      </c>
      <c r="X282" s="51">
        <f t="shared" ref="X282:BD282" si="706">+W282</f>
        <v>69.051000000000002</v>
      </c>
      <c r="Y282" s="51">
        <f t="shared" si="706"/>
        <v>69.051000000000002</v>
      </c>
      <c r="Z282" s="51">
        <f t="shared" si="706"/>
        <v>69.051000000000002</v>
      </c>
      <c r="AA282" s="51">
        <f t="shared" si="706"/>
        <v>69.051000000000002</v>
      </c>
      <c r="AB282" s="51">
        <f t="shared" si="706"/>
        <v>69.051000000000002</v>
      </c>
      <c r="AC282" s="51">
        <f t="shared" si="706"/>
        <v>69.051000000000002</v>
      </c>
      <c r="AD282" s="51">
        <f t="shared" si="706"/>
        <v>69.051000000000002</v>
      </c>
      <c r="AE282" s="51">
        <f t="shared" si="706"/>
        <v>69.051000000000002</v>
      </c>
      <c r="AF282" s="51">
        <f t="shared" si="706"/>
        <v>69.051000000000002</v>
      </c>
      <c r="AG282" s="51">
        <f t="shared" si="706"/>
        <v>69.051000000000002</v>
      </c>
      <c r="AH282" s="51">
        <f t="shared" si="706"/>
        <v>69.051000000000002</v>
      </c>
      <c r="AI282" s="51">
        <f t="shared" si="706"/>
        <v>69.051000000000002</v>
      </c>
      <c r="AJ282" s="51">
        <f t="shared" si="706"/>
        <v>69.051000000000002</v>
      </c>
      <c r="AK282" s="51">
        <f t="shared" si="706"/>
        <v>69.051000000000002</v>
      </c>
      <c r="AL282" s="51">
        <f t="shared" si="706"/>
        <v>69.051000000000002</v>
      </c>
      <c r="AM282" s="51">
        <f t="shared" si="706"/>
        <v>69.051000000000002</v>
      </c>
      <c r="AN282" s="51">
        <f t="shared" si="706"/>
        <v>69.051000000000002</v>
      </c>
      <c r="AO282" s="51">
        <f t="shared" si="706"/>
        <v>69.051000000000002</v>
      </c>
      <c r="AP282" s="51">
        <f t="shared" si="706"/>
        <v>69.051000000000002</v>
      </c>
      <c r="AQ282" s="51">
        <f t="shared" si="706"/>
        <v>69.051000000000002</v>
      </c>
      <c r="AR282" s="51">
        <f t="shared" si="706"/>
        <v>69.051000000000002</v>
      </c>
      <c r="AS282" s="51">
        <f t="shared" si="706"/>
        <v>69.051000000000002</v>
      </c>
      <c r="AT282" s="51">
        <f t="shared" si="706"/>
        <v>69.051000000000002</v>
      </c>
      <c r="AU282" s="51">
        <f t="shared" si="706"/>
        <v>69.051000000000002</v>
      </c>
      <c r="AV282" s="51">
        <f t="shared" si="706"/>
        <v>69.051000000000002</v>
      </c>
      <c r="AW282" s="51">
        <f t="shared" si="706"/>
        <v>69.051000000000002</v>
      </c>
      <c r="AX282" s="51">
        <f t="shared" si="706"/>
        <v>69.051000000000002</v>
      </c>
      <c r="AY282" s="51">
        <f t="shared" si="706"/>
        <v>69.051000000000002</v>
      </c>
      <c r="AZ282" s="51">
        <f t="shared" si="706"/>
        <v>69.051000000000002</v>
      </c>
      <c r="BA282" s="51">
        <f t="shared" si="706"/>
        <v>69.051000000000002</v>
      </c>
      <c r="BB282" s="51">
        <f t="shared" si="706"/>
        <v>69.051000000000002</v>
      </c>
      <c r="BC282" s="51">
        <f t="shared" si="706"/>
        <v>69.051000000000002</v>
      </c>
      <c r="BD282" s="51">
        <f t="shared" si="706"/>
        <v>69.051000000000002</v>
      </c>
      <c r="BE282" s="51">
        <f t="shared" ref="BE282:CP282" si="707">+BD282</f>
        <v>69.051000000000002</v>
      </c>
      <c r="BF282" s="51">
        <f t="shared" si="707"/>
        <v>69.051000000000002</v>
      </c>
      <c r="BG282" s="51">
        <f t="shared" si="707"/>
        <v>69.051000000000002</v>
      </c>
      <c r="BH282" s="51">
        <f t="shared" si="707"/>
        <v>69.051000000000002</v>
      </c>
      <c r="BI282" s="51">
        <f t="shared" si="707"/>
        <v>69.051000000000002</v>
      </c>
      <c r="BJ282" s="51">
        <f t="shared" si="707"/>
        <v>69.051000000000002</v>
      </c>
      <c r="BK282" s="51">
        <f t="shared" si="707"/>
        <v>69.051000000000002</v>
      </c>
      <c r="BL282" s="51">
        <f t="shared" si="707"/>
        <v>69.051000000000002</v>
      </c>
      <c r="BM282" s="51">
        <f t="shared" si="707"/>
        <v>69.051000000000002</v>
      </c>
      <c r="BN282" s="51">
        <f t="shared" si="707"/>
        <v>69.051000000000002</v>
      </c>
      <c r="BO282" s="51">
        <f t="shared" si="707"/>
        <v>69.051000000000002</v>
      </c>
      <c r="BP282" s="51">
        <f t="shared" si="707"/>
        <v>69.051000000000002</v>
      </c>
      <c r="BQ282" s="51">
        <f t="shared" si="707"/>
        <v>69.051000000000002</v>
      </c>
      <c r="BR282" s="51">
        <f t="shared" si="707"/>
        <v>69.051000000000002</v>
      </c>
      <c r="BS282" s="51">
        <f t="shared" si="707"/>
        <v>69.051000000000002</v>
      </c>
      <c r="BT282" s="51">
        <f t="shared" si="707"/>
        <v>69.051000000000002</v>
      </c>
      <c r="BU282" s="51">
        <f t="shared" si="707"/>
        <v>69.051000000000002</v>
      </c>
      <c r="BV282" s="51">
        <f t="shared" si="707"/>
        <v>69.051000000000002</v>
      </c>
      <c r="BW282" s="51">
        <f t="shared" si="707"/>
        <v>69.051000000000002</v>
      </c>
      <c r="BX282" s="51">
        <f t="shared" si="707"/>
        <v>69.051000000000002</v>
      </c>
      <c r="BY282" s="51">
        <f t="shared" si="707"/>
        <v>69.051000000000002</v>
      </c>
      <c r="BZ282" s="51">
        <f t="shared" si="707"/>
        <v>69.051000000000002</v>
      </c>
      <c r="CA282" s="51">
        <f t="shared" si="707"/>
        <v>69.051000000000002</v>
      </c>
      <c r="CB282" s="51">
        <f t="shared" si="707"/>
        <v>69.051000000000002</v>
      </c>
      <c r="CC282" s="51">
        <f t="shared" si="707"/>
        <v>69.051000000000002</v>
      </c>
      <c r="CD282" s="51">
        <f t="shared" si="707"/>
        <v>69.051000000000002</v>
      </c>
      <c r="CE282" s="51">
        <f t="shared" si="707"/>
        <v>69.051000000000002</v>
      </c>
      <c r="CF282" s="51">
        <f t="shared" si="707"/>
        <v>69.051000000000002</v>
      </c>
      <c r="CG282" s="51">
        <f t="shared" si="707"/>
        <v>69.051000000000002</v>
      </c>
      <c r="CH282" s="51">
        <f t="shared" si="707"/>
        <v>69.051000000000002</v>
      </c>
      <c r="CI282" s="51">
        <f t="shared" si="707"/>
        <v>69.051000000000002</v>
      </c>
      <c r="CJ282" s="51">
        <f t="shared" si="707"/>
        <v>69.051000000000002</v>
      </c>
      <c r="CK282" s="51">
        <f t="shared" si="707"/>
        <v>69.051000000000002</v>
      </c>
      <c r="CL282" s="51">
        <f t="shared" si="707"/>
        <v>69.051000000000002</v>
      </c>
      <c r="CM282" s="51">
        <f t="shared" si="707"/>
        <v>69.051000000000002</v>
      </c>
      <c r="CN282" s="51">
        <f t="shared" si="707"/>
        <v>69.051000000000002</v>
      </c>
      <c r="CO282" s="51">
        <f t="shared" si="707"/>
        <v>69.051000000000002</v>
      </c>
      <c r="CP282" s="51">
        <f t="shared" si="707"/>
        <v>69.051000000000002</v>
      </c>
      <c r="CQ282" s="23" t="s">
        <v>77</v>
      </c>
      <c r="DB282" s="7" t="s">
        <v>96</v>
      </c>
      <c r="DD282" s="8"/>
      <c r="DE282" s="8"/>
      <c r="DF282" s="8"/>
      <c r="DG282" s="8"/>
      <c r="DH282" s="8"/>
      <c r="DI282" s="12"/>
      <c r="DJ282" s="52">
        <v>58.408000000000001</v>
      </c>
      <c r="DK282" s="12">
        <f t="shared" si="693"/>
        <v>60.41</v>
      </c>
      <c r="DL282" s="52">
        <v>58.21</v>
      </c>
      <c r="DM282" s="12">
        <f t="shared" si="694"/>
        <v>70.917000000000002</v>
      </c>
      <c r="DN282" s="52">
        <v>60.869</v>
      </c>
      <c r="DO282" s="12">
        <f t="shared" si="695"/>
        <v>69.051000000000002</v>
      </c>
      <c r="DP282" s="52">
        <v>68.218000000000004</v>
      </c>
      <c r="DQ282" s="12">
        <f t="shared" si="696"/>
        <v>69.051000000000002</v>
      </c>
      <c r="DR282" s="12"/>
      <c r="DS282" s="12"/>
    </row>
    <row r="283" spans="2:123" ht="11.25" customHeight="1" outlineLevel="1" x14ac:dyDescent="0.2">
      <c r="B283" s="7" t="s">
        <v>19</v>
      </c>
      <c r="D283" s="52"/>
      <c r="E283" s="52"/>
      <c r="F283" s="52"/>
      <c r="G283" s="52"/>
      <c r="H283" s="52"/>
      <c r="I283" s="52"/>
      <c r="J283" s="52"/>
      <c r="K283" s="52">
        <v>2.5329999999999999</v>
      </c>
      <c r="L283" s="52">
        <v>1.78</v>
      </c>
      <c r="M283" s="52">
        <v>1.6919999999999999</v>
      </c>
      <c r="N283" s="52">
        <v>2.1800000000000002</v>
      </c>
      <c r="O283" s="52">
        <v>3.202</v>
      </c>
      <c r="P283" s="52">
        <v>0.92500000000000004</v>
      </c>
      <c r="Q283" s="52">
        <v>0.80200000000000005</v>
      </c>
      <c r="R283" s="52">
        <v>4.0780000000000003</v>
      </c>
      <c r="S283" s="52">
        <v>16.669</v>
      </c>
      <c r="T283" s="186">
        <v>15.438000000000001</v>
      </c>
      <c r="U283" s="186">
        <v>16.800999999999998</v>
      </c>
      <c r="V283" s="186">
        <v>41.895000000000003</v>
      </c>
      <c r="W283" s="186">
        <v>37.235999999999997</v>
      </c>
      <c r="X283" s="51">
        <f t="shared" ref="X283:BD283" si="708">+W283</f>
        <v>37.235999999999997</v>
      </c>
      <c r="Y283" s="51">
        <f t="shared" si="708"/>
        <v>37.235999999999997</v>
      </c>
      <c r="Z283" s="51">
        <f t="shared" si="708"/>
        <v>37.235999999999997</v>
      </c>
      <c r="AA283" s="51">
        <f t="shared" si="708"/>
        <v>37.235999999999997</v>
      </c>
      <c r="AB283" s="51">
        <f t="shared" si="708"/>
        <v>37.235999999999997</v>
      </c>
      <c r="AC283" s="51">
        <f t="shared" si="708"/>
        <v>37.235999999999997</v>
      </c>
      <c r="AD283" s="51">
        <f t="shared" si="708"/>
        <v>37.235999999999997</v>
      </c>
      <c r="AE283" s="51">
        <f t="shared" si="708"/>
        <v>37.235999999999997</v>
      </c>
      <c r="AF283" s="51">
        <f t="shared" si="708"/>
        <v>37.235999999999997</v>
      </c>
      <c r="AG283" s="51">
        <f t="shared" si="708"/>
        <v>37.235999999999997</v>
      </c>
      <c r="AH283" s="51">
        <f t="shared" si="708"/>
        <v>37.235999999999997</v>
      </c>
      <c r="AI283" s="51">
        <f t="shared" si="708"/>
        <v>37.235999999999997</v>
      </c>
      <c r="AJ283" s="51">
        <f t="shared" si="708"/>
        <v>37.235999999999997</v>
      </c>
      <c r="AK283" s="51">
        <f t="shared" si="708"/>
        <v>37.235999999999997</v>
      </c>
      <c r="AL283" s="51">
        <f t="shared" si="708"/>
        <v>37.235999999999997</v>
      </c>
      <c r="AM283" s="51">
        <f t="shared" si="708"/>
        <v>37.235999999999997</v>
      </c>
      <c r="AN283" s="51">
        <f t="shared" si="708"/>
        <v>37.235999999999997</v>
      </c>
      <c r="AO283" s="51">
        <f t="shared" si="708"/>
        <v>37.235999999999997</v>
      </c>
      <c r="AP283" s="51">
        <f t="shared" si="708"/>
        <v>37.235999999999997</v>
      </c>
      <c r="AQ283" s="51">
        <f t="shared" si="708"/>
        <v>37.235999999999997</v>
      </c>
      <c r="AR283" s="51">
        <f t="shared" si="708"/>
        <v>37.235999999999997</v>
      </c>
      <c r="AS283" s="51">
        <f t="shared" si="708"/>
        <v>37.235999999999997</v>
      </c>
      <c r="AT283" s="51">
        <f t="shared" si="708"/>
        <v>37.235999999999997</v>
      </c>
      <c r="AU283" s="51">
        <f t="shared" si="708"/>
        <v>37.235999999999997</v>
      </c>
      <c r="AV283" s="51">
        <f t="shared" si="708"/>
        <v>37.235999999999997</v>
      </c>
      <c r="AW283" s="51">
        <f t="shared" si="708"/>
        <v>37.235999999999997</v>
      </c>
      <c r="AX283" s="51">
        <f t="shared" si="708"/>
        <v>37.235999999999997</v>
      </c>
      <c r="AY283" s="51">
        <f t="shared" si="708"/>
        <v>37.235999999999997</v>
      </c>
      <c r="AZ283" s="51">
        <f t="shared" si="708"/>
        <v>37.235999999999997</v>
      </c>
      <c r="BA283" s="51">
        <f t="shared" si="708"/>
        <v>37.235999999999997</v>
      </c>
      <c r="BB283" s="51">
        <f t="shared" si="708"/>
        <v>37.235999999999997</v>
      </c>
      <c r="BC283" s="51">
        <f t="shared" si="708"/>
        <v>37.235999999999997</v>
      </c>
      <c r="BD283" s="51">
        <f t="shared" si="708"/>
        <v>37.235999999999997</v>
      </c>
      <c r="BE283" s="51">
        <f t="shared" ref="BE283:CP283" si="709">+BD283</f>
        <v>37.235999999999997</v>
      </c>
      <c r="BF283" s="51">
        <f t="shared" si="709"/>
        <v>37.235999999999997</v>
      </c>
      <c r="BG283" s="51">
        <f t="shared" si="709"/>
        <v>37.235999999999997</v>
      </c>
      <c r="BH283" s="51">
        <f t="shared" si="709"/>
        <v>37.235999999999997</v>
      </c>
      <c r="BI283" s="51">
        <f t="shared" si="709"/>
        <v>37.235999999999997</v>
      </c>
      <c r="BJ283" s="51">
        <f t="shared" si="709"/>
        <v>37.235999999999997</v>
      </c>
      <c r="BK283" s="51">
        <f t="shared" si="709"/>
        <v>37.235999999999997</v>
      </c>
      <c r="BL283" s="51">
        <f t="shared" si="709"/>
        <v>37.235999999999997</v>
      </c>
      <c r="BM283" s="51">
        <f t="shared" si="709"/>
        <v>37.235999999999997</v>
      </c>
      <c r="BN283" s="51">
        <f t="shared" si="709"/>
        <v>37.235999999999997</v>
      </c>
      <c r="BO283" s="51">
        <f t="shared" si="709"/>
        <v>37.235999999999997</v>
      </c>
      <c r="BP283" s="51">
        <f t="shared" si="709"/>
        <v>37.235999999999997</v>
      </c>
      <c r="BQ283" s="51">
        <f t="shared" si="709"/>
        <v>37.235999999999997</v>
      </c>
      <c r="BR283" s="51">
        <f t="shared" si="709"/>
        <v>37.235999999999997</v>
      </c>
      <c r="BS283" s="51">
        <f t="shared" si="709"/>
        <v>37.235999999999997</v>
      </c>
      <c r="BT283" s="51">
        <f t="shared" si="709"/>
        <v>37.235999999999997</v>
      </c>
      <c r="BU283" s="51">
        <f t="shared" si="709"/>
        <v>37.235999999999997</v>
      </c>
      <c r="BV283" s="51">
        <f t="shared" si="709"/>
        <v>37.235999999999997</v>
      </c>
      <c r="BW283" s="51">
        <f t="shared" si="709"/>
        <v>37.235999999999997</v>
      </c>
      <c r="BX283" s="51">
        <f t="shared" si="709"/>
        <v>37.235999999999997</v>
      </c>
      <c r="BY283" s="51">
        <f t="shared" si="709"/>
        <v>37.235999999999997</v>
      </c>
      <c r="BZ283" s="51">
        <f t="shared" si="709"/>
        <v>37.235999999999997</v>
      </c>
      <c r="CA283" s="51">
        <f t="shared" si="709"/>
        <v>37.235999999999997</v>
      </c>
      <c r="CB283" s="51">
        <f t="shared" si="709"/>
        <v>37.235999999999997</v>
      </c>
      <c r="CC283" s="51">
        <f t="shared" si="709"/>
        <v>37.235999999999997</v>
      </c>
      <c r="CD283" s="51">
        <f t="shared" si="709"/>
        <v>37.235999999999997</v>
      </c>
      <c r="CE283" s="51">
        <f t="shared" si="709"/>
        <v>37.235999999999997</v>
      </c>
      <c r="CF283" s="51">
        <f t="shared" si="709"/>
        <v>37.235999999999997</v>
      </c>
      <c r="CG283" s="51">
        <f t="shared" si="709"/>
        <v>37.235999999999997</v>
      </c>
      <c r="CH283" s="51">
        <f t="shared" si="709"/>
        <v>37.235999999999997</v>
      </c>
      <c r="CI283" s="51">
        <f t="shared" si="709"/>
        <v>37.235999999999997</v>
      </c>
      <c r="CJ283" s="51">
        <f t="shared" si="709"/>
        <v>37.235999999999997</v>
      </c>
      <c r="CK283" s="51">
        <f t="shared" si="709"/>
        <v>37.235999999999997</v>
      </c>
      <c r="CL283" s="51">
        <f t="shared" si="709"/>
        <v>37.235999999999997</v>
      </c>
      <c r="CM283" s="51">
        <f t="shared" si="709"/>
        <v>37.235999999999997</v>
      </c>
      <c r="CN283" s="51">
        <f t="shared" si="709"/>
        <v>37.235999999999997</v>
      </c>
      <c r="CO283" s="51">
        <f t="shared" si="709"/>
        <v>37.235999999999997</v>
      </c>
      <c r="CP283" s="51">
        <f t="shared" si="709"/>
        <v>37.235999999999997</v>
      </c>
      <c r="CQ283" s="23" t="s">
        <v>77</v>
      </c>
      <c r="DB283" s="7" t="s">
        <v>19</v>
      </c>
      <c r="DD283" s="8"/>
      <c r="DE283" s="8"/>
      <c r="DF283" s="8"/>
      <c r="DG283" s="8"/>
      <c r="DH283" s="8"/>
      <c r="DI283" s="12"/>
      <c r="DJ283" s="52">
        <v>15.234999999999999</v>
      </c>
      <c r="DK283" s="12">
        <f t="shared" si="693"/>
        <v>16.800999999999998</v>
      </c>
      <c r="DL283" s="52">
        <v>39.22</v>
      </c>
      <c r="DM283" s="12">
        <f t="shared" si="694"/>
        <v>41.895000000000003</v>
      </c>
      <c r="DN283" s="52">
        <v>38.984000000000002</v>
      </c>
      <c r="DO283" s="12">
        <f t="shared" si="695"/>
        <v>37.235999999999997</v>
      </c>
      <c r="DP283" s="52">
        <v>38.218000000000004</v>
      </c>
      <c r="DQ283" s="12">
        <f t="shared" si="696"/>
        <v>37.235999999999997</v>
      </c>
      <c r="DR283" s="12"/>
      <c r="DS283" s="12"/>
    </row>
    <row r="284" spans="2:123" ht="11.25" customHeight="1" outlineLevel="1" x14ac:dyDescent="0.2">
      <c r="B284" s="1" t="s">
        <v>41</v>
      </c>
      <c r="D284" s="3"/>
      <c r="E284" s="3"/>
      <c r="F284" s="3"/>
      <c r="G284" s="3"/>
      <c r="H284" s="3"/>
      <c r="I284" s="3"/>
      <c r="J284" s="3"/>
      <c r="K284" s="3">
        <f t="shared" ref="K284:S284" si="710">SUM(K278:K283)</f>
        <v>1125.183</v>
      </c>
      <c r="L284" s="3">
        <f t="shared" si="710"/>
        <v>1216.634</v>
      </c>
      <c r="M284" s="3">
        <f t="shared" si="710"/>
        <v>2923.7159999999999</v>
      </c>
      <c r="N284" s="3">
        <f t="shared" si="710"/>
        <v>3089.35</v>
      </c>
      <c r="O284" s="3">
        <f t="shared" si="710"/>
        <v>2398.6470000000004</v>
      </c>
      <c r="P284" s="3">
        <f t="shared" si="710"/>
        <v>3289</v>
      </c>
      <c r="Q284" s="3">
        <f t="shared" si="710"/>
        <v>2622.0450000000001</v>
      </c>
      <c r="R284" s="3">
        <f t="shared" si="710"/>
        <v>3581.0330000000004</v>
      </c>
      <c r="S284" s="3">
        <f t="shared" si="710"/>
        <v>4694.3960000000006</v>
      </c>
      <c r="T284" s="33">
        <f t="shared" ref="T284:BD284" si="711">SUM(T278:T283)</f>
        <v>5102.4810000000007</v>
      </c>
      <c r="U284" s="33">
        <f>SUM(U278:U283)</f>
        <v>9461.4539999999979</v>
      </c>
      <c r="V284" s="33">
        <f t="shared" si="711"/>
        <v>9929.6319999999996</v>
      </c>
      <c r="W284" s="33">
        <f t="shared" si="711"/>
        <v>10369.529999999999</v>
      </c>
      <c r="X284" s="33">
        <f t="shared" si="711"/>
        <v>10639.301697493547</v>
      </c>
      <c r="Y284" s="33">
        <f t="shared" si="711"/>
        <v>10836.167932797303</v>
      </c>
      <c r="Z284" s="33">
        <f t="shared" si="711"/>
        <v>11042.072881068556</v>
      </c>
      <c r="AA284" s="33">
        <f t="shared" si="711"/>
        <v>10991.705077093979</v>
      </c>
      <c r="AB284" s="33">
        <f t="shared" si="711"/>
        <v>10936.200171894508</v>
      </c>
      <c r="AC284" s="33">
        <f t="shared" si="711"/>
        <v>10834.369500015182</v>
      </c>
      <c r="AD284" s="33">
        <f t="shared" si="711"/>
        <v>10737.517033087634</v>
      </c>
      <c r="AE284" s="33">
        <f t="shared" si="711"/>
        <v>10644.706020593629</v>
      </c>
      <c r="AF284" s="33">
        <f t="shared" si="711"/>
        <v>10554.035117716365</v>
      </c>
      <c r="AG284" s="33">
        <f t="shared" si="711"/>
        <v>10464.443189613545</v>
      </c>
      <c r="AH284" s="33">
        <f t="shared" si="711"/>
        <v>10628.515103890153</v>
      </c>
      <c r="AI284" s="33">
        <f t="shared" si="711"/>
        <v>10534.348177140751</v>
      </c>
      <c r="AJ284" s="33">
        <f t="shared" si="711"/>
        <v>10435.100859054026</v>
      </c>
      <c r="AK284" s="33">
        <f t="shared" si="711"/>
        <v>10585.650338103513</v>
      </c>
      <c r="AL284" s="33">
        <f t="shared" si="711"/>
        <v>10639.829550448332</v>
      </c>
      <c r="AM284" s="33">
        <f t="shared" si="711"/>
        <v>10697.540579917011</v>
      </c>
      <c r="AN284" s="33">
        <f t="shared" si="711"/>
        <v>10757.714864703063</v>
      </c>
      <c r="AO284" s="33">
        <f t="shared" si="711"/>
        <v>10567.661462311042</v>
      </c>
      <c r="AP284" s="33">
        <f t="shared" si="711"/>
        <v>10382.513965151906</v>
      </c>
      <c r="AQ284" s="33">
        <f t="shared" si="711"/>
        <v>10200.390118890227</v>
      </c>
      <c r="AR284" s="33">
        <f t="shared" si="711"/>
        <v>10011.273857880749</v>
      </c>
      <c r="AS284" s="33">
        <f t="shared" si="711"/>
        <v>9862.6110885953931</v>
      </c>
      <c r="AT284" s="33">
        <f t="shared" si="711"/>
        <v>9713.2753568654498</v>
      </c>
      <c r="AU284" s="33">
        <f t="shared" si="711"/>
        <v>9566.2498436805326</v>
      </c>
      <c r="AV284" s="33">
        <f t="shared" si="711"/>
        <v>9633.2065473313341</v>
      </c>
      <c r="AW284" s="33">
        <f t="shared" si="711"/>
        <v>9697.6778379007337</v>
      </c>
      <c r="AX284" s="33">
        <f t="shared" si="711"/>
        <v>9763.563370565118</v>
      </c>
      <c r="AY284" s="33">
        <f t="shared" si="711"/>
        <v>9830.8892146905891</v>
      </c>
      <c r="AZ284" s="33">
        <f t="shared" si="711"/>
        <v>9899.6837175449728</v>
      </c>
      <c r="BA284" s="33">
        <f t="shared" si="711"/>
        <v>9935.1924314773714</v>
      </c>
      <c r="BB284" s="33">
        <f t="shared" si="711"/>
        <v>9973.8545857926911</v>
      </c>
      <c r="BC284" s="33">
        <f t="shared" si="711"/>
        <v>10015.757407850717</v>
      </c>
      <c r="BD284" s="33">
        <f t="shared" si="711"/>
        <v>10060.995251636599</v>
      </c>
      <c r="BE284" s="33">
        <f t="shared" ref="BE284:CP284" si="712">SUM(BE278:BE283)</f>
        <v>10109.669554540935</v>
      </c>
      <c r="BF284" s="33">
        <f t="shared" si="712"/>
        <v>10161.887901038961</v>
      </c>
      <c r="BG284" s="33">
        <f t="shared" si="712"/>
        <v>10217.765593196216</v>
      </c>
      <c r="BH284" s="33">
        <f t="shared" si="712"/>
        <v>10277.423584848937</v>
      </c>
      <c r="BI284" s="33">
        <f t="shared" si="712"/>
        <v>10340.990739764075</v>
      </c>
      <c r="BJ284" s="33">
        <f t="shared" si="712"/>
        <v>10408.601680838281</v>
      </c>
      <c r="BK284" s="33">
        <f t="shared" si="712"/>
        <v>10480.398601550567</v>
      </c>
      <c r="BL284" s="33">
        <f t="shared" si="712"/>
        <v>10556.53014529907</v>
      </c>
      <c r="BM284" s="33">
        <f t="shared" si="712"/>
        <v>10637.151764714188</v>
      </c>
      <c r="BN284" s="33">
        <f t="shared" si="712"/>
        <v>10722.425619275826</v>
      </c>
      <c r="BO284" s="33">
        <f t="shared" si="712"/>
        <v>10812.520839245182</v>
      </c>
      <c r="BP284" s="33">
        <f t="shared" si="712"/>
        <v>10907.613443714339</v>
      </c>
      <c r="BQ284" s="33">
        <f t="shared" si="712"/>
        <v>10981.92026552539</v>
      </c>
      <c r="BR284" s="33">
        <f t="shared" si="712"/>
        <v>11057.816383931506</v>
      </c>
      <c r="BS284" s="33">
        <f t="shared" si="712"/>
        <v>11131.731692783662</v>
      </c>
      <c r="BT284" s="33">
        <f t="shared" si="712"/>
        <v>11204.007510980555</v>
      </c>
      <c r="BU284" s="33">
        <f t="shared" si="712"/>
        <v>11277.798432092171</v>
      </c>
      <c r="BV284" s="33">
        <f t="shared" si="712"/>
        <v>11353.159145784219</v>
      </c>
      <c r="BW284" s="33">
        <f t="shared" si="712"/>
        <v>11430.146179134537</v>
      </c>
      <c r="BX284" s="33">
        <f t="shared" si="712"/>
        <v>11508.818013046317</v>
      </c>
      <c r="BY284" s="33">
        <f t="shared" si="712"/>
        <v>11589.234824685898</v>
      </c>
      <c r="BZ284" s="33">
        <f t="shared" si="712"/>
        <v>11671.458947527422</v>
      </c>
      <c r="CA284" s="33">
        <f t="shared" si="712"/>
        <v>11755.554516247734</v>
      </c>
      <c r="CB284" s="33">
        <f t="shared" si="712"/>
        <v>11841.587793363693</v>
      </c>
      <c r="CC284" s="33">
        <f t="shared" si="712"/>
        <v>11929.206447662704</v>
      </c>
      <c r="CD284" s="33">
        <f t="shared" si="712"/>
        <v>12013.843390126462</v>
      </c>
      <c r="CE284" s="33">
        <f t="shared" si="712"/>
        <v>12100.436371409056</v>
      </c>
      <c r="CF284" s="33">
        <f t="shared" si="712"/>
        <v>12189.055260300933</v>
      </c>
      <c r="CG284" s="33">
        <f t="shared" si="712"/>
        <v>12279.771974857475</v>
      </c>
      <c r="CH284" s="33">
        <f t="shared" si="712"/>
        <v>12285.169966985</v>
      </c>
      <c r="CI284" s="33">
        <f t="shared" si="712"/>
        <v>12292.372158915003</v>
      </c>
      <c r="CJ284" s="33">
        <f t="shared" si="712"/>
        <v>12301.524680501821</v>
      </c>
      <c r="CK284" s="33">
        <f t="shared" si="712"/>
        <v>12312.777945661872</v>
      </c>
      <c r="CL284" s="33">
        <f t="shared" si="712"/>
        <v>12326.286823909304</v>
      </c>
      <c r="CM284" s="33">
        <f t="shared" si="712"/>
        <v>12342.211142395008</v>
      </c>
      <c r="CN284" s="33">
        <f t="shared" si="712"/>
        <v>12360.715641419711</v>
      </c>
      <c r="CO284" s="33">
        <f t="shared" si="712"/>
        <v>12381.970155315097</v>
      </c>
      <c r="CP284" s="33">
        <f t="shared" si="712"/>
        <v>12396.916180062693</v>
      </c>
      <c r="CQ284" s="23" t="s">
        <v>77</v>
      </c>
      <c r="DB284" s="1" t="s">
        <v>41</v>
      </c>
      <c r="DD284" s="3"/>
      <c r="DE284" s="3"/>
      <c r="DF284" s="3"/>
      <c r="DG284" s="3"/>
      <c r="DH284" s="3"/>
      <c r="DI284" s="3"/>
      <c r="DJ284" s="3">
        <f t="shared" ref="DJ284:DO284" si="713">SUM(DJ278:DJ283)</f>
        <v>4513.7669999999998</v>
      </c>
      <c r="DK284" s="3">
        <f t="shared" si="713"/>
        <v>9461.4539999999979</v>
      </c>
      <c r="DL284" s="3">
        <f t="shared" si="713"/>
        <v>9644.3839999999964</v>
      </c>
      <c r="DM284" s="3">
        <f t="shared" si="713"/>
        <v>9929.6319999999996</v>
      </c>
      <c r="DN284" s="3">
        <f t="shared" si="713"/>
        <v>9705.35</v>
      </c>
      <c r="DO284" s="3">
        <f t="shared" si="713"/>
        <v>10369.529999999999</v>
      </c>
      <c r="DP284" s="3">
        <f t="shared" ref="DP284:DQ284" si="714">SUM(DP278:DP283)</f>
        <v>10345.783000000001</v>
      </c>
      <c r="DQ284" s="3">
        <f t="shared" si="714"/>
        <v>10639.301697493547</v>
      </c>
      <c r="DR284" s="3"/>
      <c r="DS284" s="3"/>
    </row>
    <row r="285" spans="2:123" ht="11.25" customHeight="1" outlineLevel="1" x14ac:dyDescent="0.2">
      <c r="CQ285" s="23" t="s">
        <v>77</v>
      </c>
      <c r="DL285" s="9"/>
      <c r="DM285" s="9"/>
      <c r="DN285" s="9"/>
      <c r="DO285" s="9"/>
      <c r="DP285" s="9"/>
      <c r="DQ285" s="9"/>
      <c r="DR285" s="9"/>
      <c r="DS285" s="9"/>
    </row>
    <row r="286" spans="2:123" ht="11.25" customHeight="1" outlineLevel="1" x14ac:dyDescent="0.2">
      <c r="B286" s="1" t="s">
        <v>42</v>
      </c>
      <c r="D286" s="3"/>
      <c r="E286" s="3"/>
      <c r="F286" s="3"/>
      <c r="G286" s="3"/>
      <c r="H286" s="3"/>
      <c r="I286" s="3"/>
      <c r="J286" s="3"/>
      <c r="K286" s="3">
        <f t="shared" ref="K286:BD286" si="715">SUM(K260,K269,-K276,-K284)</f>
        <v>613.76900000000023</v>
      </c>
      <c r="L286" s="3">
        <f t="shared" si="715"/>
        <v>591.46</v>
      </c>
      <c r="M286" s="3">
        <f t="shared" si="715"/>
        <v>1160.7669999999994</v>
      </c>
      <c r="N286" s="3">
        <f t="shared" si="715"/>
        <v>1250.2079999999992</v>
      </c>
      <c r="O286" s="3">
        <f t="shared" si="715"/>
        <v>1278.4549999999986</v>
      </c>
      <c r="P286" s="3">
        <f t="shared" si="715"/>
        <v>1395.1449999999995</v>
      </c>
      <c r="Q286" s="3">
        <f t="shared" si="715"/>
        <v>1667.8450000000003</v>
      </c>
      <c r="R286" s="3">
        <f t="shared" si="715"/>
        <v>1614.0419999999995</v>
      </c>
      <c r="S286" s="3">
        <f t="shared" si="715"/>
        <v>2512.3109999999997</v>
      </c>
      <c r="T286" s="33">
        <f t="shared" si="715"/>
        <v>2496.4889999999996</v>
      </c>
      <c r="U286" s="33">
        <f>SUM(U260,U269,-U276,-U284)</f>
        <v>4382.6500000000033</v>
      </c>
      <c r="V286" s="33">
        <f t="shared" si="715"/>
        <v>4029.1110000000008</v>
      </c>
      <c r="W286" s="33">
        <f t="shared" si="715"/>
        <v>3978.1830000000045</v>
      </c>
      <c r="X286" s="33">
        <f>SUM(X260,X269,-X276,-X284)</f>
        <v>4279.6295719049485</v>
      </c>
      <c r="Y286" s="33">
        <f t="shared" si="715"/>
        <v>4045.318208397046</v>
      </c>
      <c r="Z286" s="33">
        <f t="shared" si="715"/>
        <v>3825.2003252582999</v>
      </c>
      <c r="AA286" s="33">
        <f t="shared" si="715"/>
        <v>3584.4148694842861</v>
      </c>
      <c r="AB286" s="33">
        <f t="shared" si="715"/>
        <v>3331.6428441855242</v>
      </c>
      <c r="AC286" s="33">
        <f t="shared" si="715"/>
        <v>3116.3659275129721</v>
      </c>
      <c r="AD286" s="33">
        <f t="shared" si="715"/>
        <v>2939.8083826876009</v>
      </c>
      <c r="AE286" s="33">
        <f t="shared" si="715"/>
        <v>2794.684372345333</v>
      </c>
      <c r="AF286" s="33">
        <f t="shared" si="715"/>
        <v>2666.2056590221873</v>
      </c>
      <c r="AG286" s="33">
        <f t="shared" si="715"/>
        <v>2546.1189717224715</v>
      </c>
      <c r="AH286" s="33">
        <f t="shared" si="715"/>
        <v>2454.5288362627507</v>
      </c>
      <c r="AI286" s="33">
        <f t="shared" si="715"/>
        <v>2298.8588261563</v>
      </c>
      <c r="AJ286" s="33">
        <f t="shared" si="715"/>
        <v>2103.6746612039824</v>
      </c>
      <c r="AK286" s="33">
        <f t="shared" si="715"/>
        <v>1906.9100295333246</v>
      </c>
      <c r="AL286" s="33">
        <f t="shared" si="715"/>
        <v>1738.3766568263636</v>
      </c>
      <c r="AM286" s="33">
        <f t="shared" si="715"/>
        <v>1597.3129728605472</v>
      </c>
      <c r="AN286" s="33">
        <f t="shared" si="715"/>
        <v>1475.4079413631644</v>
      </c>
      <c r="AO286" s="33">
        <f t="shared" si="715"/>
        <v>1351.7320095918858</v>
      </c>
      <c r="AP286" s="33">
        <f t="shared" si="715"/>
        <v>877.32422963194404</v>
      </c>
      <c r="AQ286" s="33">
        <f t="shared" si="715"/>
        <v>426.43373442999655</v>
      </c>
      <c r="AR286" s="33">
        <f t="shared" si="715"/>
        <v>-78.842208810381635</v>
      </c>
      <c r="AS286" s="33">
        <f t="shared" si="715"/>
        <v>-658.36877197426656</v>
      </c>
      <c r="AT286" s="33">
        <f t="shared" si="715"/>
        <v>-1243.1294874849318</v>
      </c>
      <c r="AU286" s="33">
        <f t="shared" si="715"/>
        <v>-1809.9218365342886</v>
      </c>
      <c r="AV286" s="33">
        <f t="shared" si="715"/>
        <v>-2367.3985262555325</v>
      </c>
      <c r="AW286" s="33">
        <f t="shared" si="715"/>
        <v>-2944.3500321572947</v>
      </c>
      <c r="AX286" s="33">
        <f t="shared" si="715"/>
        <v>-3510.4459109011395</v>
      </c>
      <c r="AY286" s="33">
        <f t="shared" si="715"/>
        <v>-4065.4836090850931</v>
      </c>
      <c r="AZ286" s="33">
        <f t="shared" si="715"/>
        <v>-4609.2428565950731</v>
      </c>
      <c r="BA286" s="33">
        <f t="shared" si="715"/>
        <v>-5263.0299420625406</v>
      </c>
      <c r="BB286" s="33">
        <f t="shared" si="715"/>
        <v>-5909.5024605882663</v>
      </c>
      <c r="BC286" s="33">
        <f t="shared" si="715"/>
        <v>-6548.4569445288016</v>
      </c>
      <c r="BD286" s="33">
        <f t="shared" si="715"/>
        <v>-7179.6732975390787</v>
      </c>
      <c r="BE286" s="33">
        <f t="shared" ref="BE286:CP286" si="716">SUM(BE260,BE269,-BE276,-BE284)</f>
        <v>-7802.9148954190478</v>
      </c>
      <c r="BF286" s="33">
        <f t="shared" si="716"/>
        <v>-8417.9307708623746</v>
      </c>
      <c r="BG286" s="33">
        <f t="shared" si="716"/>
        <v>-9024.4519489433187</v>
      </c>
      <c r="BH286" s="33">
        <f t="shared" si="716"/>
        <v>-9622.1962673626622</v>
      </c>
      <c r="BI286" s="33">
        <f t="shared" si="716"/>
        <v>-10210.863107407737</v>
      </c>
      <c r="BJ286" s="33">
        <f t="shared" si="716"/>
        <v>-10790.138412488306</v>
      </c>
      <c r="BK286" s="33">
        <f t="shared" si="716"/>
        <v>-11359.690461413826</v>
      </c>
      <c r="BL286" s="33">
        <f t="shared" si="716"/>
        <v>-11919.172483274429</v>
      </c>
      <c r="BM286" s="33">
        <f t="shared" si="716"/>
        <v>-12468.221819043751</v>
      </c>
      <c r="BN286" s="33">
        <f t="shared" si="716"/>
        <v>-13006.460160472177</v>
      </c>
      <c r="BO286" s="33">
        <f t="shared" si="716"/>
        <v>-13533.492934246115</v>
      </c>
      <c r="BP286" s="33">
        <f t="shared" si="716"/>
        <v>-14048.909493205758</v>
      </c>
      <c r="BQ286" s="33">
        <f t="shared" si="716"/>
        <v>-14552.283023577431</v>
      </c>
      <c r="BR286" s="33">
        <f t="shared" si="716"/>
        <v>-15043.4436162323</v>
      </c>
      <c r="BS286" s="33">
        <f t="shared" si="716"/>
        <v>-15550.158977885249</v>
      </c>
      <c r="BT286" s="33">
        <f t="shared" si="716"/>
        <v>-16069.77462074576</v>
      </c>
      <c r="BU286" s="33">
        <f t="shared" si="716"/>
        <v>-16577.755032112771</v>
      </c>
      <c r="BV286" s="33">
        <f t="shared" si="716"/>
        <v>-17073.675063296254</v>
      </c>
      <c r="BW286" s="33">
        <f t="shared" si="716"/>
        <v>-17557.095274934447</v>
      </c>
      <c r="BX286" s="33">
        <f t="shared" si="716"/>
        <v>-18027.561031558205</v>
      </c>
      <c r="BY286" s="33">
        <f t="shared" si="716"/>
        <v>-18484.604504852952</v>
      </c>
      <c r="BZ286" s="33">
        <f t="shared" si="716"/>
        <v>-18927.741095534093</v>
      </c>
      <c r="CA286" s="33">
        <f t="shared" si="716"/>
        <v>-19356.472195276041</v>
      </c>
      <c r="CB286" s="33">
        <f t="shared" si="716"/>
        <v>-19770.282646200179</v>
      </c>
      <c r="CC286" s="33">
        <f t="shared" si="716"/>
        <v>-20171.913019749009</v>
      </c>
      <c r="CD286" s="33">
        <f t="shared" si="716"/>
        <v>-20596.885337279698</v>
      </c>
      <c r="CE286" s="33">
        <f t="shared" si="716"/>
        <v>-21006.795089679239</v>
      </c>
      <c r="CF286" s="33">
        <f t="shared" si="716"/>
        <v>-21401.099071534198</v>
      </c>
      <c r="CG286" s="33">
        <f t="shared" si="716"/>
        <v>-21779.238139019835</v>
      </c>
      <c r="CH286" s="33">
        <f t="shared" si="716"/>
        <v>-22504.75146880011</v>
      </c>
      <c r="CI286" s="33">
        <f t="shared" si="716"/>
        <v>-23226.100582863328</v>
      </c>
      <c r="CJ286" s="33">
        <f t="shared" si="716"/>
        <v>-23942.944577483147</v>
      </c>
      <c r="CK286" s="33">
        <f t="shared" si="716"/>
        <v>-24654.932552883707</v>
      </c>
      <c r="CL286" s="33">
        <f t="shared" si="716"/>
        <v>-25361.703212989974</v>
      </c>
      <c r="CM286" s="33">
        <f t="shared" si="716"/>
        <v>-26062.883694003493</v>
      </c>
      <c r="CN286" s="33">
        <f t="shared" si="716"/>
        <v>-26758.089668205292</v>
      </c>
      <c r="CO286" s="33">
        <f t="shared" si="716"/>
        <v>-27446.924921900092</v>
      </c>
      <c r="CP286" s="33">
        <f t="shared" si="716"/>
        <v>-28150.526030972382</v>
      </c>
      <c r="CQ286" s="23" t="s">
        <v>77</v>
      </c>
      <c r="DB286" s="1" t="s">
        <v>42</v>
      </c>
      <c r="DD286" s="3"/>
      <c r="DE286" s="3"/>
      <c r="DF286" s="3"/>
      <c r="DG286" s="3"/>
      <c r="DH286" s="3"/>
      <c r="DI286" s="3"/>
      <c r="DJ286" s="3">
        <f t="shared" ref="DJ286:DO286" si="717">SUM(DJ260,DJ269,-DJ276,-DJ284)</f>
        <v>3724.3510000000006</v>
      </c>
      <c r="DK286" s="3">
        <f t="shared" si="717"/>
        <v>4382.6500000000033</v>
      </c>
      <c r="DL286" s="3">
        <f t="shared" si="717"/>
        <v>4018.2090000000044</v>
      </c>
      <c r="DM286" s="3">
        <f t="shared" si="717"/>
        <v>4029.1110000000008</v>
      </c>
      <c r="DN286" s="3">
        <f t="shared" si="717"/>
        <v>3934.378999999999</v>
      </c>
      <c r="DO286" s="3">
        <f t="shared" si="717"/>
        <v>3978.1830000000045</v>
      </c>
      <c r="DP286" s="3">
        <f t="shared" ref="DP286:DQ286" si="718">SUM(DP260,DP269,-DP276,-DP284)</f>
        <v>3939.3599999999969</v>
      </c>
      <c r="DQ286" s="3">
        <f t="shared" si="718"/>
        <v>4279.6295719049485</v>
      </c>
      <c r="DR286" s="3"/>
      <c r="DS286" s="3"/>
    </row>
    <row r="287" spans="2:123" ht="11.25" customHeight="1" outlineLevel="1" x14ac:dyDescent="0.2">
      <c r="CQ287" s="23" t="s">
        <v>77</v>
      </c>
      <c r="DD287" s="8"/>
      <c r="DE287" s="8"/>
      <c r="DF287" s="8"/>
      <c r="DG287" s="8"/>
      <c r="DH287" s="8"/>
      <c r="DI287" s="8"/>
      <c r="DJ287" s="8"/>
      <c r="DK287" s="8"/>
    </row>
    <row r="288" spans="2:123" ht="11.25" customHeight="1" outlineLevel="1" x14ac:dyDescent="0.2">
      <c r="B288" s="7" t="s">
        <v>43</v>
      </c>
      <c r="D288" s="52"/>
      <c r="E288" s="52"/>
      <c r="F288" s="52"/>
      <c r="G288" s="52"/>
      <c r="H288" s="52"/>
      <c r="I288" s="52"/>
      <c r="J288" s="52"/>
      <c r="K288" s="52">
        <v>500.13499999999999</v>
      </c>
      <c r="L288" s="52">
        <v>505.37900000000002</v>
      </c>
      <c r="M288" s="52">
        <f>801.055+298.253</f>
        <v>1099.308</v>
      </c>
      <c r="N288" s="52">
        <f>844.15+364.539</f>
        <v>1208.6889999999999</v>
      </c>
      <c r="O288" s="52">
        <f>894.435+358.45</f>
        <v>1252.885</v>
      </c>
      <c r="P288" s="52">
        <f>984.936+320.931</f>
        <v>1305.867</v>
      </c>
      <c r="Q288" s="52">
        <f>1192.779+382.001</f>
        <v>1574.78</v>
      </c>
      <c r="R288" s="52">
        <f>1138.205+364.066</f>
        <v>1502.271</v>
      </c>
      <c r="S288" s="52">
        <f>1820.516+578.78</f>
        <v>2399.2960000000003</v>
      </c>
      <c r="T288" s="186">
        <f>1816.46+576.172</f>
        <v>2392.6320000000001</v>
      </c>
      <c r="U288" s="186">
        <f>3195.449+1005.086</f>
        <v>4200.5349999999999</v>
      </c>
      <c r="V288" s="186">
        <f>3195.445+1005.074</f>
        <v>4200.5190000000002</v>
      </c>
      <c r="W288" s="186">
        <f>3114.617+976.284</f>
        <v>4090.9010000000003</v>
      </c>
      <c r="X288" s="51">
        <f t="shared" ref="X288:BC288" si="719">W288+X233</f>
        <v>4595.6166960999999</v>
      </c>
      <c r="Y288" s="51">
        <f t="shared" si="719"/>
        <v>4595.6166960999999</v>
      </c>
      <c r="Z288" s="51">
        <f t="shared" si="719"/>
        <v>4595.6166960999999</v>
      </c>
      <c r="AA288" s="51">
        <f t="shared" si="719"/>
        <v>4595.6166960999999</v>
      </c>
      <c r="AB288" s="51">
        <f t="shared" si="719"/>
        <v>4595.6166960999999</v>
      </c>
      <c r="AC288" s="51">
        <f t="shared" si="719"/>
        <v>4595.6166960999999</v>
      </c>
      <c r="AD288" s="51">
        <f t="shared" si="719"/>
        <v>4595.6166960999999</v>
      </c>
      <c r="AE288" s="51">
        <f t="shared" si="719"/>
        <v>4595.6166960999999</v>
      </c>
      <c r="AF288" s="51">
        <f t="shared" si="719"/>
        <v>4595.6166960999999</v>
      </c>
      <c r="AG288" s="51">
        <f t="shared" si="719"/>
        <v>4595.6166960999999</v>
      </c>
      <c r="AH288" s="51">
        <f t="shared" si="719"/>
        <v>4595.6166960999999</v>
      </c>
      <c r="AI288" s="51">
        <f t="shared" si="719"/>
        <v>4595.6166960999999</v>
      </c>
      <c r="AJ288" s="51">
        <f t="shared" si="719"/>
        <v>4595.6166960999999</v>
      </c>
      <c r="AK288" s="51">
        <f t="shared" si="719"/>
        <v>4595.6166960999999</v>
      </c>
      <c r="AL288" s="51">
        <f t="shared" si="719"/>
        <v>4595.6166960999999</v>
      </c>
      <c r="AM288" s="51">
        <f t="shared" si="719"/>
        <v>4595.6166960999999</v>
      </c>
      <c r="AN288" s="51">
        <f t="shared" si="719"/>
        <v>4595.6166960999999</v>
      </c>
      <c r="AO288" s="51">
        <f t="shared" si="719"/>
        <v>4595.6166960999999</v>
      </c>
      <c r="AP288" s="51">
        <f t="shared" si="719"/>
        <v>4595.6166960999999</v>
      </c>
      <c r="AQ288" s="51">
        <f t="shared" si="719"/>
        <v>4595.6166960999999</v>
      </c>
      <c r="AR288" s="51">
        <f t="shared" si="719"/>
        <v>4595.6166960999999</v>
      </c>
      <c r="AS288" s="51">
        <f t="shared" si="719"/>
        <v>4595.6166960999999</v>
      </c>
      <c r="AT288" s="51">
        <f t="shared" si="719"/>
        <v>4595.6166960999999</v>
      </c>
      <c r="AU288" s="51">
        <f t="shared" si="719"/>
        <v>4595.6166960999999</v>
      </c>
      <c r="AV288" s="51">
        <f t="shared" si="719"/>
        <v>4595.6166960999999</v>
      </c>
      <c r="AW288" s="51">
        <f t="shared" si="719"/>
        <v>4595.6166960999999</v>
      </c>
      <c r="AX288" s="51">
        <f t="shared" si="719"/>
        <v>4595.6166960999999</v>
      </c>
      <c r="AY288" s="51">
        <f t="shared" si="719"/>
        <v>4595.6166960999999</v>
      </c>
      <c r="AZ288" s="51">
        <f t="shared" si="719"/>
        <v>4595.6166960999999</v>
      </c>
      <c r="BA288" s="51">
        <f t="shared" si="719"/>
        <v>4595.6166960999999</v>
      </c>
      <c r="BB288" s="51">
        <f t="shared" si="719"/>
        <v>4595.6166960999999</v>
      </c>
      <c r="BC288" s="51">
        <f t="shared" si="719"/>
        <v>4595.6166960999999</v>
      </c>
      <c r="BD288" s="51">
        <f t="shared" ref="BD288:CI288" si="720">BC288+BD233</f>
        <v>4595.6166960999999</v>
      </c>
      <c r="BE288" s="51">
        <f t="shared" si="720"/>
        <v>4595.6166960999999</v>
      </c>
      <c r="BF288" s="51">
        <f t="shared" si="720"/>
        <v>4595.6166960999999</v>
      </c>
      <c r="BG288" s="51">
        <f t="shared" si="720"/>
        <v>4595.6166960999999</v>
      </c>
      <c r="BH288" s="51">
        <f t="shared" si="720"/>
        <v>4595.6166960999999</v>
      </c>
      <c r="BI288" s="51">
        <f t="shared" si="720"/>
        <v>4595.6166960999999</v>
      </c>
      <c r="BJ288" s="51">
        <f t="shared" si="720"/>
        <v>4595.6166960999999</v>
      </c>
      <c r="BK288" s="51">
        <f t="shared" si="720"/>
        <v>4595.6166960999999</v>
      </c>
      <c r="BL288" s="51">
        <f t="shared" si="720"/>
        <v>4595.6166960999999</v>
      </c>
      <c r="BM288" s="51">
        <f t="shared" si="720"/>
        <v>4595.6166960999999</v>
      </c>
      <c r="BN288" s="51">
        <f t="shared" si="720"/>
        <v>4595.6166960999999</v>
      </c>
      <c r="BO288" s="51">
        <f t="shared" si="720"/>
        <v>4595.6166960999999</v>
      </c>
      <c r="BP288" s="51">
        <f t="shared" si="720"/>
        <v>4595.6166960999999</v>
      </c>
      <c r="BQ288" s="51">
        <f t="shared" si="720"/>
        <v>4595.6166960999999</v>
      </c>
      <c r="BR288" s="51">
        <f t="shared" si="720"/>
        <v>4595.6166960999999</v>
      </c>
      <c r="BS288" s="51">
        <f t="shared" si="720"/>
        <v>4595.6166960999999</v>
      </c>
      <c r="BT288" s="51">
        <f t="shared" si="720"/>
        <v>4595.6166960999999</v>
      </c>
      <c r="BU288" s="51">
        <f t="shared" si="720"/>
        <v>4595.6166960999999</v>
      </c>
      <c r="BV288" s="51">
        <f t="shared" si="720"/>
        <v>4595.6166960999999</v>
      </c>
      <c r="BW288" s="51">
        <f t="shared" si="720"/>
        <v>4595.6166960999999</v>
      </c>
      <c r="BX288" s="51">
        <f t="shared" si="720"/>
        <v>4595.6166960999999</v>
      </c>
      <c r="BY288" s="51">
        <f t="shared" si="720"/>
        <v>4595.6166960999999</v>
      </c>
      <c r="BZ288" s="51">
        <f t="shared" si="720"/>
        <v>4595.6166960999999</v>
      </c>
      <c r="CA288" s="51">
        <f t="shared" si="720"/>
        <v>4595.6166960999999</v>
      </c>
      <c r="CB288" s="51">
        <f t="shared" si="720"/>
        <v>4595.6166960999999</v>
      </c>
      <c r="CC288" s="51">
        <f t="shared" si="720"/>
        <v>4595.6166960999999</v>
      </c>
      <c r="CD288" s="51">
        <f t="shared" si="720"/>
        <v>4595.6166960999999</v>
      </c>
      <c r="CE288" s="51">
        <f t="shared" si="720"/>
        <v>4595.6166960999999</v>
      </c>
      <c r="CF288" s="51">
        <f t="shared" si="720"/>
        <v>4595.6166960999999</v>
      </c>
      <c r="CG288" s="51">
        <f t="shared" si="720"/>
        <v>4595.6166960999999</v>
      </c>
      <c r="CH288" s="51">
        <f t="shared" si="720"/>
        <v>4595.6166960999999</v>
      </c>
      <c r="CI288" s="51">
        <f t="shared" si="720"/>
        <v>4595.6166960999999</v>
      </c>
      <c r="CJ288" s="51">
        <f t="shared" ref="CJ288:CP288" si="721">CI288+CJ233</f>
        <v>4595.6166960999999</v>
      </c>
      <c r="CK288" s="51">
        <f t="shared" si="721"/>
        <v>4595.6166960999999</v>
      </c>
      <c r="CL288" s="51">
        <f t="shared" si="721"/>
        <v>4595.6166960999999</v>
      </c>
      <c r="CM288" s="51">
        <f t="shared" si="721"/>
        <v>4595.6166960999999</v>
      </c>
      <c r="CN288" s="51">
        <f t="shared" si="721"/>
        <v>4595.6166960999999</v>
      </c>
      <c r="CO288" s="51">
        <f t="shared" si="721"/>
        <v>4595.6166960999999</v>
      </c>
      <c r="CP288" s="51">
        <f t="shared" si="721"/>
        <v>4595.6166960999999</v>
      </c>
      <c r="CQ288" s="23" t="s">
        <v>77</v>
      </c>
      <c r="DB288" s="7" t="s">
        <v>43</v>
      </c>
      <c r="DD288" s="8"/>
      <c r="DE288" s="8"/>
      <c r="DF288" s="8"/>
      <c r="DG288" s="8"/>
      <c r="DH288" s="8"/>
      <c r="DI288" s="12"/>
      <c r="DJ288" s="8">
        <f>2536.275+800.215</f>
        <v>3336.4900000000002</v>
      </c>
      <c r="DK288" s="12">
        <f>U288</f>
        <v>4200.5349999999999</v>
      </c>
      <c r="DL288" s="52">
        <f>3195.445+1005.074</f>
        <v>4200.5190000000002</v>
      </c>
      <c r="DM288" s="12">
        <f>V288</f>
        <v>4200.5190000000002</v>
      </c>
      <c r="DN288" s="52">
        <f>3175.576+998.098</f>
        <v>4173.674</v>
      </c>
      <c r="DO288" s="12">
        <f>W288</f>
        <v>4090.9010000000003</v>
      </c>
      <c r="DP288" s="52">
        <f>2994.434+935.177</f>
        <v>3929.6110000000003</v>
      </c>
      <c r="DQ288" s="12">
        <f t="shared" ref="DQ288:DQ292" si="722">X288</f>
        <v>4595.6166960999999</v>
      </c>
      <c r="DR288" s="12"/>
      <c r="DS288" s="12"/>
    </row>
    <row r="289" spans="2:123" ht="11.25" customHeight="1" outlineLevel="1" x14ac:dyDescent="0.2">
      <c r="B289" s="7" t="s">
        <v>44</v>
      </c>
      <c r="D289" s="52"/>
      <c r="E289" s="52"/>
      <c r="F289" s="52"/>
      <c r="G289" s="52"/>
      <c r="H289" s="52"/>
      <c r="I289" s="52"/>
      <c r="J289" s="52"/>
      <c r="K289" s="52">
        <v>8.6690000000000005</v>
      </c>
      <c r="L289" s="52">
        <v>-14.51</v>
      </c>
      <c r="M289" s="52">
        <f>-3.21+0</f>
        <v>-3.21</v>
      </c>
      <c r="N289" s="52">
        <v>-1.9450000000000001</v>
      </c>
      <c r="O289" s="52">
        <f>21.123-1.446</f>
        <v>19.677</v>
      </c>
      <c r="P289" s="52">
        <f>59.955-0.101</f>
        <v>59.853999999999999</v>
      </c>
      <c r="Q289" s="52">
        <f>54.899+0.534</f>
        <v>55.433</v>
      </c>
      <c r="R289" s="52">
        <f>56.153+1.624</f>
        <v>57.777000000000001</v>
      </c>
      <c r="S289" s="52">
        <f>-52.07+0.467</f>
        <v>-51.603000000000002</v>
      </c>
      <c r="T289" s="186">
        <f>-116.243-0.394</f>
        <v>-116.637</v>
      </c>
      <c r="U289" s="186">
        <f>-308.792+0.595</f>
        <v>-308.19699999999995</v>
      </c>
      <c r="V289" s="186">
        <f>-395.335</f>
        <v>-395.33499999999998</v>
      </c>
      <c r="W289" s="186">
        <f>-207.773</f>
        <v>-207.773</v>
      </c>
      <c r="X289" s="51">
        <f t="shared" ref="X289:BC289" si="723">W289+X241</f>
        <v>-207.773</v>
      </c>
      <c r="Y289" s="51">
        <f t="shared" si="723"/>
        <v>-207.773</v>
      </c>
      <c r="Z289" s="51">
        <f t="shared" si="723"/>
        <v>-207.773</v>
      </c>
      <c r="AA289" s="51">
        <f t="shared" si="723"/>
        <v>-207.773</v>
      </c>
      <c r="AB289" s="51">
        <f t="shared" si="723"/>
        <v>-207.773</v>
      </c>
      <c r="AC289" s="51">
        <f t="shared" si="723"/>
        <v>-207.773</v>
      </c>
      <c r="AD289" s="51">
        <f t="shared" si="723"/>
        <v>-207.773</v>
      </c>
      <c r="AE289" s="51">
        <f t="shared" si="723"/>
        <v>-207.773</v>
      </c>
      <c r="AF289" s="51">
        <f t="shared" si="723"/>
        <v>-207.773</v>
      </c>
      <c r="AG289" s="51">
        <f t="shared" si="723"/>
        <v>-207.773</v>
      </c>
      <c r="AH289" s="51">
        <f t="shared" si="723"/>
        <v>-207.773</v>
      </c>
      <c r="AI289" s="51">
        <f t="shared" si="723"/>
        <v>-207.773</v>
      </c>
      <c r="AJ289" s="51">
        <f t="shared" si="723"/>
        <v>-207.773</v>
      </c>
      <c r="AK289" s="51">
        <f t="shared" si="723"/>
        <v>-207.773</v>
      </c>
      <c r="AL289" s="51">
        <f t="shared" si="723"/>
        <v>-207.773</v>
      </c>
      <c r="AM289" s="51">
        <f t="shared" si="723"/>
        <v>-207.773</v>
      </c>
      <c r="AN289" s="51">
        <f t="shared" si="723"/>
        <v>-207.773</v>
      </c>
      <c r="AO289" s="51">
        <f t="shared" si="723"/>
        <v>-207.773</v>
      </c>
      <c r="AP289" s="51">
        <f t="shared" si="723"/>
        <v>-207.773</v>
      </c>
      <c r="AQ289" s="51">
        <f t="shared" si="723"/>
        <v>-207.773</v>
      </c>
      <c r="AR289" s="51">
        <f t="shared" si="723"/>
        <v>-207.773</v>
      </c>
      <c r="AS289" s="51">
        <f t="shared" si="723"/>
        <v>-207.773</v>
      </c>
      <c r="AT289" s="51">
        <f t="shared" si="723"/>
        <v>-207.773</v>
      </c>
      <c r="AU289" s="51">
        <f t="shared" si="723"/>
        <v>-207.773</v>
      </c>
      <c r="AV289" s="51">
        <f t="shared" si="723"/>
        <v>-207.773</v>
      </c>
      <c r="AW289" s="51">
        <f t="shared" si="723"/>
        <v>-207.773</v>
      </c>
      <c r="AX289" s="51">
        <f t="shared" si="723"/>
        <v>-207.773</v>
      </c>
      <c r="AY289" s="51">
        <f t="shared" si="723"/>
        <v>-207.773</v>
      </c>
      <c r="AZ289" s="51">
        <f t="shared" si="723"/>
        <v>-207.773</v>
      </c>
      <c r="BA289" s="51">
        <f t="shared" si="723"/>
        <v>-207.773</v>
      </c>
      <c r="BB289" s="51">
        <f t="shared" si="723"/>
        <v>-207.773</v>
      </c>
      <c r="BC289" s="51">
        <f t="shared" si="723"/>
        <v>-207.773</v>
      </c>
      <c r="BD289" s="51">
        <f t="shared" ref="BD289:CI289" si="724">BC289+BD241</f>
        <v>-207.773</v>
      </c>
      <c r="BE289" s="51">
        <f t="shared" si="724"/>
        <v>-207.773</v>
      </c>
      <c r="BF289" s="51">
        <f t="shared" si="724"/>
        <v>-207.773</v>
      </c>
      <c r="BG289" s="51">
        <f t="shared" si="724"/>
        <v>-207.773</v>
      </c>
      <c r="BH289" s="51">
        <f t="shared" si="724"/>
        <v>-207.773</v>
      </c>
      <c r="BI289" s="51">
        <f t="shared" si="724"/>
        <v>-207.773</v>
      </c>
      <c r="BJ289" s="51">
        <f t="shared" si="724"/>
        <v>-207.773</v>
      </c>
      <c r="BK289" s="51">
        <f t="shared" si="724"/>
        <v>-207.773</v>
      </c>
      <c r="BL289" s="51">
        <f t="shared" si="724"/>
        <v>-207.773</v>
      </c>
      <c r="BM289" s="51">
        <f t="shared" si="724"/>
        <v>-207.773</v>
      </c>
      <c r="BN289" s="51">
        <f t="shared" si="724"/>
        <v>-207.773</v>
      </c>
      <c r="BO289" s="51">
        <f t="shared" si="724"/>
        <v>-207.773</v>
      </c>
      <c r="BP289" s="51">
        <f t="shared" si="724"/>
        <v>-207.773</v>
      </c>
      <c r="BQ289" s="51">
        <f t="shared" si="724"/>
        <v>-207.773</v>
      </c>
      <c r="BR289" s="51">
        <f t="shared" si="724"/>
        <v>-207.773</v>
      </c>
      <c r="BS289" s="51">
        <f t="shared" si="724"/>
        <v>-207.773</v>
      </c>
      <c r="BT289" s="51">
        <f t="shared" si="724"/>
        <v>-207.773</v>
      </c>
      <c r="BU289" s="51">
        <f t="shared" si="724"/>
        <v>-207.773</v>
      </c>
      <c r="BV289" s="51">
        <f t="shared" si="724"/>
        <v>-207.773</v>
      </c>
      <c r="BW289" s="51">
        <f t="shared" si="724"/>
        <v>-207.773</v>
      </c>
      <c r="BX289" s="51">
        <f t="shared" si="724"/>
        <v>-207.773</v>
      </c>
      <c r="BY289" s="51">
        <f t="shared" si="724"/>
        <v>-207.773</v>
      </c>
      <c r="BZ289" s="51">
        <f t="shared" si="724"/>
        <v>-207.773</v>
      </c>
      <c r="CA289" s="51">
        <f t="shared" si="724"/>
        <v>-207.773</v>
      </c>
      <c r="CB289" s="51">
        <f t="shared" si="724"/>
        <v>-207.773</v>
      </c>
      <c r="CC289" s="51">
        <f t="shared" si="724"/>
        <v>-207.773</v>
      </c>
      <c r="CD289" s="51">
        <f t="shared" si="724"/>
        <v>-207.773</v>
      </c>
      <c r="CE289" s="51">
        <f t="shared" si="724"/>
        <v>-207.773</v>
      </c>
      <c r="CF289" s="51">
        <f t="shared" si="724"/>
        <v>-207.773</v>
      </c>
      <c r="CG289" s="51">
        <f t="shared" si="724"/>
        <v>-207.773</v>
      </c>
      <c r="CH289" s="51">
        <f t="shared" si="724"/>
        <v>-207.773</v>
      </c>
      <c r="CI289" s="51">
        <f t="shared" si="724"/>
        <v>-207.773</v>
      </c>
      <c r="CJ289" s="51">
        <f t="shared" ref="CJ289:CP289" si="725">CI289+CJ241</f>
        <v>-207.773</v>
      </c>
      <c r="CK289" s="51">
        <f t="shared" si="725"/>
        <v>-207.773</v>
      </c>
      <c r="CL289" s="51">
        <f t="shared" si="725"/>
        <v>-207.773</v>
      </c>
      <c r="CM289" s="51">
        <f t="shared" si="725"/>
        <v>-207.773</v>
      </c>
      <c r="CN289" s="51">
        <f t="shared" si="725"/>
        <v>-207.773</v>
      </c>
      <c r="CO289" s="51">
        <f t="shared" si="725"/>
        <v>-207.773</v>
      </c>
      <c r="CP289" s="51">
        <f t="shared" si="725"/>
        <v>-207.773</v>
      </c>
      <c r="CQ289" s="23" t="s">
        <v>77</v>
      </c>
      <c r="DB289" s="7" t="s">
        <v>44</v>
      </c>
      <c r="DD289" s="8"/>
      <c r="DE289" s="8"/>
      <c r="DF289" s="8"/>
      <c r="DG289" s="8"/>
      <c r="DH289" s="8"/>
      <c r="DI289" s="12"/>
      <c r="DJ289" s="8">
        <f>-135.512+0.605</f>
        <v>-134.90700000000001</v>
      </c>
      <c r="DK289" s="12">
        <f>U289</f>
        <v>-308.19699999999995</v>
      </c>
      <c r="DL289" s="52">
        <f>-540.775+0.452</f>
        <v>-540.32299999999998</v>
      </c>
      <c r="DM289" s="12">
        <f>V289</f>
        <v>-395.33499999999998</v>
      </c>
      <c r="DN289" s="52">
        <v>-385.00799999999998</v>
      </c>
      <c r="DO289" s="12">
        <f>W289</f>
        <v>-207.773</v>
      </c>
      <c r="DP289" s="52">
        <v>-116.616</v>
      </c>
      <c r="DQ289" s="12">
        <f t="shared" si="722"/>
        <v>-207.773</v>
      </c>
      <c r="DR289" s="12"/>
      <c r="DS289" s="12"/>
    </row>
    <row r="290" spans="2:123" ht="11.25" customHeight="1" outlineLevel="1" x14ac:dyDescent="0.2">
      <c r="B290" s="7" t="s">
        <v>45</v>
      </c>
      <c r="D290" s="52"/>
      <c r="E290" s="52"/>
      <c r="F290" s="52"/>
      <c r="G290" s="52"/>
      <c r="H290" s="52"/>
      <c r="I290" s="52"/>
      <c r="J290" s="52"/>
      <c r="K290" s="52">
        <v>104.88</v>
      </c>
      <c r="L290" s="52">
        <v>100.49</v>
      </c>
      <c r="M290" s="52">
        <f>64.604+0</f>
        <v>64.603999999999999</v>
      </c>
      <c r="N290" s="52">
        <v>43.375</v>
      </c>
      <c r="O290" s="52">
        <f>-4.998+10.81</f>
        <v>5.8120000000000003</v>
      </c>
      <c r="P290" s="52">
        <f>9.364+19.928</f>
        <v>29.292000000000002</v>
      </c>
      <c r="Q290" s="52">
        <f>19.054+18.295</f>
        <v>37.349000000000004</v>
      </c>
      <c r="R290" s="52">
        <f>32.785+21.16</f>
        <v>53.944999999999993</v>
      </c>
      <c r="S290" s="52">
        <f>145.144+19.424</f>
        <v>164.56800000000001</v>
      </c>
      <c r="T290" s="186">
        <f>200.978+19.465</f>
        <v>220.44300000000001</v>
      </c>
      <c r="U290" s="186">
        <f>463.772+26.488</f>
        <v>490.26</v>
      </c>
      <c r="V290" s="186">
        <f>182.062+41.812</f>
        <v>223.87400000000002</v>
      </c>
      <c r="W290" s="186">
        <f>60.804+34.198</f>
        <v>95.00200000000001</v>
      </c>
      <c r="X290" s="51">
        <f t="shared" ref="X290:BC290" si="726">W290+X122+X234</f>
        <v>-108.26712419505458</v>
      </c>
      <c r="Y290" s="51">
        <f t="shared" si="726"/>
        <v>-342.57848770295578</v>
      </c>
      <c r="Z290" s="51">
        <f t="shared" si="726"/>
        <v>-562.69637084170199</v>
      </c>
      <c r="AA290" s="51">
        <f t="shared" si="726"/>
        <v>-803.48182661571559</v>
      </c>
      <c r="AB290" s="51">
        <f t="shared" si="726"/>
        <v>-1056.2538519144773</v>
      </c>
      <c r="AC290" s="51">
        <f t="shared" si="726"/>
        <v>-1271.5307685870287</v>
      </c>
      <c r="AD290" s="51">
        <f t="shared" si="726"/>
        <v>-1448.0883134124015</v>
      </c>
      <c r="AE290" s="51">
        <f t="shared" si="726"/>
        <v>-1593.2123237546662</v>
      </c>
      <c r="AF290" s="51">
        <f t="shared" si="726"/>
        <v>-1721.6910370778146</v>
      </c>
      <c r="AG290" s="51">
        <f t="shared" si="726"/>
        <v>-1841.7777243775308</v>
      </c>
      <c r="AH290" s="51">
        <f t="shared" si="726"/>
        <v>-1933.3678598372494</v>
      </c>
      <c r="AI290" s="51">
        <f t="shared" si="726"/>
        <v>-2089.0378699436997</v>
      </c>
      <c r="AJ290" s="51">
        <f t="shared" si="726"/>
        <v>-2284.2220348960172</v>
      </c>
      <c r="AK290" s="51">
        <f t="shared" si="726"/>
        <v>-2480.9866665666759</v>
      </c>
      <c r="AL290" s="51">
        <f t="shared" si="726"/>
        <v>-2649.5200392736356</v>
      </c>
      <c r="AM290" s="51">
        <f t="shared" si="726"/>
        <v>-2790.5837232394542</v>
      </c>
      <c r="AN290" s="51">
        <f t="shared" si="726"/>
        <v>-2912.4887547368367</v>
      </c>
      <c r="AO290" s="51">
        <f t="shared" si="726"/>
        <v>-3036.1646865081143</v>
      </c>
      <c r="AP290" s="51">
        <f t="shared" si="726"/>
        <v>-3510.572466468057</v>
      </c>
      <c r="AQ290" s="51">
        <f t="shared" si="726"/>
        <v>-3961.4629616700049</v>
      </c>
      <c r="AR290" s="51">
        <f t="shared" si="726"/>
        <v>-4466.7389049103813</v>
      </c>
      <c r="AS290" s="51">
        <f t="shared" si="726"/>
        <v>-5046.2654680742662</v>
      </c>
      <c r="AT290" s="51">
        <f t="shared" si="726"/>
        <v>-5631.0261835849324</v>
      </c>
      <c r="AU290" s="51">
        <f t="shared" si="726"/>
        <v>-6197.81853263429</v>
      </c>
      <c r="AV290" s="51">
        <f t="shared" si="726"/>
        <v>-6755.2952223555321</v>
      </c>
      <c r="AW290" s="51">
        <f t="shared" si="726"/>
        <v>-7332.2467282572934</v>
      </c>
      <c r="AX290" s="51">
        <f t="shared" si="726"/>
        <v>-7898.342607001141</v>
      </c>
      <c r="AY290" s="51">
        <f t="shared" si="726"/>
        <v>-8453.3803051850937</v>
      </c>
      <c r="AZ290" s="51">
        <f t="shared" si="726"/>
        <v>-8997.1395526950728</v>
      </c>
      <c r="BA290" s="51">
        <f t="shared" si="726"/>
        <v>-9650.9266381625384</v>
      </c>
      <c r="BB290" s="51">
        <f t="shared" si="726"/>
        <v>-10297.399156688265</v>
      </c>
      <c r="BC290" s="51">
        <f t="shared" si="726"/>
        <v>-10936.353640628799</v>
      </c>
      <c r="BD290" s="51">
        <f t="shared" ref="BD290:CI290" si="727">BC290+BD122+BD234</f>
        <v>-11567.569993639074</v>
      </c>
      <c r="BE290" s="51">
        <f t="shared" si="727"/>
        <v>-12190.811591519045</v>
      </c>
      <c r="BF290" s="51">
        <f t="shared" si="727"/>
        <v>-12805.827466962372</v>
      </c>
      <c r="BG290" s="51">
        <f t="shared" si="727"/>
        <v>-13412.348645043316</v>
      </c>
      <c r="BH290" s="51">
        <f t="shared" si="727"/>
        <v>-14010.092963462659</v>
      </c>
      <c r="BI290" s="51">
        <f t="shared" si="727"/>
        <v>-14598.759803507732</v>
      </c>
      <c r="BJ290" s="51">
        <f t="shared" si="727"/>
        <v>-15178.035108588301</v>
      </c>
      <c r="BK290" s="51">
        <f t="shared" si="727"/>
        <v>-15747.587157513821</v>
      </c>
      <c r="BL290" s="51">
        <f t="shared" si="727"/>
        <v>-16307.069179374424</v>
      </c>
      <c r="BM290" s="51">
        <f t="shared" si="727"/>
        <v>-16856.118515143746</v>
      </c>
      <c r="BN290" s="51">
        <f t="shared" si="727"/>
        <v>-17394.356856572173</v>
      </c>
      <c r="BO290" s="51">
        <f t="shared" si="727"/>
        <v>-17921.389630346108</v>
      </c>
      <c r="BP290" s="51">
        <f t="shared" si="727"/>
        <v>-18436.806189305749</v>
      </c>
      <c r="BQ290" s="51">
        <f t="shared" si="727"/>
        <v>-18940.179719677424</v>
      </c>
      <c r="BR290" s="51">
        <f t="shared" si="727"/>
        <v>-19431.340312332293</v>
      </c>
      <c r="BS290" s="51">
        <f t="shared" si="727"/>
        <v>-19938.055673985244</v>
      </c>
      <c r="BT290" s="51">
        <f t="shared" si="727"/>
        <v>-20457.671316845754</v>
      </c>
      <c r="BU290" s="51">
        <f t="shared" si="727"/>
        <v>-20965.651728212761</v>
      </c>
      <c r="BV290" s="51">
        <f t="shared" si="727"/>
        <v>-21461.571759396244</v>
      </c>
      <c r="BW290" s="51">
        <f t="shared" si="727"/>
        <v>-21944.991971034437</v>
      </c>
      <c r="BX290" s="51">
        <f t="shared" si="727"/>
        <v>-22415.457727658195</v>
      </c>
      <c r="BY290" s="51">
        <f t="shared" si="727"/>
        <v>-22872.501200952942</v>
      </c>
      <c r="BZ290" s="51">
        <f t="shared" si="727"/>
        <v>-23315.637791634083</v>
      </c>
      <c r="CA290" s="51">
        <f t="shared" si="727"/>
        <v>-23744.368891376031</v>
      </c>
      <c r="CB290" s="51">
        <f t="shared" si="727"/>
        <v>-24158.179342300169</v>
      </c>
      <c r="CC290" s="51">
        <f t="shared" si="727"/>
        <v>-24559.809715848998</v>
      </c>
      <c r="CD290" s="51">
        <f t="shared" si="727"/>
        <v>-24984.782033379684</v>
      </c>
      <c r="CE290" s="51">
        <f t="shared" si="727"/>
        <v>-25394.691785779229</v>
      </c>
      <c r="CF290" s="51">
        <f t="shared" si="727"/>
        <v>-25788.995767634184</v>
      </c>
      <c r="CG290" s="51">
        <f t="shared" si="727"/>
        <v>-26167.134835119825</v>
      </c>
      <c r="CH290" s="51">
        <f t="shared" si="727"/>
        <v>-26892.648164900093</v>
      </c>
      <c r="CI290" s="51">
        <f t="shared" si="727"/>
        <v>-27613.997278963314</v>
      </c>
      <c r="CJ290" s="51">
        <f t="shared" ref="CJ290:CP290" si="728">CI290+CJ122+CJ234</f>
        <v>-28330.841273583126</v>
      </c>
      <c r="CK290" s="51">
        <f t="shared" si="728"/>
        <v>-29042.829248983686</v>
      </c>
      <c r="CL290" s="51">
        <f t="shared" si="728"/>
        <v>-29749.599909089957</v>
      </c>
      <c r="CM290" s="51">
        <f t="shared" si="728"/>
        <v>-30450.780390103471</v>
      </c>
      <c r="CN290" s="51">
        <f t="shared" si="728"/>
        <v>-31145.98636430527</v>
      </c>
      <c r="CO290" s="51">
        <f t="shared" si="728"/>
        <v>-31834.821618000067</v>
      </c>
      <c r="CP290" s="51">
        <f t="shared" si="728"/>
        <v>-32538.422727072353</v>
      </c>
      <c r="CQ290" s="23" t="s">
        <v>77</v>
      </c>
      <c r="DB290" s="7" t="s">
        <v>45</v>
      </c>
      <c r="DD290" s="8"/>
      <c r="DE290" s="8"/>
      <c r="DF290" s="8"/>
      <c r="DG290" s="8"/>
      <c r="DH290" s="8"/>
      <c r="DI290" s="12"/>
      <c r="DJ290" s="8">
        <f>502.857+19.859</f>
        <v>522.71600000000001</v>
      </c>
      <c r="DK290" s="12">
        <f>U290</f>
        <v>490.26</v>
      </c>
      <c r="DL290" s="52">
        <f>314.672+43.29</f>
        <v>357.96200000000005</v>
      </c>
      <c r="DM290" s="12">
        <f>V290</f>
        <v>223.87400000000002</v>
      </c>
      <c r="DN290" s="52">
        <f>106.89+38.77</f>
        <v>145.66</v>
      </c>
      <c r="DO290" s="12">
        <f>W290</f>
        <v>95.00200000000001</v>
      </c>
      <c r="DP290" s="52">
        <f>92.491+33.821</f>
        <v>126.312</v>
      </c>
      <c r="DQ290" s="12">
        <f t="shared" si="722"/>
        <v>-108.26712419505458</v>
      </c>
      <c r="DR290" s="12"/>
      <c r="DS290" s="12"/>
    </row>
    <row r="291" spans="2:123" ht="11.25" customHeight="1" outlineLevel="1" x14ac:dyDescent="0.2">
      <c r="B291" s="7" t="s">
        <v>98</v>
      </c>
      <c r="D291" s="52"/>
      <c r="E291" s="52"/>
      <c r="F291" s="52"/>
      <c r="G291" s="52"/>
      <c r="H291" s="52"/>
      <c r="I291" s="52"/>
      <c r="J291" s="52"/>
      <c r="K291" s="52">
        <v>8.5000000000000006E-2</v>
      </c>
      <c r="L291" s="52">
        <v>0.10100000000000001</v>
      </c>
      <c r="M291" s="52">
        <v>6.5000000000000002E-2</v>
      </c>
      <c r="N291" s="52">
        <v>8.8999999999999996E-2</v>
      </c>
      <c r="O291" s="52">
        <v>8.1000000000000003E-2</v>
      </c>
      <c r="P291" s="52">
        <v>0.13200000000000001</v>
      </c>
      <c r="Q291" s="52">
        <v>0.28299999999999997</v>
      </c>
      <c r="R291" s="52">
        <v>4.9000000000000002E-2</v>
      </c>
      <c r="S291" s="52">
        <v>0.05</v>
      </c>
      <c r="T291" s="186">
        <v>5.0999999999999997E-2</v>
      </c>
      <c r="U291" s="186">
        <v>5.1999999999999998E-2</v>
      </c>
      <c r="V291" s="186">
        <v>5.2999999999999999E-2</v>
      </c>
      <c r="W291" s="186">
        <v>5.2999999999999999E-2</v>
      </c>
      <c r="X291" s="51">
        <f t="shared" ref="X291:BC291" si="729">+W291+X235</f>
        <v>5.2999999999999999E-2</v>
      </c>
      <c r="Y291" s="51">
        <f t="shared" si="729"/>
        <v>5.2999999999999999E-2</v>
      </c>
      <c r="Z291" s="51">
        <f t="shared" si="729"/>
        <v>5.2999999999999999E-2</v>
      </c>
      <c r="AA291" s="51">
        <f t="shared" si="729"/>
        <v>5.2999999999999999E-2</v>
      </c>
      <c r="AB291" s="51">
        <f t="shared" si="729"/>
        <v>5.2999999999999999E-2</v>
      </c>
      <c r="AC291" s="51">
        <f t="shared" si="729"/>
        <v>5.2999999999999999E-2</v>
      </c>
      <c r="AD291" s="51">
        <f t="shared" si="729"/>
        <v>5.2999999999999999E-2</v>
      </c>
      <c r="AE291" s="51">
        <f t="shared" si="729"/>
        <v>5.2999999999999999E-2</v>
      </c>
      <c r="AF291" s="51">
        <f t="shared" si="729"/>
        <v>5.2999999999999999E-2</v>
      </c>
      <c r="AG291" s="51">
        <f t="shared" si="729"/>
        <v>5.2999999999999999E-2</v>
      </c>
      <c r="AH291" s="51">
        <f t="shared" si="729"/>
        <v>5.2999999999999999E-2</v>
      </c>
      <c r="AI291" s="51">
        <f t="shared" si="729"/>
        <v>5.2999999999999999E-2</v>
      </c>
      <c r="AJ291" s="51">
        <f t="shared" si="729"/>
        <v>5.2999999999999999E-2</v>
      </c>
      <c r="AK291" s="51">
        <f t="shared" si="729"/>
        <v>5.2999999999999999E-2</v>
      </c>
      <c r="AL291" s="51">
        <f t="shared" si="729"/>
        <v>5.2999999999999999E-2</v>
      </c>
      <c r="AM291" s="51">
        <f t="shared" si="729"/>
        <v>5.2999999999999999E-2</v>
      </c>
      <c r="AN291" s="51">
        <f t="shared" si="729"/>
        <v>5.2999999999999999E-2</v>
      </c>
      <c r="AO291" s="51">
        <f t="shared" si="729"/>
        <v>5.2999999999999999E-2</v>
      </c>
      <c r="AP291" s="51">
        <f t="shared" si="729"/>
        <v>5.2999999999999999E-2</v>
      </c>
      <c r="AQ291" s="51">
        <f t="shared" si="729"/>
        <v>5.2999999999999999E-2</v>
      </c>
      <c r="AR291" s="51">
        <f t="shared" si="729"/>
        <v>5.2999999999999999E-2</v>
      </c>
      <c r="AS291" s="51">
        <f t="shared" si="729"/>
        <v>5.2999999999999999E-2</v>
      </c>
      <c r="AT291" s="51">
        <f t="shared" si="729"/>
        <v>5.2999999999999999E-2</v>
      </c>
      <c r="AU291" s="51">
        <f t="shared" si="729"/>
        <v>5.2999999999999999E-2</v>
      </c>
      <c r="AV291" s="51">
        <f t="shared" si="729"/>
        <v>5.2999999999999999E-2</v>
      </c>
      <c r="AW291" s="51">
        <f t="shared" si="729"/>
        <v>5.2999999999999999E-2</v>
      </c>
      <c r="AX291" s="51">
        <f t="shared" si="729"/>
        <v>5.2999999999999999E-2</v>
      </c>
      <c r="AY291" s="51">
        <f t="shared" si="729"/>
        <v>5.2999999999999999E-2</v>
      </c>
      <c r="AZ291" s="51">
        <f t="shared" si="729"/>
        <v>5.2999999999999999E-2</v>
      </c>
      <c r="BA291" s="51">
        <f t="shared" si="729"/>
        <v>5.2999999999999999E-2</v>
      </c>
      <c r="BB291" s="51">
        <f t="shared" si="729"/>
        <v>5.2999999999999999E-2</v>
      </c>
      <c r="BC291" s="51">
        <f t="shared" si="729"/>
        <v>5.2999999999999999E-2</v>
      </c>
      <c r="BD291" s="51">
        <f t="shared" ref="BD291:CI291" si="730">+BC291+BD235</f>
        <v>5.2999999999999999E-2</v>
      </c>
      <c r="BE291" s="51">
        <f t="shared" si="730"/>
        <v>5.2999999999999999E-2</v>
      </c>
      <c r="BF291" s="51">
        <f t="shared" si="730"/>
        <v>5.2999999999999999E-2</v>
      </c>
      <c r="BG291" s="51">
        <f t="shared" si="730"/>
        <v>5.2999999999999999E-2</v>
      </c>
      <c r="BH291" s="51">
        <f t="shared" si="730"/>
        <v>5.2999999999999999E-2</v>
      </c>
      <c r="BI291" s="51">
        <f t="shared" si="730"/>
        <v>5.2999999999999999E-2</v>
      </c>
      <c r="BJ291" s="51">
        <f t="shared" si="730"/>
        <v>5.2999999999999999E-2</v>
      </c>
      <c r="BK291" s="51">
        <f t="shared" si="730"/>
        <v>5.2999999999999999E-2</v>
      </c>
      <c r="BL291" s="51">
        <f t="shared" si="730"/>
        <v>5.2999999999999999E-2</v>
      </c>
      <c r="BM291" s="51">
        <f t="shared" si="730"/>
        <v>5.2999999999999999E-2</v>
      </c>
      <c r="BN291" s="51">
        <f t="shared" si="730"/>
        <v>5.2999999999999999E-2</v>
      </c>
      <c r="BO291" s="51">
        <f t="shared" si="730"/>
        <v>5.2999999999999999E-2</v>
      </c>
      <c r="BP291" s="51">
        <f t="shared" si="730"/>
        <v>5.2999999999999999E-2</v>
      </c>
      <c r="BQ291" s="51">
        <f t="shared" si="730"/>
        <v>5.2999999999999999E-2</v>
      </c>
      <c r="BR291" s="51">
        <f t="shared" si="730"/>
        <v>5.2999999999999999E-2</v>
      </c>
      <c r="BS291" s="51">
        <f t="shared" si="730"/>
        <v>5.2999999999999999E-2</v>
      </c>
      <c r="BT291" s="51">
        <f t="shared" si="730"/>
        <v>5.2999999999999999E-2</v>
      </c>
      <c r="BU291" s="51">
        <f t="shared" si="730"/>
        <v>5.2999999999999999E-2</v>
      </c>
      <c r="BV291" s="51">
        <f t="shared" si="730"/>
        <v>5.2999999999999999E-2</v>
      </c>
      <c r="BW291" s="51">
        <f t="shared" si="730"/>
        <v>5.2999999999999999E-2</v>
      </c>
      <c r="BX291" s="51">
        <f t="shared" si="730"/>
        <v>5.2999999999999999E-2</v>
      </c>
      <c r="BY291" s="51">
        <f t="shared" si="730"/>
        <v>5.2999999999999999E-2</v>
      </c>
      <c r="BZ291" s="51">
        <f t="shared" si="730"/>
        <v>5.2999999999999999E-2</v>
      </c>
      <c r="CA291" s="51">
        <f t="shared" si="730"/>
        <v>5.2999999999999999E-2</v>
      </c>
      <c r="CB291" s="51">
        <f t="shared" si="730"/>
        <v>5.2999999999999999E-2</v>
      </c>
      <c r="CC291" s="51">
        <f t="shared" si="730"/>
        <v>5.2999999999999999E-2</v>
      </c>
      <c r="CD291" s="51">
        <f t="shared" si="730"/>
        <v>5.2999999999999999E-2</v>
      </c>
      <c r="CE291" s="51">
        <f t="shared" si="730"/>
        <v>5.2999999999999999E-2</v>
      </c>
      <c r="CF291" s="51">
        <f t="shared" si="730"/>
        <v>5.2999999999999999E-2</v>
      </c>
      <c r="CG291" s="51">
        <f t="shared" si="730"/>
        <v>5.2999999999999999E-2</v>
      </c>
      <c r="CH291" s="51">
        <f t="shared" si="730"/>
        <v>5.2999999999999999E-2</v>
      </c>
      <c r="CI291" s="51">
        <f t="shared" si="730"/>
        <v>5.2999999999999999E-2</v>
      </c>
      <c r="CJ291" s="51">
        <f t="shared" ref="CJ291:CP291" si="731">+CI291+CJ235</f>
        <v>5.2999999999999999E-2</v>
      </c>
      <c r="CK291" s="51">
        <f t="shared" si="731"/>
        <v>5.2999999999999999E-2</v>
      </c>
      <c r="CL291" s="51">
        <f t="shared" si="731"/>
        <v>5.2999999999999999E-2</v>
      </c>
      <c r="CM291" s="51">
        <f t="shared" si="731"/>
        <v>5.2999999999999999E-2</v>
      </c>
      <c r="CN291" s="51">
        <f t="shared" si="731"/>
        <v>5.2999999999999999E-2</v>
      </c>
      <c r="CO291" s="51">
        <f t="shared" si="731"/>
        <v>5.2999999999999999E-2</v>
      </c>
      <c r="CP291" s="51">
        <f t="shared" si="731"/>
        <v>5.2999999999999999E-2</v>
      </c>
      <c r="CQ291" s="23" t="s">
        <v>77</v>
      </c>
      <c r="DB291" s="7" t="s">
        <v>98</v>
      </c>
      <c r="DD291" s="8"/>
      <c r="DE291" s="8"/>
      <c r="DF291" s="8"/>
      <c r="DG291" s="8"/>
      <c r="DH291" s="8"/>
      <c r="DI291" s="12"/>
      <c r="DJ291" s="52">
        <v>5.1999999999999998E-2</v>
      </c>
      <c r="DK291" s="12">
        <f>U291</f>
        <v>5.1999999999999998E-2</v>
      </c>
      <c r="DL291" s="52">
        <v>5.2999999999999999E-2</v>
      </c>
      <c r="DM291" s="12">
        <f>V291</f>
        <v>5.2999999999999999E-2</v>
      </c>
      <c r="DN291" s="52">
        <v>5.2999999999999999E-2</v>
      </c>
      <c r="DO291" s="12">
        <f>W291</f>
        <v>5.2999999999999999E-2</v>
      </c>
      <c r="DP291" s="52">
        <v>5.2999999999999999E-2</v>
      </c>
      <c r="DQ291" s="12">
        <f t="shared" si="722"/>
        <v>5.2999999999999999E-2</v>
      </c>
      <c r="DR291" s="12"/>
      <c r="DS291" s="12"/>
    </row>
    <row r="292" spans="2:123" ht="11.25" customHeight="1" outlineLevel="1" x14ac:dyDescent="0.2">
      <c r="B292" s="1" t="s">
        <v>114</v>
      </c>
      <c r="D292" s="3"/>
      <c r="E292" s="3"/>
      <c r="F292" s="3"/>
      <c r="G292" s="3"/>
      <c r="H292" s="3"/>
      <c r="I292" s="3"/>
      <c r="J292" s="3"/>
      <c r="K292" s="3">
        <f t="shared" ref="K292:S292" si="732">SUM(K288:K291)</f>
        <v>613.76900000000001</v>
      </c>
      <c r="L292" s="3">
        <f t="shared" si="732"/>
        <v>591.46</v>
      </c>
      <c r="M292" s="3">
        <f t="shared" si="732"/>
        <v>1160.7670000000001</v>
      </c>
      <c r="N292" s="3">
        <f t="shared" si="732"/>
        <v>1250.2079999999999</v>
      </c>
      <c r="O292" s="3">
        <f t="shared" si="732"/>
        <v>1278.4549999999997</v>
      </c>
      <c r="P292" s="3">
        <f t="shared" si="732"/>
        <v>1395.145</v>
      </c>
      <c r="Q292" s="3">
        <f t="shared" si="732"/>
        <v>1667.8449999999998</v>
      </c>
      <c r="R292" s="3">
        <f t="shared" si="732"/>
        <v>1614.0419999999999</v>
      </c>
      <c r="S292" s="3">
        <f t="shared" si="732"/>
        <v>2512.3110000000006</v>
      </c>
      <c r="T292" s="33">
        <f t="shared" ref="T292:BD292" si="733">SUM(T288:T291)</f>
        <v>2496.489</v>
      </c>
      <c r="U292" s="33">
        <f t="shared" si="733"/>
        <v>4382.6499999999996</v>
      </c>
      <c r="V292" s="33">
        <f t="shared" si="733"/>
        <v>4029.1109999999999</v>
      </c>
      <c r="W292" s="33">
        <f t="shared" si="733"/>
        <v>3978.183</v>
      </c>
      <c r="X292" s="33">
        <f t="shared" si="733"/>
        <v>4279.6295719049449</v>
      </c>
      <c r="Y292" s="33">
        <f t="shared" si="733"/>
        <v>4045.3182083970437</v>
      </c>
      <c r="Z292" s="33">
        <f t="shared" si="733"/>
        <v>3825.2003252582977</v>
      </c>
      <c r="AA292" s="33">
        <f t="shared" si="733"/>
        <v>3584.4148694842843</v>
      </c>
      <c r="AB292" s="33">
        <f t="shared" si="733"/>
        <v>3331.6428441855223</v>
      </c>
      <c r="AC292" s="33">
        <f t="shared" si="733"/>
        <v>3116.3659275129712</v>
      </c>
      <c r="AD292" s="33">
        <f t="shared" si="733"/>
        <v>2939.8083826875982</v>
      </c>
      <c r="AE292" s="33">
        <f t="shared" si="733"/>
        <v>2794.6843723453335</v>
      </c>
      <c r="AF292" s="33">
        <f t="shared" si="733"/>
        <v>2666.205659022185</v>
      </c>
      <c r="AG292" s="33">
        <f t="shared" si="733"/>
        <v>2546.1189717224688</v>
      </c>
      <c r="AH292" s="33">
        <f t="shared" si="733"/>
        <v>2454.5288362627502</v>
      </c>
      <c r="AI292" s="33">
        <f t="shared" si="733"/>
        <v>2298.8588261563</v>
      </c>
      <c r="AJ292" s="33">
        <f t="shared" si="733"/>
        <v>2103.6746612039824</v>
      </c>
      <c r="AK292" s="33">
        <f t="shared" si="733"/>
        <v>1906.910029533324</v>
      </c>
      <c r="AL292" s="33">
        <f t="shared" si="733"/>
        <v>1738.3766568263643</v>
      </c>
      <c r="AM292" s="33">
        <f t="shared" si="733"/>
        <v>1597.3129728605456</v>
      </c>
      <c r="AN292" s="33">
        <f t="shared" si="733"/>
        <v>1475.4079413631632</v>
      </c>
      <c r="AO292" s="33">
        <f t="shared" si="733"/>
        <v>1351.7320095918856</v>
      </c>
      <c r="AP292" s="33">
        <f t="shared" si="733"/>
        <v>877.32422963194279</v>
      </c>
      <c r="AQ292" s="33">
        <f t="shared" si="733"/>
        <v>426.43373442999484</v>
      </c>
      <c r="AR292" s="33">
        <f t="shared" si="733"/>
        <v>-78.842208810381521</v>
      </c>
      <c r="AS292" s="33">
        <f t="shared" si="733"/>
        <v>-658.36877197426645</v>
      </c>
      <c r="AT292" s="33">
        <f t="shared" si="733"/>
        <v>-1243.1294874849325</v>
      </c>
      <c r="AU292" s="33">
        <f t="shared" si="733"/>
        <v>-1809.9218365342902</v>
      </c>
      <c r="AV292" s="33">
        <f t="shared" si="733"/>
        <v>-2367.3985262555325</v>
      </c>
      <c r="AW292" s="33">
        <f t="shared" si="733"/>
        <v>-2944.3500321572938</v>
      </c>
      <c r="AX292" s="33">
        <f t="shared" si="733"/>
        <v>-3510.4459109011414</v>
      </c>
      <c r="AY292" s="33">
        <f t="shared" si="733"/>
        <v>-4065.483609085094</v>
      </c>
      <c r="AZ292" s="33">
        <f t="shared" si="733"/>
        <v>-4609.2428565950731</v>
      </c>
      <c r="BA292" s="33">
        <f t="shared" si="733"/>
        <v>-5263.0299420625388</v>
      </c>
      <c r="BB292" s="33">
        <f t="shared" si="733"/>
        <v>-5909.5024605882654</v>
      </c>
      <c r="BC292" s="33">
        <f t="shared" si="733"/>
        <v>-6548.4569445287989</v>
      </c>
      <c r="BD292" s="33">
        <f t="shared" si="733"/>
        <v>-7179.6732975390742</v>
      </c>
      <c r="BE292" s="33">
        <f t="shared" ref="BE292:CP292" si="734">SUM(BE288:BE291)</f>
        <v>-7802.914895419045</v>
      </c>
      <c r="BF292" s="33">
        <f t="shared" si="734"/>
        <v>-8417.930770862371</v>
      </c>
      <c r="BG292" s="33">
        <f t="shared" si="734"/>
        <v>-9024.4519489433151</v>
      </c>
      <c r="BH292" s="33">
        <f t="shared" si="734"/>
        <v>-9622.1962673626585</v>
      </c>
      <c r="BI292" s="33">
        <f t="shared" si="734"/>
        <v>-10210.863107407731</v>
      </c>
      <c r="BJ292" s="33">
        <f t="shared" si="734"/>
        <v>-10790.138412488301</v>
      </c>
      <c r="BK292" s="33">
        <f t="shared" si="734"/>
        <v>-11359.690461413822</v>
      </c>
      <c r="BL292" s="33">
        <f t="shared" si="734"/>
        <v>-11919.172483274426</v>
      </c>
      <c r="BM292" s="33">
        <f t="shared" si="734"/>
        <v>-12468.221819043745</v>
      </c>
      <c r="BN292" s="33">
        <f t="shared" si="734"/>
        <v>-13006.460160472172</v>
      </c>
      <c r="BO292" s="33">
        <f t="shared" si="734"/>
        <v>-13533.492934246107</v>
      </c>
      <c r="BP292" s="33">
        <f t="shared" si="734"/>
        <v>-14048.909493205749</v>
      </c>
      <c r="BQ292" s="33">
        <f t="shared" si="734"/>
        <v>-14552.283023577424</v>
      </c>
      <c r="BR292" s="33">
        <f t="shared" si="734"/>
        <v>-15043.443616232293</v>
      </c>
      <c r="BS292" s="33">
        <f t="shared" si="734"/>
        <v>-15550.158977885243</v>
      </c>
      <c r="BT292" s="33">
        <f t="shared" si="734"/>
        <v>-16069.774620745753</v>
      </c>
      <c r="BU292" s="33">
        <f t="shared" si="734"/>
        <v>-16577.75503211276</v>
      </c>
      <c r="BV292" s="33">
        <f t="shared" si="734"/>
        <v>-17073.675063296243</v>
      </c>
      <c r="BW292" s="33">
        <f t="shared" si="734"/>
        <v>-17557.095274934436</v>
      </c>
      <c r="BX292" s="33">
        <f t="shared" si="734"/>
        <v>-18027.561031558194</v>
      </c>
      <c r="BY292" s="33">
        <f t="shared" si="734"/>
        <v>-18484.604504852941</v>
      </c>
      <c r="BZ292" s="33">
        <f t="shared" si="734"/>
        <v>-18927.741095534082</v>
      </c>
      <c r="CA292" s="33">
        <f t="shared" si="734"/>
        <v>-19356.47219527603</v>
      </c>
      <c r="CB292" s="33">
        <f t="shared" si="734"/>
        <v>-19770.282646200169</v>
      </c>
      <c r="CC292" s="33">
        <f t="shared" si="734"/>
        <v>-20171.913019748998</v>
      </c>
      <c r="CD292" s="33">
        <f t="shared" si="734"/>
        <v>-20596.885337279684</v>
      </c>
      <c r="CE292" s="33">
        <f t="shared" si="734"/>
        <v>-21006.795089679228</v>
      </c>
      <c r="CF292" s="33">
        <f t="shared" si="734"/>
        <v>-21401.099071534183</v>
      </c>
      <c r="CG292" s="33">
        <f t="shared" si="734"/>
        <v>-21779.238139019824</v>
      </c>
      <c r="CH292" s="33">
        <f t="shared" si="734"/>
        <v>-22504.751468800092</v>
      </c>
      <c r="CI292" s="33">
        <f t="shared" si="734"/>
        <v>-23226.100582863313</v>
      </c>
      <c r="CJ292" s="33">
        <f t="shared" si="734"/>
        <v>-23942.944577483126</v>
      </c>
      <c r="CK292" s="33">
        <f t="shared" si="734"/>
        <v>-24654.932552883685</v>
      </c>
      <c r="CL292" s="33">
        <f t="shared" si="734"/>
        <v>-25361.703212989956</v>
      </c>
      <c r="CM292" s="33">
        <f t="shared" si="734"/>
        <v>-26062.883694003471</v>
      </c>
      <c r="CN292" s="33">
        <f t="shared" si="734"/>
        <v>-26758.08966820527</v>
      </c>
      <c r="CO292" s="33">
        <f t="shared" si="734"/>
        <v>-27446.924921900067</v>
      </c>
      <c r="CP292" s="33">
        <f t="shared" si="734"/>
        <v>-28150.526030972353</v>
      </c>
      <c r="CQ292" s="23" t="s">
        <v>77</v>
      </c>
      <c r="DB292" s="1" t="s">
        <v>114</v>
      </c>
      <c r="DD292" s="3"/>
      <c r="DE292" s="3"/>
      <c r="DF292" s="3"/>
      <c r="DG292" s="3"/>
      <c r="DH292" s="3"/>
      <c r="DI292" s="3"/>
      <c r="DJ292" s="3">
        <f t="shared" ref="DJ292:DO292" si="735">SUM(DJ288:DJ291)</f>
        <v>3724.3510000000001</v>
      </c>
      <c r="DK292" s="3">
        <f t="shared" si="735"/>
        <v>4382.6499999999996</v>
      </c>
      <c r="DL292" s="3">
        <f t="shared" si="735"/>
        <v>4018.2110000000002</v>
      </c>
      <c r="DM292" s="3">
        <f t="shared" si="735"/>
        <v>4029.1109999999999</v>
      </c>
      <c r="DN292" s="3">
        <f t="shared" si="735"/>
        <v>3934.3789999999999</v>
      </c>
      <c r="DO292" s="3">
        <f t="shared" si="735"/>
        <v>3978.183</v>
      </c>
      <c r="DP292" s="3">
        <f t="shared" ref="DP292" si="736">SUM(DP288:DP291)</f>
        <v>3939.36</v>
      </c>
      <c r="DQ292" s="3">
        <f t="shared" si="722"/>
        <v>4279.6295719049449</v>
      </c>
      <c r="DR292" s="3"/>
      <c r="DS292" s="3"/>
    </row>
    <row r="293" spans="2:123" s="488" customFormat="1" ht="11.25" customHeight="1" outlineLevel="1" x14ac:dyDescent="0.2">
      <c r="B293" s="489" t="s">
        <v>46</v>
      </c>
      <c r="C293" s="490"/>
      <c r="D293" s="491"/>
      <c r="E293" s="491"/>
      <c r="F293" s="491" t="b">
        <f t="shared" ref="F293:N293" si="737">IF(ABS(F292-F286)&lt;0.001,TRUE,F292-F286)</f>
        <v>1</v>
      </c>
      <c r="G293" s="491" t="b">
        <f t="shared" si="737"/>
        <v>1</v>
      </c>
      <c r="H293" s="491" t="b">
        <f t="shared" si="737"/>
        <v>1</v>
      </c>
      <c r="I293" s="491" t="b">
        <f t="shared" si="737"/>
        <v>1</v>
      </c>
      <c r="J293" s="491" t="b">
        <f t="shared" si="737"/>
        <v>1</v>
      </c>
      <c r="K293" s="491" t="b">
        <f t="shared" si="737"/>
        <v>1</v>
      </c>
      <c r="L293" s="491" t="b">
        <f t="shared" si="737"/>
        <v>1</v>
      </c>
      <c r="M293" s="491" t="b">
        <f t="shared" si="737"/>
        <v>1</v>
      </c>
      <c r="N293" s="491" t="b">
        <f t="shared" si="737"/>
        <v>1</v>
      </c>
      <c r="O293" s="491" t="b">
        <f>IF(ABS(O292-O286)&lt;1,TRUE,O292-O286)</f>
        <v>1</v>
      </c>
      <c r="P293" s="491" t="b">
        <f t="shared" ref="P293:BD293" si="738">IF(ABS(P292-P286)&lt;1,TRUE,P292-P286)</f>
        <v>1</v>
      </c>
      <c r="Q293" s="491" t="b">
        <f t="shared" si="738"/>
        <v>1</v>
      </c>
      <c r="R293" s="491" t="b">
        <f t="shared" si="738"/>
        <v>1</v>
      </c>
      <c r="S293" s="491" t="b">
        <f t="shared" si="738"/>
        <v>1</v>
      </c>
      <c r="T293" s="491" t="b">
        <f t="shared" si="738"/>
        <v>1</v>
      </c>
      <c r="U293" s="491" t="b">
        <f>IF(ABS(U292-U286)&lt;1,TRUE,U292-U286)</f>
        <v>1</v>
      </c>
      <c r="V293" s="491" t="b">
        <f>IF(ABS(V292-V286)&lt;1,TRUE,V292-V286)</f>
        <v>1</v>
      </c>
      <c r="W293" s="491" t="b">
        <f t="shared" si="738"/>
        <v>1</v>
      </c>
      <c r="X293" s="491" t="b">
        <f>IF(ABS(X292-X286)&lt;1,TRUE,X292-X286)</f>
        <v>1</v>
      </c>
      <c r="Y293" s="491" t="b">
        <f t="shared" si="738"/>
        <v>1</v>
      </c>
      <c r="Z293" s="491" t="b">
        <f t="shared" si="738"/>
        <v>1</v>
      </c>
      <c r="AA293" s="491" t="b">
        <f t="shared" si="738"/>
        <v>1</v>
      </c>
      <c r="AB293" s="491" t="b">
        <f t="shared" si="738"/>
        <v>1</v>
      </c>
      <c r="AC293" s="491" t="b">
        <f t="shared" si="738"/>
        <v>1</v>
      </c>
      <c r="AD293" s="491" t="b">
        <f t="shared" si="738"/>
        <v>1</v>
      </c>
      <c r="AE293" s="491" t="b">
        <f t="shared" si="738"/>
        <v>1</v>
      </c>
      <c r="AF293" s="491" t="b">
        <f t="shared" si="738"/>
        <v>1</v>
      </c>
      <c r="AG293" s="491" t="b">
        <f t="shared" si="738"/>
        <v>1</v>
      </c>
      <c r="AH293" s="491" t="b">
        <f t="shared" si="738"/>
        <v>1</v>
      </c>
      <c r="AI293" s="491" t="b">
        <f t="shared" si="738"/>
        <v>1</v>
      </c>
      <c r="AJ293" s="491" t="b">
        <f t="shared" si="738"/>
        <v>1</v>
      </c>
      <c r="AK293" s="491" t="b">
        <f t="shared" si="738"/>
        <v>1</v>
      </c>
      <c r="AL293" s="491" t="b">
        <f t="shared" si="738"/>
        <v>1</v>
      </c>
      <c r="AM293" s="491" t="b">
        <f t="shared" si="738"/>
        <v>1</v>
      </c>
      <c r="AN293" s="491" t="b">
        <f t="shared" si="738"/>
        <v>1</v>
      </c>
      <c r="AO293" s="491" t="b">
        <f t="shared" si="738"/>
        <v>1</v>
      </c>
      <c r="AP293" s="491" t="b">
        <f t="shared" si="738"/>
        <v>1</v>
      </c>
      <c r="AQ293" s="491" t="b">
        <f t="shared" si="738"/>
        <v>1</v>
      </c>
      <c r="AR293" s="491" t="b">
        <f t="shared" si="738"/>
        <v>1</v>
      </c>
      <c r="AS293" s="491" t="b">
        <f t="shared" si="738"/>
        <v>1</v>
      </c>
      <c r="AT293" s="491" t="b">
        <f t="shared" si="738"/>
        <v>1</v>
      </c>
      <c r="AU293" s="491" t="b">
        <f t="shared" si="738"/>
        <v>1</v>
      </c>
      <c r="AV293" s="491" t="b">
        <f t="shared" si="738"/>
        <v>1</v>
      </c>
      <c r="AW293" s="491" t="b">
        <f t="shared" si="738"/>
        <v>1</v>
      </c>
      <c r="AX293" s="491" t="b">
        <f t="shared" si="738"/>
        <v>1</v>
      </c>
      <c r="AY293" s="491" t="b">
        <f t="shared" si="738"/>
        <v>1</v>
      </c>
      <c r="AZ293" s="491" t="b">
        <f t="shared" si="738"/>
        <v>1</v>
      </c>
      <c r="BA293" s="491" t="b">
        <f t="shared" si="738"/>
        <v>1</v>
      </c>
      <c r="BB293" s="491" t="b">
        <f t="shared" si="738"/>
        <v>1</v>
      </c>
      <c r="BC293" s="491" t="b">
        <f t="shared" si="738"/>
        <v>1</v>
      </c>
      <c r="BD293" s="491" t="b">
        <f t="shared" si="738"/>
        <v>1</v>
      </c>
      <c r="BE293" s="491" t="b">
        <f t="shared" ref="BE293:CP293" si="739">IF(ABS(BE292-BE286)&lt;1,TRUE,BE292-BE286)</f>
        <v>1</v>
      </c>
      <c r="BF293" s="491" t="b">
        <f t="shared" si="739"/>
        <v>1</v>
      </c>
      <c r="BG293" s="491" t="b">
        <f t="shared" si="739"/>
        <v>1</v>
      </c>
      <c r="BH293" s="491" t="b">
        <f t="shared" si="739"/>
        <v>1</v>
      </c>
      <c r="BI293" s="491" t="b">
        <f t="shared" si="739"/>
        <v>1</v>
      </c>
      <c r="BJ293" s="491" t="b">
        <f t="shared" si="739"/>
        <v>1</v>
      </c>
      <c r="BK293" s="491" t="b">
        <f t="shared" si="739"/>
        <v>1</v>
      </c>
      <c r="BL293" s="491" t="b">
        <f t="shared" si="739"/>
        <v>1</v>
      </c>
      <c r="BM293" s="491" t="b">
        <f t="shared" si="739"/>
        <v>1</v>
      </c>
      <c r="BN293" s="491" t="b">
        <f t="shared" si="739"/>
        <v>1</v>
      </c>
      <c r="BO293" s="491" t="b">
        <f t="shared" si="739"/>
        <v>1</v>
      </c>
      <c r="BP293" s="491" t="b">
        <f t="shared" si="739"/>
        <v>1</v>
      </c>
      <c r="BQ293" s="491" t="b">
        <f t="shared" si="739"/>
        <v>1</v>
      </c>
      <c r="BR293" s="491" t="b">
        <f t="shared" si="739"/>
        <v>1</v>
      </c>
      <c r="BS293" s="491" t="b">
        <f t="shared" si="739"/>
        <v>1</v>
      </c>
      <c r="BT293" s="491" t="b">
        <f t="shared" si="739"/>
        <v>1</v>
      </c>
      <c r="BU293" s="491" t="b">
        <f t="shared" si="739"/>
        <v>1</v>
      </c>
      <c r="BV293" s="491" t="b">
        <f t="shared" si="739"/>
        <v>1</v>
      </c>
      <c r="BW293" s="491" t="b">
        <f t="shared" si="739"/>
        <v>1</v>
      </c>
      <c r="BX293" s="491" t="b">
        <f t="shared" si="739"/>
        <v>1</v>
      </c>
      <c r="BY293" s="491" t="b">
        <f t="shared" si="739"/>
        <v>1</v>
      </c>
      <c r="BZ293" s="491" t="b">
        <f t="shared" si="739"/>
        <v>1</v>
      </c>
      <c r="CA293" s="491" t="b">
        <f t="shared" si="739"/>
        <v>1</v>
      </c>
      <c r="CB293" s="491" t="b">
        <f t="shared" si="739"/>
        <v>1</v>
      </c>
      <c r="CC293" s="491" t="b">
        <f t="shared" si="739"/>
        <v>1</v>
      </c>
      <c r="CD293" s="491" t="b">
        <f t="shared" si="739"/>
        <v>1</v>
      </c>
      <c r="CE293" s="491" t="b">
        <f t="shared" si="739"/>
        <v>1</v>
      </c>
      <c r="CF293" s="491" t="b">
        <f t="shared" si="739"/>
        <v>1</v>
      </c>
      <c r="CG293" s="491" t="b">
        <f t="shared" si="739"/>
        <v>1</v>
      </c>
      <c r="CH293" s="491" t="b">
        <f t="shared" si="739"/>
        <v>1</v>
      </c>
      <c r="CI293" s="491" t="b">
        <f t="shared" si="739"/>
        <v>1</v>
      </c>
      <c r="CJ293" s="491" t="b">
        <f t="shared" si="739"/>
        <v>1</v>
      </c>
      <c r="CK293" s="491" t="b">
        <f t="shared" si="739"/>
        <v>1</v>
      </c>
      <c r="CL293" s="491" t="b">
        <f t="shared" si="739"/>
        <v>1</v>
      </c>
      <c r="CM293" s="491" t="b">
        <f t="shared" si="739"/>
        <v>1</v>
      </c>
      <c r="CN293" s="491" t="b">
        <f t="shared" si="739"/>
        <v>1</v>
      </c>
      <c r="CO293" s="491" t="b">
        <f t="shared" si="739"/>
        <v>1</v>
      </c>
      <c r="CP293" s="491" t="b">
        <f t="shared" si="739"/>
        <v>1</v>
      </c>
      <c r="CQ293" s="477" t="s">
        <v>77</v>
      </c>
      <c r="CU293"/>
      <c r="CV293"/>
      <c r="CW293"/>
      <c r="CX293"/>
      <c r="CY293"/>
      <c r="CZ293"/>
      <c r="DB293" s="489" t="s">
        <v>46</v>
      </c>
      <c r="DC293" s="404"/>
      <c r="DD293" s="491"/>
      <c r="DE293" s="491"/>
      <c r="DF293" s="491"/>
      <c r="DG293" s="491"/>
      <c r="DH293" s="491"/>
      <c r="DI293" s="491"/>
      <c r="DJ293" s="491" t="b">
        <f t="shared" ref="DJ293:DO293" si="740">IF(ABS(DJ292-DJ286)&lt;1,TRUE,DJ292-DJ286)</f>
        <v>1</v>
      </c>
      <c r="DK293" s="491" t="b">
        <f t="shared" si="740"/>
        <v>1</v>
      </c>
      <c r="DL293" s="491" t="b">
        <f t="shared" si="740"/>
        <v>1</v>
      </c>
      <c r="DM293" s="491" t="b">
        <f t="shared" si="740"/>
        <v>1</v>
      </c>
      <c r="DN293" s="491" t="b">
        <f t="shared" si="740"/>
        <v>1</v>
      </c>
      <c r="DO293" s="491" t="b">
        <f t="shared" si="740"/>
        <v>1</v>
      </c>
      <c r="DP293" s="491" t="b">
        <f t="shared" ref="DP293:DQ293" si="741">IF(ABS(DP292-DP286)&lt;1,TRUE,DP292-DP286)</f>
        <v>1</v>
      </c>
      <c r="DQ293" s="491" t="b">
        <f t="shared" si="741"/>
        <v>1</v>
      </c>
      <c r="DR293" s="491"/>
      <c r="DS293" s="491"/>
    </row>
    <row r="294" spans="2:123" s="98" customFormat="1" ht="11.25" customHeight="1" outlineLevel="1" x14ac:dyDescent="0.2">
      <c r="B294" s="7" t="s">
        <v>33</v>
      </c>
      <c r="C294" s="492"/>
      <c r="D294" s="9"/>
      <c r="E294" s="9"/>
      <c r="F294" s="9"/>
      <c r="G294" s="9"/>
      <c r="H294" s="9"/>
      <c r="I294" s="9"/>
      <c r="J294" s="9"/>
      <c r="K294" s="9">
        <f>+K255</f>
        <v>22.373000000000001</v>
      </c>
      <c r="L294" s="8">
        <f t="shared" ref="L294:BD294" si="742">+L255</f>
        <v>12.628</v>
      </c>
      <c r="M294" s="8">
        <f t="shared" si="742"/>
        <v>60.078000000000003</v>
      </c>
      <c r="N294" s="8">
        <f t="shared" si="742"/>
        <v>105.455</v>
      </c>
      <c r="O294" s="8">
        <f t="shared" si="742"/>
        <v>108.815</v>
      </c>
      <c r="P294" s="8">
        <f t="shared" si="742"/>
        <v>80.94</v>
      </c>
      <c r="Q294" s="8">
        <f t="shared" si="742"/>
        <v>95.367999999999995</v>
      </c>
      <c r="R294" s="8">
        <f t="shared" si="742"/>
        <v>329.93400000000003</v>
      </c>
      <c r="S294" s="8">
        <f t="shared" si="742"/>
        <v>80.954999999999998</v>
      </c>
      <c r="T294" s="51">
        <f t="shared" si="742"/>
        <v>7.0090000000000856</v>
      </c>
      <c r="U294" s="51">
        <f t="shared" si="742"/>
        <v>411.92100000000096</v>
      </c>
      <c r="V294" s="51">
        <f t="shared" si="742"/>
        <v>84.506000000001023</v>
      </c>
      <c r="W294" s="51">
        <f t="shared" si="742"/>
        <v>394.50100000000111</v>
      </c>
      <c r="X294" s="51">
        <f t="shared" si="742"/>
        <v>743.02275439849473</v>
      </c>
      <c r="Y294" s="51">
        <f t="shared" si="742"/>
        <v>733.77410562176908</v>
      </c>
      <c r="Z294" s="51">
        <f t="shared" si="742"/>
        <v>1125.9547272227244</v>
      </c>
      <c r="AA294" s="51">
        <f t="shared" si="742"/>
        <v>1210.557694857994</v>
      </c>
      <c r="AB294" s="51">
        <f t="shared" si="742"/>
        <v>1255.6185315920898</v>
      </c>
      <c r="AC294" s="51">
        <f t="shared" si="742"/>
        <v>1307.3770859815622</v>
      </c>
      <c r="AD294" s="51">
        <f t="shared" si="742"/>
        <v>1417.0319966801708</v>
      </c>
      <c r="AE294" s="51">
        <f t="shared" si="742"/>
        <v>1545.6443565108048</v>
      </c>
      <c r="AF294" s="51">
        <f t="shared" si="742"/>
        <v>1677.1118190250113</v>
      </c>
      <c r="AG294" s="51">
        <f t="shared" si="742"/>
        <v>1802.6809578922034</v>
      </c>
      <c r="AH294" s="51">
        <f t="shared" si="742"/>
        <v>2195.7079191419489</v>
      </c>
      <c r="AI294" s="51">
        <f t="shared" si="742"/>
        <v>2248.2555551249993</v>
      </c>
      <c r="AJ294" s="51">
        <f t="shared" si="742"/>
        <v>2243.6856410341838</v>
      </c>
      <c r="AK294" s="51">
        <f t="shared" si="742"/>
        <v>2476.1738094459715</v>
      </c>
      <c r="AL294" s="51">
        <f t="shared" si="742"/>
        <v>2626.2953693285099</v>
      </c>
      <c r="AM294" s="51">
        <f t="shared" si="742"/>
        <v>2794.8922860198859</v>
      </c>
      <c r="AN294" s="51">
        <f t="shared" si="742"/>
        <v>2972.7540880895667</v>
      </c>
      <c r="AO294" s="51">
        <f t="shared" si="742"/>
        <v>2886.5487017575078</v>
      </c>
      <c r="AP294" s="51">
        <f t="shared" si="742"/>
        <v>2446.8191099046317</v>
      </c>
      <c r="AQ294" s="51">
        <f t="shared" si="742"/>
        <v>2031.6270849201492</v>
      </c>
      <c r="AR294" s="51">
        <f t="shared" si="742"/>
        <v>1553.0612276692605</v>
      </c>
      <c r="AS294" s="51">
        <f t="shared" si="742"/>
        <v>1040.0124761560269</v>
      </c>
      <c r="AT294" s="51">
        <f t="shared" si="742"/>
        <v>521.23248760817842</v>
      </c>
      <c r="AU294" s="51">
        <f t="shared" si="742"/>
        <v>23.322778201992605</v>
      </c>
      <c r="AV294" s="51">
        <f t="shared" si="742"/>
        <v>-250.69450410979414</v>
      </c>
      <c r="AW294" s="51">
        <f t="shared" si="742"/>
        <v>-549.13328732741923</v>
      </c>
      <c r="AX294" s="51">
        <f t="shared" si="742"/>
        <v>-837.10736900025904</v>
      </c>
      <c r="AY294" s="51">
        <f t="shared" si="742"/>
        <v>-1114.267557024094</v>
      </c>
      <c r="AZ294" s="51">
        <f t="shared" si="742"/>
        <v>-1380.2616261615308</v>
      </c>
      <c r="BA294" s="51">
        <f t="shared" si="742"/>
        <v>-1791.0632157680807</v>
      </c>
      <c r="BB294" s="51">
        <f t="shared" si="742"/>
        <v>-2190.4747426111107</v>
      </c>
      <c r="BC294" s="51">
        <f t="shared" si="742"/>
        <v>-2578.1428239342749</v>
      </c>
      <c r="BD294" s="51">
        <f t="shared" si="742"/>
        <v>-2953.7054842099296</v>
      </c>
      <c r="BE294" s="51">
        <f t="shared" ref="BE294:CP294" si="743">+BE255</f>
        <v>-3316.7920108194976</v>
      </c>
      <c r="BF294" s="51">
        <f t="shared" si="743"/>
        <v>-3667.0258065563817</v>
      </c>
      <c r="BG294" s="51">
        <f t="shared" si="743"/>
        <v>-4004.0188601609211</v>
      </c>
      <c r="BH294" s="51">
        <f t="shared" si="743"/>
        <v>-4327.3784370741196</v>
      </c>
      <c r="BI294" s="51">
        <f t="shared" si="743"/>
        <v>-4636.6992720719227</v>
      </c>
      <c r="BJ294" s="51">
        <f t="shared" si="743"/>
        <v>-4931.5705903981761</v>
      </c>
      <c r="BK294" s="51">
        <f t="shared" si="743"/>
        <v>-5211.5698302911915</v>
      </c>
      <c r="BL294" s="51">
        <f t="shared" si="743"/>
        <v>-5476.2662470132136</v>
      </c>
      <c r="BM294" s="51">
        <f t="shared" si="743"/>
        <v>-5725.2195426097478</v>
      </c>
      <c r="BN294" s="51">
        <f t="shared" si="743"/>
        <v>-5957.980067701772</v>
      </c>
      <c r="BO294" s="51">
        <f t="shared" si="743"/>
        <v>-6174.0878111668717</v>
      </c>
      <c r="BP294" s="51">
        <f t="shared" si="743"/>
        <v>-6373.0725693740378</v>
      </c>
      <c r="BQ294" s="51">
        <f t="shared" si="743"/>
        <v>-6580.419832998311</v>
      </c>
      <c r="BR294" s="51">
        <f t="shared" si="743"/>
        <v>-6773.3368523267418</v>
      </c>
      <c r="BS294" s="51">
        <f t="shared" si="743"/>
        <v>-6983.2607260637124</v>
      </c>
      <c r="BT294" s="51">
        <f t="shared" si="743"/>
        <v>-7206.8283146316026</v>
      </c>
      <c r="BU294" s="51">
        <f t="shared" si="743"/>
        <v>-7416.0373547731006</v>
      </c>
      <c r="BV294" s="51">
        <f t="shared" si="743"/>
        <v>-7610.5204138006138</v>
      </c>
      <c r="BW294" s="51">
        <f t="shared" si="743"/>
        <v>-7789.9037795018139</v>
      </c>
      <c r="BX294" s="51">
        <f t="shared" si="743"/>
        <v>-7953.8063489549977</v>
      </c>
      <c r="BY294" s="51">
        <f t="shared" si="743"/>
        <v>-8101.8418244501754</v>
      </c>
      <c r="BZ294" s="51">
        <f t="shared" si="743"/>
        <v>-8233.6145849144214</v>
      </c>
      <c r="CA294" s="51">
        <f t="shared" si="743"/>
        <v>-8348.7227815910428</v>
      </c>
      <c r="CB294" s="51">
        <f t="shared" si="743"/>
        <v>-8446.755409920559</v>
      </c>
      <c r="CC294" s="51">
        <f t="shared" si="743"/>
        <v>-8530.9852994683788</v>
      </c>
      <c r="CD294" s="51">
        <f t="shared" si="743"/>
        <v>-8641.6355994852856</v>
      </c>
      <c r="CE294" s="51">
        <f t="shared" si="743"/>
        <v>-8734.8978106426894</v>
      </c>
      <c r="CF294" s="51">
        <f t="shared" si="743"/>
        <v>-8810.3526855979653</v>
      </c>
      <c r="CG294" s="51">
        <f t="shared" si="743"/>
        <v>-8867.5720926007871</v>
      </c>
      <c r="CH294" s="51">
        <f t="shared" si="743"/>
        <v>-9357.7238039609383</v>
      </c>
      <c r="CI294" s="51">
        <f t="shared" si="743"/>
        <v>-9835.5935317761832</v>
      </c>
      <c r="CJ294" s="51">
        <f t="shared" si="743"/>
        <v>-10300.822041252331</v>
      </c>
      <c r="CK294" s="51">
        <f t="shared" si="743"/>
        <v>-10753.043573508337</v>
      </c>
      <c r="CL294" s="51">
        <f t="shared" si="743"/>
        <v>-11191.885271454583</v>
      </c>
      <c r="CM294" s="51">
        <f t="shared" si="743"/>
        <v>-11616.965516844342</v>
      </c>
      <c r="CN294" s="51">
        <f t="shared" si="743"/>
        <v>-12027.89411808252</v>
      </c>
      <c r="CO294" s="51">
        <f t="shared" si="743"/>
        <v>-12424.271747878594</v>
      </c>
      <c r="CP294" s="51">
        <f t="shared" si="743"/>
        <v>-12836.468103932584</v>
      </c>
      <c r="CQ294" s="23" t="s">
        <v>77</v>
      </c>
      <c r="CU294"/>
      <c r="CV294"/>
      <c r="CW294"/>
      <c r="CX294"/>
      <c r="CY294"/>
      <c r="CZ294"/>
      <c r="DB294" s="8"/>
      <c r="DC294" s="8"/>
      <c r="DD294" s="8"/>
      <c r="DE294" s="8"/>
      <c r="DF294" s="8"/>
      <c r="DG294" s="8"/>
      <c r="DH294" s="8"/>
      <c r="DI294" s="8"/>
      <c r="DJ294" s="8"/>
      <c r="DK294" s="8"/>
    </row>
    <row r="295" spans="2:123" s="98" customFormat="1" ht="11.25" customHeight="1" outlineLevel="1" x14ac:dyDescent="0.2">
      <c r="B295" s="7" t="s">
        <v>126</v>
      </c>
      <c r="C295" s="492"/>
      <c r="D295" s="9"/>
      <c r="E295" s="9"/>
      <c r="F295" s="9"/>
      <c r="G295" s="9"/>
      <c r="H295" s="9"/>
      <c r="I295" s="9"/>
      <c r="J295" s="9"/>
      <c r="K295" s="9">
        <f t="shared" ref="K295:BD295" si="744">+K272+K279</f>
        <v>1007.968</v>
      </c>
      <c r="L295" s="8">
        <f t="shared" si="744"/>
        <v>1214.25</v>
      </c>
      <c r="M295" s="8">
        <f t="shared" si="744"/>
        <v>2597.652</v>
      </c>
      <c r="N295" s="8">
        <f t="shared" si="744"/>
        <v>3111.123</v>
      </c>
      <c r="O295" s="8">
        <f t="shared" si="744"/>
        <v>2958.0940000000001</v>
      </c>
      <c r="P295" s="8">
        <f t="shared" si="744"/>
        <v>2995.7739999999999</v>
      </c>
      <c r="Q295" s="8">
        <f t="shared" si="744"/>
        <v>2890.4459999999999</v>
      </c>
      <c r="R295" s="8">
        <f t="shared" si="744"/>
        <v>2905.9459999999999</v>
      </c>
      <c r="S295" s="8">
        <f t="shared" si="744"/>
        <v>4314.152</v>
      </c>
      <c r="T295" s="51">
        <f t="shared" si="744"/>
        <v>4708.2830000000004</v>
      </c>
      <c r="U295" s="51">
        <f t="shared" si="744"/>
        <v>9305.8499999999985</v>
      </c>
      <c r="V295" s="51">
        <f t="shared" si="744"/>
        <v>9724.2019999999993</v>
      </c>
      <c r="W295" s="51">
        <f t="shared" si="744"/>
        <v>9700.7649999999994</v>
      </c>
      <c r="X295" s="51">
        <f t="shared" si="744"/>
        <v>9900.7649999999994</v>
      </c>
      <c r="Y295" s="51">
        <f t="shared" si="744"/>
        <v>10000.764999999999</v>
      </c>
      <c r="Z295" s="51">
        <f t="shared" si="744"/>
        <v>10100.764999999999</v>
      </c>
      <c r="AA295" s="51">
        <f t="shared" si="744"/>
        <v>9950.7649999999994</v>
      </c>
      <c r="AB295" s="51">
        <f t="shared" si="744"/>
        <v>9800.7649999999994</v>
      </c>
      <c r="AC295" s="51">
        <f t="shared" si="744"/>
        <v>9650.7649999999994</v>
      </c>
      <c r="AD295" s="51">
        <f t="shared" si="744"/>
        <v>9500.7649999999994</v>
      </c>
      <c r="AE295" s="51">
        <f t="shared" si="744"/>
        <v>9350.7649999999994</v>
      </c>
      <c r="AF295" s="51">
        <f t="shared" si="744"/>
        <v>9200.7649999999994</v>
      </c>
      <c r="AG295" s="51">
        <f t="shared" si="744"/>
        <v>9050.7649999999994</v>
      </c>
      <c r="AH295" s="51">
        <f t="shared" si="744"/>
        <v>9150.7649999999994</v>
      </c>
      <c r="AI295" s="51">
        <f t="shared" si="744"/>
        <v>9000.7649999999994</v>
      </c>
      <c r="AJ295" s="51">
        <f t="shared" si="744"/>
        <v>8850.7649999999994</v>
      </c>
      <c r="AK295" s="51">
        <f t="shared" si="744"/>
        <v>8950.7649999999994</v>
      </c>
      <c r="AL295" s="51">
        <f t="shared" si="744"/>
        <v>8950.7649999999994</v>
      </c>
      <c r="AM295" s="51">
        <f t="shared" si="744"/>
        <v>8950.7649999999994</v>
      </c>
      <c r="AN295" s="51">
        <f t="shared" si="744"/>
        <v>8950.7649999999994</v>
      </c>
      <c r="AO295" s="51">
        <f t="shared" si="744"/>
        <v>8700.7649999999994</v>
      </c>
      <c r="AP295" s="51">
        <f t="shared" si="744"/>
        <v>8500.7649999999994</v>
      </c>
      <c r="AQ295" s="51">
        <f t="shared" si="744"/>
        <v>8300.7649999999994</v>
      </c>
      <c r="AR295" s="51">
        <f t="shared" si="744"/>
        <v>8100.7649999999994</v>
      </c>
      <c r="AS295" s="51">
        <f t="shared" si="744"/>
        <v>7950.7649999999994</v>
      </c>
      <c r="AT295" s="51">
        <f t="shared" si="744"/>
        <v>7800.7649999999994</v>
      </c>
      <c r="AU295" s="51">
        <f t="shared" si="744"/>
        <v>7650.7649999999994</v>
      </c>
      <c r="AV295" s="51">
        <f t="shared" si="744"/>
        <v>7713.5494892078159</v>
      </c>
      <c r="AW295" s="51">
        <f t="shared" si="744"/>
        <v>7776.3524702717286</v>
      </c>
      <c r="AX295" s="51">
        <f t="shared" si="744"/>
        <v>7839.1739699388945</v>
      </c>
      <c r="AY295" s="51">
        <f t="shared" si="744"/>
        <v>7902.0140149951585</v>
      </c>
      <c r="AZ295" s="51">
        <f t="shared" si="744"/>
        <v>7964.87263226511</v>
      </c>
      <c r="BA295" s="51">
        <f t="shared" si="744"/>
        <v>8027.7498486121376</v>
      </c>
      <c r="BB295" s="51">
        <f t="shared" si="744"/>
        <v>8090.6456909384851</v>
      </c>
      <c r="BC295" s="51">
        <f t="shared" si="744"/>
        <v>8153.5601861853102</v>
      </c>
      <c r="BD295" s="51">
        <f t="shared" si="744"/>
        <v>8216.4933613327375</v>
      </c>
      <c r="BE295" s="51">
        <f t="shared" ref="BE295:CP295" si="745">+BE272+BE279</f>
        <v>8279.4452433999195</v>
      </c>
      <c r="BF295" s="51">
        <f t="shared" si="745"/>
        <v>8342.4158594450855</v>
      </c>
      <c r="BG295" s="51">
        <f t="shared" si="745"/>
        <v>8405.4052365656044</v>
      </c>
      <c r="BH295" s="51">
        <f t="shared" si="745"/>
        <v>8468.4134018980421</v>
      </c>
      <c r="BI295" s="51">
        <f t="shared" si="745"/>
        <v>8531.4403826182115</v>
      </c>
      <c r="BJ295" s="51">
        <f t="shared" si="745"/>
        <v>8594.4862059412353</v>
      </c>
      <c r="BK295" s="51">
        <f t="shared" si="745"/>
        <v>8657.5508991216011</v>
      </c>
      <c r="BL295" s="51">
        <f t="shared" si="745"/>
        <v>8720.6344894532194</v>
      </c>
      <c r="BM295" s="51">
        <f t="shared" si="745"/>
        <v>8783.7370042694765</v>
      </c>
      <c r="BN295" s="51">
        <f t="shared" si="745"/>
        <v>8846.8584709432962</v>
      </c>
      <c r="BO295" s="51">
        <f t="shared" si="745"/>
        <v>8909.9989168871962</v>
      </c>
      <c r="BP295" s="51">
        <f t="shared" si="745"/>
        <v>8973.1583695533427</v>
      </c>
      <c r="BQ295" s="51">
        <f t="shared" si="745"/>
        <v>9036.3368564336106</v>
      </c>
      <c r="BR295" s="51">
        <f t="shared" si="745"/>
        <v>9099.5344050596377</v>
      </c>
      <c r="BS295" s="51">
        <f t="shared" si="745"/>
        <v>9162.7510430028869</v>
      </c>
      <c r="BT295" s="51">
        <f t="shared" si="745"/>
        <v>9225.9867978747025</v>
      </c>
      <c r="BU295" s="51">
        <f t="shared" si="745"/>
        <v>9289.2416973263626</v>
      </c>
      <c r="BV295" s="51">
        <f t="shared" si="745"/>
        <v>9352.5157690491433</v>
      </c>
      <c r="BW295" s="51">
        <f t="shared" si="745"/>
        <v>9415.809040774373</v>
      </c>
      <c r="BX295" s="51">
        <f t="shared" si="745"/>
        <v>9479.1215402734924</v>
      </c>
      <c r="BY295" s="51">
        <f t="shared" si="745"/>
        <v>9542.4532953581129</v>
      </c>
      <c r="BZ295" s="51">
        <f t="shared" si="745"/>
        <v>9605.8043338800708</v>
      </c>
      <c r="CA295" s="51">
        <f t="shared" si="745"/>
        <v>9669.1746837314895</v>
      </c>
      <c r="CB295" s="51">
        <f t="shared" si="745"/>
        <v>9732.5643728448376</v>
      </c>
      <c r="CC295" s="51">
        <f t="shared" si="745"/>
        <v>9795.9734291929835</v>
      </c>
      <c r="CD295" s="51">
        <f t="shared" si="745"/>
        <v>9859.4018807892571</v>
      </c>
      <c r="CE295" s="51">
        <f t="shared" si="745"/>
        <v>9922.8497556875082</v>
      </c>
      <c r="CF295" s="51">
        <f t="shared" si="745"/>
        <v>9986.3170819821644</v>
      </c>
      <c r="CG295" s="51">
        <f t="shared" si="745"/>
        <v>10049.80388780829</v>
      </c>
      <c r="CH295" s="51">
        <f t="shared" si="745"/>
        <v>10113.310201341645</v>
      </c>
      <c r="CI295" s="51">
        <f t="shared" si="745"/>
        <v>10176.836050798742</v>
      </c>
      <c r="CJ295" s="51">
        <f t="shared" si="745"/>
        <v>10240.381464436909</v>
      </c>
      <c r="CK295" s="51">
        <f t="shared" si="745"/>
        <v>10303.946470554343</v>
      </c>
      <c r="CL295" s="51">
        <f t="shared" si="745"/>
        <v>10367.531097490177</v>
      </c>
      <c r="CM295" s="51">
        <f t="shared" si="745"/>
        <v>10431.135373624531</v>
      </c>
      <c r="CN295" s="51">
        <f t="shared" si="745"/>
        <v>10494.759327378575</v>
      </c>
      <c r="CO295" s="51">
        <f t="shared" si="745"/>
        <v>10558.402987214589</v>
      </c>
      <c r="CP295" s="51">
        <f t="shared" si="745"/>
        <v>10622.066381636023</v>
      </c>
      <c r="CQ295" s="23" t="s">
        <v>77</v>
      </c>
      <c r="CU295"/>
      <c r="CV295"/>
      <c r="CW295"/>
      <c r="CX295"/>
      <c r="CY295"/>
      <c r="CZ295"/>
      <c r="DB295" s="8"/>
      <c r="DC295" s="8"/>
      <c r="DD295" s="8"/>
      <c r="DE295" s="8"/>
      <c r="DF295" s="8"/>
      <c r="DG295" s="8"/>
      <c r="DH295" s="8"/>
      <c r="DI295" s="8"/>
      <c r="DJ295" s="8"/>
      <c r="DK295" s="8"/>
    </row>
    <row r="296" spans="2:123" s="98" customFormat="1" ht="11.25" customHeight="1" outlineLevel="1" x14ac:dyDescent="0.2">
      <c r="B296" s="1" t="s">
        <v>125</v>
      </c>
      <c r="C296" s="492"/>
      <c r="D296" s="3"/>
      <c r="E296" s="3"/>
      <c r="F296" s="3"/>
      <c r="G296" s="3"/>
      <c r="H296" s="3"/>
      <c r="I296" s="3"/>
      <c r="J296" s="3"/>
      <c r="K296" s="3">
        <f>+K295-K294</f>
        <v>985.59499999999991</v>
      </c>
      <c r="L296" s="3">
        <f t="shared" ref="L296:BD296" si="746">+L295-L294</f>
        <v>1201.6220000000001</v>
      </c>
      <c r="M296" s="3">
        <f t="shared" si="746"/>
        <v>2537.5740000000001</v>
      </c>
      <c r="N296" s="3">
        <f t="shared" si="746"/>
        <v>3005.6680000000001</v>
      </c>
      <c r="O296" s="3">
        <f t="shared" si="746"/>
        <v>2849.279</v>
      </c>
      <c r="P296" s="3">
        <f t="shared" si="746"/>
        <v>2914.8339999999998</v>
      </c>
      <c r="Q296" s="3">
        <f t="shared" si="746"/>
        <v>2795.078</v>
      </c>
      <c r="R296" s="3">
        <f t="shared" si="746"/>
        <v>2576.0119999999997</v>
      </c>
      <c r="S296" s="3">
        <f t="shared" si="746"/>
        <v>4233.1970000000001</v>
      </c>
      <c r="T296" s="33">
        <f t="shared" si="746"/>
        <v>4701.2740000000003</v>
      </c>
      <c r="U296" s="33">
        <f t="shared" si="746"/>
        <v>8893.9289999999983</v>
      </c>
      <c r="V296" s="33">
        <f t="shared" si="746"/>
        <v>9639.6959999999981</v>
      </c>
      <c r="W296" s="33">
        <f t="shared" si="746"/>
        <v>9306.2639999999992</v>
      </c>
      <c r="X296" s="33">
        <f t="shared" si="746"/>
        <v>9157.7422456015047</v>
      </c>
      <c r="Y296" s="33">
        <f t="shared" si="746"/>
        <v>9266.9908943782302</v>
      </c>
      <c r="Z296" s="33">
        <f t="shared" si="746"/>
        <v>8974.8102727772748</v>
      </c>
      <c r="AA296" s="33">
        <f t="shared" si="746"/>
        <v>8740.2073051420048</v>
      </c>
      <c r="AB296" s="33">
        <f t="shared" si="746"/>
        <v>8545.1464684079092</v>
      </c>
      <c r="AC296" s="33">
        <f t="shared" si="746"/>
        <v>8343.3879140184363</v>
      </c>
      <c r="AD296" s="33">
        <f t="shared" si="746"/>
        <v>8083.7330033198286</v>
      </c>
      <c r="AE296" s="33">
        <f t="shared" si="746"/>
        <v>7805.1206434891947</v>
      </c>
      <c r="AF296" s="33">
        <f t="shared" si="746"/>
        <v>7523.6531809749886</v>
      </c>
      <c r="AG296" s="33">
        <f t="shared" si="746"/>
        <v>7248.0840421077955</v>
      </c>
      <c r="AH296" s="33">
        <f t="shared" si="746"/>
        <v>6955.0570808580505</v>
      </c>
      <c r="AI296" s="33">
        <f t="shared" si="746"/>
        <v>6752.5094448750006</v>
      </c>
      <c r="AJ296" s="33">
        <f t="shared" si="746"/>
        <v>6607.0793589658151</v>
      </c>
      <c r="AK296" s="33">
        <f t="shared" si="746"/>
        <v>6474.5911905540279</v>
      </c>
      <c r="AL296" s="33">
        <f t="shared" si="746"/>
        <v>6324.4696306714895</v>
      </c>
      <c r="AM296" s="33">
        <f t="shared" si="746"/>
        <v>6155.872713980114</v>
      </c>
      <c r="AN296" s="33">
        <f t="shared" si="746"/>
        <v>5978.0109119104327</v>
      </c>
      <c r="AO296" s="33">
        <f t="shared" si="746"/>
        <v>5814.2162982424916</v>
      </c>
      <c r="AP296" s="33">
        <f t="shared" si="746"/>
        <v>6053.9458900953678</v>
      </c>
      <c r="AQ296" s="33">
        <f t="shared" si="746"/>
        <v>6269.1379150798502</v>
      </c>
      <c r="AR296" s="33">
        <f t="shared" si="746"/>
        <v>6547.7037723307385</v>
      </c>
      <c r="AS296" s="33">
        <f t="shared" si="746"/>
        <v>6910.7525238439721</v>
      </c>
      <c r="AT296" s="33">
        <f t="shared" si="746"/>
        <v>7279.532512391821</v>
      </c>
      <c r="AU296" s="33">
        <f t="shared" si="746"/>
        <v>7627.4422217980064</v>
      </c>
      <c r="AV296" s="33">
        <f t="shared" si="746"/>
        <v>7964.2439933176101</v>
      </c>
      <c r="AW296" s="33">
        <f t="shared" si="746"/>
        <v>8325.4857575991482</v>
      </c>
      <c r="AX296" s="33">
        <f t="shared" si="746"/>
        <v>8676.281338939154</v>
      </c>
      <c r="AY296" s="33">
        <f t="shared" si="746"/>
        <v>9016.2815720192521</v>
      </c>
      <c r="AZ296" s="33">
        <f t="shared" si="746"/>
        <v>9345.1342584266404</v>
      </c>
      <c r="BA296" s="33">
        <f t="shared" si="746"/>
        <v>9818.8130643802178</v>
      </c>
      <c r="BB296" s="33">
        <f t="shared" si="746"/>
        <v>10281.120433549597</v>
      </c>
      <c r="BC296" s="33">
        <f t="shared" si="746"/>
        <v>10731.703010119585</v>
      </c>
      <c r="BD296" s="33">
        <f t="shared" si="746"/>
        <v>11170.198845542667</v>
      </c>
      <c r="BE296" s="33">
        <f t="shared" ref="BE296:CP296" si="747">+BE295-BE294</f>
        <v>11596.237254219417</v>
      </c>
      <c r="BF296" s="33">
        <f t="shared" si="747"/>
        <v>12009.441666001467</v>
      </c>
      <c r="BG296" s="33">
        <f t="shared" si="747"/>
        <v>12409.424096726525</v>
      </c>
      <c r="BH296" s="33">
        <f t="shared" si="747"/>
        <v>12795.791838972162</v>
      </c>
      <c r="BI296" s="33">
        <f t="shared" si="747"/>
        <v>13168.139654690134</v>
      </c>
      <c r="BJ296" s="33">
        <f t="shared" si="747"/>
        <v>13526.056796339411</v>
      </c>
      <c r="BK296" s="33">
        <f t="shared" si="747"/>
        <v>13869.120729412793</v>
      </c>
      <c r="BL296" s="33">
        <f t="shared" si="747"/>
        <v>14196.900736466432</v>
      </c>
      <c r="BM296" s="33">
        <f t="shared" si="747"/>
        <v>14508.956546879224</v>
      </c>
      <c r="BN296" s="33">
        <f t="shared" si="747"/>
        <v>14804.838538645068</v>
      </c>
      <c r="BO296" s="33">
        <f t="shared" si="747"/>
        <v>15084.086728054068</v>
      </c>
      <c r="BP296" s="33">
        <f t="shared" si="747"/>
        <v>15346.23093892738</v>
      </c>
      <c r="BQ296" s="33">
        <f t="shared" si="747"/>
        <v>15616.756689431921</v>
      </c>
      <c r="BR296" s="33">
        <f t="shared" si="747"/>
        <v>15872.87125738638</v>
      </c>
      <c r="BS296" s="33">
        <f t="shared" si="747"/>
        <v>16146.011769066599</v>
      </c>
      <c r="BT296" s="33">
        <f t="shared" si="747"/>
        <v>16432.815112506305</v>
      </c>
      <c r="BU296" s="33">
        <f t="shared" si="747"/>
        <v>16705.279052099464</v>
      </c>
      <c r="BV296" s="33">
        <f t="shared" si="747"/>
        <v>16963.036182849755</v>
      </c>
      <c r="BW296" s="33">
        <f t="shared" si="747"/>
        <v>17205.712820276189</v>
      </c>
      <c r="BX296" s="33">
        <f t="shared" si="747"/>
        <v>17432.927889228489</v>
      </c>
      <c r="BY296" s="33">
        <f t="shared" si="747"/>
        <v>17644.295119808288</v>
      </c>
      <c r="BZ296" s="33">
        <f t="shared" si="747"/>
        <v>17839.418918794494</v>
      </c>
      <c r="CA296" s="33">
        <f t="shared" si="747"/>
        <v>18017.89746532253</v>
      </c>
      <c r="CB296" s="33">
        <f t="shared" si="747"/>
        <v>18179.319782765397</v>
      </c>
      <c r="CC296" s="33">
        <f t="shared" si="747"/>
        <v>18326.958728661361</v>
      </c>
      <c r="CD296" s="33">
        <f t="shared" si="747"/>
        <v>18501.037480274543</v>
      </c>
      <c r="CE296" s="33">
        <f t="shared" si="747"/>
        <v>18657.747566330196</v>
      </c>
      <c r="CF296" s="33">
        <f t="shared" si="747"/>
        <v>18796.66976758013</v>
      </c>
      <c r="CG296" s="33">
        <f t="shared" si="747"/>
        <v>18917.375980409077</v>
      </c>
      <c r="CH296" s="33">
        <f t="shared" si="747"/>
        <v>19471.034005302583</v>
      </c>
      <c r="CI296" s="33">
        <f t="shared" si="747"/>
        <v>20012.429582574925</v>
      </c>
      <c r="CJ296" s="33">
        <f t="shared" si="747"/>
        <v>20541.203505689242</v>
      </c>
      <c r="CK296" s="33">
        <f t="shared" si="747"/>
        <v>21056.990044062681</v>
      </c>
      <c r="CL296" s="33">
        <f t="shared" si="747"/>
        <v>21559.41636894476</v>
      </c>
      <c r="CM296" s="33">
        <f t="shared" si="747"/>
        <v>22048.100890468872</v>
      </c>
      <c r="CN296" s="33">
        <f t="shared" si="747"/>
        <v>22522.653445461096</v>
      </c>
      <c r="CO296" s="33">
        <f t="shared" si="747"/>
        <v>22982.674735093184</v>
      </c>
      <c r="CP296" s="33">
        <f t="shared" si="747"/>
        <v>23458.534485568605</v>
      </c>
      <c r="CQ296" s="23" t="s">
        <v>77</v>
      </c>
      <c r="CU296"/>
      <c r="CV296"/>
      <c r="CW296"/>
      <c r="CX296"/>
      <c r="CY296"/>
      <c r="CZ296"/>
      <c r="DB296" s="8"/>
      <c r="DC296" s="8"/>
      <c r="DD296" s="8"/>
      <c r="DE296" s="8"/>
      <c r="DF296" s="8"/>
      <c r="DG296" s="8"/>
      <c r="DH296" s="8"/>
      <c r="DI296" s="8"/>
      <c r="DJ296" s="8"/>
      <c r="DK296" s="8"/>
    </row>
    <row r="297" spans="2:123" s="98" customFormat="1" ht="11.25" customHeight="1" outlineLevel="1" x14ac:dyDescent="0.2">
      <c r="B297" s="474" t="s">
        <v>973</v>
      </c>
      <c r="C297" s="492"/>
      <c r="D297" s="493"/>
      <c r="E297" s="493"/>
      <c r="F297" s="493"/>
      <c r="G297" s="493"/>
      <c r="H297" s="493"/>
      <c r="I297" s="493"/>
      <c r="J297" s="493"/>
      <c r="K297" s="493">
        <f t="shared" ref="K297:AP297" si="748">+K296/K97</f>
        <v>5.5099342561327393</v>
      </c>
      <c r="L297" s="494">
        <f t="shared" si="748"/>
        <v>5.996057923573618</v>
      </c>
      <c r="M297" s="494">
        <f t="shared" si="748"/>
        <v>8.5485679250240878</v>
      </c>
      <c r="N297" s="494">
        <f t="shared" si="748"/>
        <v>6.9812396204722038</v>
      </c>
      <c r="O297" s="494">
        <f t="shared" si="748"/>
        <v>6.7320327377717701</v>
      </c>
      <c r="P297" s="494">
        <f t="shared" si="748"/>
        <v>6.3369400510897327</v>
      </c>
      <c r="Q297" s="494">
        <f t="shared" si="748"/>
        <v>6.1501248693547499</v>
      </c>
      <c r="R297" s="494">
        <f t="shared" si="748"/>
        <v>4.9987328581713184</v>
      </c>
      <c r="S297" s="494">
        <f t="shared" si="748"/>
        <v>6.547817882305627</v>
      </c>
      <c r="T297" s="494">
        <f t="shared" si="748"/>
        <v>6.7428749277488782</v>
      </c>
      <c r="U297" s="494">
        <f t="shared" si="748"/>
        <v>10.829627437872825</v>
      </c>
      <c r="V297" s="494">
        <f t="shared" si="748"/>
        <v>7.2450372935775675</v>
      </c>
      <c r="W297" s="494">
        <f t="shared" si="748"/>
        <v>6.3302664676809144</v>
      </c>
      <c r="X297" s="494">
        <f t="shared" si="748"/>
        <v>6.1664812637449202</v>
      </c>
      <c r="Y297" s="494">
        <f t="shared" si="748"/>
        <v>5.9645273808049843</v>
      </c>
      <c r="Z297" s="494">
        <f t="shared" si="748"/>
        <v>5.5398513474789057</v>
      </c>
      <c r="AA297" s="494">
        <f t="shared" si="748"/>
        <v>5.5365332557021665</v>
      </c>
      <c r="AB297" s="494">
        <f t="shared" si="748"/>
        <v>5.3091244197106873</v>
      </c>
      <c r="AC297" s="494">
        <f t="shared" si="748"/>
        <v>5.0812262505324579</v>
      </c>
      <c r="AD297" s="494">
        <f t="shared" si="748"/>
        <v>4.825877087597588</v>
      </c>
      <c r="AE297" s="494">
        <f t="shared" si="748"/>
        <v>4.6023998923989398</v>
      </c>
      <c r="AF297" s="494">
        <f t="shared" si="748"/>
        <v>4.4358419928899702</v>
      </c>
      <c r="AG297" s="494">
        <f t="shared" si="748"/>
        <v>4.3007953365901548</v>
      </c>
      <c r="AH297" s="494">
        <f t="shared" si="748"/>
        <v>4.0458710958844586</v>
      </c>
      <c r="AI297" s="494">
        <f t="shared" si="748"/>
        <v>4.2142831030805947</v>
      </c>
      <c r="AJ297" s="494">
        <f t="shared" si="748"/>
        <v>4.3283866206862802</v>
      </c>
      <c r="AK297" s="494">
        <f t="shared" si="748"/>
        <v>4.2557912209106874</v>
      </c>
      <c r="AL297" s="494">
        <f t="shared" si="748"/>
        <v>4.0803674952102789</v>
      </c>
      <c r="AM297" s="494">
        <f t="shared" si="748"/>
        <v>3.8976172891579366</v>
      </c>
      <c r="AN297" s="494">
        <f t="shared" si="748"/>
        <v>3.7425773430643594</v>
      </c>
      <c r="AO297" s="494">
        <f t="shared" si="748"/>
        <v>3.7014822978040205</v>
      </c>
      <c r="AP297" s="494">
        <f t="shared" si="748"/>
        <v>5.7475587276323221</v>
      </c>
      <c r="AQ297" s="494">
        <f t="shared" ref="AQ297:BV297" si="749">+AQ296/AQ97</f>
        <v>5.8397265264932372</v>
      </c>
      <c r="AR297" s="494">
        <f t="shared" si="749"/>
        <v>6.6644854038498167</v>
      </c>
      <c r="AS297" s="494">
        <f t="shared" si="749"/>
        <v>7.9676294292020362</v>
      </c>
      <c r="AT297" s="494">
        <f t="shared" si="749"/>
        <v>8.5471831141426264</v>
      </c>
      <c r="AU297" s="494">
        <f t="shared" si="749"/>
        <v>8.7713544395876504</v>
      </c>
      <c r="AV297" s="494">
        <f t="shared" si="749"/>
        <v>8.9698247183523829</v>
      </c>
      <c r="AW297" s="494">
        <f t="shared" si="749"/>
        <v>9.6581403337720317</v>
      </c>
      <c r="AX297" s="494">
        <f t="shared" si="749"/>
        <v>9.8579603387404582</v>
      </c>
      <c r="AY297" s="494">
        <f t="shared" si="749"/>
        <v>10.033101045487536</v>
      </c>
      <c r="AZ297" s="494">
        <f t="shared" si="749"/>
        <v>10.184344634801709</v>
      </c>
      <c r="BA297" s="494">
        <f t="shared" si="749"/>
        <v>12.863011719298974</v>
      </c>
      <c r="BB297" s="494">
        <f t="shared" si="749"/>
        <v>13.195707048475953</v>
      </c>
      <c r="BC297" s="494">
        <f t="shared" si="749"/>
        <v>13.494401153400695</v>
      </c>
      <c r="BD297" s="494">
        <f t="shared" si="749"/>
        <v>13.760138687351542</v>
      </c>
      <c r="BE297" s="494">
        <f t="shared" si="749"/>
        <v>13.993944146338935</v>
      </c>
      <c r="BF297" s="494">
        <f t="shared" si="749"/>
        <v>14.19687616586754</v>
      </c>
      <c r="BG297" s="494">
        <f t="shared" si="749"/>
        <v>14.369879715293399</v>
      </c>
      <c r="BH297" s="494">
        <f t="shared" si="749"/>
        <v>14.513999421561415</v>
      </c>
      <c r="BI297" s="494">
        <f t="shared" si="749"/>
        <v>14.630128915817735</v>
      </c>
      <c r="BJ297" s="494">
        <f t="shared" si="749"/>
        <v>14.719264642179732</v>
      </c>
      <c r="BK297" s="494">
        <f t="shared" si="749"/>
        <v>14.782281164875082</v>
      </c>
      <c r="BL297" s="494">
        <f t="shared" si="749"/>
        <v>14.820096306600494</v>
      </c>
      <c r="BM297" s="494">
        <f t="shared" si="749"/>
        <v>14.833589344195071</v>
      </c>
      <c r="BN297" s="494">
        <f t="shared" si="749"/>
        <v>14.823626601987801</v>
      </c>
      <c r="BO297" s="494">
        <f t="shared" si="749"/>
        <v>14.791042569351857</v>
      </c>
      <c r="BP297" s="494">
        <f t="shared" si="749"/>
        <v>14.736658583718635</v>
      </c>
      <c r="BQ297" s="494">
        <f t="shared" si="749"/>
        <v>14.685694968983874</v>
      </c>
      <c r="BR297" s="494">
        <f t="shared" si="749"/>
        <v>14.616888913148626</v>
      </c>
      <c r="BS297" s="494">
        <f t="shared" si="749"/>
        <v>15.108240105027475</v>
      </c>
      <c r="BT297" s="494">
        <f t="shared" si="749"/>
        <v>15.56708135269265</v>
      </c>
      <c r="BU297" s="494">
        <f t="shared" si="749"/>
        <v>15.497954376553254</v>
      </c>
      <c r="BV297" s="494">
        <f t="shared" si="749"/>
        <v>15.411296665671323</v>
      </c>
      <c r="BW297" s="494">
        <f t="shared" ref="BW297:CP297" si="750">+BW296/BW97</f>
        <v>15.307812989593057</v>
      </c>
      <c r="BX297" s="494">
        <f t="shared" si="750"/>
        <v>15.188174939491731</v>
      </c>
      <c r="BY297" s="494">
        <f t="shared" si="750"/>
        <v>15.053079122125357</v>
      </c>
      <c r="BZ297" s="494">
        <f t="shared" si="750"/>
        <v>14.903138401607176</v>
      </c>
      <c r="CA297" s="494">
        <f t="shared" si="750"/>
        <v>14.739004760715826</v>
      </c>
      <c r="CB297" s="494">
        <f t="shared" si="750"/>
        <v>14.561270247241628</v>
      </c>
      <c r="CC297" s="494">
        <f t="shared" si="750"/>
        <v>14.426302449013562</v>
      </c>
      <c r="CD297" s="494">
        <f t="shared" si="750"/>
        <v>14.903103586354664</v>
      </c>
      <c r="CE297" s="494">
        <f t="shared" si="750"/>
        <v>14.716742260364802</v>
      </c>
      <c r="CF297" s="494">
        <f t="shared" si="750"/>
        <v>14.517674518271788</v>
      </c>
      <c r="CG297" s="494">
        <f t="shared" si="750"/>
        <v>14.306469676881097</v>
      </c>
      <c r="CH297" s="494">
        <f t="shared" si="750"/>
        <v>23.450740897958674</v>
      </c>
      <c r="CI297" s="494">
        <f t="shared" si="750"/>
        <v>23.626090297611466</v>
      </c>
      <c r="CJ297" s="494">
        <f t="shared" si="750"/>
        <v>23.770079586765746</v>
      </c>
      <c r="CK297" s="494">
        <f t="shared" si="750"/>
        <v>23.883766285050093</v>
      </c>
      <c r="CL297" s="494">
        <f t="shared" si="750"/>
        <v>23.968174000928315</v>
      </c>
      <c r="CM297" s="494">
        <f t="shared" si="750"/>
        <v>24.024263150450338</v>
      </c>
      <c r="CN297" s="494">
        <f t="shared" si="750"/>
        <v>24.052982772567567</v>
      </c>
      <c r="CO297" s="494">
        <f t="shared" si="750"/>
        <v>24.055250839807744</v>
      </c>
      <c r="CP297" s="494">
        <f t="shared" si="750"/>
        <v>24.848042768170597</v>
      </c>
      <c r="CQ297" s="23" t="s">
        <v>77</v>
      </c>
      <c r="CU297"/>
      <c r="CV297"/>
      <c r="CW297"/>
      <c r="CX297"/>
      <c r="CY297"/>
      <c r="CZ297"/>
      <c r="DB297" s="8"/>
      <c r="DC297" s="8"/>
      <c r="DD297" s="8"/>
      <c r="DE297" s="8"/>
      <c r="DF297" s="8"/>
      <c r="DG297" s="8"/>
      <c r="DH297" s="8"/>
      <c r="DI297" s="8"/>
      <c r="DJ297" s="8"/>
      <c r="DK297" s="8"/>
    </row>
    <row r="298" spans="2:123" s="98" customFormat="1" ht="11.25" customHeight="1" outlineLevel="1" x14ac:dyDescent="0.2">
      <c r="B298" s="474" t="s">
        <v>974</v>
      </c>
      <c r="C298" s="492"/>
      <c r="D298" s="493"/>
      <c r="E298" s="493"/>
      <c r="F298" s="493"/>
      <c r="G298" s="493"/>
      <c r="H298" s="493"/>
      <c r="I298" s="493"/>
      <c r="J298" s="493"/>
      <c r="K298" s="234">
        <f t="shared" ref="K298:W298" si="751">K295/(K269+K260)</f>
        <v>0.53515830941945686</v>
      </c>
      <c r="L298" s="234">
        <f t="shared" si="751"/>
        <v>0.58919720213212479</v>
      </c>
      <c r="M298" s="234">
        <f t="shared" si="751"/>
        <v>0.6129524433367769</v>
      </c>
      <c r="N298" s="234">
        <f t="shared" si="751"/>
        <v>0.61038412459740965</v>
      </c>
      <c r="O298" s="234">
        <f t="shared" si="751"/>
        <v>0.62310727700029944</v>
      </c>
      <c r="P298" s="234">
        <f t="shared" si="751"/>
        <v>0.60126693047336688</v>
      </c>
      <c r="Q298" s="234">
        <f t="shared" si="751"/>
        <v>0.53254538604043578</v>
      </c>
      <c r="R298" s="234">
        <f t="shared" si="751"/>
        <v>0.52873316019092964</v>
      </c>
      <c r="S298" s="234">
        <f t="shared" si="751"/>
        <v>0.5603574939264272</v>
      </c>
      <c r="T298" s="234">
        <f t="shared" si="751"/>
        <v>0.59056470296054819</v>
      </c>
      <c r="U298" s="234">
        <f t="shared" si="751"/>
        <v>0.63508649422373165</v>
      </c>
      <c r="V298" s="234">
        <f t="shared" si="751"/>
        <v>0.65515158150400776</v>
      </c>
      <c r="W298" s="234">
        <f t="shared" si="751"/>
        <v>0.64474269085603619</v>
      </c>
      <c r="X298" s="234">
        <f>X295/(X269+X260)</f>
        <v>0.63396680481018741</v>
      </c>
      <c r="Y298" s="234">
        <f t="shared" ref="Y298:CJ298" si="752">Y295/(Y269+Y260)</f>
        <v>0.6419091143779827</v>
      </c>
      <c r="Z298" s="234">
        <f t="shared" si="752"/>
        <v>0.64891970542242738</v>
      </c>
      <c r="AA298" s="234">
        <f t="shared" si="752"/>
        <v>0.65146875496887369</v>
      </c>
      <c r="AB298" s="234">
        <f t="shared" si="752"/>
        <v>0.6548652886527615</v>
      </c>
      <c r="AC298" s="234">
        <f t="shared" si="752"/>
        <v>0.65880158935022537</v>
      </c>
      <c r="AD298" s="234">
        <f t="shared" si="752"/>
        <v>0.66089701724422467</v>
      </c>
      <c r="AE298" s="234">
        <f t="shared" si="752"/>
        <v>0.66140987189194023</v>
      </c>
      <c r="AF298" s="234">
        <f t="shared" si="752"/>
        <v>0.6610468809650053</v>
      </c>
      <c r="AG298" s="234">
        <f t="shared" si="752"/>
        <v>0.66021583757374236</v>
      </c>
      <c r="AH298" s="234">
        <f t="shared" si="752"/>
        <v>0.6639996940587628</v>
      </c>
      <c r="AI298" s="234">
        <f t="shared" si="752"/>
        <v>0.66517411801394755</v>
      </c>
      <c r="AJ298" s="234">
        <f t="shared" si="752"/>
        <v>0.6686377552132885</v>
      </c>
      <c r="AK298" s="234">
        <f t="shared" si="752"/>
        <v>0.67856143246376133</v>
      </c>
      <c r="AL298" s="234">
        <f t="shared" si="752"/>
        <v>0.68449548758117018</v>
      </c>
      <c r="AM298" s="234">
        <f t="shared" si="752"/>
        <v>0.68888663104559356</v>
      </c>
      <c r="AN298" s="234">
        <f t="shared" si="752"/>
        <v>0.692175186413998</v>
      </c>
      <c r="AO298" s="234">
        <f t="shared" si="752"/>
        <v>0.68957213468243717</v>
      </c>
      <c r="AP298" s="234">
        <f t="shared" si="752"/>
        <v>0.71088083017488635</v>
      </c>
      <c r="AQ298" s="234">
        <f t="shared" si="752"/>
        <v>0.73295557290339575</v>
      </c>
      <c r="AR298" s="234">
        <f t="shared" si="752"/>
        <v>0.7620185325544373</v>
      </c>
      <c r="AS298" s="234">
        <f t="shared" si="752"/>
        <v>0.80290666121040088</v>
      </c>
      <c r="AT298" s="234">
        <f t="shared" si="752"/>
        <v>0.85083343625613095</v>
      </c>
      <c r="AU298" s="234">
        <f t="shared" si="752"/>
        <v>0.90492731481605471</v>
      </c>
      <c r="AV298" s="234">
        <f t="shared" si="752"/>
        <v>0.96854693888454813</v>
      </c>
      <c r="AW298" s="234">
        <f t="shared" si="752"/>
        <v>1.0435867848121674</v>
      </c>
      <c r="AX298" s="234">
        <f t="shared" si="752"/>
        <v>1.1277192482220695</v>
      </c>
      <c r="AY298" s="234">
        <f t="shared" si="752"/>
        <v>1.2225330115263919</v>
      </c>
      <c r="AZ298" s="234">
        <f t="shared" si="752"/>
        <v>1.3299889353172898</v>
      </c>
      <c r="BA298" s="234">
        <f t="shared" si="752"/>
        <v>1.4948148371577721</v>
      </c>
      <c r="BB298" s="234">
        <f t="shared" si="752"/>
        <v>1.6987921644774553</v>
      </c>
      <c r="BC298" s="234">
        <f t="shared" si="752"/>
        <v>1.9573858530262136</v>
      </c>
      <c r="BD298" s="234">
        <f t="shared" si="752"/>
        <v>2.2953939458701207</v>
      </c>
      <c r="BE298" s="234">
        <f t="shared" si="752"/>
        <v>2.7552325241010398</v>
      </c>
      <c r="BF298" s="234">
        <f t="shared" si="752"/>
        <v>3.4159539523378437</v>
      </c>
      <c r="BG298" s="234">
        <f t="shared" si="752"/>
        <v>4.4436632714171997</v>
      </c>
      <c r="BH298" s="234">
        <f t="shared" si="752"/>
        <v>6.2568519954261088</v>
      </c>
      <c r="BI298" s="234">
        <f t="shared" si="752"/>
        <v>10.299161320628274</v>
      </c>
      <c r="BJ298" s="234">
        <f t="shared" si="752"/>
        <v>27.137774547108368</v>
      </c>
      <c r="BK298" s="234">
        <f t="shared" si="752"/>
        <v>-47.816751630731432</v>
      </c>
      <c r="BL298" s="234">
        <f t="shared" si="752"/>
        <v>-13.125433737724057</v>
      </c>
      <c r="BM298" s="234">
        <f t="shared" si="752"/>
        <v>-7.7537651847010407</v>
      </c>
      <c r="BN298" s="234">
        <f t="shared" si="752"/>
        <v>-5.5787999940201063</v>
      </c>
      <c r="BO298" s="234">
        <f t="shared" si="752"/>
        <v>-4.4049218946484459</v>
      </c>
      <c r="BP298" s="234">
        <f t="shared" si="752"/>
        <v>-3.6729161440404123</v>
      </c>
      <c r="BQ298" s="234">
        <f t="shared" si="752"/>
        <v>-3.1462168878456556</v>
      </c>
      <c r="BR298" s="234">
        <f t="shared" si="752"/>
        <v>-2.768009948934818</v>
      </c>
      <c r="BS298" s="234">
        <f t="shared" si="752"/>
        <v>-2.4629778088883598</v>
      </c>
      <c r="BT298" s="234">
        <f t="shared" si="752"/>
        <v>-2.2137770159602885</v>
      </c>
      <c r="BU298" s="234">
        <f t="shared" si="752"/>
        <v>-2.0186448691908656</v>
      </c>
      <c r="BV298" s="234">
        <f t="shared" si="752"/>
        <v>-1.862204827379955</v>
      </c>
      <c r="BW298" s="234">
        <f t="shared" si="752"/>
        <v>-1.7344455564641359</v>
      </c>
      <c r="BX298" s="234">
        <f t="shared" si="752"/>
        <v>-1.6285728857559398</v>
      </c>
      <c r="BY298" s="234">
        <f t="shared" si="752"/>
        <v>-1.5398169941178168</v>
      </c>
      <c r="BZ298" s="234">
        <f t="shared" si="752"/>
        <v>-1.4647354794940395</v>
      </c>
      <c r="CA298" s="234">
        <f t="shared" si="752"/>
        <v>-1.400785047400241</v>
      </c>
      <c r="CB298" s="234">
        <f t="shared" si="752"/>
        <v>-1.3460505377160463</v>
      </c>
      <c r="CC298" s="234">
        <f t="shared" si="752"/>
        <v>-1.2984306900216815</v>
      </c>
      <c r="CD298" s="234">
        <f t="shared" si="752"/>
        <v>-1.2504303462177899</v>
      </c>
      <c r="CE298" s="234">
        <f t="shared" si="752"/>
        <v>-1.20890596880266</v>
      </c>
      <c r="CF298" s="234">
        <f t="shared" si="752"/>
        <v>-1.1729552898587585</v>
      </c>
      <c r="CG298" s="234">
        <f t="shared" si="752"/>
        <v>-1.1418634166467503</v>
      </c>
      <c r="CH298" s="234">
        <f t="shared" si="752"/>
        <v>-1.0621722672747691</v>
      </c>
      <c r="CI298" s="234">
        <f t="shared" si="752"/>
        <v>-0.99426921881339481</v>
      </c>
      <c r="CJ298" s="234">
        <f t="shared" si="752"/>
        <v>-0.93577706680819361</v>
      </c>
      <c r="CK298" s="234">
        <f t="shared" ref="CK298:CP298" si="753">CK295/(CK269+CK260)</f>
        <v>-0.88492078424893905</v>
      </c>
      <c r="CL298" s="234">
        <f t="shared" si="753"/>
        <v>-0.84034843701546103</v>
      </c>
      <c r="CM298" s="234">
        <f t="shared" si="753"/>
        <v>-0.8010125087784441</v>
      </c>
      <c r="CN298" s="234">
        <f t="shared" si="753"/>
        <v>-0.76608897149364175</v>
      </c>
      <c r="CO298" s="234">
        <f t="shared" si="753"/>
        <v>-0.73492092549699328</v>
      </c>
      <c r="CP298" s="234">
        <f t="shared" si="753"/>
        <v>-0.70553317249315839</v>
      </c>
      <c r="CQ298" s="23" t="s">
        <v>77</v>
      </c>
      <c r="CU298"/>
      <c r="CV298"/>
      <c r="CW298"/>
      <c r="CX298"/>
      <c r="CY298"/>
      <c r="CZ298"/>
      <c r="DB298" s="8"/>
      <c r="DC298" s="8"/>
      <c r="DD298" s="8"/>
      <c r="DE298" s="8"/>
      <c r="DF298" s="8"/>
      <c r="DG298" s="8"/>
      <c r="DH298" s="8"/>
      <c r="DI298" s="8"/>
      <c r="DJ298" s="8"/>
      <c r="DK298" s="8"/>
    </row>
    <row r="299" spans="2:123" s="98" customFormat="1" ht="11.25" customHeight="1" x14ac:dyDescent="0.2">
      <c r="B299" s="360"/>
      <c r="C299" s="492"/>
      <c r="D299" s="361"/>
      <c r="E299" s="361"/>
      <c r="F299" s="361"/>
      <c r="G299" s="361"/>
      <c r="H299" s="361"/>
      <c r="I299" s="361"/>
      <c r="J299" s="361"/>
      <c r="K299" s="361"/>
      <c r="L299" s="361"/>
      <c r="M299" s="361"/>
      <c r="N299" s="361"/>
      <c r="O299" s="361"/>
      <c r="P299" s="361"/>
      <c r="Q299" s="361"/>
      <c r="R299" s="361"/>
      <c r="S299" s="361"/>
      <c r="T299" s="361"/>
      <c r="U299" s="361"/>
      <c r="V299" s="361"/>
      <c r="W299" s="361"/>
      <c r="X299" s="361"/>
      <c r="Y299" s="361"/>
      <c r="Z299" s="361"/>
      <c r="AA299" s="361"/>
      <c r="AB299" s="361"/>
      <c r="AC299" s="361"/>
      <c r="AD299" s="361"/>
      <c r="AE299" s="361"/>
      <c r="AF299" s="361"/>
      <c r="AG299" s="361"/>
      <c r="AH299" s="361"/>
      <c r="AI299" s="361"/>
      <c r="AJ299" s="361"/>
      <c r="AK299" s="361"/>
      <c r="AL299" s="361"/>
      <c r="AM299" s="361"/>
      <c r="AN299" s="361"/>
      <c r="AO299" s="361"/>
      <c r="AP299" s="361"/>
      <c r="AQ299" s="361"/>
      <c r="AR299" s="361"/>
      <c r="AS299" s="361"/>
      <c r="AT299" s="361"/>
      <c r="AU299" s="361"/>
      <c r="AV299" s="361"/>
      <c r="AW299" s="361"/>
      <c r="AX299" s="361"/>
      <c r="AY299" s="361"/>
      <c r="AZ299" s="361"/>
      <c r="BA299" s="361"/>
      <c r="BB299" s="361"/>
      <c r="BC299" s="361"/>
      <c r="BD299" s="361"/>
      <c r="BE299" s="361"/>
      <c r="BF299" s="361"/>
      <c r="BG299" s="361"/>
      <c r="BH299" s="361"/>
      <c r="BI299" s="361"/>
      <c r="BJ299" s="361"/>
      <c r="BK299" s="361"/>
      <c r="BL299" s="361"/>
      <c r="BM299" s="361"/>
      <c r="BN299" s="361"/>
      <c r="BO299" s="361"/>
      <c r="BP299" s="361"/>
      <c r="BQ299" s="361"/>
      <c r="BR299" s="361"/>
      <c r="BS299" s="361"/>
      <c r="BT299" s="361"/>
      <c r="BU299" s="361"/>
      <c r="BV299" s="361"/>
      <c r="BW299" s="361"/>
      <c r="BX299" s="361"/>
      <c r="BY299" s="361"/>
      <c r="BZ299" s="361"/>
      <c r="CA299" s="361"/>
      <c r="CB299" s="361"/>
      <c r="CC299" s="361"/>
      <c r="CD299" s="361"/>
      <c r="CE299" s="361"/>
      <c r="CF299" s="361"/>
      <c r="CG299" s="361"/>
      <c r="CH299" s="361"/>
      <c r="CI299" s="361"/>
      <c r="CJ299" s="361"/>
      <c r="CK299" s="361"/>
      <c r="CL299" s="361"/>
      <c r="CM299" s="361"/>
      <c r="CN299" s="361"/>
      <c r="CO299" s="361"/>
      <c r="CP299" s="361"/>
      <c r="CQ299" s="23" t="s">
        <v>77</v>
      </c>
      <c r="CU299"/>
      <c r="CV299"/>
      <c r="CW299"/>
      <c r="CX299"/>
      <c r="CY299"/>
      <c r="CZ299"/>
      <c r="DB299" s="8"/>
      <c r="DC299" s="8"/>
      <c r="DD299" s="8"/>
      <c r="DE299" s="8"/>
      <c r="DF299" s="8"/>
      <c r="DG299" s="8"/>
      <c r="DH299" s="8"/>
      <c r="DI299" s="8"/>
      <c r="DJ299" s="8"/>
      <c r="DK299" s="8"/>
    </row>
    <row r="300" spans="2:123" s="233" customFormat="1" x14ac:dyDescent="0.2">
      <c r="B300" s="728" t="s">
        <v>115</v>
      </c>
      <c r="C300" s="312"/>
      <c r="D300" s="308"/>
      <c r="E300" s="308"/>
      <c r="F300" s="312"/>
      <c r="G300" s="312"/>
      <c r="H300" s="312"/>
      <c r="I300" s="312"/>
      <c r="J300" s="312"/>
      <c r="K300" s="312">
        <f t="shared" ref="K300:BV300" si="754">Fiscal_Year</f>
        <v>38533</v>
      </c>
      <c r="L300" s="312">
        <f t="shared" si="754"/>
        <v>38898</v>
      </c>
      <c r="M300" s="312">
        <f t="shared" si="754"/>
        <v>39263</v>
      </c>
      <c r="N300" s="312">
        <f t="shared" si="754"/>
        <v>39629</v>
      </c>
      <c r="O300" s="312">
        <f t="shared" si="754"/>
        <v>39994</v>
      </c>
      <c r="P300" s="312">
        <f t="shared" si="754"/>
        <v>40359</v>
      </c>
      <c r="Q300" s="312">
        <f t="shared" si="754"/>
        <v>40724</v>
      </c>
      <c r="R300" s="312">
        <f t="shared" si="754"/>
        <v>41090</v>
      </c>
      <c r="S300" s="312">
        <f t="shared" si="754"/>
        <v>41455</v>
      </c>
      <c r="T300" s="312">
        <f t="shared" si="754"/>
        <v>41820</v>
      </c>
      <c r="U300" s="312">
        <f t="shared" si="754"/>
        <v>42185</v>
      </c>
      <c r="V300" s="312">
        <f t="shared" si="754"/>
        <v>42551</v>
      </c>
      <c r="W300" s="312">
        <f t="shared" si="754"/>
        <v>42916</v>
      </c>
      <c r="X300" s="312">
        <f t="shared" si="754"/>
        <v>43281</v>
      </c>
      <c r="Y300" s="312">
        <f t="shared" si="754"/>
        <v>43646</v>
      </c>
      <c r="Z300" s="312">
        <f t="shared" si="754"/>
        <v>44012</v>
      </c>
      <c r="AA300" s="312">
        <f t="shared" si="754"/>
        <v>44377</v>
      </c>
      <c r="AB300" s="312">
        <f t="shared" si="754"/>
        <v>44742</v>
      </c>
      <c r="AC300" s="312">
        <f t="shared" si="754"/>
        <v>45107</v>
      </c>
      <c r="AD300" s="312">
        <f t="shared" si="754"/>
        <v>45473</v>
      </c>
      <c r="AE300" s="312">
        <f t="shared" si="754"/>
        <v>45838</v>
      </c>
      <c r="AF300" s="312">
        <f t="shared" si="754"/>
        <v>46203</v>
      </c>
      <c r="AG300" s="312">
        <f t="shared" si="754"/>
        <v>46568</v>
      </c>
      <c r="AH300" s="312">
        <f t="shared" si="754"/>
        <v>46934</v>
      </c>
      <c r="AI300" s="312">
        <f t="shared" si="754"/>
        <v>47299</v>
      </c>
      <c r="AJ300" s="312">
        <f t="shared" si="754"/>
        <v>47664</v>
      </c>
      <c r="AK300" s="312">
        <f t="shared" si="754"/>
        <v>48029</v>
      </c>
      <c r="AL300" s="312">
        <f t="shared" si="754"/>
        <v>48395</v>
      </c>
      <c r="AM300" s="312">
        <f t="shared" si="754"/>
        <v>48760</v>
      </c>
      <c r="AN300" s="312">
        <f t="shared" si="754"/>
        <v>49125</v>
      </c>
      <c r="AO300" s="312">
        <f t="shared" si="754"/>
        <v>49490</v>
      </c>
      <c r="AP300" s="312">
        <f t="shared" si="754"/>
        <v>49856</v>
      </c>
      <c r="AQ300" s="312">
        <f t="shared" si="754"/>
        <v>50221</v>
      </c>
      <c r="AR300" s="312">
        <f t="shared" si="754"/>
        <v>50586</v>
      </c>
      <c r="AS300" s="312">
        <f t="shared" si="754"/>
        <v>50951</v>
      </c>
      <c r="AT300" s="312">
        <f t="shared" si="754"/>
        <v>51317</v>
      </c>
      <c r="AU300" s="312">
        <f t="shared" si="754"/>
        <v>51682</v>
      </c>
      <c r="AV300" s="312">
        <f t="shared" si="754"/>
        <v>52047</v>
      </c>
      <c r="AW300" s="312">
        <f t="shared" si="754"/>
        <v>52412</v>
      </c>
      <c r="AX300" s="312">
        <f t="shared" si="754"/>
        <v>52778</v>
      </c>
      <c r="AY300" s="312">
        <f t="shared" si="754"/>
        <v>53143</v>
      </c>
      <c r="AZ300" s="312">
        <f t="shared" si="754"/>
        <v>53508</v>
      </c>
      <c r="BA300" s="312">
        <f t="shared" si="754"/>
        <v>53873</v>
      </c>
      <c r="BB300" s="312">
        <f t="shared" si="754"/>
        <v>54239</v>
      </c>
      <c r="BC300" s="312">
        <f t="shared" si="754"/>
        <v>54604</v>
      </c>
      <c r="BD300" s="312">
        <f t="shared" si="754"/>
        <v>54969</v>
      </c>
      <c r="BE300" s="312">
        <f t="shared" si="754"/>
        <v>55334</v>
      </c>
      <c r="BF300" s="312">
        <f t="shared" si="754"/>
        <v>55700</v>
      </c>
      <c r="BG300" s="312">
        <f t="shared" si="754"/>
        <v>56065</v>
      </c>
      <c r="BH300" s="312">
        <f t="shared" si="754"/>
        <v>56430</v>
      </c>
      <c r="BI300" s="312">
        <f t="shared" si="754"/>
        <v>56795</v>
      </c>
      <c r="BJ300" s="312">
        <f t="shared" si="754"/>
        <v>57161</v>
      </c>
      <c r="BK300" s="312">
        <f t="shared" si="754"/>
        <v>57526</v>
      </c>
      <c r="BL300" s="312">
        <f t="shared" si="754"/>
        <v>57891</v>
      </c>
      <c r="BM300" s="312">
        <f t="shared" si="754"/>
        <v>58256</v>
      </c>
      <c r="BN300" s="312">
        <f t="shared" si="754"/>
        <v>58622</v>
      </c>
      <c r="BO300" s="312">
        <f t="shared" si="754"/>
        <v>58987</v>
      </c>
      <c r="BP300" s="312">
        <f t="shared" si="754"/>
        <v>59352</v>
      </c>
      <c r="BQ300" s="312">
        <f t="shared" si="754"/>
        <v>59717</v>
      </c>
      <c r="BR300" s="312">
        <f t="shared" si="754"/>
        <v>60083</v>
      </c>
      <c r="BS300" s="312">
        <f t="shared" si="754"/>
        <v>60448</v>
      </c>
      <c r="BT300" s="312">
        <f t="shared" si="754"/>
        <v>60813</v>
      </c>
      <c r="BU300" s="312">
        <f t="shared" si="754"/>
        <v>61178</v>
      </c>
      <c r="BV300" s="312">
        <f t="shared" si="754"/>
        <v>61544</v>
      </c>
      <c r="BW300" s="312">
        <f t="shared" ref="BW300:CP300" si="755">Fiscal_Year</f>
        <v>61909</v>
      </c>
      <c r="BX300" s="312">
        <f t="shared" si="755"/>
        <v>62274</v>
      </c>
      <c r="BY300" s="312">
        <f t="shared" si="755"/>
        <v>62639</v>
      </c>
      <c r="BZ300" s="312">
        <f t="shared" si="755"/>
        <v>63005</v>
      </c>
      <c r="CA300" s="312">
        <f t="shared" si="755"/>
        <v>63370</v>
      </c>
      <c r="CB300" s="312">
        <f t="shared" si="755"/>
        <v>63735</v>
      </c>
      <c r="CC300" s="312">
        <f t="shared" si="755"/>
        <v>64100</v>
      </c>
      <c r="CD300" s="312">
        <f t="shared" si="755"/>
        <v>64466</v>
      </c>
      <c r="CE300" s="312">
        <f t="shared" si="755"/>
        <v>64831</v>
      </c>
      <c r="CF300" s="312">
        <f t="shared" si="755"/>
        <v>65196</v>
      </c>
      <c r="CG300" s="312">
        <f t="shared" si="755"/>
        <v>65561</v>
      </c>
      <c r="CH300" s="312">
        <f t="shared" si="755"/>
        <v>65927</v>
      </c>
      <c r="CI300" s="312">
        <f t="shared" si="755"/>
        <v>66292</v>
      </c>
      <c r="CJ300" s="312">
        <f t="shared" si="755"/>
        <v>66657</v>
      </c>
      <c r="CK300" s="312">
        <f t="shared" si="755"/>
        <v>67022</v>
      </c>
      <c r="CL300" s="312">
        <f t="shared" si="755"/>
        <v>67388</v>
      </c>
      <c r="CM300" s="312">
        <f t="shared" si="755"/>
        <v>67753</v>
      </c>
      <c r="CN300" s="312">
        <f t="shared" si="755"/>
        <v>68118</v>
      </c>
      <c r="CO300" s="312">
        <f t="shared" si="755"/>
        <v>68483</v>
      </c>
      <c r="CP300" s="312">
        <f t="shared" si="755"/>
        <v>68849</v>
      </c>
      <c r="CQ300" s="23" t="s">
        <v>77</v>
      </c>
      <c r="CU300"/>
      <c r="CV300"/>
      <c r="CW300"/>
      <c r="CX300"/>
      <c r="CY300"/>
      <c r="CZ300"/>
      <c r="DB300" s="8"/>
      <c r="DC300" s="8"/>
      <c r="DD300" s="8"/>
      <c r="DE300" s="8"/>
      <c r="DF300" s="8"/>
      <c r="DG300" s="8"/>
      <c r="DH300" s="8"/>
      <c r="DI300" s="8"/>
      <c r="DJ300" s="8"/>
      <c r="DK300" s="8"/>
    </row>
    <row r="301" spans="2:123" ht="5.0999999999999996" customHeight="1" x14ac:dyDescent="0.2">
      <c r="B301" s="107"/>
      <c r="D301" s="108"/>
      <c r="E301" s="108"/>
      <c r="F301" s="108"/>
      <c r="G301" s="108"/>
      <c r="H301" s="108"/>
      <c r="I301" s="108"/>
      <c r="J301" s="108"/>
      <c r="K301" s="108"/>
      <c r="L301" s="108"/>
      <c r="M301" s="108"/>
      <c r="N301" s="108"/>
      <c r="O301" s="108"/>
      <c r="P301" s="108"/>
      <c r="Q301" s="108"/>
      <c r="R301" s="108"/>
      <c r="S301" s="108"/>
      <c r="T301" s="108"/>
      <c r="U301" s="108"/>
      <c r="V301" s="108"/>
      <c r="W301" s="108"/>
      <c r="X301" s="108"/>
      <c r="Y301" s="108"/>
      <c r="Z301" s="108"/>
      <c r="AA301" s="108"/>
      <c r="AB301" s="108"/>
      <c r="AC301" s="108"/>
      <c r="AD301" s="108"/>
      <c r="AE301" s="108"/>
      <c r="AF301" s="108"/>
      <c r="AG301" s="108"/>
      <c r="AH301" s="108"/>
      <c r="AI301" s="108"/>
      <c r="AJ301" s="108"/>
      <c r="AK301" s="108"/>
      <c r="AL301" s="108"/>
      <c r="AM301" s="108"/>
      <c r="AN301" s="108"/>
      <c r="AO301" s="108"/>
      <c r="AP301" s="108"/>
      <c r="AQ301" s="108"/>
      <c r="AR301" s="108"/>
      <c r="AS301" s="108"/>
      <c r="AT301" s="108"/>
      <c r="AU301" s="108"/>
      <c r="AV301" s="108"/>
      <c r="AW301" s="108"/>
      <c r="AX301" s="108"/>
      <c r="AY301" s="108"/>
      <c r="AZ301" s="108"/>
      <c r="BA301" s="108"/>
      <c r="BB301" s="108"/>
      <c r="BC301" s="108"/>
      <c r="BD301" s="108"/>
      <c r="BE301" s="108"/>
      <c r="BF301" s="108"/>
      <c r="BG301" s="108"/>
      <c r="BH301" s="108"/>
      <c r="BI301" s="108"/>
      <c r="BJ301" s="108"/>
      <c r="BK301" s="108"/>
      <c r="BL301" s="108"/>
      <c r="BM301" s="108"/>
      <c r="BN301" s="108"/>
      <c r="BO301" s="108"/>
      <c r="BP301" s="108"/>
      <c r="BQ301" s="108"/>
      <c r="BR301" s="108"/>
      <c r="BS301" s="108"/>
      <c r="BT301" s="108"/>
      <c r="BU301" s="108"/>
      <c r="BV301" s="108"/>
      <c r="BW301" s="108"/>
      <c r="BX301" s="108"/>
      <c r="BY301" s="108"/>
      <c r="BZ301" s="108"/>
      <c r="CA301" s="108"/>
      <c r="CB301" s="108"/>
      <c r="CC301" s="108"/>
      <c r="CD301" s="108"/>
      <c r="CE301" s="108"/>
      <c r="CF301" s="108"/>
      <c r="CG301" s="108"/>
      <c r="CH301" s="108"/>
      <c r="CI301" s="108"/>
      <c r="CJ301" s="108"/>
      <c r="CK301" s="108"/>
      <c r="CL301" s="108"/>
      <c r="CM301" s="108"/>
      <c r="CN301" s="108"/>
      <c r="CO301" s="108"/>
      <c r="CP301" s="108"/>
      <c r="CQ301" s="23" t="s">
        <v>77</v>
      </c>
      <c r="DD301" s="8"/>
      <c r="DE301" s="8"/>
      <c r="DF301" s="8"/>
      <c r="DG301" s="8"/>
      <c r="DH301" s="8"/>
      <c r="DI301" s="8"/>
      <c r="DJ301" s="8"/>
      <c r="DK301" s="8"/>
    </row>
    <row r="302" spans="2:123" ht="11.25" hidden="1" customHeight="1" outlineLevel="1" x14ac:dyDescent="0.2">
      <c r="B302" s="358" t="s">
        <v>0</v>
      </c>
      <c r="C302" s="218"/>
      <c r="D302" s="66"/>
      <c r="E302" s="66"/>
      <c r="F302" s="66"/>
      <c r="G302" s="66"/>
      <c r="H302" s="66"/>
      <c r="I302" s="66"/>
      <c r="J302" s="66"/>
      <c r="K302" s="66"/>
      <c r="L302" s="66"/>
      <c r="M302" s="66"/>
      <c r="N302" s="66"/>
      <c r="O302" s="66"/>
      <c r="P302" s="66"/>
      <c r="Q302" s="66"/>
      <c r="R302" s="66"/>
      <c r="S302" s="66"/>
      <c r="T302" s="66"/>
      <c r="U302" s="66"/>
      <c r="V302" s="66"/>
      <c r="W302" s="66"/>
      <c r="X302" s="66"/>
      <c r="Y302" s="66"/>
      <c r="Z302" s="66"/>
      <c r="AA302" s="66"/>
      <c r="AB302" s="66"/>
      <c r="AC302" s="66"/>
      <c r="AD302" s="66"/>
      <c r="AE302" s="66"/>
      <c r="AF302" s="66"/>
      <c r="AG302" s="66"/>
      <c r="AH302" s="66"/>
      <c r="AI302" s="66"/>
      <c r="AJ302" s="66"/>
      <c r="AK302" s="66"/>
      <c r="AL302" s="66"/>
      <c r="AM302" s="66"/>
      <c r="AN302" s="66"/>
      <c r="AO302" s="66"/>
      <c r="AP302" s="66"/>
      <c r="AQ302" s="66"/>
      <c r="AR302" s="66"/>
      <c r="AS302" s="66"/>
      <c r="AT302" s="66"/>
      <c r="AU302" s="66"/>
      <c r="AV302" s="66"/>
      <c r="AW302" s="66"/>
      <c r="AX302" s="66"/>
      <c r="AY302" s="66"/>
      <c r="AZ302" s="66"/>
      <c r="BA302" s="66"/>
      <c r="BB302" s="66"/>
      <c r="BC302" s="66"/>
      <c r="BD302" s="66"/>
      <c r="BE302" s="66"/>
      <c r="BF302" s="66"/>
      <c r="BG302" s="66"/>
      <c r="BH302" s="66"/>
      <c r="BI302" s="66"/>
      <c r="BJ302" s="66"/>
      <c r="BK302" s="66"/>
      <c r="BL302" s="66"/>
      <c r="BM302" s="66"/>
      <c r="BN302" s="66"/>
      <c r="BO302" s="66"/>
      <c r="BP302" s="66"/>
      <c r="BQ302" s="66"/>
      <c r="BR302" s="66"/>
      <c r="BS302" s="66"/>
      <c r="BT302" s="66"/>
      <c r="BU302" s="66"/>
      <c r="BV302" s="66"/>
      <c r="BW302" s="66"/>
      <c r="BX302" s="66"/>
      <c r="BY302" s="66"/>
      <c r="BZ302" s="66"/>
      <c r="CA302" s="66"/>
      <c r="CB302" s="66"/>
      <c r="CC302" s="66"/>
      <c r="CD302" s="66"/>
      <c r="CE302" s="66"/>
      <c r="CF302" s="66"/>
      <c r="CG302" s="66"/>
      <c r="CH302" s="66"/>
      <c r="CI302" s="66"/>
      <c r="CJ302" s="66"/>
      <c r="CK302" s="66"/>
      <c r="CL302" s="66"/>
      <c r="CM302" s="66"/>
      <c r="CN302" s="66"/>
      <c r="CO302" s="66"/>
      <c r="CP302" s="66"/>
      <c r="CQ302" s="23" t="s">
        <v>77</v>
      </c>
      <c r="DD302" s="8"/>
      <c r="DE302" s="8"/>
      <c r="DF302" s="8"/>
      <c r="DG302" s="8"/>
      <c r="DH302" s="8"/>
      <c r="DI302" s="8"/>
      <c r="DJ302" s="8"/>
      <c r="DK302" s="8"/>
    </row>
    <row r="303" spans="2:123" ht="11.25" hidden="1" customHeight="1" outlineLevel="1" x14ac:dyDescent="0.2">
      <c r="B303" s="7" t="s">
        <v>3</v>
      </c>
      <c r="K303" s="9">
        <f t="shared" ref="K303:AP303" si="756">+K305-K103+J304</f>
        <v>1854.99</v>
      </c>
      <c r="L303" s="9">
        <f t="shared" si="756"/>
        <v>2029.3509999999999</v>
      </c>
      <c r="M303" s="9">
        <f t="shared" si="756"/>
        <v>3712.62</v>
      </c>
      <c r="N303" s="9">
        <f t="shared" si="756"/>
        <v>3468.9939999999997</v>
      </c>
      <c r="O303" s="9">
        <f t="shared" si="756"/>
        <v>3685.2339999999999</v>
      </c>
      <c r="P303" s="9">
        <f t="shared" si="756"/>
        <v>3892.5039999999999</v>
      </c>
      <c r="Q303" s="9">
        <f t="shared" si="756"/>
        <v>4271.9760000000006</v>
      </c>
      <c r="R303" s="9">
        <f t="shared" si="756"/>
        <v>4080.2910000000002</v>
      </c>
      <c r="S303" s="9">
        <f t="shared" si="756"/>
        <v>6013.2910000000011</v>
      </c>
      <c r="T303" s="51">
        <f t="shared" si="756"/>
        <v>6458.4930000000004</v>
      </c>
      <c r="U303" s="51">
        <f t="shared" si="756"/>
        <v>9421.2890000000007</v>
      </c>
      <c r="V303" s="51">
        <f t="shared" si="756"/>
        <v>10592.609</v>
      </c>
      <c r="W303" s="51">
        <f t="shared" si="756"/>
        <v>10940.827000000001</v>
      </c>
      <c r="X303" s="51">
        <f t="shared" si="756"/>
        <v>11727.627</v>
      </c>
      <c r="Y303" s="51">
        <f t="shared" si="756"/>
        <v>12283.203500000001</v>
      </c>
      <c r="Z303" s="51">
        <f t="shared" si="756"/>
        <v>12470.161219454052</v>
      </c>
      <c r="AA303" s="51">
        <f t="shared" si="756"/>
        <v>12667.950171891665</v>
      </c>
      <c r="AB303" s="51">
        <f t="shared" si="756"/>
        <v>12874.228991624246</v>
      </c>
      <c r="AC303" s="51">
        <f t="shared" si="756"/>
        <v>13052.708482355492</v>
      </c>
      <c r="AD303" s="51">
        <f t="shared" si="756"/>
        <v>13203.376562230453</v>
      </c>
      <c r="AE303" s="51">
        <f t="shared" si="756"/>
        <v>13354.891655475751</v>
      </c>
      <c r="AF303" s="51">
        <f t="shared" si="756"/>
        <v>13507.028352429337</v>
      </c>
      <c r="AG303" s="51">
        <f t="shared" si="756"/>
        <v>13659.78765280882</v>
      </c>
      <c r="AH303" s="51">
        <f t="shared" si="756"/>
        <v>13813.170557802978</v>
      </c>
      <c r="AI303" s="51">
        <f t="shared" si="756"/>
        <v>13967.178070073904</v>
      </c>
      <c r="AJ303" s="51">
        <f t="shared" si="756"/>
        <v>14121.811193759131</v>
      </c>
      <c r="AK303" s="51">
        <f t="shared" si="756"/>
        <v>14277.070934473781</v>
      </c>
      <c r="AL303" s="51">
        <f t="shared" si="756"/>
        <v>14432.958299312699</v>
      </c>
      <c r="AM303" s="51">
        <f t="shared" si="756"/>
        <v>14589.474296852613</v>
      </c>
      <c r="AN303" s="51">
        <f t="shared" si="756"/>
        <v>14746.619937154273</v>
      </c>
      <c r="AO303" s="51">
        <f t="shared" si="756"/>
        <v>14904.396231764607</v>
      </c>
      <c r="AP303" s="51">
        <f t="shared" si="756"/>
        <v>15062.804193718879</v>
      </c>
      <c r="AQ303" s="51">
        <f t="shared" ref="AQ303:BV303" si="757">+AQ305-AQ103+AP304</f>
        <v>15221.844837542842</v>
      </c>
      <c r="AR303" s="51">
        <f t="shared" si="757"/>
        <v>15381.519179254907</v>
      </c>
      <c r="AS303" s="51">
        <f t="shared" si="757"/>
        <v>15541.82823636831</v>
      </c>
      <c r="AT303" s="51">
        <f t="shared" si="757"/>
        <v>15702.773027893269</v>
      </c>
      <c r="AU303" s="51">
        <f t="shared" si="757"/>
        <v>15864.35457433917</v>
      </c>
      <c r="AV303" s="51">
        <f t="shared" si="757"/>
        <v>16026.573897716724</v>
      </c>
      <c r="AW303" s="51">
        <f t="shared" si="757"/>
        <v>16189.432021540168</v>
      </c>
      <c r="AX303" s="51">
        <f t="shared" si="757"/>
        <v>16352.929970829422</v>
      </c>
      <c r="AY303" s="51">
        <f t="shared" si="757"/>
        <v>16517.068772112296</v>
      </c>
      <c r="AZ303" s="51">
        <f t="shared" si="757"/>
        <v>16681.849453426657</v>
      </c>
      <c r="BA303" s="51">
        <f t="shared" si="757"/>
        <v>16847.273044322632</v>
      </c>
      <c r="BB303" s="51">
        <f t="shared" si="757"/>
        <v>17013.340575864797</v>
      </c>
      <c r="BC303" s="51">
        <f t="shared" si="757"/>
        <v>17180.053080634378</v>
      </c>
      <c r="BD303" s="51">
        <f t="shared" si="757"/>
        <v>17347.411592731445</v>
      </c>
      <c r="BE303" s="51">
        <f t="shared" si="757"/>
        <v>17515.417147777116</v>
      </c>
      <c r="BF303" s="51">
        <f t="shared" si="757"/>
        <v>17684.07078291578</v>
      </c>
      <c r="BG303" s="51">
        <f t="shared" si="757"/>
        <v>17853.373536817271</v>
      </c>
      <c r="BH303" s="51">
        <f t="shared" si="757"/>
        <v>18023.32644967912</v>
      </c>
      <c r="BI303" s="51">
        <f t="shared" si="757"/>
        <v>18193.93056322874</v>
      </c>
      <c r="BJ303" s="51">
        <f t="shared" si="757"/>
        <v>18365.186920725668</v>
      </c>
      <c r="BK303" s="51">
        <f t="shared" si="757"/>
        <v>18537.096566963774</v>
      </c>
      <c r="BL303" s="51">
        <f t="shared" si="757"/>
        <v>18709.660548273489</v>
      </c>
      <c r="BM303" s="51">
        <f t="shared" si="757"/>
        <v>18882.87991252404</v>
      </c>
      <c r="BN303" s="51">
        <f t="shared" si="757"/>
        <v>19056.755709125675</v>
      </c>
      <c r="BO303" s="51">
        <f t="shared" si="757"/>
        <v>19231.288989031898</v>
      </c>
      <c r="BP303" s="51">
        <f t="shared" si="757"/>
        <v>19406.480804741714</v>
      </c>
      <c r="BQ303" s="51">
        <f t="shared" si="757"/>
        <v>19582.332210301865</v>
      </c>
      <c r="BR303" s="51">
        <f t="shared" si="757"/>
        <v>19758.844261309077</v>
      </c>
      <c r="BS303" s="51">
        <f t="shared" si="757"/>
        <v>19936.018014912312</v>
      </c>
      <c r="BT303" s="51">
        <f t="shared" si="757"/>
        <v>20113.854529815013</v>
      </c>
      <c r="BU303" s="51">
        <f t="shared" si="757"/>
        <v>20292.354866277361</v>
      </c>
      <c r="BV303" s="51">
        <f t="shared" si="757"/>
        <v>20471.520086118537</v>
      </c>
      <c r="BW303" s="51">
        <f t="shared" ref="BW303:CP303" si="758">+BW305-BW103+BV304</f>
        <v>20651.351252718974</v>
      </c>
      <c r="BX303" s="51">
        <f t="shared" si="758"/>
        <v>20831.849431022638</v>
      </c>
      <c r="BY303" s="51">
        <f t="shared" si="758"/>
        <v>21013.015687539275</v>
      </c>
      <c r="BZ303" s="51">
        <f t="shared" si="758"/>
        <v>21194.851090346703</v>
      </c>
      <c r="CA303" s="51">
        <f t="shared" si="758"/>
        <v>21377.356709093063</v>
      </c>
      <c r="CB303" s="51">
        <f t="shared" si="758"/>
        <v>21560.533614999124</v>
      </c>
      <c r="CC303" s="51">
        <f t="shared" si="758"/>
        <v>21744.382880860539</v>
      </c>
      <c r="CD303" s="51">
        <f t="shared" si="758"/>
        <v>21928.905581050145</v>
      </c>
      <c r="CE303" s="51">
        <f t="shared" si="758"/>
        <v>22114.102791520254</v>
      </c>
      <c r="CF303" s="51">
        <f t="shared" si="758"/>
        <v>22299.975589804919</v>
      </c>
      <c r="CG303" s="51">
        <f t="shared" si="758"/>
        <v>22486.525055022263</v>
      </c>
      <c r="CH303" s="51">
        <f t="shared" si="758"/>
        <v>22673.752267876738</v>
      </c>
      <c r="CI303" s="51">
        <f t="shared" si="758"/>
        <v>22861.658310661471</v>
      </c>
      <c r="CJ303" s="51">
        <f t="shared" si="758"/>
        <v>23050.244267260528</v>
      </c>
      <c r="CK303" s="51">
        <f t="shared" si="758"/>
        <v>23239.511223151239</v>
      </c>
      <c r="CL303" s="51">
        <f t="shared" si="758"/>
        <v>23429.460265406513</v>
      </c>
      <c r="CM303" s="51">
        <f t="shared" si="758"/>
        <v>23620.092482697142</v>
      </c>
      <c r="CN303" s="51">
        <f t="shared" si="758"/>
        <v>23811.408965294126</v>
      </c>
      <c r="CO303" s="51">
        <f t="shared" si="758"/>
        <v>24003.410805070984</v>
      </c>
      <c r="CP303" s="51">
        <f t="shared" si="758"/>
        <v>24196.099095506102</v>
      </c>
      <c r="CQ303" s="23" t="s">
        <v>77</v>
      </c>
      <c r="DD303" s="8"/>
      <c r="DE303" s="8"/>
      <c r="DF303" s="8"/>
      <c r="DG303" s="8"/>
      <c r="DH303" s="8"/>
      <c r="DI303" s="8"/>
      <c r="DJ303" s="8"/>
      <c r="DK303" s="8"/>
    </row>
    <row r="304" spans="2:123" ht="11.25" hidden="1" customHeight="1" outlineLevel="1" x14ac:dyDescent="0.2">
      <c r="B304" s="7" t="s">
        <v>0</v>
      </c>
      <c r="K304" s="9">
        <f>+K303-K305</f>
        <v>35.388999999999896</v>
      </c>
      <c r="L304" s="9">
        <f t="shared" ref="L304:S304" si="759">+L303-L305</f>
        <v>73.313999999999851</v>
      </c>
      <c r="M304" s="9">
        <f t="shared" si="759"/>
        <v>142.39699999999993</v>
      </c>
      <c r="N304" s="9">
        <f t="shared" si="759"/>
        <v>232.27099999999973</v>
      </c>
      <c r="O304" s="9">
        <f t="shared" si="759"/>
        <v>322.78899999999976</v>
      </c>
      <c r="P304" s="9">
        <f t="shared" si="759"/>
        <v>409.17599999999993</v>
      </c>
      <c r="Q304" s="9">
        <f t="shared" si="759"/>
        <v>503.63400000000047</v>
      </c>
      <c r="R304" s="9">
        <f t="shared" si="759"/>
        <v>608.0930000000003</v>
      </c>
      <c r="S304" s="9">
        <f t="shared" si="759"/>
        <v>732.88000000000102</v>
      </c>
      <c r="T304" s="51">
        <f t="shared" ref="T304:AY304" si="760">+S304-T103</f>
        <v>884.01200000000108</v>
      </c>
      <c r="U304" s="51">
        <f t="shared" si="760"/>
        <v>1066.0960000000011</v>
      </c>
      <c r="V304" s="51">
        <f t="shared" si="760"/>
        <v>1403.5220000000011</v>
      </c>
      <c r="W304" s="51">
        <f t="shared" si="760"/>
        <v>1790.6620000000012</v>
      </c>
      <c r="X304" s="51">
        <f t="shared" si="760"/>
        <v>2177.802000000001</v>
      </c>
      <c r="Y304" s="51">
        <f t="shared" si="760"/>
        <v>2581.8514625506764</v>
      </c>
      <c r="Z304" s="51">
        <f t="shared" si="760"/>
        <v>2992.3119764078724</v>
      </c>
      <c r="AA304" s="51">
        <f t="shared" si="760"/>
        <v>3393.3161720647699</v>
      </c>
      <c r="AB304" s="51">
        <f t="shared" si="760"/>
        <v>3785.7224080936267</v>
      </c>
      <c r="AC304" s="51">
        <f t="shared" si="760"/>
        <v>4170.2536639505479</v>
      </c>
      <c r="AD304" s="51">
        <f t="shared" si="760"/>
        <v>4546.0669480167144</v>
      </c>
      <c r="AE304" s="51">
        <f t="shared" si="760"/>
        <v>4912.3544241492982</v>
      </c>
      <c r="AF304" s="51">
        <f t="shared" si="760"/>
        <v>5269.554962471364</v>
      </c>
      <c r="AG304" s="51">
        <f t="shared" si="760"/>
        <v>5618.0793276809891</v>
      </c>
      <c r="AH304" s="51">
        <f t="shared" si="760"/>
        <v>5958.3209474758223</v>
      </c>
      <c r="AI304" s="51">
        <f t="shared" si="760"/>
        <v>6290.6566461372186</v>
      </c>
      <c r="AJ304" s="51">
        <f t="shared" si="760"/>
        <v>6615.4473470768025</v>
      </c>
      <c r="AK304" s="51">
        <f t="shared" si="760"/>
        <v>6933.0387456586423</v>
      </c>
      <c r="AL304" s="51">
        <f t="shared" si="760"/>
        <v>7243.7619535546628</v>
      </c>
      <c r="AM304" s="51">
        <f t="shared" si="760"/>
        <v>7547.9341158377219</v>
      </c>
      <c r="AN304" s="51">
        <f t="shared" si="760"/>
        <v>7845.8590019657977</v>
      </c>
      <c r="AO304" s="51">
        <f t="shared" si="760"/>
        <v>8137.8275717619563</v>
      </c>
      <c r="AP304" s="51">
        <f t="shared" si="760"/>
        <v>8424.1185174480088</v>
      </c>
      <c r="AQ304" s="51">
        <f t="shared" si="760"/>
        <v>8704.9987827450277</v>
      </c>
      <c r="AR304" s="51">
        <f t="shared" si="760"/>
        <v>8980.7240600110035</v>
      </c>
      <c r="AS304" s="51">
        <f t="shared" si="760"/>
        <v>9251.5392663448874</v>
      </c>
      <c r="AT304" s="51">
        <f t="shared" si="760"/>
        <v>9517.6789995469517</v>
      </c>
      <c r="AU304" s="51">
        <f t="shared" si="760"/>
        <v>9779.367974787725</v>
      </c>
      <c r="AV304" s="51">
        <f t="shared" si="760"/>
        <v>10036.821442801727</v>
      </c>
      <c r="AW304" s="51">
        <f t="shared" si="760"/>
        <v>10290.245590387676</v>
      </c>
      <c r="AX304" s="51">
        <f t="shared" si="760"/>
        <v>10539.837923963778</v>
      </c>
      <c r="AY304" s="51">
        <f t="shared" si="760"/>
        <v>10785.787636895027</v>
      </c>
      <c r="AZ304" s="51">
        <f t="shared" ref="AZ304:CE304" si="761">+AY304-AZ103</f>
        <v>11028.275961279125</v>
      </c>
      <c r="BA304" s="51">
        <f t="shared" si="761"/>
        <v>11267.476504848557</v>
      </c>
      <c r="BB304" s="51">
        <f t="shared" si="761"/>
        <v>11503.555573618572</v>
      </c>
      <c r="BC304" s="51">
        <f t="shared" si="761"/>
        <v>11736.672480884135</v>
      </c>
      <c r="BD304" s="51">
        <f t="shared" si="761"/>
        <v>11966.979843143428</v>
      </c>
      <c r="BE304" s="51">
        <f t="shared" si="761"/>
        <v>12194.62386350104</v>
      </c>
      <c r="BF304" s="51">
        <f t="shared" si="761"/>
        <v>12419.74460308056</v>
      </c>
      <c r="BG304" s="51">
        <f t="shared" si="761"/>
        <v>12642.476240953911</v>
      </c>
      <c r="BH304" s="51">
        <f t="shared" si="761"/>
        <v>12862.947323073255</v>
      </c>
      <c r="BI304" s="51">
        <f t="shared" si="761"/>
        <v>13081.281000670784</v>
      </c>
      <c r="BJ304" s="51">
        <f t="shared" si="761"/>
        <v>13297.595258572001</v>
      </c>
      <c r="BK304" s="51">
        <f t="shared" si="761"/>
        <v>13512.003133849241</v>
      </c>
      <c r="BL304" s="51">
        <f t="shared" si="761"/>
        <v>13724.612925224146</v>
      </c>
      <c r="BM304" s="51">
        <f t="shared" si="761"/>
        <v>13935.52839361049</v>
      </c>
      <c r="BN304" s="51">
        <f t="shared" si="761"/>
        <v>14144.848954172205</v>
      </c>
      <c r="BO304" s="51">
        <f t="shared" si="761"/>
        <v>14352.669860255613</v>
      </c>
      <c r="BP304" s="51">
        <f t="shared" si="761"/>
        <v>14559.082379539632</v>
      </c>
      <c r="BQ304" s="51">
        <f t="shared" si="761"/>
        <v>14764.173962733239</v>
      </c>
      <c r="BR304" s="51">
        <f t="shared" si="761"/>
        <v>14968.028405135503</v>
      </c>
      <c r="BS304" s="51">
        <f t="shared" si="761"/>
        <v>15170.726001360164</v>
      </c>
      <c r="BT304" s="51">
        <f t="shared" si="761"/>
        <v>15372.343693513976</v>
      </c>
      <c r="BU304" s="51">
        <f t="shared" si="761"/>
        <v>15572.955213105763</v>
      </c>
      <c r="BV304" s="51">
        <f t="shared" si="761"/>
        <v>15772.631216951469</v>
      </c>
      <c r="BW304" s="51">
        <f t="shared" si="761"/>
        <v>15971.439417329204</v>
      </c>
      <c r="BX304" s="51">
        <f t="shared" si="761"/>
        <v>16169.444706627572</v>
      </c>
      <c r="BY304" s="51">
        <f t="shared" si="761"/>
        <v>16366.709276720276</v>
      </c>
      <c r="BZ304" s="51">
        <f t="shared" si="761"/>
        <v>16563.292733290127</v>
      </c>
      <c r="CA304" s="51">
        <f t="shared" si="761"/>
        <v>16759.252205316137</v>
      </c>
      <c r="CB304" s="51">
        <f t="shared" si="761"/>
        <v>16954.64244992836</v>
      </c>
      <c r="CC304" s="51">
        <f t="shared" si="761"/>
        <v>17149.515952826448</v>
      </c>
      <c r="CD304" s="51">
        <f t="shared" si="761"/>
        <v>17343.92302444965</v>
      </c>
      <c r="CE304" s="51">
        <f t="shared" si="761"/>
        <v>17537.911892077973</v>
      </c>
      <c r="CF304" s="51">
        <f t="shared" ref="CF304:CP304" si="762">+CE304-CF103</f>
        <v>17731.528788036689</v>
      </c>
      <c r="CG304" s="51">
        <f t="shared" si="762"/>
        <v>17924.818034169031</v>
      </c>
      <c r="CH304" s="51">
        <f t="shared" si="762"/>
        <v>18117.82212273499</v>
      </c>
      <c r="CI304" s="51">
        <f t="shared" si="762"/>
        <v>18310.581793887388</v>
      </c>
      <c r="CJ304" s="51">
        <f t="shared" si="762"/>
        <v>18503.136109870095</v>
      </c>
      <c r="CK304" s="51">
        <f t="shared" si="762"/>
        <v>18695.522526077031</v>
      </c>
      <c r="CL304" s="51">
        <f t="shared" si="762"/>
        <v>18887.776959104776</v>
      </c>
      <c r="CM304" s="51">
        <f t="shared" si="762"/>
        <v>19079.933851926016</v>
      </c>
      <c r="CN304" s="51">
        <f t="shared" si="762"/>
        <v>19272.026236305614</v>
      </c>
      <c r="CO304" s="51">
        <f t="shared" si="762"/>
        <v>19464.085792575977</v>
      </c>
      <c r="CP304" s="51">
        <f t="shared" si="762"/>
        <v>19656.142906883459</v>
      </c>
      <c r="CQ304" s="23" t="s">
        <v>77</v>
      </c>
      <c r="DD304" s="8"/>
      <c r="DE304" s="8"/>
      <c r="DF304" s="8"/>
      <c r="DG304" s="8"/>
      <c r="DH304" s="8"/>
      <c r="DI304" s="8"/>
      <c r="DJ304" s="8"/>
      <c r="DK304" s="8"/>
    </row>
    <row r="305" spans="2:115" ht="11.25" hidden="1" customHeight="1" outlineLevel="1" x14ac:dyDescent="0.2">
      <c r="B305" s="7" t="s">
        <v>4</v>
      </c>
      <c r="K305" s="6">
        <f t="shared" ref="K305:BD305" si="763">+K265</f>
        <v>1819.6010000000001</v>
      </c>
      <c r="L305" s="6">
        <f t="shared" si="763"/>
        <v>1956.037</v>
      </c>
      <c r="M305" s="6">
        <f t="shared" si="763"/>
        <v>3570.223</v>
      </c>
      <c r="N305" s="6">
        <f t="shared" si="763"/>
        <v>3236.723</v>
      </c>
      <c r="O305" s="6">
        <f t="shared" si="763"/>
        <v>3362.4450000000002</v>
      </c>
      <c r="P305" s="6">
        <f t="shared" si="763"/>
        <v>3483.328</v>
      </c>
      <c r="Q305" s="6">
        <f t="shared" si="763"/>
        <v>3768.3420000000001</v>
      </c>
      <c r="R305" s="6">
        <f t="shared" si="763"/>
        <v>3472.1979999999999</v>
      </c>
      <c r="S305" s="6">
        <f t="shared" si="763"/>
        <v>5280.4110000000001</v>
      </c>
      <c r="T305" s="51">
        <f t="shared" si="763"/>
        <v>5574.4809999999998</v>
      </c>
      <c r="U305" s="51">
        <f t="shared" si="763"/>
        <v>8355.1929999999993</v>
      </c>
      <c r="V305" s="51">
        <f t="shared" si="763"/>
        <v>9189.0869999999995</v>
      </c>
      <c r="W305" s="51">
        <f t="shared" si="763"/>
        <v>9150.1650000000009</v>
      </c>
      <c r="X305" s="51">
        <f t="shared" si="763"/>
        <v>9549.8250000000007</v>
      </c>
      <c r="Y305" s="51">
        <f t="shared" si="763"/>
        <v>9701.3520374493255</v>
      </c>
      <c r="Z305" s="51">
        <f t="shared" si="763"/>
        <v>9477.8492430461793</v>
      </c>
      <c r="AA305" s="51">
        <f t="shared" si="763"/>
        <v>9274.6339998268941</v>
      </c>
      <c r="AB305" s="51">
        <f t="shared" si="763"/>
        <v>9088.5065835306195</v>
      </c>
      <c r="AC305" s="51">
        <f t="shared" si="763"/>
        <v>8882.4548184049454</v>
      </c>
      <c r="AD305" s="51">
        <f t="shared" si="763"/>
        <v>8657.3096142137383</v>
      </c>
      <c r="AE305" s="51">
        <f t="shared" si="763"/>
        <v>8442.5372313264525</v>
      </c>
      <c r="AF305" s="51">
        <f t="shared" si="763"/>
        <v>8237.4733899579733</v>
      </c>
      <c r="AG305" s="51">
        <f t="shared" si="763"/>
        <v>8041.70832512783</v>
      </c>
      <c r="AH305" s="51">
        <f t="shared" si="763"/>
        <v>7854.8496103271555</v>
      </c>
      <c r="AI305" s="51">
        <f t="shared" si="763"/>
        <v>7676.5214239366851</v>
      </c>
      <c r="AJ305" s="51">
        <f t="shared" si="763"/>
        <v>7506.3638466823286</v>
      </c>
      <c r="AK305" s="51">
        <f t="shared" si="763"/>
        <v>7344.0321888151375</v>
      </c>
      <c r="AL305" s="51">
        <f t="shared" si="763"/>
        <v>7189.1963457580359</v>
      </c>
      <c r="AM305" s="51">
        <f t="shared" si="763"/>
        <v>7041.5401810148915</v>
      </c>
      <c r="AN305" s="51">
        <f t="shared" si="763"/>
        <v>6900.7609351884757</v>
      </c>
      <c r="AO305" s="51">
        <f t="shared" si="763"/>
        <v>6766.5686600026511</v>
      </c>
      <c r="AP305" s="51">
        <f t="shared" si="763"/>
        <v>6638.6856762708685</v>
      </c>
      <c r="AQ305" s="51">
        <f t="shared" si="763"/>
        <v>6516.846054797812</v>
      </c>
      <c r="AR305" s="51">
        <f t="shared" si="763"/>
        <v>6400.7951192439032</v>
      </c>
      <c r="AS305" s="51">
        <f t="shared" si="763"/>
        <v>6290.2889700234218</v>
      </c>
      <c r="AT305" s="51">
        <f t="shared" si="763"/>
        <v>6185.0940283463178</v>
      </c>
      <c r="AU305" s="51">
        <f t="shared" si="763"/>
        <v>6084.9865995514438</v>
      </c>
      <c r="AV305" s="51">
        <f t="shared" si="763"/>
        <v>5989.7524549149966</v>
      </c>
      <c r="AW305" s="51">
        <f t="shared" si="763"/>
        <v>5899.1864311524896</v>
      </c>
      <c r="AX305" s="51">
        <f t="shared" si="763"/>
        <v>5813.0920468656441</v>
      </c>
      <c r="AY305" s="51">
        <f t="shared" si="763"/>
        <v>5731.2811352172675</v>
      </c>
      <c r="AZ305" s="51">
        <f t="shared" si="763"/>
        <v>5653.5734921475314</v>
      </c>
      <c r="BA305" s="51">
        <f t="shared" si="763"/>
        <v>5579.7965394740731</v>
      </c>
      <c r="BB305" s="51">
        <f t="shared" si="763"/>
        <v>5509.7850022462235</v>
      </c>
      <c r="BC305" s="51">
        <f t="shared" si="763"/>
        <v>5443.3805997502413</v>
      </c>
      <c r="BD305" s="51">
        <f t="shared" si="763"/>
        <v>5380.431749588015</v>
      </c>
      <c r="BE305" s="51">
        <f t="shared" ref="BE305:CP305" si="764">+BE265</f>
        <v>5320.7932842760783</v>
      </c>
      <c r="BF305" s="51">
        <f t="shared" si="764"/>
        <v>5264.3261798352196</v>
      </c>
      <c r="BG305" s="51">
        <f t="shared" si="764"/>
        <v>5210.8972958633613</v>
      </c>
      <c r="BH305" s="51">
        <f t="shared" si="764"/>
        <v>5160.3791266058652</v>
      </c>
      <c r="BI305" s="51">
        <f t="shared" si="764"/>
        <v>5112.6495625579564</v>
      </c>
      <c r="BJ305" s="51">
        <f t="shared" si="764"/>
        <v>5067.591662153668</v>
      </c>
      <c r="BK305" s="51">
        <f t="shared" si="764"/>
        <v>5025.0934331145336</v>
      </c>
      <c r="BL305" s="51">
        <f t="shared" si="764"/>
        <v>4985.0476230493441</v>
      </c>
      <c r="BM305" s="51">
        <f t="shared" si="764"/>
        <v>4947.3515189135514</v>
      </c>
      <c r="BN305" s="51">
        <f t="shared" si="764"/>
        <v>4911.9067549534693</v>
      </c>
      <c r="BO305" s="51">
        <f t="shared" si="764"/>
        <v>4878.619128776284</v>
      </c>
      <c r="BP305" s="51">
        <f t="shared" si="764"/>
        <v>4847.3984252020809</v>
      </c>
      <c r="BQ305" s="51">
        <f t="shared" si="764"/>
        <v>4818.1582475686246</v>
      </c>
      <c r="BR305" s="51">
        <f t="shared" si="764"/>
        <v>4790.8158561735727</v>
      </c>
      <c r="BS305" s="51">
        <f t="shared" si="764"/>
        <v>4765.2920135521454</v>
      </c>
      <c r="BT305" s="51">
        <f t="shared" si="764"/>
        <v>4741.5108363010359</v>
      </c>
      <c r="BU305" s="51">
        <f t="shared" si="764"/>
        <v>4719.3996531715975</v>
      </c>
      <c r="BV305" s="51">
        <f t="shared" si="764"/>
        <v>4698.8888691670663</v>
      </c>
      <c r="BW305" s="51">
        <f t="shared" si="764"/>
        <v>4679.9118353897702</v>
      </c>
      <c r="BX305" s="51">
        <f t="shared" si="764"/>
        <v>4662.4047243950663</v>
      </c>
      <c r="BY305" s="51">
        <f t="shared" si="764"/>
        <v>4646.3064108190001</v>
      </c>
      <c r="BZ305" s="51">
        <f t="shared" si="764"/>
        <v>4631.558357056575</v>
      </c>
      <c r="CA305" s="51">
        <f t="shared" si="764"/>
        <v>4618.1045037769254</v>
      </c>
      <c r="CB305" s="51">
        <f t="shared" si="764"/>
        <v>4605.8911650707623</v>
      </c>
      <c r="CC305" s="51">
        <f t="shared" si="764"/>
        <v>4594.8669280340891</v>
      </c>
      <c r="CD305" s="51">
        <f t="shared" si="764"/>
        <v>4584.9825566004965</v>
      </c>
      <c r="CE305" s="51">
        <f t="shared" si="764"/>
        <v>4576.1908994422802</v>
      </c>
      <c r="CF305" s="51">
        <f t="shared" si="764"/>
        <v>4568.4468017682311</v>
      </c>
      <c r="CG305" s="51">
        <f t="shared" si="764"/>
        <v>4561.7070208532286</v>
      </c>
      <c r="CH305" s="51">
        <f t="shared" si="764"/>
        <v>4555.9301451417505</v>
      </c>
      <c r="CI305" s="51">
        <f t="shared" si="764"/>
        <v>4551.0765167740856</v>
      </c>
      <c r="CJ305" s="51">
        <f t="shared" si="764"/>
        <v>4547.108157390433</v>
      </c>
      <c r="CK305" s="51">
        <f t="shared" si="764"/>
        <v>4543.9886970742091</v>
      </c>
      <c r="CL305" s="51">
        <f t="shared" si="764"/>
        <v>4541.6833063017375</v>
      </c>
      <c r="CM305" s="51">
        <f t="shared" si="764"/>
        <v>4540.1586307711259</v>
      </c>
      <c r="CN305" s="51">
        <f t="shared" si="764"/>
        <v>4539.3827289885103</v>
      </c>
      <c r="CO305" s="51">
        <f t="shared" si="764"/>
        <v>4539.3250124950082</v>
      </c>
      <c r="CP305" s="51">
        <f t="shared" si="764"/>
        <v>4539.9561886226438</v>
      </c>
      <c r="CQ305" s="23" t="s">
        <v>77</v>
      </c>
      <c r="DD305" s="8"/>
      <c r="DE305" s="8"/>
      <c r="DF305" s="8"/>
      <c r="DG305" s="8"/>
      <c r="DH305" s="8"/>
      <c r="DI305" s="8"/>
      <c r="DJ305" s="8"/>
      <c r="DK305" s="8"/>
    </row>
    <row r="306" spans="2:115" ht="11.25" hidden="1" customHeight="1" outlineLevel="1" x14ac:dyDescent="0.2">
      <c r="B306" s="358" t="s">
        <v>5</v>
      </c>
      <c r="C306" s="218"/>
      <c r="D306" s="66"/>
      <c r="E306" s="66"/>
      <c r="F306" s="66"/>
      <c r="G306" s="66"/>
      <c r="H306" s="66"/>
      <c r="I306" s="66"/>
      <c r="J306" s="66"/>
      <c r="K306" s="66"/>
      <c r="L306" s="66"/>
      <c r="M306" s="66"/>
      <c r="N306" s="66"/>
      <c r="O306" s="66"/>
      <c r="P306" s="66"/>
      <c r="Q306" s="66"/>
      <c r="R306" s="66"/>
      <c r="S306" s="66"/>
      <c r="T306" s="66"/>
      <c r="U306" s="66"/>
      <c r="V306" s="66"/>
      <c r="W306" s="66"/>
      <c r="X306" s="66"/>
      <c r="Y306" s="66"/>
      <c r="Z306" s="66"/>
      <c r="AA306" s="66"/>
      <c r="AB306" s="66"/>
      <c r="AC306" s="66"/>
      <c r="AD306" s="66"/>
      <c r="AE306" s="66"/>
      <c r="AF306" s="66"/>
      <c r="AG306" s="66"/>
      <c r="AH306" s="66"/>
      <c r="AI306" s="66"/>
      <c r="AJ306" s="66"/>
      <c r="AK306" s="66"/>
      <c r="AL306" s="66"/>
      <c r="AM306" s="66"/>
      <c r="AN306" s="66"/>
      <c r="AO306" s="66"/>
      <c r="AP306" s="66"/>
      <c r="AQ306" s="66"/>
      <c r="AR306" s="66"/>
      <c r="AS306" s="66"/>
      <c r="AT306" s="66"/>
      <c r="AU306" s="66"/>
      <c r="AV306" s="66"/>
      <c r="AW306" s="66"/>
      <c r="AX306" s="66"/>
      <c r="AY306" s="66"/>
      <c r="AZ306" s="66"/>
      <c r="BA306" s="66"/>
      <c r="BB306" s="66"/>
      <c r="BC306" s="66"/>
      <c r="BD306" s="66"/>
      <c r="BE306" s="66"/>
      <c r="BF306" s="66"/>
      <c r="BG306" s="66"/>
      <c r="BH306" s="66"/>
      <c r="BI306" s="66"/>
      <c r="BJ306" s="66"/>
      <c r="BK306" s="66"/>
      <c r="BL306" s="66"/>
      <c r="BM306" s="66"/>
      <c r="BN306" s="66"/>
      <c r="BO306" s="66"/>
      <c r="BP306" s="66"/>
      <c r="BQ306" s="66"/>
      <c r="BR306" s="66"/>
      <c r="BS306" s="66"/>
      <c r="BT306" s="66"/>
      <c r="BU306" s="66"/>
      <c r="BV306" s="66"/>
      <c r="BW306" s="66"/>
      <c r="BX306" s="66"/>
      <c r="BY306" s="66"/>
      <c r="BZ306" s="66"/>
      <c r="CA306" s="66"/>
      <c r="CB306" s="66"/>
      <c r="CC306" s="66"/>
      <c r="CD306" s="66"/>
      <c r="CE306" s="66"/>
      <c r="CF306" s="66"/>
      <c r="CG306" s="66"/>
      <c r="CH306" s="66"/>
      <c r="CI306" s="66"/>
      <c r="CJ306" s="66"/>
      <c r="CK306" s="66"/>
      <c r="CL306" s="66"/>
      <c r="CM306" s="66"/>
      <c r="CN306" s="66"/>
      <c r="CO306" s="66"/>
      <c r="CP306" s="66"/>
      <c r="CQ306" s="23" t="s">
        <v>77</v>
      </c>
      <c r="DD306" s="8"/>
      <c r="DE306" s="8"/>
      <c r="DF306" s="8"/>
      <c r="DG306" s="8"/>
      <c r="DH306" s="8"/>
      <c r="DI306" s="8"/>
      <c r="DJ306" s="8"/>
      <c r="DK306" s="8"/>
    </row>
    <row r="307" spans="2:115" ht="11.25" hidden="1" customHeight="1" outlineLevel="1" x14ac:dyDescent="0.2">
      <c r="B307" s="7" t="s">
        <v>6</v>
      </c>
      <c r="K307" s="9">
        <f t="shared" ref="K307:AP307" si="765">+K309-K104+J308</f>
        <v>5.5369999999999999</v>
      </c>
      <c r="L307" s="9">
        <f t="shared" si="765"/>
        <v>5.76</v>
      </c>
      <c r="M307" s="9">
        <f t="shared" si="765"/>
        <v>5.76</v>
      </c>
      <c r="N307" s="9">
        <f t="shared" si="765"/>
        <v>178.83500000000001</v>
      </c>
      <c r="O307" s="9">
        <f t="shared" si="765"/>
        <v>180.83499999999998</v>
      </c>
      <c r="P307" s="9">
        <f t="shared" si="765"/>
        <v>196.63499999999999</v>
      </c>
      <c r="Q307" s="9">
        <f t="shared" si="765"/>
        <v>216.14799999999997</v>
      </c>
      <c r="R307" s="9">
        <f t="shared" si="765"/>
        <v>212.49399999999997</v>
      </c>
      <c r="S307" s="9">
        <f t="shared" si="765"/>
        <v>211.52399999999997</v>
      </c>
      <c r="T307" s="51">
        <f t="shared" si="765"/>
        <v>210.40899999999999</v>
      </c>
      <c r="U307" s="51">
        <f t="shared" si="765"/>
        <v>3616.4834670601695</v>
      </c>
      <c r="V307" s="51">
        <f t="shared" si="765"/>
        <v>3572.8978654375019</v>
      </c>
      <c r="W307" s="51">
        <f t="shared" si="765"/>
        <v>3390.5032768620135</v>
      </c>
      <c r="X307" s="51">
        <f t="shared" si="765"/>
        <v>3207.2353729495644</v>
      </c>
      <c r="Y307" s="51">
        <f t="shared" si="765"/>
        <v>3023.9679614237243</v>
      </c>
      <c r="Z307" s="51">
        <f t="shared" si="765"/>
        <v>2832.7116988851394</v>
      </c>
      <c r="AA307" s="51">
        <f t="shared" si="765"/>
        <v>2638.4200422750523</v>
      </c>
      <c r="AB307" s="51">
        <f t="shared" si="765"/>
        <v>2448.6026079074854</v>
      </c>
      <c r="AC307" s="51">
        <f t="shared" si="765"/>
        <v>2262.8378069274413</v>
      </c>
      <c r="AD307" s="51">
        <f t="shared" si="765"/>
        <v>2080.7846270158516</v>
      </c>
      <c r="AE307" s="51">
        <f t="shared" si="765"/>
        <v>1902.8411604733658</v>
      </c>
      <c r="AF307" s="51">
        <f t="shared" si="765"/>
        <v>1729.3916296338361</v>
      </c>
      <c r="AG307" s="51">
        <f t="shared" si="765"/>
        <v>1560.2307769005261</v>
      </c>
      <c r="AH307" s="51">
        <f t="shared" si="765"/>
        <v>1395.1737496886299</v>
      </c>
      <c r="AI307" s="51">
        <f t="shared" si="765"/>
        <v>1234.0220170741791</v>
      </c>
      <c r="AJ307" s="51">
        <f t="shared" si="765"/>
        <v>1076.6276373763349</v>
      </c>
      <c r="AK307" s="51">
        <f t="shared" si="765"/>
        <v>922.80640416380527</v>
      </c>
      <c r="AL307" s="51">
        <f t="shared" si="765"/>
        <v>772.38593283846194</v>
      </c>
      <c r="AM307" s="51">
        <f t="shared" si="765"/>
        <v>625.20382183473896</v>
      </c>
      <c r="AN307" s="51">
        <f t="shared" si="765"/>
        <v>481.11056659284134</v>
      </c>
      <c r="AO307" s="51">
        <f t="shared" si="765"/>
        <v>339.96544274228745</v>
      </c>
      <c r="AP307" s="51">
        <f t="shared" si="765"/>
        <v>201.64017361414713</v>
      </c>
      <c r="AQ307" s="51">
        <f t="shared" ref="AQ307:BV307" si="766">+AQ309-AQ104+AP308</f>
        <v>66.126342372931603</v>
      </c>
      <c r="AR307" s="51">
        <f t="shared" si="766"/>
        <v>-66.837662488762348</v>
      </c>
      <c r="AS307" s="51">
        <f t="shared" si="766"/>
        <v>-197.34180169355821</v>
      </c>
      <c r="AT307" s="51">
        <f t="shared" si="766"/>
        <v>-325.49250104797267</v>
      </c>
      <c r="AU307" s="51">
        <f t="shared" si="766"/>
        <v>-451.43000757642119</v>
      </c>
      <c r="AV307" s="51">
        <f t="shared" si="766"/>
        <v>-575.2713613219895</v>
      </c>
      <c r="AW307" s="51">
        <f t="shared" si="766"/>
        <v>-697.11788474487037</v>
      </c>
      <c r="AX307" s="51">
        <f t="shared" si="766"/>
        <v>-817.05423626269453</v>
      </c>
      <c r="AY307" s="51">
        <f t="shared" si="766"/>
        <v>-935.18597982070901</v>
      </c>
      <c r="AZ307" s="51">
        <f t="shared" si="766"/>
        <v>-1051.6021792520123</v>
      </c>
      <c r="BA307" s="51">
        <f t="shared" si="766"/>
        <v>-1166.3881556665845</v>
      </c>
      <c r="BB307" s="51">
        <f t="shared" si="766"/>
        <v>-1279.5750301881385</v>
      </c>
      <c r="BC307" s="51">
        <f t="shared" si="766"/>
        <v>-1391.292281722494</v>
      </c>
      <c r="BD307" s="51">
        <f t="shared" si="766"/>
        <v>-1501.6148969702817</v>
      </c>
      <c r="BE307" s="51">
        <f t="shared" si="766"/>
        <v>-1610.6147152693429</v>
      </c>
      <c r="BF307" s="51">
        <f t="shared" si="766"/>
        <v>-1718.3605614528249</v>
      </c>
      <c r="BG307" s="51">
        <f t="shared" si="766"/>
        <v>-1824.9183722166374</v>
      </c>
      <c r="BH307" s="51">
        <f t="shared" si="766"/>
        <v>-1930.3513196705383</v>
      </c>
      <c r="BI307" s="51">
        <f t="shared" si="766"/>
        <v>-2034.7199260924085</v>
      </c>
      <c r="BJ307" s="51">
        <f t="shared" si="766"/>
        <v>-2138.0821779861808</v>
      </c>
      <c r="BK307" s="51">
        <f t="shared" si="766"/>
        <v>-2240.4936311965666</v>
      </c>
      <c r="BL307" s="51">
        <f t="shared" si="766"/>
        <v>-2342.0075151978103</v>
      </c>
      <c r="BM307" s="51">
        <f t="shared" si="766"/>
        <v>-2442.6748303593936</v>
      </c>
      <c r="BN307" s="51">
        <f t="shared" si="766"/>
        <v>-2542.544442409896</v>
      </c>
      <c r="BO307" s="51">
        <f t="shared" si="766"/>
        <v>-2641.6631725156071</v>
      </c>
      <c r="BP307" s="51">
        <f t="shared" si="766"/>
        <v>-2740.0758838451684</v>
      </c>
      <c r="BQ307" s="51">
        <f t="shared" si="766"/>
        <v>-2837.825564200396</v>
      </c>
      <c r="BR307" s="51">
        <f t="shared" si="766"/>
        <v>-2934.9534052544832</v>
      </c>
      <c r="BS307" s="51">
        <f t="shared" si="766"/>
        <v>-3031.4988782859446</v>
      </c>
      <c r="BT307" s="51">
        <f t="shared" si="766"/>
        <v>-3127.4920337087506</v>
      </c>
      <c r="BU307" s="51">
        <f t="shared" si="766"/>
        <v>-3222.9698648566045</v>
      </c>
      <c r="BV307" s="51">
        <f t="shared" si="766"/>
        <v>-3317.9742040398041</v>
      </c>
      <c r="BW307" s="51">
        <f t="shared" ref="BW307:CP307" si="767">+BW309-BW104+BV308</f>
        <v>-3412.5383356271614</v>
      </c>
      <c r="BX307" s="51">
        <f t="shared" si="767"/>
        <v>-3506.6941578957822</v>
      </c>
      <c r="BY307" s="51">
        <f t="shared" si="767"/>
        <v>-3600.4722418420442</v>
      </c>
      <c r="BZ307" s="51">
        <f t="shared" si="767"/>
        <v>-3693.9018867079812</v>
      </c>
      <c r="CA307" s="51">
        <f t="shared" si="767"/>
        <v>-3787.0111746710008</v>
      </c>
      <c r="CB307" s="51">
        <f t="shared" si="767"/>
        <v>-3879.827021524045</v>
      </c>
      <c r="CC307" s="51">
        <f t="shared" si="767"/>
        <v>-3972.3752265987068</v>
      </c>
      <c r="CD307" s="51">
        <f t="shared" si="767"/>
        <v>-4064.6798197560079</v>
      </c>
      <c r="CE307" s="51">
        <f t="shared" si="767"/>
        <v>-4156.7563760729399</v>
      </c>
      <c r="CF307" s="51">
        <f t="shared" si="767"/>
        <v>-4248.6364801362715</v>
      </c>
      <c r="CG307" s="51">
        <f t="shared" si="767"/>
        <v>-4340.3419152286388</v>
      </c>
      <c r="CH307" s="51">
        <f t="shared" si="767"/>
        <v>-4431.8935650195781</v>
      </c>
      <c r="CI307" s="51">
        <f t="shared" si="767"/>
        <v>-4523.2212712263999</v>
      </c>
      <c r="CJ307" s="51">
        <f t="shared" si="767"/>
        <v>-4614.4346908061962</v>
      </c>
      <c r="CK307" s="51">
        <f t="shared" si="767"/>
        <v>-4705.5522207666572</v>
      </c>
      <c r="CL307" s="51">
        <f t="shared" si="767"/>
        <v>-4796.5915014352804</v>
      </c>
      <c r="CM307" s="51">
        <f t="shared" si="767"/>
        <v>-4887.5694485631857</v>
      </c>
      <c r="CN307" s="51">
        <f t="shared" si="767"/>
        <v>-4978.5022842816543</v>
      </c>
      <c r="CO307" s="51">
        <f t="shared" si="767"/>
        <v>-5069.4055663685067</v>
      </c>
      <c r="CP307" s="51">
        <f t="shared" si="767"/>
        <v>-5160.2942164258047</v>
      </c>
      <c r="CQ307" s="23" t="s">
        <v>77</v>
      </c>
      <c r="DD307" s="8"/>
      <c r="DE307" s="8"/>
      <c r="DF307" s="8"/>
      <c r="DG307" s="8"/>
      <c r="DH307" s="8"/>
      <c r="DI307" s="8"/>
      <c r="DJ307" s="8"/>
      <c r="DK307" s="8"/>
    </row>
    <row r="308" spans="2:115" ht="11.25" hidden="1" customHeight="1" outlineLevel="1" x14ac:dyDescent="0.2">
      <c r="B308" s="7" t="s">
        <v>5</v>
      </c>
      <c r="K308" s="9">
        <f t="shared" ref="K308:S308" si="768">+K307-K309</f>
        <v>0.98399999999999999</v>
      </c>
      <c r="L308" s="9">
        <f t="shared" si="768"/>
        <v>1.9069999999999996</v>
      </c>
      <c r="M308" s="9">
        <f t="shared" si="768"/>
        <v>2.6069999999999998</v>
      </c>
      <c r="N308" s="9">
        <f t="shared" si="768"/>
        <v>7.1920000000000073</v>
      </c>
      <c r="O308" s="9">
        <f t="shared" si="768"/>
        <v>12.313999999999993</v>
      </c>
      <c r="P308" s="9">
        <f t="shared" si="768"/>
        <v>17.35299999999998</v>
      </c>
      <c r="Q308" s="9">
        <f t="shared" si="768"/>
        <v>23.244999999999976</v>
      </c>
      <c r="R308" s="9">
        <f t="shared" si="768"/>
        <v>28.83499999999998</v>
      </c>
      <c r="S308" s="9">
        <f t="shared" si="768"/>
        <v>34.508999999999986</v>
      </c>
      <c r="T308" s="51">
        <f t="shared" ref="T308:AY308" si="769">+S308-T108</f>
        <v>34.121467060169302</v>
      </c>
      <c r="U308" s="51">
        <f t="shared" si="769"/>
        <v>33.72686543750217</v>
      </c>
      <c r="V308" s="51">
        <f t="shared" si="769"/>
        <v>33.34027686201361</v>
      </c>
      <c r="W308" s="51">
        <f t="shared" si="769"/>
        <v>32.953372949564439</v>
      </c>
      <c r="X308" s="51">
        <f t="shared" si="769"/>
        <v>32.566961423723917</v>
      </c>
      <c r="Y308" s="51">
        <f t="shared" si="769"/>
        <v>32.179557077860267</v>
      </c>
      <c r="Z308" s="51">
        <f t="shared" si="769"/>
        <v>31.785274117403748</v>
      </c>
      <c r="AA308" s="51">
        <f t="shared" si="769"/>
        <v>31.398144822754247</v>
      </c>
      <c r="AB308" s="51">
        <f t="shared" si="769"/>
        <v>31.002060201632784</v>
      </c>
      <c r="AC308" s="51">
        <f t="shared" si="769"/>
        <v>30.597536079601618</v>
      </c>
      <c r="AD308" s="51">
        <f t="shared" si="769"/>
        <v>30.184444087160895</v>
      </c>
      <c r="AE308" s="51">
        <f t="shared" si="769"/>
        <v>29.765392977452855</v>
      </c>
      <c r="AF308" s="51">
        <f t="shared" si="769"/>
        <v>29.342442937942504</v>
      </c>
      <c r="AG308" s="51">
        <f t="shared" si="769"/>
        <v>28.924782451007374</v>
      </c>
      <c r="AH308" s="51">
        <f t="shared" si="769"/>
        <v>28.499731837121875</v>
      </c>
      <c r="AI308" s="51">
        <f t="shared" si="769"/>
        <v>28.09735737483777</v>
      </c>
      <c r="AJ308" s="51">
        <f t="shared" si="769"/>
        <v>27.703949183055443</v>
      </c>
      <c r="AK308" s="51">
        <f t="shared" si="769"/>
        <v>27.310425638993831</v>
      </c>
      <c r="AL308" s="51">
        <f t="shared" si="769"/>
        <v>26.910798964537069</v>
      </c>
      <c r="AM308" s="51">
        <f t="shared" si="769"/>
        <v>26.505380707937057</v>
      </c>
      <c r="AN308" s="51">
        <f t="shared" si="769"/>
        <v>26.096944102278144</v>
      </c>
      <c r="AO308" s="51">
        <f t="shared" si="769"/>
        <v>25.694658940897309</v>
      </c>
      <c r="AP308" s="51">
        <f t="shared" si="769"/>
        <v>25.421759760463758</v>
      </c>
      <c r="AQ308" s="51">
        <f t="shared" si="769"/>
        <v>25.142736553427699</v>
      </c>
      <c r="AR308" s="51">
        <f t="shared" si="769"/>
        <v>24.888415067490339</v>
      </c>
      <c r="AS308" s="51">
        <f t="shared" si="769"/>
        <v>24.668065843641216</v>
      </c>
      <c r="AT308" s="51">
        <f t="shared" si="769"/>
        <v>24.452263473189216</v>
      </c>
      <c r="AU308" s="51">
        <f t="shared" si="769"/>
        <v>24.230121074957506</v>
      </c>
      <c r="AV308" s="51">
        <f t="shared" si="769"/>
        <v>24.001998447315575</v>
      </c>
      <c r="AW308" s="51">
        <f t="shared" si="769"/>
        <v>23.780637720073866</v>
      </c>
      <c r="AX308" s="51">
        <f t="shared" si="769"/>
        <v>23.553774971924526</v>
      </c>
      <c r="AY308" s="51">
        <f t="shared" si="769"/>
        <v>23.321719391889026</v>
      </c>
      <c r="AZ308" s="51">
        <f t="shared" ref="AZ308:CE308" si="770">+AY308-AZ108</f>
        <v>23.084762070379099</v>
      </c>
      <c r="BA308" s="51">
        <f t="shared" si="770"/>
        <v>22.893792411462194</v>
      </c>
      <c r="BB308" s="51">
        <f t="shared" si="770"/>
        <v>22.69789278011174</v>
      </c>
      <c r="BC308" s="51">
        <f t="shared" si="770"/>
        <v>22.497334456520623</v>
      </c>
      <c r="BD308" s="51">
        <f t="shared" si="770"/>
        <v>22.292372584958251</v>
      </c>
      <c r="BE308" s="51">
        <f t="shared" si="770"/>
        <v>22.083247192457211</v>
      </c>
      <c r="BF308" s="51">
        <f t="shared" si="770"/>
        <v>21.870185033909515</v>
      </c>
      <c r="BG308" s="51">
        <f t="shared" si="770"/>
        <v>21.653398828952959</v>
      </c>
      <c r="BH308" s="51">
        <f t="shared" si="770"/>
        <v>21.433090100598196</v>
      </c>
      <c r="BI308" s="51">
        <f t="shared" si="770"/>
        <v>21.209447734939005</v>
      </c>
      <c r="BJ308" s="51">
        <f t="shared" si="770"/>
        <v>20.982650719295638</v>
      </c>
      <c r="BK308" s="51">
        <f t="shared" si="770"/>
        <v>20.7528671431619</v>
      </c>
      <c r="BL308" s="51">
        <f t="shared" si="770"/>
        <v>20.52025585210075</v>
      </c>
      <c r="BM308" s="51">
        <f t="shared" si="770"/>
        <v>20.284966718276564</v>
      </c>
      <c r="BN308" s="51">
        <f t="shared" si="770"/>
        <v>20.047141288101976</v>
      </c>
      <c r="BO308" s="51">
        <f t="shared" si="770"/>
        <v>19.806913105308624</v>
      </c>
      <c r="BP308" s="51">
        <f t="shared" si="770"/>
        <v>19.564408291695369</v>
      </c>
      <c r="BQ308" s="51">
        <f t="shared" si="770"/>
        <v>19.319745999890596</v>
      </c>
      <c r="BR308" s="51">
        <f t="shared" si="770"/>
        <v>19.073038998724876</v>
      </c>
      <c r="BS308" s="51">
        <f t="shared" si="770"/>
        <v>18.832167233413088</v>
      </c>
      <c r="BT308" s="51">
        <f t="shared" si="770"/>
        <v>18.596484039222741</v>
      </c>
      <c r="BU308" s="51">
        <f t="shared" si="770"/>
        <v>18.358987121006148</v>
      </c>
      <c r="BV308" s="51">
        <f t="shared" si="770"/>
        <v>18.119769671445813</v>
      </c>
      <c r="BW308" s="51">
        <f t="shared" si="770"/>
        <v>17.87892000519231</v>
      </c>
      <c r="BX308" s="51">
        <f t="shared" si="770"/>
        <v>17.636521630492872</v>
      </c>
      <c r="BY308" s="51">
        <f t="shared" si="770"/>
        <v>17.392654114154947</v>
      </c>
      <c r="BZ308" s="51">
        <f t="shared" si="770"/>
        <v>17.147392397327412</v>
      </c>
      <c r="CA308" s="51">
        <f t="shared" si="770"/>
        <v>16.900807835931921</v>
      </c>
      <c r="CB308" s="51">
        <f t="shared" si="770"/>
        <v>16.652967809903487</v>
      </c>
      <c r="CC308" s="51">
        <f t="shared" si="770"/>
        <v>16.404636169122771</v>
      </c>
      <c r="CD308" s="51">
        <f t="shared" si="770"/>
        <v>16.164003976596739</v>
      </c>
      <c r="CE308" s="51">
        <f t="shared" si="770"/>
        <v>15.922268722314143</v>
      </c>
      <c r="CF308" s="51">
        <f t="shared" ref="CF308:CP308" si="771">+CE308-CF108</f>
        <v>15.679486804059302</v>
      </c>
      <c r="CG308" s="51">
        <f t="shared" si="771"/>
        <v>15.435711740426253</v>
      </c>
      <c r="CH308" s="51">
        <f t="shared" si="771"/>
        <v>15.281174725707286</v>
      </c>
      <c r="CI308" s="51">
        <f t="shared" si="771"/>
        <v>15.125464036807617</v>
      </c>
      <c r="CJ308" s="51">
        <f t="shared" si="771"/>
        <v>14.968635272899993</v>
      </c>
      <c r="CK308" s="51">
        <f t="shared" si="771"/>
        <v>14.810741653769297</v>
      </c>
      <c r="CL308" s="51">
        <f t="shared" si="771"/>
        <v>14.65183406336171</v>
      </c>
      <c r="CM308" s="51">
        <f t="shared" si="771"/>
        <v>14.491960880516547</v>
      </c>
      <c r="CN308" s="51">
        <f t="shared" si="771"/>
        <v>14.331168197303537</v>
      </c>
      <c r="CO308" s="51">
        <f t="shared" si="771"/>
        <v>14.169499878602087</v>
      </c>
      <c r="CP308" s="51">
        <f t="shared" si="771"/>
        <v>14.012396248571156</v>
      </c>
      <c r="CQ308" s="23" t="s">
        <v>77</v>
      </c>
      <c r="DD308" s="8"/>
      <c r="DE308" s="8"/>
      <c r="DF308" s="8"/>
      <c r="DG308" s="8"/>
      <c r="DH308" s="8"/>
      <c r="DI308" s="8"/>
      <c r="DJ308" s="8"/>
      <c r="DK308" s="8"/>
    </row>
    <row r="309" spans="2:115" ht="11.25" hidden="1" customHeight="1" outlineLevel="1" x14ac:dyDescent="0.2">
      <c r="B309" s="7" t="s">
        <v>7</v>
      </c>
      <c r="K309" s="6">
        <f t="shared" ref="K309:BD309" si="772">+K267</f>
        <v>4.5529999999999999</v>
      </c>
      <c r="L309" s="6">
        <f t="shared" si="772"/>
        <v>3.8530000000000002</v>
      </c>
      <c r="M309" s="6">
        <f t="shared" si="772"/>
        <v>3.153</v>
      </c>
      <c r="N309" s="6">
        <f t="shared" si="772"/>
        <v>171.643</v>
      </c>
      <c r="O309" s="6">
        <f t="shared" si="772"/>
        <v>168.52099999999999</v>
      </c>
      <c r="P309" s="6">
        <f t="shared" si="772"/>
        <v>179.28200000000001</v>
      </c>
      <c r="Q309" s="6">
        <f t="shared" si="772"/>
        <v>192.90299999999999</v>
      </c>
      <c r="R309" s="6">
        <f t="shared" si="772"/>
        <v>183.65899999999999</v>
      </c>
      <c r="S309" s="6">
        <f t="shared" si="772"/>
        <v>177.01499999999999</v>
      </c>
      <c r="T309" s="51">
        <f t="shared" si="772"/>
        <v>170.804</v>
      </c>
      <c r="U309" s="51">
        <f t="shared" si="772"/>
        <v>3556.2460000000001</v>
      </c>
      <c r="V309" s="51">
        <f t="shared" si="772"/>
        <v>3355.7069999999999</v>
      </c>
      <c r="W309" s="51">
        <f t="shared" si="772"/>
        <v>3174.2820000000002</v>
      </c>
      <c r="X309" s="51">
        <f t="shared" si="772"/>
        <v>2991.4010000000003</v>
      </c>
      <c r="Y309" s="51">
        <f t="shared" si="772"/>
        <v>2800.532141807279</v>
      </c>
      <c r="Z309" s="51">
        <f t="shared" si="772"/>
        <v>2606.6347681576485</v>
      </c>
      <c r="AA309" s="51">
        <f t="shared" si="772"/>
        <v>2417.2044630847313</v>
      </c>
      <c r="AB309" s="51">
        <f t="shared" si="772"/>
        <v>2231.8357467258083</v>
      </c>
      <c r="AC309" s="51">
        <f t="shared" si="772"/>
        <v>2050.1870909362501</v>
      </c>
      <c r="AD309" s="51">
        <f t="shared" si="772"/>
        <v>1872.6567163862048</v>
      </c>
      <c r="AE309" s="51">
        <f t="shared" si="772"/>
        <v>1699.6262366563833</v>
      </c>
      <c r="AF309" s="51">
        <f t="shared" si="772"/>
        <v>1530.8883339625836</v>
      </c>
      <c r="AG309" s="51">
        <f t="shared" si="772"/>
        <v>1366.2489672376225</v>
      </c>
      <c r="AH309" s="51">
        <f t="shared" si="772"/>
        <v>1205.5222852370573</v>
      </c>
      <c r="AI309" s="51">
        <f t="shared" si="772"/>
        <v>1048.530280001497</v>
      </c>
      <c r="AJ309" s="51">
        <f t="shared" si="772"/>
        <v>895.10245498074983</v>
      </c>
      <c r="AK309" s="51">
        <f t="shared" si="772"/>
        <v>745.07550719946812</v>
      </c>
      <c r="AL309" s="51">
        <f t="shared" si="772"/>
        <v>598.29302287020187</v>
      </c>
      <c r="AM309" s="51">
        <f t="shared" si="772"/>
        <v>454.6051858849043</v>
      </c>
      <c r="AN309" s="51">
        <f t="shared" si="772"/>
        <v>313.86849864000931</v>
      </c>
      <c r="AO309" s="51">
        <f t="shared" si="772"/>
        <v>175.94551467324982</v>
      </c>
      <c r="AP309" s="51">
        <f t="shared" si="772"/>
        <v>40.704582612467846</v>
      </c>
      <c r="AQ309" s="51">
        <f t="shared" si="772"/>
        <v>-91.980399042190044</v>
      </c>
      <c r="AR309" s="51">
        <f t="shared" si="772"/>
        <v>-222.23021676104852</v>
      </c>
      <c r="AS309" s="51">
        <f t="shared" si="772"/>
        <v>-350.16056689161388</v>
      </c>
      <c r="AT309" s="51">
        <f t="shared" si="772"/>
        <v>-475.88227104961032</v>
      </c>
      <c r="AU309" s="51">
        <f t="shared" si="772"/>
        <v>-599.50148239694704</v>
      </c>
      <c r="AV309" s="51">
        <f t="shared" si="772"/>
        <v>-721.11988319218597</v>
      </c>
      <c r="AW309" s="51">
        <f t="shared" si="772"/>
        <v>-840.83487398276839</v>
      </c>
      <c r="AX309" s="51">
        <f t="shared" si="772"/>
        <v>-958.73975479263345</v>
      </c>
      <c r="AY309" s="51">
        <f t="shared" si="772"/>
        <v>-1074.9238986439013</v>
      </c>
      <c r="AZ309" s="51">
        <f t="shared" si="772"/>
        <v>-1189.4729177369636</v>
      </c>
      <c r="BA309" s="51">
        <f t="shared" si="772"/>
        <v>-1302.4688225996008</v>
      </c>
      <c r="BB309" s="51">
        <f t="shared" si="772"/>
        <v>-1413.9901745026057</v>
      </c>
      <c r="BC309" s="51">
        <f t="shared" si="772"/>
        <v>-1524.1122314268023</v>
      </c>
      <c r="BD309" s="51">
        <f t="shared" si="772"/>
        <v>-1632.9070878543012</v>
      </c>
      <c r="BE309" s="51">
        <f t="shared" ref="BE309:CP309" si="773">+BE267</f>
        <v>-1740.4438086452822</v>
      </c>
      <c r="BF309" s="51">
        <f t="shared" si="773"/>
        <v>-1846.788557250547</v>
      </c>
      <c r="BG309" s="51">
        <f t="shared" si="773"/>
        <v>-1952.0047184994912</v>
      </c>
      <c r="BH309" s="51">
        <f t="shared" si="773"/>
        <v>-2056.1530161930068</v>
      </c>
      <c r="BI309" s="51">
        <f t="shared" si="773"/>
        <v>-2159.29162572112</v>
      </c>
      <c r="BJ309" s="51">
        <f t="shared" si="773"/>
        <v>-2261.4762819158623</v>
      </c>
      <c r="BK309" s="51">
        <f t="shared" si="773"/>
        <v>-2362.7603823409722</v>
      </c>
      <c r="BL309" s="51">
        <f t="shared" si="773"/>
        <v>-2463.1950862114945</v>
      </c>
      <c r="BM309" s="51">
        <f t="shared" si="773"/>
        <v>-2562.8294091281728</v>
      </c>
      <c r="BN309" s="51">
        <f t="shared" si="773"/>
        <v>-2661.7103138037091</v>
      </c>
      <c r="BO309" s="51">
        <f t="shared" si="773"/>
        <v>-2759.8827969504769</v>
      </c>
      <c r="BP309" s="51">
        <f t="shared" si="773"/>
        <v>-2857.3899724920911</v>
      </c>
      <c r="BQ309" s="51">
        <f t="shared" si="773"/>
        <v>-2954.2731512543737</v>
      </c>
      <c r="BR309" s="51">
        <f t="shared" si="773"/>
        <v>-3050.5719172846693</v>
      </c>
      <c r="BS309" s="51">
        <f t="shared" si="773"/>
        <v>-3146.3242009421638</v>
      </c>
      <c r="BT309" s="51">
        <f t="shared" si="773"/>
        <v>-3241.5663488958271</v>
      </c>
      <c r="BU309" s="51">
        <f t="shared" si="773"/>
        <v>-3336.3331911608102</v>
      </c>
      <c r="BV309" s="51">
        <f t="shared" si="773"/>
        <v>-3430.6581052986071</v>
      </c>
      <c r="BW309" s="51">
        <f t="shared" si="773"/>
        <v>-3524.5730779009746</v>
      </c>
      <c r="BX309" s="51">
        <f t="shared" si="773"/>
        <v>-3618.1087634725372</v>
      </c>
      <c r="BY309" s="51">
        <f t="shared" si="773"/>
        <v>-3711.2945408221362</v>
      </c>
      <c r="BZ309" s="51">
        <f t="shared" si="773"/>
        <v>-3804.1585670683285</v>
      </c>
      <c r="CA309" s="51">
        <f t="shared" si="773"/>
        <v>-3896.727829359977</v>
      </c>
      <c r="CB309" s="51">
        <f t="shared" si="773"/>
        <v>-3989.0281944086105</v>
      </c>
      <c r="CC309" s="51">
        <f t="shared" si="773"/>
        <v>-4081.0844559251304</v>
      </c>
      <c r="CD309" s="51">
        <f t="shared" si="773"/>
        <v>-4172.920380049537</v>
      </c>
      <c r="CE309" s="51">
        <f t="shared" si="773"/>
        <v>-4264.5587488585861</v>
      </c>
      <c r="CF309" s="51">
        <f t="shared" si="773"/>
        <v>-4356.0214020326985</v>
      </c>
      <c r="CG309" s="51">
        <f t="shared" si="773"/>
        <v>-4447.3292767600042</v>
      </c>
      <c r="CH309" s="51">
        <f t="shared" si="773"/>
        <v>-4538.5024459521073</v>
      </c>
      <c r="CI309" s="51">
        <f t="shared" si="773"/>
        <v>-4629.5601548430041</v>
      </c>
      <c r="CJ309" s="51">
        <f t="shared" si="773"/>
        <v>-4720.5208560395577</v>
      </c>
      <c r="CK309" s="51">
        <f t="shared" si="773"/>
        <v>-4811.40224308905</v>
      </c>
      <c r="CL309" s="51">
        <f t="shared" si="773"/>
        <v>-4902.2212826265477</v>
      </c>
      <c r="CM309" s="51">
        <f t="shared" si="773"/>
        <v>-4992.994245162171</v>
      </c>
      <c r="CN309" s="51">
        <f t="shared" si="773"/>
        <v>-5083.7367345658104</v>
      </c>
      <c r="CO309" s="51">
        <f t="shared" si="773"/>
        <v>-5174.4637163044072</v>
      </c>
      <c r="CP309" s="51">
        <f t="shared" si="773"/>
        <v>-5265.1895444845659</v>
      </c>
      <c r="CQ309" s="23" t="s">
        <v>77</v>
      </c>
      <c r="DD309" s="8"/>
      <c r="DE309" s="8"/>
      <c r="DF309" s="8"/>
      <c r="DG309" s="8"/>
      <c r="DH309" s="8"/>
      <c r="DI309" s="8"/>
      <c r="DJ309" s="8"/>
      <c r="DK309" s="8"/>
    </row>
    <row r="310" spans="2:115" ht="11.25" hidden="1" customHeight="1" outlineLevel="1" x14ac:dyDescent="0.2">
      <c r="B310" s="358" t="s">
        <v>8</v>
      </c>
      <c r="C310" s="218"/>
      <c r="D310" s="66"/>
      <c r="E310" s="66"/>
      <c r="F310" s="66"/>
      <c r="G310" s="66"/>
      <c r="H310" s="66"/>
      <c r="I310" s="66"/>
      <c r="J310" s="66"/>
      <c r="K310" s="66"/>
      <c r="L310" s="66"/>
      <c r="M310" s="66"/>
      <c r="N310" s="66"/>
      <c r="O310" s="66"/>
      <c r="P310" s="66"/>
      <c r="Q310" s="66"/>
      <c r="R310" s="66"/>
      <c r="S310" s="66"/>
      <c r="T310" s="66"/>
      <c r="U310" s="66"/>
      <c r="V310" s="66"/>
      <c r="W310" s="66"/>
      <c r="X310" s="66"/>
      <c r="Y310" s="66"/>
      <c r="Z310" s="66"/>
      <c r="AA310" s="66"/>
      <c r="AB310" s="66"/>
      <c r="AC310" s="66"/>
      <c r="AD310" s="66"/>
      <c r="AE310" s="66"/>
      <c r="AF310" s="66"/>
      <c r="AG310" s="66"/>
      <c r="AH310" s="66"/>
      <c r="AI310" s="66"/>
      <c r="AJ310" s="66"/>
      <c r="AK310" s="66"/>
      <c r="AL310" s="66"/>
      <c r="AM310" s="66"/>
      <c r="AN310" s="66"/>
      <c r="AO310" s="66"/>
      <c r="AP310" s="66"/>
      <c r="AQ310" s="66"/>
      <c r="AR310" s="66"/>
      <c r="AS310" s="66"/>
      <c r="AT310" s="66"/>
      <c r="AU310" s="66"/>
      <c r="AV310" s="66"/>
      <c r="AW310" s="66"/>
      <c r="AX310" s="66"/>
      <c r="AY310" s="66"/>
      <c r="AZ310" s="66"/>
      <c r="BA310" s="66"/>
      <c r="BB310" s="66"/>
      <c r="BC310" s="66"/>
      <c r="BD310" s="66"/>
      <c r="BE310" s="66"/>
      <c r="BF310" s="66"/>
      <c r="BG310" s="66"/>
      <c r="BH310" s="66"/>
      <c r="BI310" s="66"/>
      <c r="BJ310" s="66"/>
      <c r="BK310" s="66"/>
      <c r="BL310" s="66"/>
      <c r="BM310" s="66"/>
      <c r="BN310" s="66"/>
      <c r="BO310" s="66"/>
      <c r="BP310" s="66"/>
      <c r="BQ310" s="66"/>
      <c r="BR310" s="66"/>
      <c r="BS310" s="66"/>
      <c r="BT310" s="66"/>
      <c r="BU310" s="66"/>
      <c r="BV310" s="66"/>
      <c r="BW310" s="66"/>
      <c r="BX310" s="66"/>
      <c r="BY310" s="66"/>
      <c r="BZ310" s="66"/>
      <c r="CA310" s="66"/>
      <c r="CB310" s="66"/>
      <c r="CC310" s="66"/>
      <c r="CD310" s="66"/>
      <c r="CE310" s="66"/>
      <c r="CF310" s="66"/>
      <c r="CG310" s="66"/>
      <c r="CH310" s="66"/>
      <c r="CI310" s="66"/>
      <c r="CJ310" s="66"/>
      <c r="CK310" s="66"/>
      <c r="CL310" s="66"/>
      <c r="CM310" s="66"/>
      <c r="CN310" s="66"/>
      <c r="CO310" s="66"/>
      <c r="CP310" s="66"/>
      <c r="CQ310" s="23" t="s">
        <v>77</v>
      </c>
      <c r="DD310" s="8"/>
      <c r="DE310" s="8"/>
      <c r="DF310" s="8"/>
      <c r="DG310" s="8"/>
      <c r="DH310" s="8"/>
      <c r="DI310" s="8"/>
      <c r="DJ310" s="8"/>
      <c r="DK310" s="8"/>
    </row>
    <row r="311" spans="2:115" ht="11.25" hidden="1" customHeight="1" outlineLevel="1" x14ac:dyDescent="0.2">
      <c r="B311" s="7" t="s">
        <v>8</v>
      </c>
      <c r="K311" s="9">
        <v>0</v>
      </c>
      <c r="L311" s="9">
        <v>0</v>
      </c>
      <c r="M311" s="9">
        <v>0</v>
      </c>
      <c r="N311" s="9">
        <v>0</v>
      </c>
      <c r="O311" s="9">
        <v>0</v>
      </c>
      <c r="P311" s="9">
        <v>0</v>
      </c>
      <c r="Q311" s="9">
        <v>0</v>
      </c>
      <c r="R311" s="9">
        <v>0</v>
      </c>
      <c r="S311" s="9">
        <v>0</v>
      </c>
      <c r="T311" s="51">
        <f>+S311</f>
        <v>0</v>
      </c>
      <c r="U311" s="51">
        <f>+T311</f>
        <v>0</v>
      </c>
      <c r="V311" s="51">
        <f t="shared" ref="V311:BD311" si="774">+U311</f>
        <v>0</v>
      </c>
      <c r="W311" s="51">
        <f t="shared" si="774"/>
        <v>0</v>
      </c>
      <c r="X311" s="51">
        <f t="shared" si="774"/>
        <v>0</v>
      </c>
      <c r="Y311" s="51">
        <f t="shared" si="774"/>
        <v>0</v>
      </c>
      <c r="Z311" s="51">
        <f t="shared" si="774"/>
        <v>0</v>
      </c>
      <c r="AA311" s="51">
        <f t="shared" si="774"/>
        <v>0</v>
      </c>
      <c r="AB311" s="51">
        <f t="shared" si="774"/>
        <v>0</v>
      </c>
      <c r="AC311" s="51">
        <f t="shared" si="774"/>
        <v>0</v>
      </c>
      <c r="AD311" s="51">
        <f t="shared" si="774"/>
        <v>0</v>
      </c>
      <c r="AE311" s="51">
        <f t="shared" si="774"/>
        <v>0</v>
      </c>
      <c r="AF311" s="51">
        <f t="shared" si="774"/>
        <v>0</v>
      </c>
      <c r="AG311" s="51">
        <f t="shared" si="774"/>
        <v>0</v>
      </c>
      <c r="AH311" s="51">
        <f t="shared" si="774"/>
        <v>0</v>
      </c>
      <c r="AI311" s="51">
        <f t="shared" si="774"/>
        <v>0</v>
      </c>
      <c r="AJ311" s="51">
        <f t="shared" si="774"/>
        <v>0</v>
      </c>
      <c r="AK311" s="51">
        <f t="shared" si="774"/>
        <v>0</v>
      </c>
      <c r="AL311" s="51">
        <f t="shared" si="774"/>
        <v>0</v>
      </c>
      <c r="AM311" s="51">
        <f t="shared" si="774"/>
        <v>0</v>
      </c>
      <c r="AN311" s="51">
        <f t="shared" si="774"/>
        <v>0</v>
      </c>
      <c r="AO311" s="51">
        <f t="shared" si="774"/>
        <v>0</v>
      </c>
      <c r="AP311" s="51">
        <f t="shared" si="774"/>
        <v>0</v>
      </c>
      <c r="AQ311" s="51">
        <f t="shared" si="774"/>
        <v>0</v>
      </c>
      <c r="AR311" s="51">
        <f t="shared" si="774"/>
        <v>0</v>
      </c>
      <c r="AS311" s="51">
        <f t="shared" si="774"/>
        <v>0</v>
      </c>
      <c r="AT311" s="51">
        <f t="shared" si="774"/>
        <v>0</v>
      </c>
      <c r="AU311" s="51">
        <f t="shared" si="774"/>
        <v>0</v>
      </c>
      <c r="AV311" s="51">
        <f t="shared" si="774"/>
        <v>0</v>
      </c>
      <c r="AW311" s="51">
        <f t="shared" si="774"/>
        <v>0</v>
      </c>
      <c r="AX311" s="51">
        <f t="shared" si="774"/>
        <v>0</v>
      </c>
      <c r="AY311" s="51">
        <f t="shared" si="774"/>
        <v>0</v>
      </c>
      <c r="AZ311" s="51">
        <f t="shared" si="774"/>
        <v>0</v>
      </c>
      <c r="BA311" s="51">
        <f t="shared" si="774"/>
        <v>0</v>
      </c>
      <c r="BB311" s="51">
        <f t="shared" si="774"/>
        <v>0</v>
      </c>
      <c r="BC311" s="51">
        <f t="shared" si="774"/>
        <v>0</v>
      </c>
      <c r="BD311" s="51">
        <f t="shared" si="774"/>
        <v>0</v>
      </c>
      <c r="BE311" s="51">
        <f t="shared" ref="BE311:CP311" si="775">+BD311</f>
        <v>0</v>
      </c>
      <c r="BF311" s="51">
        <f t="shared" si="775"/>
        <v>0</v>
      </c>
      <c r="BG311" s="51">
        <f t="shared" si="775"/>
        <v>0</v>
      </c>
      <c r="BH311" s="51">
        <f t="shared" si="775"/>
        <v>0</v>
      </c>
      <c r="BI311" s="51">
        <f t="shared" si="775"/>
        <v>0</v>
      </c>
      <c r="BJ311" s="51">
        <f t="shared" si="775"/>
        <v>0</v>
      </c>
      <c r="BK311" s="51">
        <f t="shared" si="775"/>
        <v>0</v>
      </c>
      <c r="BL311" s="51">
        <f t="shared" si="775"/>
        <v>0</v>
      </c>
      <c r="BM311" s="51">
        <f t="shared" si="775"/>
        <v>0</v>
      </c>
      <c r="BN311" s="51">
        <f t="shared" si="775"/>
        <v>0</v>
      </c>
      <c r="BO311" s="51">
        <f t="shared" si="775"/>
        <v>0</v>
      </c>
      <c r="BP311" s="51">
        <f t="shared" si="775"/>
        <v>0</v>
      </c>
      <c r="BQ311" s="51">
        <f t="shared" si="775"/>
        <v>0</v>
      </c>
      <c r="BR311" s="51">
        <f t="shared" si="775"/>
        <v>0</v>
      </c>
      <c r="BS311" s="51">
        <f t="shared" si="775"/>
        <v>0</v>
      </c>
      <c r="BT311" s="51">
        <f t="shared" si="775"/>
        <v>0</v>
      </c>
      <c r="BU311" s="51">
        <f t="shared" si="775"/>
        <v>0</v>
      </c>
      <c r="BV311" s="51">
        <f t="shared" si="775"/>
        <v>0</v>
      </c>
      <c r="BW311" s="51">
        <f t="shared" si="775"/>
        <v>0</v>
      </c>
      <c r="BX311" s="51">
        <f t="shared" si="775"/>
        <v>0</v>
      </c>
      <c r="BY311" s="51">
        <f t="shared" si="775"/>
        <v>0</v>
      </c>
      <c r="BZ311" s="51">
        <f t="shared" si="775"/>
        <v>0</v>
      </c>
      <c r="CA311" s="51">
        <f t="shared" si="775"/>
        <v>0</v>
      </c>
      <c r="CB311" s="51">
        <f t="shared" si="775"/>
        <v>0</v>
      </c>
      <c r="CC311" s="51">
        <f t="shared" si="775"/>
        <v>0</v>
      </c>
      <c r="CD311" s="51">
        <f t="shared" si="775"/>
        <v>0</v>
      </c>
      <c r="CE311" s="51">
        <f t="shared" si="775"/>
        <v>0</v>
      </c>
      <c r="CF311" s="51">
        <f t="shared" si="775"/>
        <v>0</v>
      </c>
      <c r="CG311" s="51">
        <f t="shared" si="775"/>
        <v>0</v>
      </c>
      <c r="CH311" s="51">
        <f t="shared" si="775"/>
        <v>0</v>
      </c>
      <c r="CI311" s="51">
        <f t="shared" si="775"/>
        <v>0</v>
      </c>
      <c r="CJ311" s="51">
        <f t="shared" si="775"/>
        <v>0</v>
      </c>
      <c r="CK311" s="51">
        <f t="shared" si="775"/>
        <v>0</v>
      </c>
      <c r="CL311" s="51">
        <f t="shared" si="775"/>
        <v>0</v>
      </c>
      <c r="CM311" s="51">
        <f t="shared" si="775"/>
        <v>0</v>
      </c>
      <c r="CN311" s="51">
        <f t="shared" si="775"/>
        <v>0</v>
      </c>
      <c r="CO311" s="51">
        <f t="shared" si="775"/>
        <v>0</v>
      </c>
      <c r="CP311" s="51">
        <f t="shared" si="775"/>
        <v>0</v>
      </c>
      <c r="CQ311" s="23" t="s">
        <v>77</v>
      </c>
      <c r="DD311" s="8"/>
      <c r="DE311" s="8"/>
      <c r="DF311" s="8"/>
      <c r="DG311" s="8"/>
      <c r="DH311" s="8"/>
      <c r="DI311" s="8"/>
      <c r="DJ311" s="8"/>
      <c r="DK311" s="8"/>
    </row>
    <row r="312" spans="2:115" collapsed="1" x14ac:dyDescent="0.2">
      <c r="CQ312" s="23" t="s">
        <v>77</v>
      </c>
      <c r="DD312" s="8"/>
      <c r="DE312" s="8"/>
      <c r="DF312" s="8"/>
      <c r="DG312" s="8"/>
      <c r="DH312" s="8"/>
      <c r="DI312" s="8"/>
      <c r="DJ312" s="8"/>
      <c r="DK312" s="8"/>
    </row>
    <row r="313" spans="2:115" x14ac:dyDescent="0.2">
      <c r="B313" s="729" t="s">
        <v>133</v>
      </c>
      <c r="C313" s="312"/>
      <c r="D313" s="313"/>
      <c r="E313" s="313"/>
      <c r="F313" s="730"/>
      <c r="G313" s="730"/>
      <c r="H313" s="730"/>
      <c r="I313" s="730"/>
      <c r="J313" s="730"/>
      <c r="K313" s="730">
        <f t="shared" ref="K313:BV313" si="776">Fiscal_Year</f>
        <v>38533</v>
      </c>
      <c r="L313" s="730">
        <f t="shared" si="776"/>
        <v>38898</v>
      </c>
      <c r="M313" s="730">
        <f t="shared" si="776"/>
        <v>39263</v>
      </c>
      <c r="N313" s="730">
        <f t="shared" si="776"/>
        <v>39629</v>
      </c>
      <c r="O313" s="730">
        <f t="shared" si="776"/>
        <v>39994</v>
      </c>
      <c r="P313" s="730">
        <f t="shared" si="776"/>
        <v>40359</v>
      </c>
      <c r="Q313" s="730">
        <f t="shared" si="776"/>
        <v>40724</v>
      </c>
      <c r="R313" s="730">
        <f t="shared" si="776"/>
        <v>41090</v>
      </c>
      <c r="S313" s="730">
        <f t="shared" si="776"/>
        <v>41455</v>
      </c>
      <c r="T313" s="730">
        <f t="shared" si="776"/>
        <v>41820</v>
      </c>
      <c r="U313" s="730">
        <f t="shared" si="776"/>
        <v>42185</v>
      </c>
      <c r="V313" s="730">
        <f t="shared" si="776"/>
        <v>42551</v>
      </c>
      <c r="W313" s="730">
        <f t="shared" si="776"/>
        <v>42916</v>
      </c>
      <c r="X313" s="730">
        <f t="shared" si="776"/>
        <v>43281</v>
      </c>
      <c r="Y313" s="730">
        <f t="shared" si="776"/>
        <v>43646</v>
      </c>
      <c r="Z313" s="730">
        <f t="shared" si="776"/>
        <v>44012</v>
      </c>
      <c r="AA313" s="730">
        <f t="shared" si="776"/>
        <v>44377</v>
      </c>
      <c r="AB313" s="730">
        <f t="shared" si="776"/>
        <v>44742</v>
      </c>
      <c r="AC313" s="730">
        <f t="shared" si="776"/>
        <v>45107</v>
      </c>
      <c r="AD313" s="730">
        <f t="shared" si="776"/>
        <v>45473</v>
      </c>
      <c r="AE313" s="730">
        <f t="shared" si="776"/>
        <v>45838</v>
      </c>
      <c r="AF313" s="730">
        <f t="shared" si="776"/>
        <v>46203</v>
      </c>
      <c r="AG313" s="730">
        <f t="shared" si="776"/>
        <v>46568</v>
      </c>
      <c r="AH313" s="730">
        <f t="shared" si="776"/>
        <v>46934</v>
      </c>
      <c r="AI313" s="730">
        <f t="shared" si="776"/>
        <v>47299</v>
      </c>
      <c r="AJ313" s="730">
        <f t="shared" si="776"/>
        <v>47664</v>
      </c>
      <c r="AK313" s="730">
        <f t="shared" si="776"/>
        <v>48029</v>
      </c>
      <c r="AL313" s="730">
        <f t="shared" si="776"/>
        <v>48395</v>
      </c>
      <c r="AM313" s="730">
        <f t="shared" si="776"/>
        <v>48760</v>
      </c>
      <c r="AN313" s="730">
        <f t="shared" si="776"/>
        <v>49125</v>
      </c>
      <c r="AO313" s="730">
        <f t="shared" si="776"/>
        <v>49490</v>
      </c>
      <c r="AP313" s="730">
        <f t="shared" si="776"/>
        <v>49856</v>
      </c>
      <c r="AQ313" s="730">
        <f t="shared" si="776"/>
        <v>50221</v>
      </c>
      <c r="AR313" s="730">
        <f t="shared" si="776"/>
        <v>50586</v>
      </c>
      <c r="AS313" s="730">
        <f t="shared" si="776"/>
        <v>50951</v>
      </c>
      <c r="AT313" s="730">
        <f t="shared" si="776"/>
        <v>51317</v>
      </c>
      <c r="AU313" s="730">
        <f t="shared" si="776"/>
        <v>51682</v>
      </c>
      <c r="AV313" s="730">
        <f t="shared" si="776"/>
        <v>52047</v>
      </c>
      <c r="AW313" s="730">
        <f t="shared" si="776"/>
        <v>52412</v>
      </c>
      <c r="AX313" s="730">
        <f t="shared" si="776"/>
        <v>52778</v>
      </c>
      <c r="AY313" s="730">
        <f t="shared" si="776"/>
        <v>53143</v>
      </c>
      <c r="AZ313" s="730">
        <f t="shared" si="776"/>
        <v>53508</v>
      </c>
      <c r="BA313" s="730">
        <f t="shared" si="776"/>
        <v>53873</v>
      </c>
      <c r="BB313" s="730">
        <f t="shared" si="776"/>
        <v>54239</v>
      </c>
      <c r="BC313" s="730">
        <f t="shared" si="776"/>
        <v>54604</v>
      </c>
      <c r="BD313" s="730">
        <f t="shared" si="776"/>
        <v>54969</v>
      </c>
      <c r="BE313" s="730">
        <f t="shared" si="776"/>
        <v>55334</v>
      </c>
      <c r="BF313" s="730">
        <f t="shared" si="776"/>
        <v>55700</v>
      </c>
      <c r="BG313" s="730">
        <f t="shared" si="776"/>
        <v>56065</v>
      </c>
      <c r="BH313" s="730">
        <f t="shared" si="776"/>
        <v>56430</v>
      </c>
      <c r="BI313" s="730">
        <f t="shared" si="776"/>
        <v>56795</v>
      </c>
      <c r="BJ313" s="730">
        <f t="shared" si="776"/>
        <v>57161</v>
      </c>
      <c r="BK313" s="730">
        <f t="shared" si="776"/>
        <v>57526</v>
      </c>
      <c r="BL313" s="730">
        <f t="shared" si="776"/>
        <v>57891</v>
      </c>
      <c r="BM313" s="730">
        <f t="shared" si="776"/>
        <v>58256</v>
      </c>
      <c r="BN313" s="730">
        <f t="shared" si="776"/>
        <v>58622</v>
      </c>
      <c r="BO313" s="730">
        <f t="shared" si="776"/>
        <v>58987</v>
      </c>
      <c r="BP313" s="730">
        <f t="shared" si="776"/>
        <v>59352</v>
      </c>
      <c r="BQ313" s="730">
        <f t="shared" si="776"/>
        <v>59717</v>
      </c>
      <c r="BR313" s="730">
        <f t="shared" si="776"/>
        <v>60083</v>
      </c>
      <c r="BS313" s="730">
        <f t="shared" si="776"/>
        <v>60448</v>
      </c>
      <c r="BT313" s="730">
        <f t="shared" si="776"/>
        <v>60813</v>
      </c>
      <c r="BU313" s="730">
        <f t="shared" si="776"/>
        <v>61178</v>
      </c>
      <c r="BV313" s="730">
        <f t="shared" si="776"/>
        <v>61544</v>
      </c>
      <c r="BW313" s="730">
        <f t="shared" ref="BW313:CP313" si="777">Fiscal_Year</f>
        <v>61909</v>
      </c>
      <c r="BX313" s="730">
        <f t="shared" si="777"/>
        <v>62274</v>
      </c>
      <c r="BY313" s="730">
        <f t="shared" si="777"/>
        <v>62639</v>
      </c>
      <c r="BZ313" s="730">
        <f t="shared" si="777"/>
        <v>63005</v>
      </c>
      <c r="CA313" s="730">
        <f t="shared" si="777"/>
        <v>63370</v>
      </c>
      <c r="CB313" s="730">
        <f t="shared" si="777"/>
        <v>63735</v>
      </c>
      <c r="CC313" s="730">
        <f t="shared" si="777"/>
        <v>64100</v>
      </c>
      <c r="CD313" s="730">
        <f t="shared" si="777"/>
        <v>64466</v>
      </c>
      <c r="CE313" s="730">
        <f t="shared" si="777"/>
        <v>64831</v>
      </c>
      <c r="CF313" s="730">
        <f t="shared" si="777"/>
        <v>65196</v>
      </c>
      <c r="CG313" s="730">
        <f t="shared" si="777"/>
        <v>65561</v>
      </c>
      <c r="CH313" s="730">
        <f t="shared" si="777"/>
        <v>65927</v>
      </c>
      <c r="CI313" s="730">
        <f t="shared" si="777"/>
        <v>66292</v>
      </c>
      <c r="CJ313" s="730">
        <f t="shared" si="777"/>
        <v>66657</v>
      </c>
      <c r="CK313" s="730">
        <f t="shared" si="777"/>
        <v>67022</v>
      </c>
      <c r="CL313" s="730">
        <f t="shared" si="777"/>
        <v>67388</v>
      </c>
      <c r="CM313" s="730">
        <f t="shared" si="777"/>
        <v>67753</v>
      </c>
      <c r="CN313" s="730">
        <f t="shared" si="777"/>
        <v>68118</v>
      </c>
      <c r="CO313" s="730">
        <f t="shared" si="777"/>
        <v>68483</v>
      </c>
      <c r="CP313" s="730">
        <f t="shared" si="777"/>
        <v>68849</v>
      </c>
      <c r="CQ313" s="23" t="s">
        <v>77</v>
      </c>
      <c r="DD313" s="8"/>
      <c r="DE313" s="8"/>
      <c r="DF313" s="8"/>
      <c r="DG313" s="8"/>
      <c r="DH313" s="8"/>
      <c r="DI313" s="8"/>
      <c r="DJ313" s="8"/>
      <c r="DK313" s="8"/>
    </row>
    <row r="314" spans="2:115" ht="5.0999999999999996" customHeight="1" x14ac:dyDescent="0.2">
      <c r="B314" s="495"/>
      <c r="C314" s="475"/>
      <c r="D314" s="496"/>
      <c r="E314" s="496"/>
      <c r="F314" s="496"/>
      <c r="G314" s="496"/>
      <c r="H314" s="496"/>
      <c r="I314" s="496"/>
      <c r="J314" s="496"/>
      <c r="K314" s="496"/>
      <c r="L314" s="496"/>
      <c r="M314" s="496"/>
      <c r="N314" s="496"/>
      <c r="O314" s="496"/>
      <c r="P314" s="496"/>
      <c r="Q314" s="496"/>
      <c r="R314" s="496"/>
      <c r="S314" s="496"/>
      <c r="T314" s="496"/>
      <c r="U314" s="496"/>
      <c r="V314" s="496"/>
      <c r="W314" s="496"/>
      <c r="X314" s="496"/>
      <c r="Y314" s="496"/>
      <c r="Z314" s="496"/>
      <c r="AA314" s="496"/>
      <c r="AB314" s="496"/>
      <c r="AC314" s="496"/>
      <c r="AD314" s="496"/>
      <c r="AE314" s="496"/>
      <c r="AF314" s="496"/>
      <c r="AG314" s="496"/>
      <c r="AH314" s="496"/>
      <c r="AI314" s="496"/>
      <c r="AJ314" s="496"/>
      <c r="AK314" s="496"/>
      <c r="AL314" s="496"/>
      <c r="AM314" s="496"/>
      <c r="AN314" s="496"/>
      <c r="AO314" s="496"/>
      <c r="AP314" s="496"/>
      <c r="AQ314" s="496"/>
      <c r="AR314" s="496"/>
      <c r="AS314" s="496"/>
      <c r="AT314" s="496"/>
      <c r="AU314" s="496"/>
      <c r="AV314" s="496"/>
      <c r="AW314" s="496"/>
      <c r="AX314" s="496"/>
      <c r="AY314" s="496"/>
      <c r="AZ314" s="496"/>
      <c r="BA314" s="496"/>
      <c r="BB314" s="496"/>
      <c r="BC314" s="496"/>
      <c r="BD314" s="496"/>
      <c r="BE314" s="496"/>
      <c r="BF314" s="496"/>
      <c r="BG314" s="496"/>
      <c r="BH314" s="496"/>
      <c r="BI314" s="496"/>
      <c r="BJ314" s="496"/>
      <c r="BK314" s="496"/>
      <c r="BL314" s="496"/>
      <c r="BM314" s="496"/>
      <c r="BN314" s="496"/>
      <c r="BO314" s="496"/>
      <c r="BP314" s="496"/>
      <c r="BQ314" s="496"/>
      <c r="BR314" s="496"/>
      <c r="BS314" s="496"/>
      <c r="BT314" s="496"/>
      <c r="BU314" s="496"/>
      <c r="BV314" s="496"/>
      <c r="BW314" s="496"/>
      <c r="BX314" s="496"/>
      <c r="BY314" s="496"/>
      <c r="BZ314" s="496"/>
      <c r="CA314" s="496"/>
      <c r="CB314" s="496"/>
      <c r="CC314" s="496"/>
      <c r="CD314" s="496"/>
      <c r="CE314" s="496"/>
      <c r="CF314" s="496"/>
      <c r="CG314" s="496"/>
      <c r="CH314" s="496"/>
      <c r="CI314" s="496"/>
      <c r="CJ314" s="496"/>
      <c r="CK314" s="496"/>
      <c r="CL314" s="496"/>
      <c r="CM314" s="496"/>
      <c r="CN314" s="496"/>
      <c r="CO314" s="496"/>
      <c r="CP314" s="496"/>
      <c r="CQ314" s="23" t="s">
        <v>77</v>
      </c>
      <c r="DD314" s="8"/>
      <c r="DE314" s="8"/>
      <c r="DF314" s="8"/>
      <c r="DG314" s="8"/>
      <c r="DH314" s="8"/>
      <c r="DI314" s="8"/>
      <c r="DJ314" s="8"/>
      <c r="DK314" s="8"/>
    </row>
    <row r="315" spans="2:115" hidden="1" outlineLevel="1" x14ac:dyDescent="0.2">
      <c r="B315" s="487" t="s">
        <v>17</v>
      </c>
      <c r="C315" s="475"/>
      <c r="D315" s="64"/>
      <c r="E315" s="64"/>
      <c r="F315" s="64"/>
      <c r="G315" s="64"/>
      <c r="H315" s="64"/>
      <c r="I315" s="64"/>
      <c r="J315" s="64"/>
      <c r="K315" s="64">
        <f t="shared" ref="K315:AP315" si="778">+K107</f>
        <v>142.50299999999999</v>
      </c>
      <c r="L315" s="64">
        <f t="shared" si="778"/>
        <v>161.55399999999997</v>
      </c>
      <c r="M315" s="64">
        <f t="shared" si="778"/>
        <v>227.05899999999997</v>
      </c>
      <c r="N315" s="64">
        <f t="shared" si="778"/>
        <v>336.07599999999996</v>
      </c>
      <c r="O315" s="64">
        <f t="shared" si="778"/>
        <v>327.60200000000009</v>
      </c>
      <c r="P315" s="64">
        <f t="shared" si="778"/>
        <v>368.54900000000004</v>
      </c>
      <c r="Q315" s="64">
        <f t="shared" si="778"/>
        <v>354.125</v>
      </c>
      <c r="R315" s="64">
        <f t="shared" si="778"/>
        <v>405.28399999999999</v>
      </c>
      <c r="S315" s="64">
        <f t="shared" si="778"/>
        <v>516.0440000000001</v>
      </c>
      <c r="T315" s="60">
        <f t="shared" si="778"/>
        <v>540.99299999999994</v>
      </c>
      <c r="U315" s="60">
        <f t="shared" si="778"/>
        <v>613.05899999999997</v>
      </c>
      <c r="V315" s="60">
        <f t="shared" si="778"/>
        <v>809.6339999999999</v>
      </c>
      <c r="W315" s="60">
        <f t="shared" si="778"/>
        <v>900.10099999999966</v>
      </c>
      <c r="X315" s="60">
        <f t="shared" si="778"/>
        <v>915.06293262188956</v>
      </c>
      <c r="Y315" s="60">
        <f t="shared" si="778"/>
        <v>958.76570193394423</v>
      </c>
      <c r="Z315" s="60">
        <f t="shared" si="778"/>
        <v>1015.6874367890252</v>
      </c>
      <c r="AA315" s="60">
        <f t="shared" si="778"/>
        <v>988.20810854925389</v>
      </c>
      <c r="AB315" s="60">
        <f t="shared" si="778"/>
        <v>1031.7459013114005</v>
      </c>
      <c r="AC315" s="60">
        <f t="shared" si="778"/>
        <v>1075.8229244099036</v>
      </c>
      <c r="AD315" s="60">
        <f t="shared" si="778"/>
        <v>1121.7369239570307</v>
      </c>
      <c r="AE315" s="60">
        <f t="shared" si="778"/>
        <v>1156.5626338229204</v>
      </c>
      <c r="AF315" s="60">
        <f t="shared" si="778"/>
        <v>1170.1664231867699</v>
      </c>
      <c r="AG315" s="60">
        <f t="shared" si="778"/>
        <v>1172.1254936286027</v>
      </c>
      <c r="AH315" s="60">
        <f t="shared" si="778"/>
        <v>1218.0822848465918</v>
      </c>
      <c r="AI315" s="60">
        <f t="shared" si="778"/>
        <v>1112.9636656455855</v>
      </c>
      <c r="AJ315" s="60">
        <f t="shared" si="778"/>
        <v>1048.234616508315</v>
      </c>
      <c r="AK315" s="60">
        <f t="shared" si="778"/>
        <v>1053.7418084164042</v>
      </c>
      <c r="AL315" s="60">
        <f t="shared" si="778"/>
        <v>1092.4698033876546</v>
      </c>
      <c r="AM315" s="60">
        <f t="shared" si="778"/>
        <v>1131.5338347809748</v>
      </c>
      <c r="AN315" s="60">
        <f t="shared" si="778"/>
        <v>1158.6363216160844</v>
      </c>
      <c r="AO315" s="60">
        <f t="shared" si="778"/>
        <v>1140.8889688649745</v>
      </c>
      <c r="AP315" s="60">
        <f t="shared" si="778"/>
        <v>631.77547881657642</v>
      </c>
      <c r="AQ315" s="60">
        <f t="shared" ref="AQ315:BV315" si="779">+AQ107</f>
        <v>659.96754377721902</v>
      </c>
      <c r="AR315" s="60">
        <f t="shared" si="779"/>
        <v>576.50192695423164</v>
      </c>
      <c r="AS315" s="60">
        <f t="shared" si="779"/>
        <v>468.60810063655475</v>
      </c>
      <c r="AT315" s="60">
        <f t="shared" si="779"/>
        <v>459.82647141385064</v>
      </c>
      <c r="AU315" s="60">
        <f t="shared" si="779"/>
        <v>484.27726618679549</v>
      </c>
      <c r="AV315" s="60">
        <f t="shared" si="779"/>
        <v>508.82106593480751</v>
      </c>
      <c r="AW315" s="60">
        <f t="shared" si="779"/>
        <v>488.87833806114878</v>
      </c>
      <c r="AX315" s="60">
        <f t="shared" si="779"/>
        <v>512.63224858646288</v>
      </c>
      <c r="AY315" s="60">
        <f t="shared" si="779"/>
        <v>536.51966331478047</v>
      </c>
      <c r="AZ315" s="60">
        <f t="shared" si="779"/>
        <v>560.56065556272597</v>
      </c>
      <c r="BA315" s="60">
        <f t="shared" si="779"/>
        <v>411.14057392705615</v>
      </c>
      <c r="BB315" s="60">
        <f t="shared" si="779"/>
        <v>431.52572965607601</v>
      </c>
      <c r="BC315" s="60">
        <f t="shared" si="779"/>
        <v>452.03182168095003</v>
      </c>
      <c r="BD315" s="60">
        <f t="shared" si="779"/>
        <v>472.67730616715619</v>
      </c>
      <c r="BE315" s="60">
        <f t="shared" si="779"/>
        <v>493.48036632432826</v>
      </c>
      <c r="BF315" s="60">
        <f t="shared" si="779"/>
        <v>514.45593323853086</v>
      </c>
      <c r="BG315" s="60">
        <f t="shared" si="779"/>
        <v>535.62408474807444</v>
      </c>
      <c r="BH315" s="60">
        <f t="shared" si="779"/>
        <v>556.99784141723467</v>
      </c>
      <c r="BI315" s="60">
        <f t="shared" si="779"/>
        <v>578.59768016309886</v>
      </c>
      <c r="BJ315" s="60">
        <f t="shared" si="779"/>
        <v>600.43672060816584</v>
      </c>
      <c r="BK315" s="60">
        <f t="shared" si="779"/>
        <v>622.53403790966945</v>
      </c>
      <c r="BL315" s="60">
        <f t="shared" si="779"/>
        <v>644.90479487784171</v>
      </c>
      <c r="BM315" s="60">
        <f t="shared" si="779"/>
        <v>667.56522929090613</v>
      </c>
      <c r="BN315" s="60">
        <f t="shared" si="779"/>
        <v>690.53109435513443</v>
      </c>
      <c r="BO315" s="60">
        <f t="shared" si="779"/>
        <v>713.81888278027873</v>
      </c>
      <c r="BP315" s="60">
        <f t="shared" si="779"/>
        <v>737.44465868407065</v>
      </c>
      <c r="BQ315" s="60">
        <f t="shared" si="779"/>
        <v>761.4244658242352</v>
      </c>
      <c r="BR315" s="60">
        <f t="shared" si="779"/>
        <v>785.77358157731237</v>
      </c>
      <c r="BS315" s="60">
        <f t="shared" si="779"/>
        <v>770.23923657514592</v>
      </c>
      <c r="BT315" s="60">
        <f t="shared" si="779"/>
        <v>758.75326681985018</v>
      </c>
      <c r="BU315" s="60">
        <f t="shared" si="779"/>
        <v>782.52383389189993</v>
      </c>
      <c r="BV315" s="60">
        <f t="shared" si="779"/>
        <v>806.68752834528141</v>
      </c>
      <c r="BW315" s="60">
        <f t="shared" ref="BW315:CP315" si="780">+BW107</f>
        <v>831.25925559891198</v>
      </c>
      <c r="BX315" s="60">
        <f t="shared" si="780"/>
        <v>856.25512036071132</v>
      </c>
      <c r="BY315" s="60">
        <f t="shared" si="780"/>
        <v>881.68825467759848</v>
      </c>
      <c r="BZ315" s="60">
        <f t="shared" si="780"/>
        <v>907.57682428363921</v>
      </c>
      <c r="CA315" s="60">
        <f t="shared" si="780"/>
        <v>933.9349094519664</v>
      </c>
      <c r="CB315" s="60">
        <f t="shared" si="780"/>
        <v>960.78012634578749</v>
      </c>
      <c r="CC315" s="60">
        <f t="shared" si="780"/>
        <v>983.45526968777222</v>
      </c>
      <c r="CD315" s="60">
        <f t="shared" si="780"/>
        <v>955.17879086696985</v>
      </c>
      <c r="CE315" s="60">
        <f t="shared" si="780"/>
        <v>982.16336804846719</v>
      </c>
      <c r="CF315" s="60">
        <f t="shared" si="780"/>
        <v>1009.6642987143487</v>
      </c>
      <c r="CG315" s="60">
        <f t="shared" si="780"/>
        <v>1037.6980650015487</v>
      </c>
      <c r="CH315" s="60">
        <f t="shared" si="780"/>
        <v>546.11778878341147</v>
      </c>
      <c r="CI315" s="60">
        <f t="shared" si="780"/>
        <v>563.23049501702144</v>
      </c>
      <c r="CJ315" s="60">
        <f t="shared" si="780"/>
        <v>580.64715067169413</v>
      </c>
      <c r="CK315" s="60">
        <f t="shared" si="780"/>
        <v>598.37664899410288</v>
      </c>
      <c r="CL315" s="60">
        <f t="shared" si="780"/>
        <v>616.4283571573618</v>
      </c>
      <c r="CM315" s="60">
        <f t="shared" si="780"/>
        <v>634.81320932712492</v>
      </c>
      <c r="CN315" s="60">
        <f t="shared" si="780"/>
        <v>653.54185996423826</v>
      </c>
      <c r="CO315" s="60">
        <f t="shared" si="780"/>
        <v>672.62543786868821</v>
      </c>
      <c r="CP315" s="60">
        <f t="shared" si="780"/>
        <v>661.29682687021455</v>
      </c>
      <c r="CQ315" s="23" t="s">
        <v>77</v>
      </c>
      <c r="DD315" s="8"/>
      <c r="DE315" s="8"/>
      <c r="DF315" s="8"/>
      <c r="DG315" s="8"/>
      <c r="DH315" s="8"/>
      <c r="DI315" s="8"/>
      <c r="DJ315" s="8"/>
      <c r="DK315" s="8"/>
    </row>
    <row r="316" spans="2:115" hidden="1" outlineLevel="1" x14ac:dyDescent="0.2">
      <c r="B316" s="487" t="s">
        <v>134</v>
      </c>
      <c r="C316" s="475"/>
      <c r="D316" s="64"/>
      <c r="E316" s="64"/>
      <c r="F316" s="64"/>
      <c r="G316" s="64"/>
      <c r="H316" s="64"/>
      <c r="I316" s="64"/>
      <c r="J316" s="64"/>
      <c r="K316" s="58">
        <v>0.1</v>
      </c>
      <c r="L316" s="497">
        <f>+K316</f>
        <v>0.1</v>
      </c>
      <c r="M316" s="497">
        <f t="shared" ref="M316:BD316" si="781">+L316</f>
        <v>0.1</v>
      </c>
      <c r="N316" s="497">
        <f t="shared" si="781"/>
        <v>0.1</v>
      </c>
      <c r="O316" s="497">
        <f t="shared" si="781"/>
        <v>0.1</v>
      </c>
      <c r="P316" s="497">
        <f t="shared" si="781"/>
        <v>0.1</v>
      </c>
      <c r="Q316" s="497">
        <f t="shared" si="781"/>
        <v>0.1</v>
      </c>
      <c r="R316" s="497">
        <f t="shared" si="781"/>
        <v>0.1</v>
      </c>
      <c r="S316" s="497">
        <f t="shared" si="781"/>
        <v>0.1</v>
      </c>
      <c r="T316" s="65">
        <f t="shared" si="781"/>
        <v>0.1</v>
      </c>
      <c r="U316" s="65">
        <f>+T316</f>
        <v>0.1</v>
      </c>
      <c r="V316" s="65">
        <f t="shared" si="781"/>
        <v>0.1</v>
      </c>
      <c r="W316" s="65">
        <f t="shared" si="781"/>
        <v>0.1</v>
      </c>
      <c r="X316" s="65">
        <f t="shared" si="781"/>
        <v>0.1</v>
      </c>
      <c r="Y316" s="65">
        <f t="shared" si="781"/>
        <v>0.1</v>
      </c>
      <c r="Z316" s="65">
        <f t="shared" si="781"/>
        <v>0.1</v>
      </c>
      <c r="AA316" s="65">
        <f t="shared" si="781"/>
        <v>0.1</v>
      </c>
      <c r="AB316" s="65">
        <f t="shared" si="781"/>
        <v>0.1</v>
      </c>
      <c r="AC316" s="65">
        <f t="shared" si="781"/>
        <v>0.1</v>
      </c>
      <c r="AD316" s="65">
        <f t="shared" si="781"/>
        <v>0.1</v>
      </c>
      <c r="AE316" s="65">
        <f t="shared" si="781"/>
        <v>0.1</v>
      </c>
      <c r="AF316" s="65">
        <f t="shared" si="781"/>
        <v>0.1</v>
      </c>
      <c r="AG316" s="65">
        <f t="shared" si="781"/>
        <v>0.1</v>
      </c>
      <c r="AH316" s="65">
        <f t="shared" si="781"/>
        <v>0.1</v>
      </c>
      <c r="AI316" s="65">
        <f t="shared" si="781"/>
        <v>0.1</v>
      </c>
      <c r="AJ316" s="65">
        <f t="shared" si="781"/>
        <v>0.1</v>
      </c>
      <c r="AK316" s="65">
        <f t="shared" si="781"/>
        <v>0.1</v>
      </c>
      <c r="AL316" s="65">
        <f t="shared" si="781"/>
        <v>0.1</v>
      </c>
      <c r="AM316" s="65">
        <f t="shared" si="781"/>
        <v>0.1</v>
      </c>
      <c r="AN316" s="65">
        <f t="shared" si="781"/>
        <v>0.1</v>
      </c>
      <c r="AO316" s="65">
        <f t="shared" si="781"/>
        <v>0.1</v>
      </c>
      <c r="AP316" s="65">
        <f t="shared" si="781"/>
        <v>0.1</v>
      </c>
      <c r="AQ316" s="65">
        <f t="shared" si="781"/>
        <v>0.1</v>
      </c>
      <c r="AR316" s="65">
        <f t="shared" si="781"/>
        <v>0.1</v>
      </c>
      <c r="AS316" s="65">
        <f t="shared" si="781"/>
        <v>0.1</v>
      </c>
      <c r="AT316" s="65">
        <f t="shared" si="781"/>
        <v>0.1</v>
      </c>
      <c r="AU316" s="65">
        <f t="shared" si="781"/>
        <v>0.1</v>
      </c>
      <c r="AV316" s="65">
        <f t="shared" si="781"/>
        <v>0.1</v>
      </c>
      <c r="AW316" s="65">
        <f t="shared" si="781"/>
        <v>0.1</v>
      </c>
      <c r="AX316" s="65">
        <f t="shared" si="781"/>
        <v>0.1</v>
      </c>
      <c r="AY316" s="65">
        <f t="shared" si="781"/>
        <v>0.1</v>
      </c>
      <c r="AZ316" s="65">
        <f t="shared" si="781"/>
        <v>0.1</v>
      </c>
      <c r="BA316" s="65">
        <f t="shared" si="781"/>
        <v>0.1</v>
      </c>
      <c r="BB316" s="65">
        <f t="shared" si="781"/>
        <v>0.1</v>
      </c>
      <c r="BC316" s="65">
        <f t="shared" si="781"/>
        <v>0.1</v>
      </c>
      <c r="BD316" s="65">
        <f t="shared" si="781"/>
        <v>0.1</v>
      </c>
      <c r="BE316" s="65">
        <f t="shared" ref="BE316:CP316" si="782">+BD316</f>
        <v>0.1</v>
      </c>
      <c r="BF316" s="65">
        <f t="shared" si="782"/>
        <v>0.1</v>
      </c>
      <c r="BG316" s="65">
        <f t="shared" si="782"/>
        <v>0.1</v>
      </c>
      <c r="BH316" s="65">
        <f t="shared" si="782"/>
        <v>0.1</v>
      </c>
      <c r="BI316" s="65">
        <f t="shared" si="782"/>
        <v>0.1</v>
      </c>
      <c r="BJ316" s="65">
        <f t="shared" si="782"/>
        <v>0.1</v>
      </c>
      <c r="BK316" s="65">
        <f t="shared" si="782"/>
        <v>0.1</v>
      </c>
      <c r="BL316" s="65">
        <f t="shared" si="782"/>
        <v>0.1</v>
      </c>
      <c r="BM316" s="65">
        <f t="shared" si="782"/>
        <v>0.1</v>
      </c>
      <c r="BN316" s="65">
        <f t="shared" si="782"/>
        <v>0.1</v>
      </c>
      <c r="BO316" s="65">
        <f t="shared" si="782"/>
        <v>0.1</v>
      </c>
      <c r="BP316" s="65">
        <f t="shared" si="782"/>
        <v>0.1</v>
      </c>
      <c r="BQ316" s="65">
        <f t="shared" si="782"/>
        <v>0.1</v>
      </c>
      <c r="BR316" s="65">
        <f t="shared" si="782"/>
        <v>0.1</v>
      </c>
      <c r="BS316" s="65">
        <f t="shared" si="782"/>
        <v>0.1</v>
      </c>
      <c r="BT316" s="65">
        <f t="shared" si="782"/>
        <v>0.1</v>
      </c>
      <c r="BU316" s="65">
        <f t="shared" si="782"/>
        <v>0.1</v>
      </c>
      <c r="BV316" s="65">
        <f t="shared" si="782"/>
        <v>0.1</v>
      </c>
      <c r="BW316" s="65">
        <f t="shared" si="782"/>
        <v>0.1</v>
      </c>
      <c r="BX316" s="65">
        <f t="shared" si="782"/>
        <v>0.1</v>
      </c>
      <c r="BY316" s="65">
        <f t="shared" si="782"/>
        <v>0.1</v>
      </c>
      <c r="BZ316" s="65">
        <f t="shared" si="782"/>
        <v>0.1</v>
      </c>
      <c r="CA316" s="65">
        <f t="shared" si="782"/>
        <v>0.1</v>
      </c>
      <c r="CB316" s="65">
        <f t="shared" si="782"/>
        <v>0.1</v>
      </c>
      <c r="CC316" s="65">
        <f t="shared" si="782"/>
        <v>0.1</v>
      </c>
      <c r="CD316" s="65">
        <f t="shared" si="782"/>
        <v>0.1</v>
      </c>
      <c r="CE316" s="65">
        <f t="shared" si="782"/>
        <v>0.1</v>
      </c>
      <c r="CF316" s="65">
        <f t="shared" si="782"/>
        <v>0.1</v>
      </c>
      <c r="CG316" s="65">
        <f t="shared" si="782"/>
        <v>0.1</v>
      </c>
      <c r="CH316" s="65">
        <f t="shared" si="782"/>
        <v>0.1</v>
      </c>
      <c r="CI316" s="65">
        <f t="shared" si="782"/>
        <v>0.1</v>
      </c>
      <c r="CJ316" s="65">
        <f t="shared" si="782"/>
        <v>0.1</v>
      </c>
      <c r="CK316" s="65">
        <f t="shared" si="782"/>
        <v>0.1</v>
      </c>
      <c r="CL316" s="65">
        <f t="shared" si="782"/>
        <v>0.1</v>
      </c>
      <c r="CM316" s="65">
        <f t="shared" si="782"/>
        <v>0.1</v>
      </c>
      <c r="CN316" s="65">
        <f t="shared" si="782"/>
        <v>0.1</v>
      </c>
      <c r="CO316" s="65">
        <f t="shared" si="782"/>
        <v>0.1</v>
      </c>
      <c r="CP316" s="65">
        <f t="shared" si="782"/>
        <v>0.1</v>
      </c>
      <c r="CQ316" s="23" t="s">
        <v>77</v>
      </c>
      <c r="DD316" s="8"/>
      <c r="DE316" s="8"/>
      <c r="DF316" s="8"/>
      <c r="DG316" s="8"/>
      <c r="DH316" s="8"/>
      <c r="DI316" s="8"/>
      <c r="DJ316" s="8"/>
      <c r="DK316" s="8"/>
    </row>
    <row r="317" spans="2:115" hidden="1" outlineLevel="1" x14ac:dyDescent="0.2">
      <c r="B317" s="410" t="s">
        <v>117</v>
      </c>
      <c r="C317" s="498"/>
      <c r="D317" s="499"/>
      <c r="E317" s="499"/>
      <c r="F317" s="499"/>
      <c r="G317" s="499"/>
      <c r="H317" s="499"/>
      <c r="I317" s="499"/>
      <c r="J317" s="499"/>
      <c r="K317" s="500">
        <f>+K315*(1-K316)</f>
        <v>128.2527</v>
      </c>
      <c r="L317" s="501">
        <f t="shared" ref="L317:BD317" si="783">+L315*(1-L316)</f>
        <v>145.39859999999999</v>
      </c>
      <c r="M317" s="501">
        <f t="shared" si="783"/>
        <v>204.35309999999998</v>
      </c>
      <c r="N317" s="501">
        <f t="shared" si="783"/>
        <v>302.46839999999997</v>
      </c>
      <c r="O317" s="501">
        <f t="shared" si="783"/>
        <v>294.84180000000009</v>
      </c>
      <c r="P317" s="502">
        <f t="shared" si="783"/>
        <v>331.69410000000005</v>
      </c>
      <c r="Q317" s="503">
        <f t="shared" si="783"/>
        <v>318.71250000000003</v>
      </c>
      <c r="R317" s="503">
        <f t="shared" si="783"/>
        <v>364.75560000000002</v>
      </c>
      <c r="S317" s="503">
        <f t="shared" si="783"/>
        <v>464.4396000000001</v>
      </c>
      <c r="T317" s="63">
        <f t="shared" si="783"/>
        <v>486.89369999999997</v>
      </c>
      <c r="U317" s="63">
        <f t="shared" si="783"/>
        <v>551.75310000000002</v>
      </c>
      <c r="V317" s="63">
        <f t="shared" si="783"/>
        <v>728.67059999999992</v>
      </c>
      <c r="W317" s="63">
        <f t="shared" si="783"/>
        <v>810.09089999999969</v>
      </c>
      <c r="X317" s="63">
        <f t="shared" si="783"/>
        <v>823.55663935970063</v>
      </c>
      <c r="Y317" s="63">
        <f t="shared" si="783"/>
        <v>862.88913174054983</v>
      </c>
      <c r="Z317" s="63">
        <f t="shared" si="783"/>
        <v>914.11869311012276</v>
      </c>
      <c r="AA317" s="63">
        <f t="shared" si="783"/>
        <v>889.38729769432848</v>
      </c>
      <c r="AB317" s="63">
        <f t="shared" si="783"/>
        <v>928.57131118026052</v>
      </c>
      <c r="AC317" s="63">
        <f t="shared" si="783"/>
        <v>968.24063196891325</v>
      </c>
      <c r="AD317" s="63">
        <f t="shared" si="783"/>
        <v>1009.5632315613277</v>
      </c>
      <c r="AE317" s="63">
        <f t="shared" si="783"/>
        <v>1040.9063704406283</v>
      </c>
      <c r="AF317" s="63">
        <f t="shared" si="783"/>
        <v>1053.1497808680929</v>
      </c>
      <c r="AG317" s="63">
        <f t="shared" si="783"/>
        <v>1054.9129442657425</v>
      </c>
      <c r="AH317" s="63">
        <f t="shared" si="783"/>
        <v>1096.2740563619327</v>
      </c>
      <c r="AI317" s="63">
        <f t="shared" si="783"/>
        <v>1001.667299081027</v>
      </c>
      <c r="AJ317" s="63">
        <f t="shared" si="783"/>
        <v>943.41115485748344</v>
      </c>
      <c r="AK317" s="63">
        <f t="shared" si="783"/>
        <v>948.36762757476379</v>
      </c>
      <c r="AL317" s="63">
        <f t="shared" si="783"/>
        <v>983.22282304888915</v>
      </c>
      <c r="AM317" s="63">
        <f t="shared" si="783"/>
        <v>1018.3804513028773</v>
      </c>
      <c r="AN317" s="63">
        <f t="shared" si="783"/>
        <v>1042.772689454476</v>
      </c>
      <c r="AO317" s="63">
        <f t="shared" si="783"/>
        <v>1026.800071978477</v>
      </c>
      <c r="AP317" s="63">
        <f t="shared" si="783"/>
        <v>568.59793093491885</v>
      </c>
      <c r="AQ317" s="63">
        <f t="shared" si="783"/>
        <v>593.97078939949711</v>
      </c>
      <c r="AR317" s="63">
        <f t="shared" si="783"/>
        <v>518.85173425880851</v>
      </c>
      <c r="AS317" s="63">
        <f t="shared" si="783"/>
        <v>421.74729057289926</v>
      </c>
      <c r="AT317" s="63">
        <f t="shared" si="783"/>
        <v>413.84382427246561</v>
      </c>
      <c r="AU317" s="63">
        <f t="shared" si="783"/>
        <v>435.84953956811597</v>
      </c>
      <c r="AV317" s="63">
        <f t="shared" si="783"/>
        <v>457.93895934132678</v>
      </c>
      <c r="AW317" s="63">
        <f t="shared" si="783"/>
        <v>439.9905042550339</v>
      </c>
      <c r="AX317" s="63">
        <f t="shared" si="783"/>
        <v>461.36902372781663</v>
      </c>
      <c r="AY317" s="63">
        <f t="shared" si="783"/>
        <v>482.86769698330244</v>
      </c>
      <c r="AZ317" s="63">
        <f t="shared" si="783"/>
        <v>504.50459000645338</v>
      </c>
      <c r="BA317" s="63">
        <f t="shared" si="783"/>
        <v>370.02651653435055</v>
      </c>
      <c r="BB317" s="63">
        <f t="shared" si="783"/>
        <v>388.37315669046842</v>
      </c>
      <c r="BC317" s="63">
        <f t="shared" si="783"/>
        <v>406.82863951285503</v>
      </c>
      <c r="BD317" s="63">
        <f t="shared" si="783"/>
        <v>425.40957555044059</v>
      </c>
      <c r="BE317" s="63">
        <f t="shared" ref="BE317:CP317" si="784">+BE315*(1-BE316)</f>
        <v>444.13232969189545</v>
      </c>
      <c r="BF317" s="63">
        <f t="shared" si="784"/>
        <v>463.01033991467779</v>
      </c>
      <c r="BG317" s="63">
        <f t="shared" si="784"/>
        <v>482.06167627326698</v>
      </c>
      <c r="BH317" s="63">
        <f t="shared" si="784"/>
        <v>501.29805727551121</v>
      </c>
      <c r="BI317" s="63">
        <f t="shared" si="784"/>
        <v>520.73791214678897</v>
      </c>
      <c r="BJ317" s="63">
        <f t="shared" si="784"/>
        <v>540.39304854734928</v>
      </c>
      <c r="BK317" s="63">
        <f t="shared" si="784"/>
        <v>560.28063411870255</v>
      </c>
      <c r="BL317" s="63">
        <f t="shared" si="784"/>
        <v>580.4143153900576</v>
      </c>
      <c r="BM317" s="63">
        <f t="shared" si="784"/>
        <v>600.80870636181555</v>
      </c>
      <c r="BN317" s="63">
        <f t="shared" si="784"/>
        <v>621.47798491962101</v>
      </c>
      <c r="BO317" s="63">
        <f t="shared" si="784"/>
        <v>642.43699450225085</v>
      </c>
      <c r="BP317" s="63">
        <f t="shared" si="784"/>
        <v>663.70019281566363</v>
      </c>
      <c r="BQ317" s="63">
        <f t="shared" si="784"/>
        <v>685.28201924181167</v>
      </c>
      <c r="BR317" s="63">
        <f t="shared" si="784"/>
        <v>707.1962234195812</v>
      </c>
      <c r="BS317" s="63">
        <f t="shared" si="784"/>
        <v>693.21531291763131</v>
      </c>
      <c r="BT317" s="63">
        <f t="shared" si="784"/>
        <v>682.87794013786515</v>
      </c>
      <c r="BU317" s="63">
        <f t="shared" si="784"/>
        <v>704.27145050270997</v>
      </c>
      <c r="BV317" s="63">
        <f t="shared" si="784"/>
        <v>726.01877551075324</v>
      </c>
      <c r="BW317" s="63">
        <f t="shared" si="784"/>
        <v>748.13333003902085</v>
      </c>
      <c r="BX317" s="63">
        <f t="shared" si="784"/>
        <v>770.62960832464023</v>
      </c>
      <c r="BY317" s="63">
        <f t="shared" si="784"/>
        <v>793.51942920983868</v>
      </c>
      <c r="BZ317" s="63">
        <f t="shared" si="784"/>
        <v>816.81914185527535</v>
      </c>
      <c r="CA317" s="63">
        <f t="shared" si="784"/>
        <v>840.54141850676979</v>
      </c>
      <c r="CB317" s="63">
        <f t="shared" si="784"/>
        <v>864.70211371120877</v>
      </c>
      <c r="CC317" s="63">
        <f t="shared" si="784"/>
        <v>885.10974271899499</v>
      </c>
      <c r="CD317" s="63">
        <f t="shared" si="784"/>
        <v>859.66091178027284</v>
      </c>
      <c r="CE317" s="63">
        <f t="shared" si="784"/>
        <v>883.94703124362047</v>
      </c>
      <c r="CF317" s="63">
        <f t="shared" si="784"/>
        <v>908.69786884291386</v>
      </c>
      <c r="CG317" s="63">
        <f t="shared" si="784"/>
        <v>933.92825850139388</v>
      </c>
      <c r="CH317" s="63">
        <f t="shared" si="784"/>
        <v>491.50600990507036</v>
      </c>
      <c r="CI317" s="63">
        <f t="shared" si="784"/>
        <v>506.9074455153193</v>
      </c>
      <c r="CJ317" s="63">
        <f t="shared" si="784"/>
        <v>522.58243560452479</v>
      </c>
      <c r="CK317" s="63">
        <f t="shared" si="784"/>
        <v>538.53898409469264</v>
      </c>
      <c r="CL317" s="63">
        <f t="shared" si="784"/>
        <v>554.78552144162563</v>
      </c>
      <c r="CM317" s="63">
        <f t="shared" si="784"/>
        <v>571.33188839441243</v>
      </c>
      <c r="CN317" s="63">
        <f t="shared" si="784"/>
        <v>588.18767396781448</v>
      </c>
      <c r="CO317" s="63">
        <f t="shared" si="784"/>
        <v>605.36289408181938</v>
      </c>
      <c r="CP317" s="63">
        <f t="shared" si="784"/>
        <v>595.16714418319316</v>
      </c>
      <c r="CQ317" s="23" t="s">
        <v>77</v>
      </c>
      <c r="DD317" s="8"/>
      <c r="DE317" s="8"/>
      <c r="DF317" s="8"/>
      <c r="DG317" s="8"/>
      <c r="DH317" s="8"/>
      <c r="DI317" s="8"/>
      <c r="DJ317" s="8"/>
      <c r="DK317" s="8"/>
    </row>
    <row r="318" spans="2:115" hidden="1" outlineLevel="1" x14ac:dyDescent="0.2">
      <c r="B318" s="475"/>
      <c r="C318" s="475"/>
      <c r="D318" s="64"/>
      <c r="E318" s="64"/>
      <c r="F318" s="64"/>
      <c r="G318" s="64"/>
      <c r="H318" s="64"/>
      <c r="I318" s="64"/>
      <c r="J318" s="64"/>
      <c r="K318" s="64"/>
      <c r="L318" s="64"/>
      <c r="M318" s="64"/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4"/>
      <c r="Y318" s="64"/>
      <c r="Z318" s="64"/>
      <c r="AA318" s="64"/>
      <c r="AB318" s="64"/>
      <c r="AC318" s="64"/>
      <c r="AD318" s="64"/>
      <c r="AE318" s="64"/>
      <c r="AF318" s="64"/>
      <c r="AG318" s="64"/>
      <c r="AH318" s="64"/>
      <c r="AI318" s="64"/>
      <c r="AJ318" s="64"/>
      <c r="AK318" s="64"/>
      <c r="AL318" s="64"/>
      <c r="AM318" s="64"/>
      <c r="AN318" s="64"/>
      <c r="AO318" s="64"/>
      <c r="AP318" s="64"/>
      <c r="AQ318" s="64"/>
      <c r="AR318" s="64"/>
      <c r="AS318" s="64"/>
      <c r="AT318" s="64"/>
      <c r="AU318" s="64"/>
      <c r="AV318" s="64"/>
      <c r="AW318" s="64"/>
      <c r="AX318" s="64"/>
      <c r="AY318" s="64"/>
      <c r="AZ318" s="64"/>
      <c r="BA318" s="64"/>
      <c r="BB318" s="64"/>
      <c r="BC318" s="64"/>
      <c r="BD318" s="64"/>
      <c r="BE318" s="64"/>
      <c r="BF318" s="64"/>
      <c r="BG318" s="64"/>
      <c r="BH318" s="64"/>
      <c r="BI318" s="64"/>
      <c r="BJ318" s="64"/>
      <c r="BK318" s="64"/>
      <c r="BL318" s="64"/>
      <c r="BM318" s="64"/>
      <c r="BN318" s="64"/>
      <c r="BO318" s="64"/>
      <c r="BP318" s="64"/>
      <c r="BQ318" s="64"/>
      <c r="BR318" s="64"/>
      <c r="BS318" s="64"/>
      <c r="BT318" s="64"/>
      <c r="BU318" s="64"/>
      <c r="BV318" s="64"/>
      <c r="BW318" s="64"/>
      <c r="BX318" s="64"/>
      <c r="BY318" s="64"/>
      <c r="BZ318" s="64"/>
      <c r="CA318" s="64"/>
      <c r="CB318" s="64"/>
      <c r="CC318" s="64"/>
      <c r="CD318" s="64"/>
      <c r="CE318" s="64"/>
      <c r="CF318" s="64"/>
      <c r="CG318" s="64"/>
      <c r="CH318" s="64"/>
      <c r="CI318" s="64"/>
      <c r="CJ318" s="64"/>
      <c r="CK318" s="64"/>
      <c r="CL318" s="64"/>
      <c r="CM318" s="64"/>
      <c r="CN318" s="64"/>
      <c r="CO318" s="64"/>
      <c r="CP318" s="64"/>
      <c r="CQ318" s="23" t="s">
        <v>77</v>
      </c>
      <c r="DD318" s="8"/>
      <c r="DE318" s="8"/>
      <c r="DF318" s="8"/>
      <c r="DG318" s="8"/>
      <c r="DH318" s="8"/>
      <c r="DI318" s="8"/>
      <c r="DJ318" s="8"/>
      <c r="DK318" s="8"/>
    </row>
    <row r="319" spans="2:115" hidden="1" outlineLevel="1" x14ac:dyDescent="0.2">
      <c r="B319" s="487" t="s">
        <v>139</v>
      </c>
      <c r="C319" s="475"/>
      <c r="D319" s="64"/>
      <c r="E319" s="64"/>
      <c r="F319" s="64"/>
      <c r="G319" s="64"/>
      <c r="H319" s="64"/>
      <c r="I319" s="64"/>
      <c r="J319" s="64"/>
      <c r="K319" s="64">
        <f t="shared" ref="K319:BD319" si="785">+K256+K257+K262-K271</f>
        <v>-29.482999999999997</v>
      </c>
      <c r="L319" s="64">
        <f t="shared" si="785"/>
        <v>-8.5119999999999933</v>
      </c>
      <c r="M319" s="64">
        <f t="shared" si="785"/>
        <v>35.230000000000004</v>
      </c>
      <c r="N319" s="64">
        <f t="shared" si="785"/>
        <v>11.031999999999982</v>
      </c>
      <c r="O319" s="64">
        <f t="shared" si="785"/>
        <v>67.94</v>
      </c>
      <c r="P319" s="64">
        <f t="shared" si="785"/>
        <v>42.79000000000002</v>
      </c>
      <c r="Q319" s="64">
        <f t="shared" si="785"/>
        <v>46.983000000000004</v>
      </c>
      <c r="R319" s="64">
        <f t="shared" si="785"/>
        <v>98.822000000000003</v>
      </c>
      <c r="S319" s="64">
        <f t="shared" si="785"/>
        <v>21.550999999999988</v>
      </c>
      <c r="T319" s="60">
        <f t="shared" si="785"/>
        <v>135.63499999999999</v>
      </c>
      <c r="U319" s="60">
        <f t="shared" si="785"/>
        <v>-36.984999999999957</v>
      </c>
      <c r="V319" s="60">
        <f t="shared" si="785"/>
        <v>52.745000000000061</v>
      </c>
      <c r="W319" s="60">
        <f t="shared" si="785"/>
        <v>17.853999999999985</v>
      </c>
      <c r="X319" s="60">
        <f t="shared" si="785"/>
        <v>17.853999999999985</v>
      </c>
      <c r="Y319" s="60">
        <f t="shared" si="785"/>
        <v>17.853999999999985</v>
      </c>
      <c r="Z319" s="60">
        <f t="shared" si="785"/>
        <v>17.853999999999985</v>
      </c>
      <c r="AA319" s="60">
        <f t="shared" si="785"/>
        <v>17.853999999999985</v>
      </c>
      <c r="AB319" s="60">
        <f t="shared" si="785"/>
        <v>17.853999999999985</v>
      </c>
      <c r="AC319" s="60">
        <f t="shared" si="785"/>
        <v>17.853999999999985</v>
      </c>
      <c r="AD319" s="60">
        <f t="shared" si="785"/>
        <v>17.853999999999985</v>
      </c>
      <c r="AE319" s="60">
        <f t="shared" si="785"/>
        <v>17.853999999999985</v>
      </c>
      <c r="AF319" s="60">
        <f t="shared" si="785"/>
        <v>17.853999999999985</v>
      </c>
      <c r="AG319" s="60">
        <f t="shared" si="785"/>
        <v>17.853999999999985</v>
      </c>
      <c r="AH319" s="60">
        <f t="shared" si="785"/>
        <v>17.853999999999985</v>
      </c>
      <c r="AI319" s="60">
        <f t="shared" si="785"/>
        <v>17.853999999999985</v>
      </c>
      <c r="AJ319" s="60">
        <f t="shared" si="785"/>
        <v>17.853999999999985</v>
      </c>
      <c r="AK319" s="60">
        <f t="shared" si="785"/>
        <v>17.853999999999985</v>
      </c>
      <c r="AL319" s="60">
        <f t="shared" si="785"/>
        <v>17.853999999999985</v>
      </c>
      <c r="AM319" s="60">
        <f t="shared" si="785"/>
        <v>17.853999999999985</v>
      </c>
      <c r="AN319" s="60">
        <f t="shared" si="785"/>
        <v>17.853999999999985</v>
      </c>
      <c r="AO319" s="60">
        <f t="shared" si="785"/>
        <v>17.853999999999985</v>
      </c>
      <c r="AP319" s="60">
        <f t="shared" si="785"/>
        <v>17.853999999999985</v>
      </c>
      <c r="AQ319" s="60">
        <f t="shared" si="785"/>
        <v>17.853999999999985</v>
      </c>
      <c r="AR319" s="60">
        <f t="shared" si="785"/>
        <v>17.853999999999985</v>
      </c>
      <c r="AS319" s="60">
        <f t="shared" si="785"/>
        <v>17.853999999999985</v>
      </c>
      <c r="AT319" s="60">
        <f t="shared" si="785"/>
        <v>17.853999999999985</v>
      </c>
      <c r="AU319" s="60">
        <f t="shared" si="785"/>
        <v>17.853999999999985</v>
      </c>
      <c r="AV319" s="60">
        <f t="shared" si="785"/>
        <v>17.853999999999985</v>
      </c>
      <c r="AW319" s="60">
        <f t="shared" si="785"/>
        <v>17.853999999999985</v>
      </c>
      <c r="AX319" s="60">
        <f t="shared" si="785"/>
        <v>17.853999999999985</v>
      </c>
      <c r="AY319" s="60">
        <f t="shared" si="785"/>
        <v>17.853999999999985</v>
      </c>
      <c r="AZ319" s="60">
        <f t="shared" si="785"/>
        <v>17.853999999999985</v>
      </c>
      <c r="BA319" s="60">
        <f t="shared" si="785"/>
        <v>17.853999999999985</v>
      </c>
      <c r="BB319" s="60">
        <f t="shared" si="785"/>
        <v>17.853999999999985</v>
      </c>
      <c r="BC319" s="60">
        <f t="shared" si="785"/>
        <v>17.853999999999985</v>
      </c>
      <c r="BD319" s="60">
        <f t="shared" si="785"/>
        <v>17.853999999999985</v>
      </c>
      <c r="BE319" s="60">
        <f t="shared" ref="BE319:CP319" si="786">+BE256+BE257+BE262-BE271</f>
        <v>17.853999999999985</v>
      </c>
      <c r="BF319" s="60">
        <f t="shared" si="786"/>
        <v>17.853999999999985</v>
      </c>
      <c r="BG319" s="60">
        <f t="shared" si="786"/>
        <v>17.853999999999985</v>
      </c>
      <c r="BH319" s="60">
        <f t="shared" si="786"/>
        <v>17.853999999999985</v>
      </c>
      <c r="BI319" s="60">
        <f t="shared" si="786"/>
        <v>17.853999999999985</v>
      </c>
      <c r="BJ319" s="60">
        <f t="shared" si="786"/>
        <v>17.853999999999985</v>
      </c>
      <c r="BK319" s="60">
        <f t="shared" si="786"/>
        <v>17.853999999999985</v>
      </c>
      <c r="BL319" s="60">
        <f t="shared" si="786"/>
        <v>17.853999999999985</v>
      </c>
      <c r="BM319" s="60">
        <f t="shared" si="786"/>
        <v>17.853999999999985</v>
      </c>
      <c r="BN319" s="60">
        <f t="shared" si="786"/>
        <v>17.853999999999985</v>
      </c>
      <c r="BO319" s="60">
        <f t="shared" si="786"/>
        <v>17.853999999999985</v>
      </c>
      <c r="BP319" s="60">
        <f t="shared" si="786"/>
        <v>17.853999999999985</v>
      </c>
      <c r="BQ319" s="60">
        <f t="shared" si="786"/>
        <v>17.853999999999985</v>
      </c>
      <c r="BR319" s="60">
        <f t="shared" si="786"/>
        <v>17.853999999999985</v>
      </c>
      <c r="BS319" s="60">
        <f t="shared" si="786"/>
        <v>17.853999999999985</v>
      </c>
      <c r="BT319" s="60">
        <f t="shared" si="786"/>
        <v>17.853999999999985</v>
      </c>
      <c r="BU319" s="60">
        <f t="shared" si="786"/>
        <v>17.853999999999985</v>
      </c>
      <c r="BV319" s="60">
        <f t="shared" si="786"/>
        <v>17.853999999999985</v>
      </c>
      <c r="BW319" s="60">
        <f t="shared" si="786"/>
        <v>17.853999999999985</v>
      </c>
      <c r="BX319" s="60">
        <f t="shared" si="786"/>
        <v>17.853999999999985</v>
      </c>
      <c r="BY319" s="60">
        <f t="shared" si="786"/>
        <v>17.853999999999985</v>
      </c>
      <c r="BZ319" s="60">
        <f t="shared" si="786"/>
        <v>17.853999999999985</v>
      </c>
      <c r="CA319" s="60">
        <f t="shared" si="786"/>
        <v>17.853999999999985</v>
      </c>
      <c r="CB319" s="60">
        <f t="shared" si="786"/>
        <v>17.853999999999985</v>
      </c>
      <c r="CC319" s="60">
        <f t="shared" si="786"/>
        <v>17.853999999999985</v>
      </c>
      <c r="CD319" s="60">
        <f t="shared" si="786"/>
        <v>17.853999999999985</v>
      </c>
      <c r="CE319" s="60">
        <f t="shared" si="786"/>
        <v>17.853999999999985</v>
      </c>
      <c r="CF319" s="60">
        <f t="shared" si="786"/>
        <v>17.853999999999985</v>
      </c>
      <c r="CG319" s="60">
        <f t="shared" si="786"/>
        <v>17.853999999999985</v>
      </c>
      <c r="CH319" s="60">
        <f t="shared" si="786"/>
        <v>17.853999999999985</v>
      </c>
      <c r="CI319" s="60">
        <f t="shared" si="786"/>
        <v>17.853999999999985</v>
      </c>
      <c r="CJ319" s="60">
        <f t="shared" si="786"/>
        <v>17.853999999999985</v>
      </c>
      <c r="CK319" s="60">
        <f t="shared" si="786"/>
        <v>17.853999999999985</v>
      </c>
      <c r="CL319" s="60">
        <f t="shared" si="786"/>
        <v>17.853999999999985</v>
      </c>
      <c r="CM319" s="60">
        <f t="shared" si="786"/>
        <v>17.853999999999985</v>
      </c>
      <c r="CN319" s="60">
        <f t="shared" si="786"/>
        <v>17.853999999999985</v>
      </c>
      <c r="CO319" s="60">
        <f t="shared" si="786"/>
        <v>17.853999999999985</v>
      </c>
      <c r="CP319" s="60">
        <f t="shared" si="786"/>
        <v>17.853999999999985</v>
      </c>
      <c r="CQ319" s="23" t="s">
        <v>77</v>
      </c>
      <c r="DD319" s="8"/>
      <c r="DE319" s="8"/>
      <c r="DF319" s="8"/>
      <c r="DG319" s="8"/>
      <c r="DH319" s="8"/>
      <c r="DI319" s="8"/>
      <c r="DJ319" s="8"/>
      <c r="DK319" s="8"/>
    </row>
    <row r="320" spans="2:115" hidden="1" outlineLevel="1" x14ac:dyDescent="0.2">
      <c r="B320" s="487" t="s">
        <v>137</v>
      </c>
      <c r="C320" s="475"/>
      <c r="D320" s="64"/>
      <c r="E320" s="64"/>
      <c r="F320" s="64"/>
      <c r="G320" s="64"/>
      <c r="H320" s="64"/>
      <c r="I320" s="64"/>
      <c r="J320" s="64"/>
      <c r="K320" s="64">
        <f t="shared" ref="K320:BD320" si="787">+K265</f>
        <v>1819.6010000000001</v>
      </c>
      <c r="L320" s="64">
        <f t="shared" si="787"/>
        <v>1956.037</v>
      </c>
      <c r="M320" s="64">
        <f t="shared" si="787"/>
        <v>3570.223</v>
      </c>
      <c r="N320" s="64">
        <f t="shared" si="787"/>
        <v>3236.723</v>
      </c>
      <c r="O320" s="64">
        <f t="shared" si="787"/>
        <v>3362.4450000000002</v>
      </c>
      <c r="P320" s="64">
        <f t="shared" si="787"/>
        <v>3483.328</v>
      </c>
      <c r="Q320" s="64">
        <f t="shared" si="787"/>
        <v>3768.3420000000001</v>
      </c>
      <c r="R320" s="64">
        <f t="shared" si="787"/>
        <v>3472.1979999999999</v>
      </c>
      <c r="S320" s="64">
        <f t="shared" si="787"/>
        <v>5280.4110000000001</v>
      </c>
      <c r="T320" s="60">
        <f t="shared" si="787"/>
        <v>5574.4809999999998</v>
      </c>
      <c r="U320" s="60">
        <f t="shared" si="787"/>
        <v>8355.1929999999993</v>
      </c>
      <c r="V320" s="60">
        <f t="shared" si="787"/>
        <v>9189.0869999999995</v>
      </c>
      <c r="W320" s="60">
        <f t="shared" si="787"/>
        <v>9150.1650000000009</v>
      </c>
      <c r="X320" s="60">
        <f t="shared" si="787"/>
        <v>9549.8250000000007</v>
      </c>
      <c r="Y320" s="60">
        <f t="shared" si="787"/>
        <v>9701.3520374493255</v>
      </c>
      <c r="Z320" s="60">
        <f t="shared" si="787"/>
        <v>9477.8492430461793</v>
      </c>
      <c r="AA320" s="60">
        <f t="shared" si="787"/>
        <v>9274.6339998268941</v>
      </c>
      <c r="AB320" s="60">
        <f t="shared" si="787"/>
        <v>9088.5065835306195</v>
      </c>
      <c r="AC320" s="60">
        <f t="shared" si="787"/>
        <v>8882.4548184049454</v>
      </c>
      <c r="AD320" s="60">
        <f t="shared" si="787"/>
        <v>8657.3096142137383</v>
      </c>
      <c r="AE320" s="60">
        <f t="shared" si="787"/>
        <v>8442.5372313264525</v>
      </c>
      <c r="AF320" s="60">
        <f t="shared" si="787"/>
        <v>8237.4733899579733</v>
      </c>
      <c r="AG320" s="60">
        <f t="shared" si="787"/>
        <v>8041.70832512783</v>
      </c>
      <c r="AH320" s="60">
        <f t="shared" si="787"/>
        <v>7854.8496103271555</v>
      </c>
      <c r="AI320" s="60">
        <f t="shared" si="787"/>
        <v>7676.5214239366851</v>
      </c>
      <c r="AJ320" s="60">
        <f t="shared" si="787"/>
        <v>7506.3638466823286</v>
      </c>
      <c r="AK320" s="60">
        <f t="shared" si="787"/>
        <v>7344.0321888151375</v>
      </c>
      <c r="AL320" s="60">
        <f t="shared" si="787"/>
        <v>7189.1963457580359</v>
      </c>
      <c r="AM320" s="60">
        <f t="shared" si="787"/>
        <v>7041.5401810148915</v>
      </c>
      <c r="AN320" s="60">
        <f t="shared" si="787"/>
        <v>6900.7609351884757</v>
      </c>
      <c r="AO320" s="60">
        <f t="shared" si="787"/>
        <v>6766.5686600026511</v>
      </c>
      <c r="AP320" s="60">
        <f t="shared" si="787"/>
        <v>6638.6856762708685</v>
      </c>
      <c r="AQ320" s="60">
        <f t="shared" si="787"/>
        <v>6516.846054797812</v>
      </c>
      <c r="AR320" s="60">
        <f t="shared" si="787"/>
        <v>6400.7951192439032</v>
      </c>
      <c r="AS320" s="60">
        <f t="shared" si="787"/>
        <v>6290.2889700234218</v>
      </c>
      <c r="AT320" s="60">
        <f t="shared" si="787"/>
        <v>6185.0940283463178</v>
      </c>
      <c r="AU320" s="60">
        <f t="shared" si="787"/>
        <v>6084.9865995514438</v>
      </c>
      <c r="AV320" s="60">
        <f t="shared" si="787"/>
        <v>5989.7524549149966</v>
      </c>
      <c r="AW320" s="60">
        <f t="shared" si="787"/>
        <v>5899.1864311524896</v>
      </c>
      <c r="AX320" s="60">
        <f t="shared" si="787"/>
        <v>5813.0920468656441</v>
      </c>
      <c r="AY320" s="60">
        <f t="shared" si="787"/>
        <v>5731.2811352172675</v>
      </c>
      <c r="AZ320" s="60">
        <f t="shared" si="787"/>
        <v>5653.5734921475314</v>
      </c>
      <c r="BA320" s="60">
        <f t="shared" si="787"/>
        <v>5579.7965394740731</v>
      </c>
      <c r="BB320" s="60">
        <f t="shared" si="787"/>
        <v>5509.7850022462235</v>
      </c>
      <c r="BC320" s="60">
        <f t="shared" si="787"/>
        <v>5443.3805997502413</v>
      </c>
      <c r="BD320" s="60">
        <f t="shared" si="787"/>
        <v>5380.431749588015</v>
      </c>
      <c r="BE320" s="60">
        <f t="shared" ref="BE320:CP320" si="788">+BE265</f>
        <v>5320.7932842760783</v>
      </c>
      <c r="BF320" s="60">
        <f t="shared" si="788"/>
        <v>5264.3261798352196</v>
      </c>
      <c r="BG320" s="60">
        <f t="shared" si="788"/>
        <v>5210.8972958633613</v>
      </c>
      <c r="BH320" s="60">
        <f t="shared" si="788"/>
        <v>5160.3791266058652</v>
      </c>
      <c r="BI320" s="60">
        <f t="shared" si="788"/>
        <v>5112.6495625579564</v>
      </c>
      <c r="BJ320" s="60">
        <f t="shared" si="788"/>
        <v>5067.591662153668</v>
      </c>
      <c r="BK320" s="60">
        <f t="shared" si="788"/>
        <v>5025.0934331145336</v>
      </c>
      <c r="BL320" s="60">
        <f t="shared" si="788"/>
        <v>4985.0476230493441</v>
      </c>
      <c r="BM320" s="60">
        <f t="shared" si="788"/>
        <v>4947.3515189135514</v>
      </c>
      <c r="BN320" s="60">
        <f t="shared" si="788"/>
        <v>4911.9067549534693</v>
      </c>
      <c r="BO320" s="60">
        <f t="shared" si="788"/>
        <v>4878.619128776284</v>
      </c>
      <c r="BP320" s="60">
        <f t="shared" si="788"/>
        <v>4847.3984252020809</v>
      </c>
      <c r="BQ320" s="60">
        <f t="shared" si="788"/>
        <v>4818.1582475686246</v>
      </c>
      <c r="BR320" s="60">
        <f t="shared" si="788"/>
        <v>4790.8158561735727</v>
      </c>
      <c r="BS320" s="60">
        <f t="shared" si="788"/>
        <v>4765.2920135521454</v>
      </c>
      <c r="BT320" s="60">
        <f t="shared" si="788"/>
        <v>4741.5108363010359</v>
      </c>
      <c r="BU320" s="60">
        <f t="shared" si="788"/>
        <v>4719.3996531715975</v>
      </c>
      <c r="BV320" s="60">
        <f t="shared" si="788"/>
        <v>4698.8888691670663</v>
      </c>
      <c r="BW320" s="60">
        <f t="shared" si="788"/>
        <v>4679.9118353897702</v>
      </c>
      <c r="BX320" s="60">
        <f t="shared" si="788"/>
        <v>4662.4047243950663</v>
      </c>
      <c r="BY320" s="60">
        <f t="shared" si="788"/>
        <v>4646.3064108190001</v>
      </c>
      <c r="BZ320" s="60">
        <f t="shared" si="788"/>
        <v>4631.558357056575</v>
      </c>
      <c r="CA320" s="60">
        <f t="shared" si="788"/>
        <v>4618.1045037769254</v>
      </c>
      <c r="CB320" s="60">
        <f t="shared" si="788"/>
        <v>4605.8911650707623</v>
      </c>
      <c r="CC320" s="60">
        <f t="shared" si="788"/>
        <v>4594.8669280340891</v>
      </c>
      <c r="CD320" s="60">
        <f t="shared" si="788"/>
        <v>4584.9825566004965</v>
      </c>
      <c r="CE320" s="60">
        <f t="shared" si="788"/>
        <v>4576.1908994422802</v>
      </c>
      <c r="CF320" s="60">
        <f t="shared" si="788"/>
        <v>4568.4468017682311</v>
      </c>
      <c r="CG320" s="60">
        <f t="shared" si="788"/>
        <v>4561.7070208532286</v>
      </c>
      <c r="CH320" s="60">
        <f t="shared" si="788"/>
        <v>4555.9301451417505</v>
      </c>
      <c r="CI320" s="60">
        <f t="shared" si="788"/>
        <v>4551.0765167740856</v>
      </c>
      <c r="CJ320" s="60">
        <f t="shared" si="788"/>
        <v>4547.108157390433</v>
      </c>
      <c r="CK320" s="60">
        <f t="shared" si="788"/>
        <v>4543.9886970742091</v>
      </c>
      <c r="CL320" s="60">
        <f t="shared" si="788"/>
        <v>4541.6833063017375</v>
      </c>
      <c r="CM320" s="60">
        <f t="shared" si="788"/>
        <v>4540.1586307711259</v>
      </c>
      <c r="CN320" s="60">
        <f t="shared" si="788"/>
        <v>4539.3827289885103</v>
      </c>
      <c r="CO320" s="60">
        <f t="shared" si="788"/>
        <v>4539.3250124950082</v>
      </c>
      <c r="CP320" s="60">
        <f t="shared" si="788"/>
        <v>4539.9561886226438</v>
      </c>
      <c r="CQ320" s="23" t="s">
        <v>77</v>
      </c>
      <c r="DD320" s="8"/>
      <c r="DE320" s="8"/>
      <c r="DF320" s="8"/>
      <c r="DG320" s="8"/>
      <c r="DH320" s="8"/>
      <c r="DI320" s="8"/>
      <c r="DJ320" s="8"/>
      <c r="DK320" s="8"/>
    </row>
    <row r="321" spans="2:115" hidden="1" outlineLevel="1" x14ac:dyDescent="0.2">
      <c r="B321" s="487" t="s">
        <v>138</v>
      </c>
      <c r="C321" s="475"/>
      <c r="D321" s="64"/>
      <c r="E321" s="64"/>
      <c r="F321" s="64"/>
      <c r="G321" s="64"/>
      <c r="H321" s="64"/>
      <c r="I321" s="64"/>
      <c r="J321" s="64"/>
      <c r="K321" s="64">
        <f t="shared" ref="K321:BD321" si="789">+K259+K268-K275-K283</f>
        <v>-58.046999999999997</v>
      </c>
      <c r="L321" s="64">
        <f t="shared" si="789"/>
        <v>2.8369999999999989</v>
      </c>
      <c r="M321" s="64">
        <f t="shared" si="789"/>
        <v>3.7939999999999987</v>
      </c>
      <c r="N321" s="64">
        <f t="shared" si="789"/>
        <v>496.38200000000006</v>
      </c>
      <c r="O321" s="64">
        <f t="shared" si="789"/>
        <v>-9.9740000000000002</v>
      </c>
      <c r="P321" s="64">
        <f t="shared" si="789"/>
        <v>-1.034</v>
      </c>
      <c r="Q321" s="64">
        <f t="shared" si="789"/>
        <v>8.1740000000000013</v>
      </c>
      <c r="R321" s="64">
        <f t="shared" si="789"/>
        <v>8.8360000000000021</v>
      </c>
      <c r="S321" s="64">
        <f t="shared" si="789"/>
        <v>-5.2959999999999994</v>
      </c>
      <c r="T321" s="60">
        <f t="shared" si="789"/>
        <v>-3.9880000000000031</v>
      </c>
      <c r="U321" s="60">
        <f t="shared" si="789"/>
        <v>17.297000000000001</v>
      </c>
      <c r="V321" s="60">
        <f t="shared" si="789"/>
        <v>-11.643999999999998</v>
      </c>
      <c r="W321" s="60">
        <f t="shared" si="789"/>
        <v>-14.518999999999998</v>
      </c>
      <c r="X321" s="60">
        <f t="shared" si="789"/>
        <v>-14.518999999999998</v>
      </c>
      <c r="Y321" s="60">
        <f t="shared" si="789"/>
        <v>-14.518999999999998</v>
      </c>
      <c r="Z321" s="60">
        <f t="shared" si="789"/>
        <v>-14.518999999999998</v>
      </c>
      <c r="AA321" s="60">
        <f t="shared" si="789"/>
        <v>-14.518999999999998</v>
      </c>
      <c r="AB321" s="60">
        <f t="shared" si="789"/>
        <v>-14.518999999999998</v>
      </c>
      <c r="AC321" s="60">
        <f t="shared" si="789"/>
        <v>-14.518999999999998</v>
      </c>
      <c r="AD321" s="60">
        <f t="shared" si="789"/>
        <v>-14.518999999999998</v>
      </c>
      <c r="AE321" s="60">
        <f t="shared" si="789"/>
        <v>-14.518999999999998</v>
      </c>
      <c r="AF321" s="60">
        <f t="shared" si="789"/>
        <v>-14.518999999999998</v>
      </c>
      <c r="AG321" s="60">
        <f t="shared" si="789"/>
        <v>-14.518999999999998</v>
      </c>
      <c r="AH321" s="60">
        <f t="shared" si="789"/>
        <v>-14.518999999999998</v>
      </c>
      <c r="AI321" s="60">
        <f t="shared" si="789"/>
        <v>-14.518999999999998</v>
      </c>
      <c r="AJ321" s="60">
        <f t="shared" si="789"/>
        <v>-14.518999999999998</v>
      </c>
      <c r="AK321" s="60">
        <f t="shared" si="789"/>
        <v>-14.518999999999998</v>
      </c>
      <c r="AL321" s="60">
        <f t="shared" si="789"/>
        <v>-14.518999999999998</v>
      </c>
      <c r="AM321" s="60">
        <f t="shared" si="789"/>
        <v>-14.518999999999998</v>
      </c>
      <c r="AN321" s="60">
        <f t="shared" si="789"/>
        <v>-14.518999999999998</v>
      </c>
      <c r="AO321" s="60">
        <f t="shared" si="789"/>
        <v>-14.518999999999998</v>
      </c>
      <c r="AP321" s="60">
        <f t="shared" si="789"/>
        <v>-14.518999999999998</v>
      </c>
      <c r="AQ321" s="60">
        <f t="shared" si="789"/>
        <v>-14.518999999999998</v>
      </c>
      <c r="AR321" s="60">
        <f t="shared" si="789"/>
        <v>-14.518999999999998</v>
      </c>
      <c r="AS321" s="60">
        <f t="shared" si="789"/>
        <v>-14.518999999999998</v>
      </c>
      <c r="AT321" s="60">
        <f t="shared" si="789"/>
        <v>-14.518999999999998</v>
      </c>
      <c r="AU321" s="60">
        <f t="shared" si="789"/>
        <v>-14.518999999999998</v>
      </c>
      <c r="AV321" s="60">
        <f t="shared" si="789"/>
        <v>-14.518999999999998</v>
      </c>
      <c r="AW321" s="60">
        <f t="shared" si="789"/>
        <v>-14.518999999999998</v>
      </c>
      <c r="AX321" s="60">
        <f t="shared" si="789"/>
        <v>-14.518999999999998</v>
      </c>
      <c r="AY321" s="60">
        <f t="shared" si="789"/>
        <v>-14.518999999999998</v>
      </c>
      <c r="AZ321" s="60">
        <f t="shared" si="789"/>
        <v>-14.518999999999998</v>
      </c>
      <c r="BA321" s="60">
        <f t="shared" si="789"/>
        <v>-14.518999999999998</v>
      </c>
      <c r="BB321" s="60">
        <f t="shared" si="789"/>
        <v>-14.518999999999998</v>
      </c>
      <c r="BC321" s="60">
        <f t="shared" si="789"/>
        <v>-14.518999999999998</v>
      </c>
      <c r="BD321" s="60">
        <f t="shared" si="789"/>
        <v>-14.518999999999998</v>
      </c>
      <c r="BE321" s="60">
        <f t="shared" ref="BE321:CP321" si="790">+BE259+BE268-BE275-BE283</f>
        <v>-14.518999999999998</v>
      </c>
      <c r="BF321" s="60">
        <f t="shared" si="790"/>
        <v>-14.518999999999998</v>
      </c>
      <c r="BG321" s="60">
        <f t="shared" si="790"/>
        <v>-14.518999999999998</v>
      </c>
      <c r="BH321" s="60">
        <f t="shared" si="790"/>
        <v>-14.518999999999998</v>
      </c>
      <c r="BI321" s="60">
        <f t="shared" si="790"/>
        <v>-14.518999999999998</v>
      </c>
      <c r="BJ321" s="60">
        <f t="shared" si="790"/>
        <v>-14.518999999999998</v>
      </c>
      <c r="BK321" s="60">
        <f t="shared" si="790"/>
        <v>-14.518999999999998</v>
      </c>
      <c r="BL321" s="60">
        <f t="shared" si="790"/>
        <v>-14.518999999999998</v>
      </c>
      <c r="BM321" s="60">
        <f t="shared" si="790"/>
        <v>-14.518999999999998</v>
      </c>
      <c r="BN321" s="60">
        <f t="shared" si="790"/>
        <v>-14.518999999999998</v>
      </c>
      <c r="BO321" s="60">
        <f t="shared" si="790"/>
        <v>-14.518999999999998</v>
      </c>
      <c r="BP321" s="60">
        <f t="shared" si="790"/>
        <v>-14.518999999999998</v>
      </c>
      <c r="BQ321" s="60">
        <f t="shared" si="790"/>
        <v>-14.518999999999998</v>
      </c>
      <c r="BR321" s="60">
        <f t="shared" si="790"/>
        <v>-14.518999999999998</v>
      </c>
      <c r="BS321" s="60">
        <f t="shared" si="790"/>
        <v>-14.518999999999998</v>
      </c>
      <c r="BT321" s="60">
        <f t="shared" si="790"/>
        <v>-14.518999999999998</v>
      </c>
      <c r="BU321" s="60">
        <f t="shared" si="790"/>
        <v>-14.518999999999998</v>
      </c>
      <c r="BV321" s="60">
        <f t="shared" si="790"/>
        <v>-14.518999999999998</v>
      </c>
      <c r="BW321" s="60">
        <f t="shared" si="790"/>
        <v>-14.518999999999998</v>
      </c>
      <c r="BX321" s="60">
        <f t="shared" si="790"/>
        <v>-14.518999999999998</v>
      </c>
      <c r="BY321" s="60">
        <f t="shared" si="790"/>
        <v>-14.518999999999998</v>
      </c>
      <c r="BZ321" s="60">
        <f t="shared" si="790"/>
        <v>-14.518999999999998</v>
      </c>
      <c r="CA321" s="60">
        <f t="shared" si="790"/>
        <v>-14.518999999999998</v>
      </c>
      <c r="CB321" s="60">
        <f t="shared" si="790"/>
        <v>-14.518999999999998</v>
      </c>
      <c r="CC321" s="60">
        <f t="shared" si="790"/>
        <v>-14.518999999999998</v>
      </c>
      <c r="CD321" s="60">
        <f t="shared" si="790"/>
        <v>-14.518999999999998</v>
      </c>
      <c r="CE321" s="60">
        <f t="shared" si="790"/>
        <v>-14.518999999999998</v>
      </c>
      <c r="CF321" s="60">
        <f t="shared" si="790"/>
        <v>-14.518999999999998</v>
      </c>
      <c r="CG321" s="60">
        <f t="shared" si="790"/>
        <v>-14.518999999999998</v>
      </c>
      <c r="CH321" s="60">
        <f t="shared" si="790"/>
        <v>-14.518999999999998</v>
      </c>
      <c r="CI321" s="60">
        <f t="shared" si="790"/>
        <v>-14.518999999999998</v>
      </c>
      <c r="CJ321" s="60">
        <f t="shared" si="790"/>
        <v>-14.518999999999998</v>
      </c>
      <c r="CK321" s="60">
        <f t="shared" si="790"/>
        <v>-14.518999999999998</v>
      </c>
      <c r="CL321" s="60">
        <f t="shared" si="790"/>
        <v>-14.518999999999998</v>
      </c>
      <c r="CM321" s="60">
        <f t="shared" si="790"/>
        <v>-14.518999999999998</v>
      </c>
      <c r="CN321" s="60">
        <f t="shared" si="790"/>
        <v>-14.518999999999998</v>
      </c>
      <c r="CO321" s="60">
        <f t="shared" si="790"/>
        <v>-14.518999999999998</v>
      </c>
      <c r="CP321" s="60">
        <f t="shared" si="790"/>
        <v>-14.518999999999998</v>
      </c>
      <c r="CQ321" s="23" t="s">
        <v>77</v>
      </c>
      <c r="DD321" s="8"/>
      <c r="DE321" s="8"/>
      <c r="DF321" s="8"/>
      <c r="DG321" s="8"/>
      <c r="DH321" s="8"/>
      <c r="DI321" s="8"/>
      <c r="DJ321" s="8"/>
      <c r="DK321" s="8"/>
    </row>
    <row r="322" spans="2:115" hidden="1" outlineLevel="1" x14ac:dyDescent="0.2">
      <c r="B322" s="487" t="s">
        <v>140</v>
      </c>
      <c r="C322" s="475"/>
      <c r="D322" s="64"/>
      <c r="E322" s="64"/>
      <c r="F322" s="64"/>
      <c r="G322" s="64"/>
      <c r="H322" s="64"/>
      <c r="I322" s="64"/>
      <c r="J322" s="64"/>
      <c r="K322" s="64">
        <f t="shared" ref="K322:BD322" si="791">+K267+K266</f>
        <v>5.4879999999999995</v>
      </c>
      <c r="L322" s="64">
        <f t="shared" si="791"/>
        <v>4.7880000000000003</v>
      </c>
      <c r="M322" s="64">
        <f t="shared" si="791"/>
        <v>300.89800000000002</v>
      </c>
      <c r="N322" s="64">
        <f t="shared" si="791"/>
        <v>692.41700000000003</v>
      </c>
      <c r="O322" s="64">
        <f t="shared" si="791"/>
        <v>689.3</v>
      </c>
      <c r="P322" s="64">
        <f t="shared" si="791"/>
        <v>700.06100000000004</v>
      </c>
      <c r="Q322" s="64">
        <f t="shared" si="791"/>
        <v>708.24700000000007</v>
      </c>
      <c r="R322" s="64">
        <f t="shared" si="791"/>
        <v>595.54199999999992</v>
      </c>
      <c r="S322" s="64">
        <f t="shared" si="791"/>
        <v>1327.5149999999999</v>
      </c>
      <c r="T322" s="60">
        <f t="shared" si="791"/>
        <v>1321.3040000000001</v>
      </c>
      <c r="U322" s="60">
        <f t="shared" si="791"/>
        <v>4696.7460000000001</v>
      </c>
      <c r="V322" s="60">
        <f t="shared" si="791"/>
        <v>4540.2950000000001</v>
      </c>
      <c r="W322" s="60">
        <f t="shared" si="791"/>
        <v>4357.8860000000004</v>
      </c>
      <c r="X322" s="60">
        <f t="shared" si="791"/>
        <v>4175.0050000000001</v>
      </c>
      <c r="Y322" s="60">
        <f t="shared" si="791"/>
        <v>3984.1361418072793</v>
      </c>
      <c r="Z322" s="60">
        <f t="shared" si="791"/>
        <v>3790.2387681576483</v>
      </c>
      <c r="AA322" s="60">
        <f t="shared" si="791"/>
        <v>3600.8084630847316</v>
      </c>
      <c r="AB322" s="60">
        <f t="shared" si="791"/>
        <v>3415.4397467258086</v>
      </c>
      <c r="AC322" s="60">
        <f t="shared" si="791"/>
        <v>3233.7910909362499</v>
      </c>
      <c r="AD322" s="60">
        <f t="shared" si="791"/>
        <v>3056.2607163862049</v>
      </c>
      <c r="AE322" s="60">
        <f t="shared" si="791"/>
        <v>2883.2302366563836</v>
      </c>
      <c r="AF322" s="60">
        <f t="shared" si="791"/>
        <v>2714.4923339625839</v>
      </c>
      <c r="AG322" s="60">
        <f t="shared" si="791"/>
        <v>2549.8529672376226</v>
      </c>
      <c r="AH322" s="60">
        <f t="shared" si="791"/>
        <v>2389.1262852370573</v>
      </c>
      <c r="AI322" s="60">
        <f t="shared" si="791"/>
        <v>2232.1342800014972</v>
      </c>
      <c r="AJ322" s="60">
        <f t="shared" si="791"/>
        <v>2078.7064549807501</v>
      </c>
      <c r="AK322" s="60">
        <f t="shared" si="791"/>
        <v>1928.6795071994682</v>
      </c>
      <c r="AL322" s="60">
        <f t="shared" si="791"/>
        <v>1781.8970228702019</v>
      </c>
      <c r="AM322" s="60">
        <f t="shared" si="791"/>
        <v>1638.2091858849044</v>
      </c>
      <c r="AN322" s="60">
        <f t="shared" si="791"/>
        <v>1497.4724986400092</v>
      </c>
      <c r="AO322" s="60">
        <f t="shared" si="791"/>
        <v>1359.5495146732499</v>
      </c>
      <c r="AP322" s="60">
        <f t="shared" si="791"/>
        <v>1224.3085826124679</v>
      </c>
      <c r="AQ322" s="60">
        <f t="shared" si="791"/>
        <v>1091.6236009578099</v>
      </c>
      <c r="AR322" s="60">
        <f t="shared" si="791"/>
        <v>961.37378323895155</v>
      </c>
      <c r="AS322" s="60">
        <f t="shared" si="791"/>
        <v>833.44343310838622</v>
      </c>
      <c r="AT322" s="60">
        <f t="shared" si="791"/>
        <v>707.72172895038966</v>
      </c>
      <c r="AU322" s="60">
        <f t="shared" si="791"/>
        <v>584.102517603053</v>
      </c>
      <c r="AV322" s="60">
        <f t="shared" si="791"/>
        <v>462.48411680781408</v>
      </c>
      <c r="AW322" s="60">
        <f t="shared" si="791"/>
        <v>342.76912601723166</v>
      </c>
      <c r="AX322" s="60">
        <f t="shared" si="791"/>
        <v>224.86424520736659</v>
      </c>
      <c r="AY322" s="60">
        <f t="shared" si="791"/>
        <v>108.6801013560987</v>
      </c>
      <c r="AZ322" s="60">
        <f t="shared" si="791"/>
        <v>-5.8689177369635672</v>
      </c>
      <c r="BA322" s="60">
        <f t="shared" si="791"/>
        <v>-118.86482259960076</v>
      </c>
      <c r="BB322" s="60">
        <f t="shared" si="791"/>
        <v>-230.38617450260563</v>
      </c>
      <c r="BC322" s="60">
        <f t="shared" si="791"/>
        <v>-340.50823142680224</v>
      </c>
      <c r="BD322" s="60">
        <f t="shared" si="791"/>
        <v>-449.30308785430111</v>
      </c>
      <c r="BE322" s="60">
        <f t="shared" ref="BE322:CP322" si="792">+BE267+BE266</f>
        <v>-556.83980864528212</v>
      </c>
      <c r="BF322" s="60">
        <f t="shared" si="792"/>
        <v>-663.18455725054696</v>
      </c>
      <c r="BG322" s="60">
        <f t="shared" si="792"/>
        <v>-768.40071849949118</v>
      </c>
      <c r="BH322" s="60">
        <f t="shared" si="792"/>
        <v>-872.54901619300676</v>
      </c>
      <c r="BI322" s="60">
        <f t="shared" si="792"/>
        <v>-975.68762572111996</v>
      </c>
      <c r="BJ322" s="60">
        <f t="shared" si="792"/>
        <v>-1077.8722819158622</v>
      </c>
      <c r="BK322" s="60">
        <f t="shared" si="792"/>
        <v>-1179.1563823409722</v>
      </c>
      <c r="BL322" s="60">
        <f t="shared" si="792"/>
        <v>-1279.5910862114945</v>
      </c>
      <c r="BM322" s="60">
        <f t="shared" si="792"/>
        <v>-1379.2254091281727</v>
      </c>
      <c r="BN322" s="60">
        <f t="shared" si="792"/>
        <v>-1478.1063138037091</v>
      </c>
      <c r="BO322" s="60">
        <f t="shared" si="792"/>
        <v>-1576.2787969504768</v>
      </c>
      <c r="BP322" s="60">
        <f t="shared" si="792"/>
        <v>-1673.7859724920911</v>
      </c>
      <c r="BQ322" s="60">
        <f t="shared" si="792"/>
        <v>-1770.6691512543737</v>
      </c>
      <c r="BR322" s="60">
        <f t="shared" si="792"/>
        <v>-1866.9679172846693</v>
      </c>
      <c r="BS322" s="60">
        <f t="shared" si="792"/>
        <v>-1962.7202009421637</v>
      </c>
      <c r="BT322" s="60">
        <f t="shared" si="792"/>
        <v>-2057.9623488958268</v>
      </c>
      <c r="BU322" s="60">
        <f t="shared" si="792"/>
        <v>-2152.7291911608099</v>
      </c>
      <c r="BV322" s="60">
        <f t="shared" si="792"/>
        <v>-2247.0541052986073</v>
      </c>
      <c r="BW322" s="60">
        <f t="shared" si="792"/>
        <v>-2340.9690779009743</v>
      </c>
      <c r="BX322" s="60">
        <f t="shared" si="792"/>
        <v>-2434.504763472537</v>
      </c>
      <c r="BY322" s="60">
        <f t="shared" si="792"/>
        <v>-2527.6905408221364</v>
      </c>
      <c r="BZ322" s="60">
        <f t="shared" si="792"/>
        <v>-2620.5545670683287</v>
      </c>
      <c r="CA322" s="60">
        <f t="shared" si="792"/>
        <v>-2713.1238293599772</v>
      </c>
      <c r="CB322" s="60">
        <f t="shared" si="792"/>
        <v>-2805.4241944086107</v>
      </c>
      <c r="CC322" s="60">
        <f t="shared" si="792"/>
        <v>-2897.4804559251306</v>
      </c>
      <c r="CD322" s="60">
        <f t="shared" si="792"/>
        <v>-2989.3163800495367</v>
      </c>
      <c r="CE322" s="60">
        <f t="shared" si="792"/>
        <v>-3080.9547488585858</v>
      </c>
      <c r="CF322" s="60">
        <f t="shared" si="792"/>
        <v>-3172.4174020326982</v>
      </c>
      <c r="CG322" s="60">
        <f t="shared" si="792"/>
        <v>-3263.7252767600039</v>
      </c>
      <c r="CH322" s="60">
        <f t="shared" si="792"/>
        <v>-3354.8984459521071</v>
      </c>
      <c r="CI322" s="60">
        <f t="shared" si="792"/>
        <v>-3445.9561548430038</v>
      </c>
      <c r="CJ322" s="60">
        <f t="shared" si="792"/>
        <v>-3536.9168560395574</v>
      </c>
      <c r="CK322" s="60">
        <f t="shared" si="792"/>
        <v>-3627.7982430890497</v>
      </c>
      <c r="CL322" s="60">
        <f t="shared" si="792"/>
        <v>-3718.6172826265474</v>
      </c>
      <c r="CM322" s="60">
        <f t="shared" si="792"/>
        <v>-3809.3902451621707</v>
      </c>
      <c r="CN322" s="60">
        <f t="shared" si="792"/>
        <v>-3900.1327345658101</v>
      </c>
      <c r="CO322" s="60">
        <f t="shared" si="792"/>
        <v>-3990.8597163044069</v>
      </c>
      <c r="CP322" s="60">
        <f t="shared" si="792"/>
        <v>-4081.5855444845656</v>
      </c>
      <c r="CQ322" s="23" t="s">
        <v>77</v>
      </c>
      <c r="DD322" s="8"/>
      <c r="DE322" s="8"/>
      <c r="DF322" s="8"/>
      <c r="DG322" s="8"/>
      <c r="DH322" s="8"/>
      <c r="DI322" s="8"/>
      <c r="DJ322" s="8"/>
      <c r="DK322" s="8"/>
    </row>
    <row r="323" spans="2:115" hidden="1" outlineLevel="1" x14ac:dyDescent="0.2">
      <c r="B323" s="410" t="s">
        <v>135</v>
      </c>
      <c r="C323" s="498"/>
      <c r="D323" s="499"/>
      <c r="E323" s="499"/>
      <c r="F323" s="499"/>
      <c r="G323" s="499"/>
      <c r="H323" s="499"/>
      <c r="I323" s="499"/>
      <c r="J323" s="499"/>
      <c r="K323" s="501">
        <f>SUM(K319:K322)</f>
        <v>1737.5590000000002</v>
      </c>
      <c r="L323" s="501">
        <f t="shared" ref="L323:BD323" si="793">SUM(L319:L322)</f>
        <v>1955.15</v>
      </c>
      <c r="M323" s="501">
        <f t="shared" si="793"/>
        <v>3910.145</v>
      </c>
      <c r="N323" s="501">
        <f t="shared" si="793"/>
        <v>4436.5540000000001</v>
      </c>
      <c r="O323" s="501">
        <f t="shared" si="793"/>
        <v>4109.7110000000002</v>
      </c>
      <c r="P323" s="502">
        <f t="shared" si="793"/>
        <v>4225.1449999999995</v>
      </c>
      <c r="Q323" s="503">
        <f t="shared" si="793"/>
        <v>4531.7460000000001</v>
      </c>
      <c r="R323" s="503">
        <f t="shared" si="793"/>
        <v>4175.3979999999992</v>
      </c>
      <c r="S323" s="503">
        <f t="shared" si="793"/>
        <v>6624.1810000000005</v>
      </c>
      <c r="T323" s="63">
        <f t="shared" si="793"/>
        <v>7027.4319999999998</v>
      </c>
      <c r="U323" s="63">
        <f t="shared" si="793"/>
        <v>13032.251</v>
      </c>
      <c r="V323" s="63">
        <f t="shared" si="793"/>
        <v>13770.483</v>
      </c>
      <c r="W323" s="63">
        <f t="shared" si="793"/>
        <v>13511.386</v>
      </c>
      <c r="X323" s="63">
        <f t="shared" si="793"/>
        <v>13728.165000000001</v>
      </c>
      <c r="Y323" s="63">
        <f t="shared" si="793"/>
        <v>13688.823179256604</v>
      </c>
      <c r="Z323" s="63">
        <f t="shared" si="793"/>
        <v>13271.423011203828</v>
      </c>
      <c r="AA323" s="63">
        <f t="shared" si="793"/>
        <v>12878.777462911625</v>
      </c>
      <c r="AB323" s="63">
        <f t="shared" si="793"/>
        <v>12507.281330256428</v>
      </c>
      <c r="AC323" s="63">
        <f t="shared" si="793"/>
        <v>12119.580909341195</v>
      </c>
      <c r="AD323" s="63">
        <f t="shared" si="793"/>
        <v>11716.905330599942</v>
      </c>
      <c r="AE323" s="63">
        <f t="shared" si="793"/>
        <v>11329.102467982835</v>
      </c>
      <c r="AF323" s="63">
        <f t="shared" si="793"/>
        <v>10955.300723920556</v>
      </c>
      <c r="AG323" s="63">
        <f t="shared" si="793"/>
        <v>10594.896292365453</v>
      </c>
      <c r="AH323" s="63">
        <f t="shared" si="793"/>
        <v>10247.310895564213</v>
      </c>
      <c r="AI323" s="63">
        <f t="shared" si="793"/>
        <v>9911.9907039381833</v>
      </c>
      <c r="AJ323" s="63">
        <f t="shared" si="793"/>
        <v>9588.4053016630787</v>
      </c>
      <c r="AK323" s="63">
        <f t="shared" si="793"/>
        <v>9276.0466960146059</v>
      </c>
      <c r="AL323" s="63">
        <f t="shared" si="793"/>
        <v>8974.4283686282379</v>
      </c>
      <c r="AM323" s="63">
        <f t="shared" si="793"/>
        <v>8683.084366899795</v>
      </c>
      <c r="AN323" s="63">
        <f t="shared" si="793"/>
        <v>8401.5684338284846</v>
      </c>
      <c r="AO323" s="63">
        <f t="shared" si="793"/>
        <v>8129.4531746759012</v>
      </c>
      <c r="AP323" s="63">
        <f t="shared" si="793"/>
        <v>7866.3292588833365</v>
      </c>
      <c r="AQ323" s="63">
        <f t="shared" si="793"/>
        <v>7611.8046557556218</v>
      </c>
      <c r="AR323" s="63">
        <f t="shared" si="793"/>
        <v>7365.5039024828548</v>
      </c>
      <c r="AS323" s="63">
        <f t="shared" si="793"/>
        <v>7127.0674031318085</v>
      </c>
      <c r="AT323" s="63">
        <f t="shared" si="793"/>
        <v>6896.1507572967075</v>
      </c>
      <c r="AU323" s="63">
        <f t="shared" si="793"/>
        <v>6672.4241171544963</v>
      </c>
      <c r="AV323" s="63">
        <f t="shared" si="793"/>
        <v>6455.5715717228104</v>
      </c>
      <c r="AW323" s="63">
        <f t="shared" si="793"/>
        <v>6245.2905571697211</v>
      </c>
      <c r="AX323" s="63">
        <f t="shared" si="793"/>
        <v>6041.2912920730105</v>
      </c>
      <c r="AY323" s="63">
        <f t="shared" si="793"/>
        <v>5843.2962365733665</v>
      </c>
      <c r="AZ323" s="63">
        <f t="shared" si="793"/>
        <v>5651.0395744105681</v>
      </c>
      <c r="BA323" s="63">
        <f t="shared" si="793"/>
        <v>5464.266716874472</v>
      </c>
      <c r="BB323" s="63">
        <f t="shared" si="793"/>
        <v>5282.7338277436174</v>
      </c>
      <c r="BC323" s="63">
        <f t="shared" si="793"/>
        <v>5106.2073683234394</v>
      </c>
      <c r="BD323" s="63">
        <f t="shared" si="793"/>
        <v>4934.4636617337137</v>
      </c>
      <c r="BE323" s="63">
        <f t="shared" ref="BE323:CP323" si="794">SUM(BE319:BE322)</f>
        <v>4767.2884756307958</v>
      </c>
      <c r="BF323" s="63">
        <f t="shared" si="794"/>
        <v>4604.4766225846724</v>
      </c>
      <c r="BG323" s="63">
        <f t="shared" si="794"/>
        <v>4445.8315773638697</v>
      </c>
      <c r="BH323" s="63">
        <f t="shared" si="794"/>
        <v>4291.1651104128587</v>
      </c>
      <c r="BI323" s="63">
        <f t="shared" si="794"/>
        <v>4140.2969368368367</v>
      </c>
      <c r="BJ323" s="63">
        <f t="shared" si="794"/>
        <v>3993.0543802378061</v>
      </c>
      <c r="BK323" s="63">
        <f t="shared" si="794"/>
        <v>3849.2720507735612</v>
      </c>
      <c r="BL323" s="63">
        <f t="shared" si="794"/>
        <v>3708.7915368378499</v>
      </c>
      <c r="BM323" s="63">
        <f t="shared" si="794"/>
        <v>3571.4611097853785</v>
      </c>
      <c r="BN323" s="63">
        <f t="shared" si="794"/>
        <v>3437.1354411497605</v>
      </c>
      <c r="BO323" s="63">
        <f t="shared" si="794"/>
        <v>3305.675331825807</v>
      </c>
      <c r="BP323" s="63">
        <f t="shared" si="794"/>
        <v>3176.9474527099901</v>
      </c>
      <c r="BQ323" s="63">
        <f t="shared" si="794"/>
        <v>3050.8240963142507</v>
      </c>
      <c r="BR323" s="63">
        <f t="shared" si="794"/>
        <v>2927.1829388889037</v>
      </c>
      <c r="BS323" s="63">
        <f t="shared" si="794"/>
        <v>2805.9068126099819</v>
      </c>
      <c r="BT323" s="63">
        <f t="shared" si="794"/>
        <v>2686.8834874052091</v>
      </c>
      <c r="BU323" s="63">
        <f t="shared" si="794"/>
        <v>2570.0054620107876</v>
      </c>
      <c r="BV323" s="63">
        <f t="shared" si="794"/>
        <v>2455.1697638684591</v>
      </c>
      <c r="BW323" s="63">
        <f t="shared" si="794"/>
        <v>2342.2777574887959</v>
      </c>
      <c r="BX323" s="63">
        <f t="shared" si="794"/>
        <v>2231.2349609225294</v>
      </c>
      <c r="BY323" s="63">
        <f t="shared" si="794"/>
        <v>2121.9508699968637</v>
      </c>
      <c r="BZ323" s="63">
        <f t="shared" si="794"/>
        <v>2014.3387899882464</v>
      </c>
      <c r="CA323" s="63">
        <f t="shared" si="794"/>
        <v>1908.3156744169482</v>
      </c>
      <c r="CB323" s="63">
        <f t="shared" si="794"/>
        <v>1803.8019706621517</v>
      </c>
      <c r="CC323" s="63">
        <f t="shared" si="794"/>
        <v>1700.7214721089586</v>
      </c>
      <c r="CD323" s="63">
        <f t="shared" si="794"/>
        <v>1599.0011765509598</v>
      </c>
      <c r="CE323" s="63">
        <f t="shared" si="794"/>
        <v>1498.5711505836944</v>
      </c>
      <c r="CF323" s="63">
        <f t="shared" si="794"/>
        <v>1399.364399735533</v>
      </c>
      <c r="CG323" s="63">
        <f t="shared" si="794"/>
        <v>1301.3167440932248</v>
      </c>
      <c r="CH323" s="63">
        <f t="shared" si="794"/>
        <v>1204.3666991896434</v>
      </c>
      <c r="CI323" s="63">
        <f t="shared" si="794"/>
        <v>1108.4553619310818</v>
      </c>
      <c r="CJ323" s="63">
        <f t="shared" si="794"/>
        <v>1013.5263013508757</v>
      </c>
      <c r="CK323" s="63">
        <f t="shared" si="794"/>
        <v>919.5254539851594</v>
      </c>
      <c r="CL323" s="63">
        <f t="shared" si="794"/>
        <v>826.40102367519012</v>
      </c>
      <c r="CM323" s="63">
        <f t="shared" si="794"/>
        <v>734.10338560895525</v>
      </c>
      <c r="CN323" s="63">
        <f t="shared" si="794"/>
        <v>642.58499442270022</v>
      </c>
      <c r="CO323" s="63">
        <f t="shared" si="794"/>
        <v>551.80029619060133</v>
      </c>
      <c r="CP323" s="63">
        <f t="shared" si="794"/>
        <v>461.70564413807824</v>
      </c>
      <c r="CQ323" s="23" t="s">
        <v>77</v>
      </c>
      <c r="DD323" s="8"/>
      <c r="DE323" s="8"/>
      <c r="DF323" s="8"/>
      <c r="DG323" s="8"/>
      <c r="DH323" s="8"/>
      <c r="DI323" s="8"/>
      <c r="DJ323" s="8"/>
      <c r="DK323" s="8"/>
    </row>
    <row r="324" spans="2:115" hidden="1" outlineLevel="1" x14ac:dyDescent="0.2">
      <c r="B324" s="475"/>
      <c r="C324" s="475"/>
      <c r="D324" s="64"/>
      <c r="E324" s="64"/>
      <c r="F324" s="64"/>
      <c r="G324" s="64"/>
      <c r="H324" s="64"/>
      <c r="I324" s="64"/>
      <c r="J324" s="64"/>
      <c r="K324" s="64"/>
      <c r="L324" s="64"/>
      <c r="M324" s="64"/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4"/>
      <c r="Z324" s="64"/>
      <c r="AA324" s="64"/>
      <c r="AB324" s="64"/>
      <c r="AC324" s="64"/>
      <c r="AD324" s="64"/>
      <c r="AE324" s="64"/>
      <c r="AF324" s="64"/>
      <c r="AG324" s="64"/>
      <c r="AH324" s="64"/>
      <c r="AI324" s="64"/>
      <c r="AJ324" s="64"/>
      <c r="AK324" s="64"/>
      <c r="AL324" s="64"/>
      <c r="AM324" s="64"/>
      <c r="AN324" s="64"/>
      <c r="AO324" s="64"/>
      <c r="AP324" s="64"/>
      <c r="AQ324" s="64"/>
      <c r="AR324" s="64"/>
      <c r="AS324" s="64"/>
      <c r="AT324" s="64"/>
      <c r="AU324" s="64"/>
      <c r="AV324" s="64"/>
      <c r="AW324" s="64"/>
      <c r="AX324" s="64"/>
      <c r="AY324" s="64"/>
      <c r="AZ324" s="64"/>
      <c r="BA324" s="64"/>
      <c r="BB324" s="64"/>
      <c r="BC324" s="64"/>
      <c r="BD324" s="64"/>
      <c r="BE324" s="64"/>
      <c r="BF324" s="64"/>
      <c r="BG324" s="64"/>
      <c r="BH324" s="64"/>
      <c r="BI324" s="64"/>
      <c r="BJ324" s="64"/>
      <c r="BK324" s="64"/>
      <c r="BL324" s="64"/>
      <c r="BM324" s="64"/>
      <c r="BN324" s="64"/>
      <c r="BO324" s="64"/>
      <c r="BP324" s="64"/>
      <c r="BQ324" s="64"/>
      <c r="BR324" s="64"/>
      <c r="BS324" s="64"/>
      <c r="BT324" s="64"/>
      <c r="BU324" s="64"/>
      <c r="BV324" s="64"/>
      <c r="BW324" s="64"/>
      <c r="BX324" s="64"/>
      <c r="BY324" s="64"/>
      <c r="BZ324" s="64"/>
      <c r="CA324" s="64"/>
      <c r="CB324" s="64"/>
      <c r="CC324" s="64"/>
      <c r="CD324" s="64"/>
      <c r="CE324" s="64"/>
      <c r="CF324" s="64"/>
      <c r="CG324" s="64"/>
      <c r="CH324" s="64"/>
      <c r="CI324" s="64"/>
      <c r="CJ324" s="64"/>
      <c r="CK324" s="64"/>
      <c r="CL324" s="64"/>
      <c r="CM324" s="64"/>
      <c r="CN324" s="64"/>
      <c r="CO324" s="64"/>
      <c r="CP324" s="64"/>
      <c r="CQ324" s="23" t="s">
        <v>77</v>
      </c>
      <c r="DD324" s="8"/>
      <c r="DE324" s="8"/>
      <c r="DF324" s="8"/>
      <c r="DG324" s="8"/>
      <c r="DH324" s="8"/>
      <c r="DI324" s="8"/>
      <c r="DJ324" s="8"/>
      <c r="DK324" s="8"/>
    </row>
    <row r="325" spans="2:115" hidden="1" outlineLevel="1" x14ac:dyDescent="0.2">
      <c r="B325" s="1" t="s">
        <v>136</v>
      </c>
      <c r="D325" s="3"/>
      <c r="E325" s="3"/>
      <c r="F325" s="3"/>
      <c r="G325" s="3"/>
      <c r="H325" s="3"/>
      <c r="I325" s="3"/>
      <c r="J325" s="3"/>
      <c r="K325" s="19">
        <f>+K317/AVERAGE(K323,J323)</f>
        <v>7.3811997175347713E-2</v>
      </c>
      <c r="L325" s="19">
        <f>+L317/AVERAGE(L323,K323)</f>
        <v>7.8749015966327149E-2</v>
      </c>
      <c r="M325" s="19">
        <f t="shared" ref="M325:BD325" si="795">+M317/AVERAGE(M323,L323)</f>
        <v>6.9682121700613511E-2</v>
      </c>
      <c r="N325" s="19">
        <f t="shared" si="795"/>
        <v>7.2476172915783815E-2</v>
      </c>
      <c r="O325" s="19">
        <f t="shared" si="795"/>
        <v>6.8998983766592803E-2</v>
      </c>
      <c r="P325" s="19">
        <f t="shared" si="795"/>
        <v>7.9592040942279035E-2</v>
      </c>
      <c r="Q325" s="19">
        <f t="shared" si="795"/>
        <v>7.2791245203349009E-2</v>
      </c>
      <c r="R325" s="19">
        <f t="shared" si="795"/>
        <v>8.3783063654396903E-2</v>
      </c>
      <c r="S325" s="19">
        <f t="shared" si="795"/>
        <v>8.6010686157303007E-2</v>
      </c>
      <c r="T325" s="46">
        <f t="shared" si="795"/>
        <v>7.133130715029791E-2</v>
      </c>
      <c r="U325" s="46">
        <f>+U317/AVERAGE(U323,T323)</f>
        <v>5.5011148481259646E-2</v>
      </c>
      <c r="V325" s="46">
        <f t="shared" si="795"/>
        <v>5.4372856142212947E-2</v>
      </c>
      <c r="W325" s="46">
        <f t="shared" si="795"/>
        <v>5.9386759756085608E-2</v>
      </c>
      <c r="X325" s="46">
        <f t="shared" si="795"/>
        <v>6.0467710305481953E-2</v>
      </c>
      <c r="Y325" s="46">
        <f t="shared" si="795"/>
        <v>6.2945581483921154E-2</v>
      </c>
      <c r="Z325" s="46">
        <f t="shared" si="795"/>
        <v>6.7812340188018974E-2</v>
      </c>
      <c r="AA325" s="46">
        <f t="shared" si="795"/>
        <v>6.8021451581197684E-2</v>
      </c>
      <c r="AB325" s="46">
        <f t="shared" si="795"/>
        <v>7.3156004147454309E-2</v>
      </c>
      <c r="AC325" s="46">
        <f t="shared" si="795"/>
        <v>7.8632886524380316E-2</v>
      </c>
      <c r="AD325" s="46">
        <f t="shared" si="795"/>
        <v>8.4707386936055451E-2</v>
      </c>
      <c r="AE325" s="46">
        <f t="shared" si="795"/>
        <v>9.0332900998552915E-2</v>
      </c>
      <c r="AF325" s="46">
        <f t="shared" si="795"/>
        <v>9.4519002532743132E-2</v>
      </c>
      <c r="AG325" s="46">
        <f t="shared" si="795"/>
        <v>9.7902858472107612E-2</v>
      </c>
      <c r="AH325" s="46">
        <f t="shared" si="795"/>
        <v>0.1051975010589874</v>
      </c>
      <c r="AI325" s="46">
        <f t="shared" si="795"/>
        <v>9.9375198504471171E-2</v>
      </c>
      <c r="AJ325" s="46">
        <f t="shared" si="795"/>
        <v>9.6758153484318946E-2</v>
      </c>
      <c r="AK325" s="46">
        <f t="shared" si="795"/>
        <v>0.10054547332639324</v>
      </c>
      <c r="AL325" s="46">
        <f t="shared" si="795"/>
        <v>0.10774764158920051</v>
      </c>
      <c r="AM325" s="46">
        <f t="shared" si="795"/>
        <v>0.11534812026541329</v>
      </c>
      <c r="AN325" s="46">
        <f t="shared" si="795"/>
        <v>0.12207127667353299</v>
      </c>
      <c r="AO325" s="46">
        <f t="shared" si="795"/>
        <v>0.12422705581005829</v>
      </c>
      <c r="AP325" s="46">
        <f t="shared" si="795"/>
        <v>7.1093481459462385E-2</v>
      </c>
      <c r="AQ325" s="46">
        <f t="shared" si="795"/>
        <v>7.6749664097133768E-2</v>
      </c>
      <c r="AR325" s="46">
        <f t="shared" si="795"/>
        <v>6.9285043069157698E-2</v>
      </c>
      <c r="AS325" s="46">
        <f t="shared" si="795"/>
        <v>5.8201858273349651E-2</v>
      </c>
      <c r="AT325" s="46">
        <f t="shared" si="795"/>
        <v>5.9022660781285249E-2</v>
      </c>
      <c r="AU325" s="46">
        <f t="shared" si="795"/>
        <v>6.4243967196406751E-2</v>
      </c>
      <c r="AV325" s="46">
        <f t="shared" si="795"/>
        <v>6.976525132915995E-2</v>
      </c>
      <c r="AW325" s="46">
        <f t="shared" si="795"/>
        <v>6.9285139825921327E-2</v>
      </c>
      <c r="AX325" s="46">
        <f t="shared" si="795"/>
        <v>7.5101281933225808E-2</v>
      </c>
      <c r="AY325" s="46">
        <f t="shared" si="795"/>
        <v>8.1259479274212509E-2</v>
      </c>
      <c r="AZ325" s="46">
        <f t="shared" si="795"/>
        <v>8.7783165256813026E-2</v>
      </c>
      <c r="BA325" s="46">
        <f t="shared" si="795"/>
        <v>6.6579634755448883E-2</v>
      </c>
      <c r="BB325" s="46">
        <f t="shared" si="795"/>
        <v>7.2275637295833015E-2</v>
      </c>
      <c r="BC325" s="46">
        <f t="shared" si="795"/>
        <v>7.8319557659421196E-2</v>
      </c>
      <c r="BD325" s="46">
        <f t="shared" si="795"/>
        <v>8.4737279864455242E-2</v>
      </c>
      <c r="BE325" s="46">
        <f t="shared" ref="BE325:CP325" si="796">+BE317/AVERAGE(BE323,BD323)</f>
        <v>9.1557138010442796E-2</v>
      </c>
      <c r="BF325" s="46">
        <f t="shared" si="796"/>
        <v>9.8809634057695758E-2</v>
      </c>
      <c r="BG325" s="46">
        <f t="shared" si="796"/>
        <v>0.10652933924968608</v>
      </c>
      <c r="BH325" s="46">
        <f t="shared" si="796"/>
        <v>0.11475294662222761</v>
      </c>
      <c r="BI325" s="46">
        <f t="shared" si="796"/>
        <v>0.12352256565435203</v>
      </c>
      <c r="BJ325" s="46">
        <f t="shared" si="796"/>
        <v>0.13288324270780788</v>
      </c>
      <c r="BK325" s="46">
        <f t="shared" si="796"/>
        <v>0.1428863332959853</v>
      </c>
      <c r="BL325" s="46">
        <f t="shared" si="796"/>
        <v>0.15358810061916586</v>
      </c>
      <c r="BM325" s="46">
        <f t="shared" si="796"/>
        <v>0.1650516089274694</v>
      </c>
      <c r="BN325" s="46">
        <f t="shared" si="796"/>
        <v>0.17734734205429439</v>
      </c>
      <c r="BO325" s="46">
        <f t="shared" si="796"/>
        <v>0.19055465625019957</v>
      </c>
      <c r="BP325" s="46">
        <f t="shared" si="796"/>
        <v>0.20476286061219259</v>
      </c>
      <c r="BQ325" s="46">
        <f t="shared" si="796"/>
        <v>0.22007294707179192</v>
      </c>
      <c r="BR325" s="46">
        <f t="shared" si="796"/>
        <v>0.23659932792151628</v>
      </c>
      <c r="BS325" s="46">
        <f t="shared" si="796"/>
        <v>0.2418295693823366</v>
      </c>
      <c r="BT325" s="46">
        <f t="shared" si="796"/>
        <v>0.24864518863426358</v>
      </c>
      <c r="BU325" s="46">
        <f t="shared" si="796"/>
        <v>0.2679422971569333</v>
      </c>
      <c r="BV325" s="46">
        <f t="shared" si="796"/>
        <v>0.2889526207053697</v>
      </c>
      <c r="BW325" s="46">
        <f t="shared" si="796"/>
        <v>0.31188807244205768</v>
      </c>
      <c r="BX325" s="46">
        <f t="shared" si="796"/>
        <v>0.33699681438399032</v>
      </c>
      <c r="BY325" s="46">
        <f t="shared" si="796"/>
        <v>0.36456951760418982</v>
      </c>
      <c r="BZ325" s="46">
        <f t="shared" si="796"/>
        <v>0.39495258262846888</v>
      </c>
      <c r="CA325" s="46">
        <f t="shared" si="796"/>
        <v>0.42855746083881691</v>
      </c>
      <c r="CB325" s="46">
        <f t="shared" si="796"/>
        <v>0.46588077016227386</v>
      </c>
      <c r="CC325" s="46">
        <f t="shared" si="796"/>
        <v>0.50512416719296793</v>
      </c>
      <c r="CD325" s="46">
        <f t="shared" si="796"/>
        <v>0.52105040532991331</v>
      </c>
      <c r="CE325" s="46">
        <f t="shared" si="796"/>
        <v>0.57073536168971239</v>
      </c>
      <c r="CF325" s="46">
        <f t="shared" si="796"/>
        <v>0.62713462950741927</v>
      </c>
      <c r="CG325" s="46">
        <f t="shared" si="796"/>
        <v>0.69162423015799868</v>
      </c>
      <c r="CH325" s="46">
        <f t="shared" si="796"/>
        <v>0.39231293260342137</v>
      </c>
      <c r="CI325" s="46">
        <f t="shared" si="796"/>
        <v>0.43834539114495208</v>
      </c>
      <c r="CJ325" s="46">
        <f t="shared" si="796"/>
        <v>0.49254189576386254</v>
      </c>
      <c r="CK325" s="46">
        <f t="shared" si="796"/>
        <v>0.55719044522020555</v>
      </c>
      <c r="CL325" s="46">
        <f t="shared" si="796"/>
        <v>0.63551991282596598</v>
      </c>
      <c r="CM325" s="46">
        <f t="shared" si="796"/>
        <v>0.73224001802917194</v>
      </c>
      <c r="CN325" s="46">
        <f t="shared" si="796"/>
        <v>0.85449646049062999</v>
      </c>
      <c r="CO325" s="46">
        <f t="shared" si="796"/>
        <v>1.0136810940981587</v>
      </c>
      <c r="CP325" s="46">
        <f t="shared" si="796"/>
        <v>1.1744719404213471</v>
      </c>
      <c r="CQ325" s="23" t="s">
        <v>77</v>
      </c>
      <c r="DD325" s="8"/>
      <c r="DE325" s="8"/>
      <c r="DF325" s="8"/>
      <c r="DG325" s="8"/>
      <c r="DH325" s="8"/>
      <c r="DI325" s="8"/>
      <c r="DJ325" s="8"/>
      <c r="DK325" s="8"/>
    </row>
    <row r="326" spans="2:115" hidden="1" outlineLevel="1" x14ac:dyDescent="0.2">
      <c r="B326" s="475" t="s">
        <v>141</v>
      </c>
      <c r="K326" s="10">
        <f t="shared" ref="K326:BD326" si="797">+K317/K$90</f>
        <v>0.3491655595243281</v>
      </c>
      <c r="L326" s="425">
        <f t="shared" si="797"/>
        <v>0.38033587067409552</v>
      </c>
      <c r="M326" s="425">
        <f t="shared" si="797"/>
        <v>0.38361760840998682</v>
      </c>
      <c r="N326" s="425">
        <f t="shared" si="797"/>
        <v>0.34304009508590505</v>
      </c>
      <c r="O326" s="425">
        <f t="shared" si="797"/>
        <v>0.31219483786805824</v>
      </c>
      <c r="P326" s="425">
        <f t="shared" si="797"/>
        <v>0.33521723312009227</v>
      </c>
      <c r="Q326" s="425">
        <f t="shared" si="797"/>
        <v>0.28921568182622515</v>
      </c>
      <c r="R326" s="425">
        <f t="shared" si="797"/>
        <v>0.34389428489000268</v>
      </c>
      <c r="S326" s="425">
        <f t="shared" si="797"/>
        <v>0.36504884587904912</v>
      </c>
      <c r="T326" s="425">
        <f t="shared" si="797"/>
        <v>0.34877964584761678</v>
      </c>
      <c r="U326" s="425">
        <f t="shared" si="797"/>
        <v>0.35514146040042099</v>
      </c>
      <c r="V326" s="425">
        <f t="shared" si="797"/>
        <v>0.3479297179397069</v>
      </c>
      <c r="W326" s="425">
        <f t="shared" si="797"/>
        <v>0.34821352120425358</v>
      </c>
      <c r="X326" s="425">
        <f t="shared" si="797"/>
        <v>0.34777037325646709</v>
      </c>
      <c r="Y326" s="425">
        <f t="shared" si="797"/>
        <v>0.34866391127728824</v>
      </c>
      <c r="Z326" s="425">
        <f t="shared" si="797"/>
        <v>0.35485466441086777</v>
      </c>
      <c r="AA326" s="425">
        <f t="shared" si="797"/>
        <v>0.34841636518455055</v>
      </c>
      <c r="AB326" s="425">
        <f t="shared" si="797"/>
        <v>0.35647615900931745</v>
      </c>
      <c r="AC326" s="425">
        <f t="shared" si="797"/>
        <v>0.36407170982804971</v>
      </c>
      <c r="AD326" s="425">
        <f t="shared" si="797"/>
        <v>0.37178279319665158</v>
      </c>
      <c r="AE326" s="425">
        <f t="shared" si="797"/>
        <v>0.37714599873723453</v>
      </c>
      <c r="AF326" s="425">
        <f t="shared" si="797"/>
        <v>0.3806550355593149</v>
      </c>
      <c r="AG326" s="425">
        <f t="shared" si="797"/>
        <v>0.37589443824161706</v>
      </c>
      <c r="AH326" s="425">
        <f t="shared" si="797"/>
        <v>0.38254555249695038</v>
      </c>
      <c r="AI326" s="425">
        <f t="shared" si="797"/>
        <v>0.36213701605569537</v>
      </c>
      <c r="AJ326" s="425">
        <f t="shared" si="797"/>
        <v>0.3540673726040946</v>
      </c>
      <c r="AK326" s="425">
        <f t="shared" si="797"/>
        <v>0.35417118965545019</v>
      </c>
      <c r="AL326" s="425">
        <f t="shared" si="797"/>
        <v>0.35966400701108597</v>
      </c>
      <c r="AM326" s="425">
        <f t="shared" si="797"/>
        <v>0.36487643094001165</v>
      </c>
      <c r="AN326" s="425">
        <f t="shared" si="797"/>
        <v>0.36759294509302037</v>
      </c>
      <c r="AO326" s="425">
        <f t="shared" si="797"/>
        <v>0.36205664524275188</v>
      </c>
      <c r="AP326" s="425">
        <f t="shared" si="797"/>
        <v>0.24560926239019501</v>
      </c>
      <c r="AQ326" s="425">
        <f t="shared" si="797"/>
        <v>0.25112088633245372</v>
      </c>
      <c r="AR326" s="425">
        <f t="shared" si="797"/>
        <v>0.22888933734362338</v>
      </c>
      <c r="AS326" s="425">
        <f t="shared" si="797"/>
        <v>0.19831430146421195</v>
      </c>
      <c r="AT326" s="425">
        <f t="shared" si="797"/>
        <v>0.1942221334068007</v>
      </c>
      <c r="AU326" s="425">
        <f t="shared" si="797"/>
        <v>0.19992815840853967</v>
      </c>
      <c r="AV326" s="425">
        <f t="shared" si="797"/>
        <v>0.20531036487773852</v>
      </c>
      <c r="AW326" s="425">
        <f t="shared" si="797"/>
        <v>0.19922465451753707</v>
      </c>
      <c r="AX326" s="425">
        <f t="shared" si="797"/>
        <v>0.20417647333440617</v>
      </c>
      <c r="AY326" s="425">
        <f t="shared" si="797"/>
        <v>0.20885002203195077</v>
      </c>
      <c r="AZ326" s="425">
        <f t="shared" si="797"/>
        <v>0.21326158935893463</v>
      </c>
      <c r="BA326" s="425">
        <f t="shared" si="797"/>
        <v>0.17187269302521371</v>
      </c>
      <c r="BB326" s="425">
        <f t="shared" si="797"/>
        <v>0.17630966821540778</v>
      </c>
      <c r="BC326" s="425">
        <f t="shared" si="797"/>
        <v>0.18050249123200721</v>
      </c>
      <c r="BD326" s="425">
        <f t="shared" si="797"/>
        <v>0.18446568440613434</v>
      </c>
      <c r="BE326" s="425">
        <f t="shared" ref="BE326:CP326" si="798">+BE317/BE$90</f>
        <v>0.18821285325093523</v>
      </c>
      <c r="BF326" s="425">
        <f t="shared" si="798"/>
        <v>0.1917559426929285</v>
      </c>
      <c r="BG326" s="425">
        <f t="shared" si="798"/>
        <v>0.19510758446090004</v>
      </c>
      <c r="BH326" s="425">
        <f t="shared" si="798"/>
        <v>0.19827785551928603</v>
      </c>
      <c r="BI326" s="425">
        <f t="shared" si="798"/>
        <v>0.20127812909327214</v>
      </c>
      <c r="BJ326" s="425">
        <f t="shared" si="798"/>
        <v>0.20411731407902903</v>
      </c>
      <c r="BK326" s="425">
        <f t="shared" si="798"/>
        <v>0.20680521852036224</v>
      </c>
      <c r="BL326" s="425">
        <f t="shared" si="798"/>
        <v>0.20935016195503545</v>
      </c>
      <c r="BM326" s="425">
        <f t="shared" si="798"/>
        <v>0.21176022044176782</v>
      </c>
      <c r="BN326" s="425">
        <f t="shared" si="798"/>
        <v>0.21404288715712902</v>
      </c>
      <c r="BO326" s="425">
        <f t="shared" si="798"/>
        <v>0.2162053645140169</v>
      </c>
      <c r="BP326" s="425">
        <f t="shared" si="798"/>
        <v>0.21825433225192895</v>
      </c>
      <c r="BQ326" s="425">
        <f t="shared" si="798"/>
        <v>0.22019606262429647</v>
      </c>
      <c r="BR326" s="425">
        <f t="shared" si="798"/>
        <v>0.2220363010491492</v>
      </c>
      <c r="BS326" s="425">
        <f t="shared" si="798"/>
        <v>0.2167845887806093</v>
      </c>
      <c r="BT326" s="425">
        <f t="shared" si="798"/>
        <v>0.21211487477131208</v>
      </c>
      <c r="BU326" s="425">
        <f t="shared" si="798"/>
        <v>0.21374722639493385</v>
      </c>
      <c r="BV326" s="425">
        <f t="shared" si="798"/>
        <v>0.21529570460430192</v>
      </c>
      <c r="BW326" s="425">
        <f t="shared" si="798"/>
        <v>0.21676469962815254</v>
      </c>
      <c r="BX326" s="425">
        <f t="shared" si="798"/>
        <v>0.21815853722949294</v>
      </c>
      <c r="BY326" s="425">
        <f t="shared" si="798"/>
        <v>0.21948076470413158</v>
      </c>
      <c r="BZ326" s="425">
        <f t="shared" si="798"/>
        <v>0.22073554514478036</v>
      </c>
      <c r="CA326" s="425">
        <f t="shared" si="798"/>
        <v>0.22192610525594206</v>
      </c>
      <c r="CB326" s="425">
        <f t="shared" si="798"/>
        <v>0.22305602342559086</v>
      </c>
      <c r="CC326" s="425">
        <f t="shared" si="798"/>
        <v>0.2234984767026435</v>
      </c>
      <c r="CD326" s="425">
        <f t="shared" si="798"/>
        <v>0.21656897327342836</v>
      </c>
      <c r="CE326" s="425">
        <f t="shared" si="798"/>
        <v>0.21756172885433642</v>
      </c>
      <c r="CF326" s="425">
        <f t="shared" si="798"/>
        <v>0.21850372642935806</v>
      </c>
      <c r="CG326" s="425">
        <f t="shared" si="798"/>
        <v>0.21939755726974353</v>
      </c>
      <c r="CH326" s="425">
        <f t="shared" si="798"/>
        <v>0.13908331324706982</v>
      </c>
      <c r="CI326" s="425">
        <f t="shared" si="798"/>
        <v>0.14013962000970248</v>
      </c>
      <c r="CJ326" s="425">
        <f t="shared" si="798"/>
        <v>0.14114588751686202</v>
      </c>
      <c r="CK326" s="425">
        <f t="shared" si="798"/>
        <v>0.14210425721762704</v>
      </c>
      <c r="CL326" s="425">
        <f t="shared" si="798"/>
        <v>0.14301683136682833</v>
      </c>
      <c r="CM326" s="425">
        <f t="shared" si="798"/>
        <v>0.1438858645606467</v>
      </c>
      <c r="CN326" s="425">
        <f t="shared" si="798"/>
        <v>0.14471341489170964</v>
      </c>
      <c r="CO326" s="425">
        <f t="shared" si="798"/>
        <v>0.14550148683130462</v>
      </c>
      <c r="CP326" s="425">
        <f t="shared" si="798"/>
        <v>0.14139326702783886</v>
      </c>
      <c r="CQ326" s="23" t="s">
        <v>77</v>
      </c>
      <c r="DD326" s="8"/>
      <c r="DE326" s="8"/>
      <c r="DF326" s="8"/>
      <c r="DG326" s="8"/>
      <c r="DH326" s="8"/>
      <c r="DI326" s="8"/>
      <c r="DJ326" s="8"/>
      <c r="DK326" s="8"/>
    </row>
    <row r="327" spans="2:115" hidden="1" outlineLevel="1" x14ac:dyDescent="0.2">
      <c r="B327" s="475" t="s">
        <v>142</v>
      </c>
      <c r="K327" s="504">
        <f t="shared" ref="K327:BD327" si="799">+K$90/K323</f>
        <v>0.21139541160904463</v>
      </c>
      <c r="L327" s="505">
        <f t="shared" si="799"/>
        <v>0.19552975475027493</v>
      </c>
      <c r="M327" s="505">
        <f t="shared" si="799"/>
        <v>0.13623535700082734</v>
      </c>
      <c r="N327" s="505">
        <f t="shared" si="799"/>
        <v>0.19874186136357183</v>
      </c>
      <c r="O327" s="505">
        <f t="shared" si="799"/>
        <v>0.22980107360347232</v>
      </c>
      <c r="P327" s="505">
        <f t="shared" si="799"/>
        <v>0.23419077925136297</v>
      </c>
      <c r="Q327" s="505">
        <f t="shared" si="799"/>
        <v>0.2431709544180102</v>
      </c>
      <c r="R327" s="505">
        <f t="shared" si="799"/>
        <v>0.25402656225825665</v>
      </c>
      <c r="S327" s="505">
        <f t="shared" si="799"/>
        <v>0.19206404535141774</v>
      </c>
      <c r="T327" s="505">
        <f t="shared" si="799"/>
        <v>0.19864899439795361</v>
      </c>
      <c r="U327" s="505">
        <f t="shared" si="799"/>
        <v>0.11921309680115889</v>
      </c>
      <c r="V327" s="505">
        <f t="shared" si="799"/>
        <v>0.15208645913146257</v>
      </c>
      <c r="W327" s="505">
        <f t="shared" si="799"/>
        <v>0.17218218767489879</v>
      </c>
      <c r="X327" s="505">
        <f t="shared" si="799"/>
        <v>0.17249972256250054</v>
      </c>
      <c r="Y327" s="505">
        <f t="shared" si="799"/>
        <v>0.18079311501496906</v>
      </c>
      <c r="Z327" s="505">
        <f t="shared" si="799"/>
        <v>0.19410404228606087</v>
      </c>
      <c r="AA327" s="505">
        <f t="shared" si="799"/>
        <v>0.198206429356966</v>
      </c>
      <c r="AB327" s="505">
        <f t="shared" si="799"/>
        <v>0.20826766758309997</v>
      </c>
      <c r="AC327" s="505">
        <f t="shared" si="799"/>
        <v>0.21943644962546605</v>
      </c>
      <c r="AD327" s="505">
        <f t="shared" si="799"/>
        <v>0.23175617699930018</v>
      </c>
      <c r="AE327" s="505">
        <f t="shared" si="799"/>
        <v>0.2436164762336081</v>
      </c>
      <c r="AF327" s="505">
        <f t="shared" si="799"/>
        <v>0.2525423741432406</v>
      </c>
      <c r="AG327" s="505">
        <f t="shared" si="799"/>
        <v>0.26488295423206859</v>
      </c>
      <c r="AH327" s="505">
        <f t="shared" si="799"/>
        <v>0.2796572397307957</v>
      </c>
      <c r="AI327" s="505">
        <f t="shared" si="799"/>
        <v>0.27905492453328851</v>
      </c>
      <c r="AJ327" s="505">
        <f t="shared" si="799"/>
        <v>0.27788731041910431</v>
      </c>
      <c r="AK327" s="505">
        <f t="shared" si="799"/>
        <v>0.2886692769992385</v>
      </c>
      <c r="AL327" s="505">
        <f t="shared" si="799"/>
        <v>0.30461281994546424</v>
      </c>
      <c r="AM327" s="505">
        <f t="shared" si="799"/>
        <v>0.32143282271685164</v>
      </c>
      <c r="AN327" s="505">
        <f t="shared" si="799"/>
        <v>0.33764639048068223</v>
      </c>
      <c r="AO327" s="505">
        <f t="shared" si="799"/>
        <v>0.34885747538722733</v>
      </c>
      <c r="AP327" s="505">
        <f t="shared" si="799"/>
        <v>0.29429874733707451</v>
      </c>
      <c r="AQ327" s="505">
        <f t="shared" si="799"/>
        <v>0.31073817996914638</v>
      </c>
      <c r="AR327" s="505">
        <f t="shared" si="799"/>
        <v>0.30776217810825979</v>
      </c>
      <c r="AS327" s="505">
        <f t="shared" si="799"/>
        <v>0.29839215475850733</v>
      </c>
      <c r="AT327" s="505">
        <f t="shared" si="799"/>
        <v>0.30898045711288447</v>
      </c>
      <c r="AU327" s="505">
        <f t="shared" si="799"/>
        <v>0.32672245408381129</v>
      </c>
      <c r="AV327" s="505">
        <f t="shared" si="799"/>
        <v>0.3455111106653132</v>
      </c>
      <c r="AW327" s="505">
        <f t="shared" si="799"/>
        <v>0.35362875579594927</v>
      </c>
      <c r="AX327" s="505">
        <f t="shared" si="799"/>
        <v>0.37403561593019308</v>
      </c>
      <c r="AY327" s="505">
        <f t="shared" si="799"/>
        <v>0.39567236896186309</v>
      </c>
      <c r="AZ327" s="505">
        <f t="shared" si="799"/>
        <v>0.41862400819545265</v>
      </c>
      <c r="BA327" s="505">
        <f t="shared" si="799"/>
        <v>0.39399805308172881</v>
      </c>
      <c r="BB327" s="505">
        <f t="shared" si="799"/>
        <v>0.41697915764393306</v>
      </c>
      <c r="BC327" s="505">
        <f t="shared" si="799"/>
        <v>0.44139750107269082</v>
      </c>
      <c r="BD327" s="505">
        <f t="shared" si="799"/>
        <v>0.4673601925964217</v>
      </c>
      <c r="BE327" s="505">
        <f t="shared" ref="BE327:CP327" si="800">+BE$90/BE323</f>
        <v>0.49498458804069323</v>
      </c>
      <c r="BF327" s="505">
        <f t="shared" si="800"/>
        <v>0.52439867464647116</v>
      </c>
      <c r="BG327" s="505">
        <f t="shared" si="800"/>
        <v>0.55574485182069877</v>
      </c>
      <c r="BH327" s="505">
        <f t="shared" si="800"/>
        <v>0.58917808336330868</v>
      </c>
      <c r="BI327" s="505">
        <f t="shared" si="800"/>
        <v>0.62487208131915561</v>
      </c>
      <c r="BJ327" s="505">
        <f t="shared" si="800"/>
        <v>0.66301703057810568</v>
      </c>
      <c r="BK327" s="505">
        <f t="shared" si="800"/>
        <v>0.70382633317823484</v>
      </c>
      <c r="BL327" s="505">
        <f t="shared" si="800"/>
        <v>0.7475364794876459</v>
      </c>
      <c r="BM327" s="505">
        <f t="shared" si="800"/>
        <v>0.79441221196788647</v>
      </c>
      <c r="BN327" s="505">
        <f t="shared" si="800"/>
        <v>0.84475019861115663</v>
      </c>
      <c r="BO327" s="505">
        <f t="shared" si="800"/>
        <v>0.89888447420705453</v>
      </c>
      <c r="BP327" s="505">
        <f t="shared" si="800"/>
        <v>0.95719195371481214</v>
      </c>
      <c r="BQ327" s="505">
        <f t="shared" si="800"/>
        <v>1.0200996999809329</v>
      </c>
      <c r="BR327" s="505">
        <f t="shared" si="800"/>
        <v>1.0880931691166551</v>
      </c>
      <c r="BS327" s="505">
        <f t="shared" si="800"/>
        <v>1.1396368905679941</v>
      </c>
      <c r="BT327" s="505">
        <f t="shared" si="800"/>
        <v>1.1981829190842239</v>
      </c>
      <c r="BU327" s="505">
        <f t="shared" si="800"/>
        <v>1.2820517303058205</v>
      </c>
      <c r="BV327" s="505">
        <f t="shared" si="800"/>
        <v>1.3735072616995745</v>
      </c>
      <c r="BW327" s="505">
        <f t="shared" si="800"/>
        <v>1.4735064824363324</v>
      </c>
      <c r="BX327" s="505">
        <f t="shared" si="800"/>
        <v>1.583172260644323</v>
      </c>
      <c r="BY327" s="505">
        <f t="shared" si="800"/>
        <v>1.7038280974487665</v>
      </c>
      <c r="BZ327" s="505">
        <f t="shared" si="800"/>
        <v>1.837050593917269</v>
      </c>
      <c r="CA327" s="505">
        <f t="shared" si="800"/>
        <v>1.9847257743321787</v>
      </c>
      <c r="CB327" s="505">
        <f t="shared" si="800"/>
        <v>2.1491350548412056</v>
      </c>
      <c r="CC327" s="505">
        <f t="shared" si="800"/>
        <v>2.3285703268376428</v>
      </c>
      <c r="CD327" s="505">
        <f t="shared" si="800"/>
        <v>2.4824594271460327</v>
      </c>
      <c r="CE327" s="505">
        <f t="shared" si="800"/>
        <v>2.7112300705912697</v>
      </c>
      <c r="CF327" s="505">
        <f t="shared" si="800"/>
        <v>2.971870222226876</v>
      </c>
      <c r="CG327" s="505">
        <f t="shared" si="800"/>
        <v>3.2711368277404875</v>
      </c>
      <c r="CH327" s="505">
        <f t="shared" si="800"/>
        <v>2.9342361673663855</v>
      </c>
      <c r="CI327" s="505">
        <f t="shared" si="800"/>
        <v>3.2632438344605528</v>
      </c>
      <c r="CJ327" s="505">
        <f t="shared" si="800"/>
        <v>3.653015849541009</v>
      </c>
      <c r="CK327" s="505">
        <f t="shared" si="800"/>
        <v>4.1214145704578806</v>
      </c>
      <c r="CL327" s="505">
        <f t="shared" si="800"/>
        <v>4.6940436123259142</v>
      </c>
      <c r="CM327" s="505">
        <f t="shared" si="800"/>
        <v>5.408951743343156</v>
      </c>
      <c r="CN327" s="505">
        <f t="shared" si="800"/>
        <v>6.3252332832825626</v>
      </c>
      <c r="CO327" s="505">
        <f t="shared" si="800"/>
        <v>7.5399147699261002</v>
      </c>
      <c r="CP327" s="505">
        <f t="shared" si="800"/>
        <v>9.116854740986831</v>
      </c>
      <c r="CQ327" s="23" t="s">
        <v>77</v>
      </c>
      <c r="DD327" s="8"/>
      <c r="DE327" s="8"/>
      <c r="DF327" s="8"/>
      <c r="DG327" s="8"/>
      <c r="DH327" s="8"/>
      <c r="DI327" s="8"/>
      <c r="DJ327" s="8"/>
      <c r="DK327" s="8"/>
    </row>
    <row r="328" spans="2:115" collapsed="1" x14ac:dyDescent="0.2">
      <c r="CQ328" s="23" t="s">
        <v>77</v>
      </c>
      <c r="DD328" s="8"/>
      <c r="DE328" s="8"/>
      <c r="DF328" s="8"/>
      <c r="DG328" s="8"/>
      <c r="DH328" s="8"/>
      <c r="DI328" s="8"/>
      <c r="DJ328" s="8"/>
      <c r="DK328" s="8"/>
    </row>
    <row r="329" spans="2:115" s="233" customFormat="1" x14ac:dyDescent="0.2">
      <c r="B329" s="728" t="s">
        <v>115</v>
      </c>
      <c r="C329" s="312"/>
      <c r="D329" s="308"/>
      <c r="E329" s="308"/>
      <c r="F329" s="312"/>
      <c r="G329" s="312"/>
      <c r="H329" s="312"/>
      <c r="I329" s="312"/>
      <c r="J329" s="312"/>
      <c r="K329" s="312">
        <f t="shared" ref="K329:BV329" si="801">Fiscal_Year</f>
        <v>38533</v>
      </c>
      <c r="L329" s="312">
        <f t="shared" si="801"/>
        <v>38898</v>
      </c>
      <c r="M329" s="312">
        <f t="shared" si="801"/>
        <v>39263</v>
      </c>
      <c r="N329" s="312">
        <f t="shared" si="801"/>
        <v>39629</v>
      </c>
      <c r="O329" s="312">
        <f t="shared" si="801"/>
        <v>39994</v>
      </c>
      <c r="P329" s="312">
        <f t="shared" si="801"/>
        <v>40359</v>
      </c>
      <c r="Q329" s="312">
        <f t="shared" si="801"/>
        <v>40724</v>
      </c>
      <c r="R329" s="312">
        <f t="shared" si="801"/>
        <v>41090</v>
      </c>
      <c r="S329" s="312">
        <f t="shared" si="801"/>
        <v>41455</v>
      </c>
      <c r="T329" s="312">
        <f t="shared" si="801"/>
        <v>41820</v>
      </c>
      <c r="U329" s="312">
        <f t="shared" si="801"/>
        <v>42185</v>
      </c>
      <c r="V329" s="312">
        <f t="shared" si="801"/>
        <v>42551</v>
      </c>
      <c r="W329" s="312">
        <f t="shared" si="801"/>
        <v>42916</v>
      </c>
      <c r="X329" s="312">
        <f t="shared" si="801"/>
        <v>43281</v>
      </c>
      <c r="Y329" s="312">
        <f t="shared" si="801"/>
        <v>43646</v>
      </c>
      <c r="Z329" s="312">
        <f t="shared" si="801"/>
        <v>44012</v>
      </c>
      <c r="AA329" s="312">
        <f t="shared" si="801"/>
        <v>44377</v>
      </c>
      <c r="AB329" s="312">
        <f t="shared" si="801"/>
        <v>44742</v>
      </c>
      <c r="AC329" s="312">
        <f t="shared" si="801"/>
        <v>45107</v>
      </c>
      <c r="AD329" s="312">
        <f t="shared" si="801"/>
        <v>45473</v>
      </c>
      <c r="AE329" s="312">
        <f t="shared" si="801"/>
        <v>45838</v>
      </c>
      <c r="AF329" s="312">
        <f t="shared" si="801"/>
        <v>46203</v>
      </c>
      <c r="AG329" s="312">
        <f t="shared" si="801"/>
        <v>46568</v>
      </c>
      <c r="AH329" s="312">
        <f t="shared" si="801"/>
        <v>46934</v>
      </c>
      <c r="AI329" s="312">
        <f t="shared" si="801"/>
        <v>47299</v>
      </c>
      <c r="AJ329" s="312">
        <f t="shared" si="801"/>
        <v>47664</v>
      </c>
      <c r="AK329" s="312">
        <f t="shared" si="801"/>
        <v>48029</v>
      </c>
      <c r="AL329" s="312">
        <f t="shared" si="801"/>
        <v>48395</v>
      </c>
      <c r="AM329" s="312">
        <f t="shared" si="801"/>
        <v>48760</v>
      </c>
      <c r="AN329" s="312">
        <f t="shared" si="801"/>
        <v>49125</v>
      </c>
      <c r="AO329" s="312">
        <f t="shared" si="801"/>
        <v>49490</v>
      </c>
      <c r="AP329" s="312">
        <f t="shared" si="801"/>
        <v>49856</v>
      </c>
      <c r="AQ329" s="312">
        <f t="shared" si="801"/>
        <v>50221</v>
      </c>
      <c r="AR329" s="312">
        <f t="shared" si="801"/>
        <v>50586</v>
      </c>
      <c r="AS329" s="312">
        <f t="shared" si="801"/>
        <v>50951</v>
      </c>
      <c r="AT329" s="312">
        <f t="shared" si="801"/>
        <v>51317</v>
      </c>
      <c r="AU329" s="312">
        <f t="shared" si="801"/>
        <v>51682</v>
      </c>
      <c r="AV329" s="312">
        <f t="shared" si="801"/>
        <v>52047</v>
      </c>
      <c r="AW329" s="312">
        <f t="shared" si="801"/>
        <v>52412</v>
      </c>
      <c r="AX329" s="312">
        <f t="shared" si="801"/>
        <v>52778</v>
      </c>
      <c r="AY329" s="312">
        <f t="shared" si="801"/>
        <v>53143</v>
      </c>
      <c r="AZ329" s="312">
        <f t="shared" si="801"/>
        <v>53508</v>
      </c>
      <c r="BA329" s="312">
        <f t="shared" si="801"/>
        <v>53873</v>
      </c>
      <c r="BB329" s="312">
        <f t="shared" si="801"/>
        <v>54239</v>
      </c>
      <c r="BC329" s="312">
        <f t="shared" si="801"/>
        <v>54604</v>
      </c>
      <c r="BD329" s="312">
        <f t="shared" si="801"/>
        <v>54969</v>
      </c>
      <c r="BE329" s="312">
        <f t="shared" si="801"/>
        <v>55334</v>
      </c>
      <c r="BF329" s="312">
        <f t="shared" si="801"/>
        <v>55700</v>
      </c>
      <c r="BG329" s="312">
        <f t="shared" si="801"/>
        <v>56065</v>
      </c>
      <c r="BH329" s="312">
        <f t="shared" si="801"/>
        <v>56430</v>
      </c>
      <c r="BI329" s="312">
        <f t="shared" si="801"/>
        <v>56795</v>
      </c>
      <c r="BJ329" s="312">
        <f t="shared" si="801"/>
        <v>57161</v>
      </c>
      <c r="BK329" s="312">
        <f t="shared" si="801"/>
        <v>57526</v>
      </c>
      <c r="BL329" s="312">
        <f t="shared" si="801"/>
        <v>57891</v>
      </c>
      <c r="BM329" s="312">
        <f t="shared" si="801"/>
        <v>58256</v>
      </c>
      <c r="BN329" s="312">
        <f t="shared" si="801"/>
        <v>58622</v>
      </c>
      <c r="BO329" s="312">
        <f t="shared" si="801"/>
        <v>58987</v>
      </c>
      <c r="BP329" s="312">
        <f t="shared" si="801"/>
        <v>59352</v>
      </c>
      <c r="BQ329" s="312">
        <f t="shared" si="801"/>
        <v>59717</v>
      </c>
      <c r="BR329" s="312">
        <f t="shared" si="801"/>
        <v>60083</v>
      </c>
      <c r="BS329" s="312">
        <f t="shared" si="801"/>
        <v>60448</v>
      </c>
      <c r="BT329" s="312">
        <f t="shared" si="801"/>
        <v>60813</v>
      </c>
      <c r="BU329" s="312">
        <f t="shared" si="801"/>
        <v>61178</v>
      </c>
      <c r="BV329" s="312">
        <f t="shared" si="801"/>
        <v>61544</v>
      </c>
      <c r="BW329" s="312">
        <f t="shared" ref="BW329:CP329" si="802">Fiscal_Year</f>
        <v>61909</v>
      </c>
      <c r="BX329" s="312">
        <f t="shared" si="802"/>
        <v>62274</v>
      </c>
      <c r="BY329" s="312">
        <f t="shared" si="802"/>
        <v>62639</v>
      </c>
      <c r="BZ329" s="312">
        <f t="shared" si="802"/>
        <v>63005</v>
      </c>
      <c r="CA329" s="312">
        <f t="shared" si="802"/>
        <v>63370</v>
      </c>
      <c r="CB329" s="312">
        <f t="shared" si="802"/>
        <v>63735</v>
      </c>
      <c r="CC329" s="312">
        <f t="shared" si="802"/>
        <v>64100</v>
      </c>
      <c r="CD329" s="312">
        <f t="shared" si="802"/>
        <v>64466</v>
      </c>
      <c r="CE329" s="312">
        <f t="shared" si="802"/>
        <v>64831</v>
      </c>
      <c r="CF329" s="312">
        <f t="shared" si="802"/>
        <v>65196</v>
      </c>
      <c r="CG329" s="312">
        <f t="shared" si="802"/>
        <v>65561</v>
      </c>
      <c r="CH329" s="312">
        <f t="shared" si="802"/>
        <v>65927</v>
      </c>
      <c r="CI329" s="312">
        <f t="shared" si="802"/>
        <v>66292</v>
      </c>
      <c r="CJ329" s="312">
        <f t="shared" si="802"/>
        <v>66657</v>
      </c>
      <c r="CK329" s="312">
        <f t="shared" si="802"/>
        <v>67022</v>
      </c>
      <c r="CL329" s="312">
        <f t="shared" si="802"/>
        <v>67388</v>
      </c>
      <c r="CM329" s="312">
        <f t="shared" si="802"/>
        <v>67753</v>
      </c>
      <c r="CN329" s="312">
        <f t="shared" si="802"/>
        <v>68118</v>
      </c>
      <c r="CO329" s="312">
        <f t="shared" si="802"/>
        <v>68483</v>
      </c>
      <c r="CP329" s="312">
        <f t="shared" si="802"/>
        <v>68849</v>
      </c>
      <c r="CQ329" s="23" t="s">
        <v>77</v>
      </c>
      <c r="CU329"/>
      <c r="CV329"/>
      <c r="CW329"/>
      <c r="CX329"/>
      <c r="CY329"/>
      <c r="CZ329"/>
      <c r="DB329" s="8"/>
      <c r="DC329" s="8"/>
      <c r="DD329" s="8"/>
      <c r="DE329" s="8"/>
      <c r="DF329" s="8"/>
      <c r="DG329" s="8"/>
      <c r="DH329" s="8"/>
      <c r="DI329" s="8"/>
      <c r="DJ329" s="8"/>
      <c r="DK329" s="8"/>
    </row>
    <row r="330" spans="2:115" ht="5.0999999999999996" customHeight="1" x14ac:dyDescent="0.2">
      <c r="B330" s="107"/>
      <c r="D330" s="108"/>
      <c r="E330" s="108"/>
      <c r="F330" s="108"/>
      <c r="G330" s="108"/>
      <c r="H330" s="108"/>
      <c r="I330" s="108"/>
      <c r="J330" s="108"/>
      <c r="K330" s="108"/>
      <c r="L330" s="108"/>
      <c r="M330" s="108"/>
      <c r="N330" s="108"/>
      <c r="O330" s="108"/>
      <c r="P330" s="108"/>
      <c r="Q330" s="108"/>
      <c r="R330" s="108"/>
      <c r="S330" s="108"/>
      <c r="T330" s="108"/>
      <c r="U330" s="108"/>
      <c r="V330" s="108"/>
      <c r="W330" s="108"/>
      <c r="X330" s="108"/>
      <c r="Y330" s="108"/>
      <c r="Z330" s="108"/>
      <c r="AA330" s="108"/>
      <c r="AB330" s="108"/>
      <c r="AC330" s="108"/>
      <c r="AD330" s="108"/>
      <c r="AE330" s="108"/>
      <c r="AF330" s="108"/>
      <c r="AG330" s="108"/>
      <c r="AH330" s="108"/>
      <c r="AI330" s="108"/>
      <c r="AJ330" s="108"/>
      <c r="AK330" s="108"/>
      <c r="AL330" s="108"/>
      <c r="AM330" s="108"/>
      <c r="AN330" s="108"/>
      <c r="AO330" s="108"/>
      <c r="AP330" s="108"/>
      <c r="AQ330" s="108"/>
      <c r="AR330" s="108"/>
      <c r="AS330" s="108"/>
      <c r="AT330" s="108"/>
      <c r="AU330" s="108"/>
      <c r="AV330" s="108"/>
      <c r="AW330" s="108"/>
      <c r="AX330" s="108"/>
      <c r="AY330" s="108"/>
      <c r="AZ330" s="108"/>
      <c r="BA330" s="108"/>
      <c r="BB330" s="108"/>
      <c r="BC330" s="108"/>
      <c r="BD330" s="108"/>
      <c r="BE330" s="108"/>
      <c r="BF330" s="108"/>
      <c r="BG330" s="108"/>
      <c r="BH330" s="108"/>
      <c r="BI330" s="108"/>
      <c r="BJ330" s="108"/>
      <c r="BK330" s="108"/>
      <c r="BL330" s="108"/>
      <c r="BM330" s="108"/>
      <c r="BN330" s="108"/>
      <c r="BO330" s="108"/>
      <c r="BP330" s="108"/>
      <c r="BQ330" s="108"/>
      <c r="BR330" s="108"/>
      <c r="BS330" s="108"/>
      <c r="BT330" s="108"/>
      <c r="BU330" s="108"/>
      <c r="BV330" s="108"/>
      <c r="BW330" s="108"/>
      <c r="BX330" s="108"/>
      <c r="BY330" s="108"/>
      <c r="BZ330" s="108"/>
      <c r="CA330" s="108"/>
      <c r="CB330" s="108"/>
      <c r="CC330" s="108"/>
      <c r="CD330" s="108"/>
      <c r="CE330" s="108"/>
      <c r="CF330" s="108"/>
      <c r="CG330" s="108"/>
      <c r="CH330" s="108"/>
      <c r="CI330" s="108"/>
      <c r="CJ330" s="108"/>
      <c r="CK330" s="108"/>
      <c r="CL330" s="108"/>
      <c r="CM330" s="108"/>
      <c r="CN330" s="108"/>
      <c r="CO330" s="108"/>
      <c r="CP330" s="108"/>
      <c r="CQ330" s="23" t="s">
        <v>77</v>
      </c>
      <c r="DD330" s="8"/>
      <c r="DE330" s="8"/>
      <c r="DF330" s="8"/>
      <c r="DG330" s="8"/>
      <c r="DH330" s="8"/>
      <c r="DI330" s="8"/>
      <c r="DJ330" s="8"/>
      <c r="DK330" s="8"/>
    </row>
    <row r="331" spans="2:115" ht="11.25" hidden="1" customHeight="1" outlineLevel="1" x14ac:dyDescent="0.2">
      <c r="B331" s="506" t="s">
        <v>128</v>
      </c>
      <c r="C331" s="475"/>
      <c r="D331" s="64"/>
      <c r="E331" s="64"/>
      <c r="F331" s="64"/>
      <c r="G331" s="64"/>
      <c r="H331" s="64"/>
      <c r="I331" s="64"/>
      <c r="J331" s="64"/>
      <c r="K331" s="64">
        <f t="shared" ref="K331:BD331" si="803">+J288+J289+J290</f>
        <v>0</v>
      </c>
      <c r="L331" s="64">
        <f t="shared" si="803"/>
        <v>613.68399999999997</v>
      </c>
      <c r="M331" s="64">
        <f t="shared" si="803"/>
        <v>591.35900000000004</v>
      </c>
      <c r="N331" s="64">
        <f t="shared" si="803"/>
        <v>1160.702</v>
      </c>
      <c r="O331" s="64">
        <f t="shared" si="803"/>
        <v>1250.1189999999999</v>
      </c>
      <c r="P331" s="64">
        <f t="shared" si="803"/>
        <v>1278.3739999999998</v>
      </c>
      <c r="Q331" s="64">
        <f t="shared" si="803"/>
        <v>1395.0129999999999</v>
      </c>
      <c r="R331" s="64">
        <f t="shared" si="803"/>
        <v>1667.5619999999999</v>
      </c>
      <c r="S331" s="64">
        <f t="shared" si="803"/>
        <v>1613.9929999999999</v>
      </c>
      <c r="T331" s="60">
        <f t="shared" si="803"/>
        <v>2512.2610000000004</v>
      </c>
      <c r="U331" s="60">
        <f t="shared" si="803"/>
        <v>2496.4380000000001</v>
      </c>
      <c r="V331" s="60">
        <f t="shared" si="803"/>
        <v>4382.598</v>
      </c>
      <c r="W331" s="60">
        <f t="shared" si="803"/>
        <v>4029.058</v>
      </c>
      <c r="X331" s="60">
        <f t="shared" si="803"/>
        <v>3978.13</v>
      </c>
      <c r="Y331" s="60">
        <f t="shared" si="803"/>
        <v>4279.576571904945</v>
      </c>
      <c r="Z331" s="60">
        <f t="shared" si="803"/>
        <v>4045.2652083970438</v>
      </c>
      <c r="AA331" s="60">
        <f t="shared" si="803"/>
        <v>3825.1473252582978</v>
      </c>
      <c r="AB331" s="60">
        <f t="shared" si="803"/>
        <v>3584.3618694842844</v>
      </c>
      <c r="AC331" s="60">
        <f t="shared" si="803"/>
        <v>3331.5898441855225</v>
      </c>
      <c r="AD331" s="60">
        <f t="shared" si="803"/>
        <v>3116.3129275129713</v>
      </c>
      <c r="AE331" s="60">
        <f t="shared" si="803"/>
        <v>2939.7553826875983</v>
      </c>
      <c r="AF331" s="60">
        <f t="shared" si="803"/>
        <v>2794.6313723453336</v>
      </c>
      <c r="AG331" s="60">
        <f t="shared" si="803"/>
        <v>2666.1526590221852</v>
      </c>
      <c r="AH331" s="60">
        <f t="shared" si="803"/>
        <v>2546.0659717224689</v>
      </c>
      <c r="AI331" s="60">
        <f t="shared" si="803"/>
        <v>2454.4758362627504</v>
      </c>
      <c r="AJ331" s="60">
        <f t="shared" si="803"/>
        <v>2298.8058261563001</v>
      </c>
      <c r="AK331" s="60">
        <f t="shared" si="803"/>
        <v>2103.6216612039825</v>
      </c>
      <c r="AL331" s="60">
        <f t="shared" si="803"/>
        <v>1906.8570295333238</v>
      </c>
      <c r="AM331" s="60">
        <f t="shared" si="803"/>
        <v>1738.3236568263642</v>
      </c>
      <c r="AN331" s="60">
        <f t="shared" si="803"/>
        <v>1597.2599728605455</v>
      </c>
      <c r="AO331" s="60">
        <f t="shared" si="803"/>
        <v>1475.3549413631631</v>
      </c>
      <c r="AP331" s="60">
        <f t="shared" si="803"/>
        <v>1351.6790095918855</v>
      </c>
      <c r="AQ331" s="60">
        <f t="shared" si="803"/>
        <v>877.27122963194279</v>
      </c>
      <c r="AR331" s="60">
        <f t="shared" si="803"/>
        <v>426.38073442999485</v>
      </c>
      <c r="AS331" s="60">
        <f t="shared" si="803"/>
        <v>-78.895208810381519</v>
      </c>
      <c r="AT331" s="60">
        <f t="shared" si="803"/>
        <v>-658.42177197426645</v>
      </c>
      <c r="AU331" s="60">
        <f t="shared" si="803"/>
        <v>-1243.1824874849326</v>
      </c>
      <c r="AV331" s="60">
        <f t="shared" si="803"/>
        <v>-1809.9748365342903</v>
      </c>
      <c r="AW331" s="60">
        <f t="shared" si="803"/>
        <v>-2367.4515262555324</v>
      </c>
      <c r="AX331" s="60">
        <f t="shared" si="803"/>
        <v>-2944.4030321572936</v>
      </c>
      <c r="AY331" s="60">
        <f t="shared" si="803"/>
        <v>-3510.4989109011412</v>
      </c>
      <c r="AZ331" s="60">
        <f t="shared" si="803"/>
        <v>-4065.5366090850939</v>
      </c>
      <c r="BA331" s="60">
        <f t="shared" si="803"/>
        <v>-4609.295856595073</v>
      </c>
      <c r="BB331" s="60">
        <f t="shared" si="803"/>
        <v>-5263.0829420625387</v>
      </c>
      <c r="BC331" s="60">
        <f t="shared" si="803"/>
        <v>-5909.5554605882653</v>
      </c>
      <c r="BD331" s="60">
        <f t="shared" si="803"/>
        <v>-6548.5099445287988</v>
      </c>
      <c r="BE331" s="60">
        <f t="shared" ref="BE331:CP331" si="804">+BD288+BD289+BD290</f>
        <v>-7179.726297539074</v>
      </c>
      <c r="BF331" s="60">
        <f t="shared" si="804"/>
        <v>-7802.9678954190449</v>
      </c>
      <c r="BG331" s="60">
        <f t="shared" si="804"/>
        <v>-8417.9837708623709</v>
      </c>
      <c r="BH331" s="60">
        <f t="shared" si="804"/>
        <v>-9024.504948943315</v>
      </c>
      <c r="BI331" s="60">
        <f t="shared" si="804"/>
        <v>-9622.2492673626584</v>
      </c>
      <c r="BJ331" s="60">
        <f t="shared" si="804"/>
        <v>-10210.916107407731</v>
      </c>
      <c r="BK331" s="60">
        <f t="shared" si="804"/>
        <v>-10790.191412488301</v>
      </c>
      <c r="BL331" s="60">
        <f t="shared" si="804"/>
        <v>-11359.743461413822</v>
      </c>
      <c r="BM331" s="60">
        <f t="shared" si="804"/>
        <v>-11919.225483274426</v>
      </c>
      <c r="BN331" s="60">
        <f t="shared" si="804"/>
        <v>-12468.274819043745</v>
      </c>
      <c r="BO331" s="60">
        <f t="shared" si="804"/>
        <v>-13006.513160472172</v>
      </c>
      <c r="BP331" s="60">
        <f t="shared" si="804"/>
        <v>-13533.545934246107</v>
      </c>
      <c r="BQ331" s="60">
        <f t="shared" si="804"/>
        <v>-14048.962493205749</v>
      </c>
      <c r="BR331" s="60">
        <f t="shared" si="804"/>
        <v>-14552.336023577423</v>
      </c>
      <c r="BS331" s="60">
        <f t="shared" si="804"/>
        <v>-15043.496616232293</v>
      </c>
      <c r="BT331" s="60">
        <f t="shared" si="804"/>
        <v>-15550.211977885243</v>
      </c>
      <c r="BU331" s="60">
        <f t="shared" si="804"/>
        <v>-16069.827620745753</v>
      </c>
      <c r="BV331" s="60">
        <f t="shared" si="804"/>
        <v>-16577.80803211276</v>
      </c>
      <c r="BW331" s="60">
        <f t="shared" si="804"/>
        <v>-17073.728063296243</v>
      </c>
      <c r="BX331" s="60">
        <f t="shared" si="804"/>
        <v>-17557.148274934436</v>
      </c>
      <c r="BY331" s="60">
        <f t="shared" si="804"/>
        <v>-18027.614031558194</v>
      </c>
      <c r="BZ331" s="60">
        <f t="shared" si="804"/>
        <v>-18484.657504852941</v>
      </c>
      <c r="CA331" s="60">
        <f t="shared" si="804"/>
        <v>-18927.794095534082</v>
      </c>
      <c r="CB331" s="60">
        <f t="shared" si="804"/>
        <v>-19356.52519527603</v>
      </c>
      <c r="CC331" s="60">
        <f t="shared" si="804"/>
        <v>-19770.335646200168</v>
      </c>
      <c r="CD331" s="60">
        <f t="shared" si="804"/>
        <v>-20171.966019748997</v>
      </c>
      <c r="CE331" s="60">
        <f t="shared" si="804"/>
        <v>-20596.938337279684</v>
      </c>
      <c r="CF331" s="60">
        <f t="shared" si="804"/>
        <v>-21006.848089679228</v>
      </c>
      <c r="CG331" s="60">
        <f t="shared" si="804"/>
        <v>-21401.152071534183</v>
      </c>
      <c r="CH331" s="60">
        <f t="shared" si="804"/>
        <v>-21779.291139019824</v>
      </c>
      <c r="CI331" s="60">
        <f t="shared" si="804"/>
        <v>-22504.804468800092</v>
      </c>
      <c r="CJ331" s="60">
        <f t="shared" si="804"/>
        <v>-23226.153582863313</v>
      </c>
      <c r="CK331" s="60">
        <f t="shared" si="804"/>
        <v>-23942.997577483125</v>
      </c>
      <c r="CL331" s="60">
        <f t="shared" si="804"/>
        <v>-24654.985552883685</v>
      </c>
      <c r="CM331" s="60">
        <f t="shared" si="804"/>
        <v>-25361.756212989956</v>
      </c>
      <c r="CN331" s="60">
        <f t="shared" si="804"/>
        <v>-26062.936694003471</v>
      </c>
      <c r="CO331" s="60">
        <f t="shared" si="804"/>
        <v>-26758.14266820527</v>
      </c>
      <c r="CP331" s="60">
        <f t="shared" si="804"/>
        <v>-27446.977921900067</v>
      </c>
      <c r="CQ331" s="23" t="s">
        <v>77</v>
      </c>
      <c r="DD331" s="8"/>
      <c r="DE331" s="8"/>
      <c r="DF331" s="8"/>
      <c r="DG331" s="8"/>
      <c r="DH331" s="8"/>
      <c r="DI331" s="8"/>
      <c r="DJ331" s="8"/>
      <c r="DK331" s="8"/>
    </row>
    <row r="332" spans="2:115" ht="11.25" hidden="1" customHeight="1" outlineLevel="1" x14ac:dyDescent="0.2">
      <c r="B332" s="506" t="s">
        <v>129</v>
      </c>
      <c r="C332" s="475"/>
      <c r="D332" s="64"/>
      <c r="E332" s="64"/>
      <c r="F332" s="64"/>
      <c r="G332" s="64"/>
      <c r="H332" s="64"/>
      <c r="I332" s="64"/>
      <c r="J332" s="64"/>
      <c r="K332" s="64">
        <f t="shared" ref="K332:BD332" si="805">+K288+K289+K290</f>
        <v>613.68399999999997</v>
      </c>
      <c r="L332" s="64">
        <f t="shared" si="805"/>
        <v>591.35900000000004</v>
      </c>
      <c r="M332" s="64">
        <f t="shared" si="805"/>
        <v>1160.702</v>
      </c>
      <c r="N332" s="64">
        <f t="shared" si="805"/>
        <v>1250.1189999999999</v>
      </c>
      <c r="O332" s="64">
        <f t="shared" si="805"/>
        <v>1278.3739999999998</v>
      </c>
      <c r="P332" s="64">
        <f t="shared" si="805"/>
        <v>1395.0129999999999</v>
      </c>
      <c r="Q332" s="64">
        <f t="shared" si="805"/>
        <v>1667.5619999999999</v>
      </c>
      <c r="R332" s="64">
        <f t="shared" si="805"/>
        <v>1613.9929999999999</v>
      </c>
      <c r="S332" s="64">
        <f t="shared" si="805"/>
        <v>2512.2610000000004</v>
      </c>
      <c r="T332" s="60">
        <f t="shared" si="805"/>
        <v>2496.4380000000001</v>
      </c>
      <c r="U332" s="60">
        <f t="shared" si="805"/>
        <v>4382.598</v>
      </c>
      <c r="V332" s="60">
        <f t="shared" si="805"/>
        <v>4029.058</v>
      </c>
      <c r="W332" s="60">
        <f t="shared" si="805"/>
        <v>3978.13</v>
      </c>
      <c r="X332" s="60">
        <f t="shared" si="805"/>
        <v>4279.576571904945</v>
      </c>
      <c r="Y332" s="60">
        <f t="shared" si="805"/>
        <v>4045.2652083970438</v>
      </c>
      <c r="Z332" s="60">
        <f t="shared" si="805"/>
        <v>3825.1473252582978</v>
      </c>
      <c r="AA332" s="60">
        <f t="shared" si="805"/>
        <v>3584.3618694842844</v>
      </c>
      <c r="AB332" s="60">
        <f t="shared" si="805"/>
        <v>3331.5898441855225</v>
      </c>
      <c r="AC332" s="60">
        <f t="shared" si="805"/>
        <v>3116.3129275129713</v>
      </c>
      <c r="AD332" s="60">
        <f t="shared" si="805"/>
        <v>2939.7553826875983</v>
      </c>
      <c r="AE332" s="60">
        <f t="shared" si="805"/>
        <v>2794.6313723453336</v>
      </c>
      <c r="AF332" s="60">
        <f t="shared" si="805"/>
        <v>2666.1526590221852</v>
      </c>
      <c r="AG332" s="60">
        <f t="shared" si="805"/>
        <v>2546.0659717224689</v>
      </c>
      <c r="AH332" s="60">
        <f t="shared" si="805"/>
        <v>2454.4758362627504</v>
      </c>
      <c r="AI332" s="60">
        <f t="shared" si="805"/>
        <v>2298.8058261563001</v>
      </c>
      <c r="AJ332" s="60">
        <f t="shared" si="805"/>
        <v>2103.6216612039825</v>
      </c>
      <c r="AK332" s="60">
        <f t="shared" si="805"/>
        <v>1906.8570295333238</v>
      </c>
      <c r="AL332" s="60">
        <f t="shared" si="805"/>
        <v>1738.3236568263642</v>
      </c>
      <c r="AM332" s="60">
        <f t="shared" si="805"/>
        <v>1597.2599728605455</v>
      </c>
      <c r="AN332" s="60">
        <f t="shared" si="805"/>
        <v>1475.3549413631631</v>
      </c>
      <c r="AO332" s="60">
        <f t="shared" si="805"/>
        <v>1351.6790095918855</v>
      </c>
      <c r="AP332" s="60">
        <f t="shared" si="805"/>
        <v>877.27122963194279</v>
      </c>
      <c r="AQ332" s="60">
        <f t="shared" si="805"/>
        <v>426.38073442999485</v>
      </c>
      <c r="AR332" s="60">
        <f t="shared" si="805"/>
        <v>-78.895208810381519</v>
      </c>
      <c r="AS332" s="60">
        <f t="shared" si="805"/>
        <v>-658.42177197426645</v>
      </c>
      <c r="AT332" s="60">
        <f t="shared" si="805"/>
        <v>-1243.1824874849326</v>
      </c>
      <c r="AU332" s="60">
        <f t="shared" si="805"/>
        <v>-1809.9748365342903</v>
      </c>
      <c r="AV332" s="60">
        <f t="shared" si="805"/>
        <v>-2367.4515262555324</v>
      </c>
      <c r="AW332" s="60">
        <f t="shared" si="805"/>
        <v>-2944.4030321572936</v>
      </c>
      <c r="AX332" s="60">
        <f t="shared" si="805"/>
        <v>-3510.4989109011412</v>
      </c>
      <c r="AY332" s="60">
        <f t="shared" si="805"/>
        <v>-4065.5366090850939</v>
      </c>
      <c r="AZ332" s="60">
        <f t="shared" si="805"/>
        <v>-4609.295856595073</v>
      </c>
      <c r="BA332" s="60">
        <f t="shared" si="805"/>
        <v>-5263.0829420625387</v>
      </c>
      <c r="BB332" s="60">
        <f t="shared" si="805"/>
        <v>-5909.5554605882653</v>
      </c>
      <c r="BC332" s="60">
        <f t="shared" si="805"/>
        <v>-6548.5099445287988</v>
      </c>
      <c r="BD332" s="60">
        <f t="shared" si="805"/>
        <v>-7179.726297539074</v>
      </c>
      <c r="BE332" s="60">
        <f t="shared" ref="BE332:CP332" si="806">+BE288+BE289+BE290</f>
        <v>-7802.9678954190449</v>
      </c>
      <c r="BF332" s="60">
        <f t="shared" si="806"/>
        <v>-8417.9837708623709</v>
      </c>
      <c r="BG332" s="60">
        <f t="shared" si="806"/>
        <v>-9024.504948943315</v>
      </c>
      <c r="BH332" s="60">
        <f t="shared" si="806"/>
        <v>-9622.2492673626584</v>
      </c>
      <c r="BI332" s="60">
        <f t="shared" si="806"/>
        <v>-10210.916107407731</v>
      </c>
      <c r="BJ332" s="60">
        <f t="shared" si="806"/>
        <v>-10790.191412488301</v>
      </c>
      <c r="BK332" s="60">
        <f t="shared" si="806"/>
        <v>-11359.743461413822</v>
      </c>
      <c r="BL332" s="60">
        <f t="shared" si="806"/>
        <v>-11919.225483274426</v>
      </c>
      <c r="BM332" s="60">
        <f t="shared" si="806"/>
        <v>-12468.274819043745</v>
      </c>
      <c r="BN332" s="60">
        <f t="shared" si="806"/>
        <v>-13006.513160472172</v>
      </c>
      <c r="BO332" s="60">
        <f t="shared" si="806"/>
        <v>-13533.545934246107</v>
      </c>
      <c r="BP332" s="60">
        <f t="shared" si="806"/>
        <v>-14048.962493205749</v>
      </c>
      <c r="BQ332" s="60">
        <f t="shared" si="806"/>
        <v>-14552.336023577423</v>
      </c>
      <c r="BR332" s="60">
        <f t="shared" si="806"/>
        <v>-15043.496616232293</v>
      </c>
      <c r="BS332" s="60">
        <f t="shared" si="806"/>
        <v>-15550.211977885243</v>
      </c>
      <c r="BT332" s="60">
        <f t="shared" si="806"/>
        <v>-16069.827620745753</v>
      </c>
      <c r="BU332" s="60">
        <f t="shared" si="806"/>
        <v>-16577.80803211276</v>
      </c>
      <c r="BV332" s="60">
        <f t="shared" si="806"/>
        <v>-17073.728063296243</v>
      </c>
      <c r="BW332" s="60">
        <f t="shared" si="806"/>
        <v>-17557.148274934436</v>
      </c>
      <c r="BX332" s="60">
        <f t="shared" si="806"/>
        <v>-18027.614031558194</v>
      </c>
      <c r="BY332" s="60">
        <f t="shared" si="806"/>
        <v>-18484.657504852941</v>
      </c>
      <c r="BZ332" s="60">
        <f t="shared" si="806"/>
        <v>-18927.794095534082</v>
      </c>
      <c r="CA332" s="60">
        <f t="shared" si="806"/>
        <v>-19356.52519527603</v>
      </c>
      <c r="CB332" s="60">
        <f t="shared" si="806"/>
        <v>-19770.335646200168</v>
      </c>
      <c r="CC332" s="60">
        <f t="shared" si="806"/>
        <v>-20171.966019748997</v>
      </c>
      <c r="CD332" s="60">
        <f t="shared" si="806"/>
        <v>-20596.938337279684</v>
      </c>
      <c r="CE332" s="60">
        <f t="shared" si="806"/>
        <v>-21006.848089679228</v>
      </c>
      <c r="CF332" s="60">
        <f t="shared" si="806"/>
        <v>-21401.152071534183</v>
      </c>
      <c r="CG332" s="60">
        <f t="shared" si="806"/>
        <v>-21779.291139019824</v>
      </c>
      <c r="CH332" s="60">
        <f t="shared" si="806"/>
        <v>-22504.804468800092</v>
      </c>
      <c r="CI332" s="60">
        <f t="shared" si="806"/>
        <v>-23226.153582863313</v>
      </c>
      <c r="CJ332" s="60">
        <f t="shared" si="806"/>
        <v>-23942.997577483125</v>
      </c>
      <c r="CK332" s="60">
        <f t="shared" si="806"/>
        <v>-24654.985552883685</v>
      </c>
      <c r="CL332" s="60">
        <f t="shared" si="806"/>
        <v>-25361.756212989956</v>
      </c>
      <c r="CM332" s="60">
        <f t="shared" si="806"/>
        <v>-26062.936694003471</v>
      </c>
      <c r="CN332" s="60">
        <f t="shared" si="806"/>
        <v>-26758.14266820527</v>
      </c>
      <c r="CO332" s="60">
        <f t="shared" si="806"/>
        <v>-27446.977921900067</v>
      </c>
      <c r="CP332" s="60">
        <f t="shared" si="806"/>
        <v>-28150.579030972352</v>
      </c>
      <c r="CQ332" s="23" t="s">
        <v>77</v>
      </c>
      <c r="DD332" s="8"/>
      <c r="DE332" s="8"/>
      <c r="DF332" s="8"/>
      <c r="DG332" s="8"/>
      <c r="DH332" s="8"/>
      <c r="DI332" s="8"/>
      <c r="DJ332" s="8"/>
      <c r="DK332" s="8"/>
    </row>
    <row r="333" spans="2:115" ht="11.25" hidden="1" customHeight="1" outlineLevel="1" x14ac:dyDescent="0.2">
      <c r="B333" s="410" t="s">
        <v>130</v>
      </c>
      <c r="C333" s="498"/>
      <c r="D333" s="499"/>
      <c r="E333" s="499"/>
      <c r="F333" s="499"/>
      <c r="G333" s="499"/>
      <c r="H333" s="499"/>
      <c r="I333" s="499"/>
      <c r="J333" s="499"/>
      <c r="K333" s="501">
        <f>+K332-K331</f>
        <v>613.68399999999997</v>
      </c>
      <c r="L333" s="501">
        <f>+L332-L331</f>
        <v>-22.324999999999932</v>
      </c>
      <c r="M333" s="501">
        <f t="shared" ref="M333:BD333" si="807">+M332-M331</f>
        <v>569.34299999999996</v>
      </c>
      <c r="N333" s="501">
        <f t="shared" si="807"/>
        <v>89.416999999999916</v>
      </c>
      <c r="O333" s="501">
        <f t="shared" si="807"/>
        <v>28.254999999999882</v>
      </c>
      <c r="P333" s="502">
        <f t="shared" si="807"/>
        <v>116.63900000000012</v>
      </c>
      <c r="Q333" s="503">
        <f t="shared" si="807"/>
        <v>272.54899999999998</v>
      </c>
      <c r="R333" s="503">
        <f t="shared" si="807"/>
        <v>-53.56899999999996</v>
      </c>
      <c r="S333" s="503">
        <f t="shared" si="807"/>
        <v>898.26800000000048</v>
      </c>
      <c r="T333" s="63">
        <f t="shared" si="807"/>
        <v>-15.82300000000032</v>
      </c>
      <c r="U333" s="63">
        <f t="shared" si="807"/>
        <v>1886.1599999999999</v>
      </c>
      <c r="V333" s="63">
        <f t="shared" si="807"/>
        <v>-353.53999999999996</v>
      </c>
      <c r="W333" s="63">
        <f t="shared" si="807"/>
        <v>-50.927999999999884</v>
      </c>
      <c r="X333" s="63">
        <f t="shared" si="807"/>
        <v>301.4465719049449</v>
      </c>
      <c r="Y333" s="63">
        <f t="shared" si="807"/>
        <v>-234.31136350790121</v>
      </c>
      <c r="Z333" s="63">
        <f t="shared" si="807"/>
        <v>-220.11788313874604</v>
      </c>
      <c r="AA333" s="63">
        <f t="shared" si="807"/>
        <v>-240.78545577401337</v>
      </c>
      <c r="AB333" s="63">
        <f t="shared" si="807"/>
        <v>-252.77202529876195</v>
      </c>
      <c r="AC333" s="63">
        <f t="shared" si="807"/>
        <v>-215.27691667255112</v>
      </c>
      <c r="AD333" s="63">
        <f t="shared" si="807"/>
        <v>-176.55754482537304</v>
      </c>
      <c r="AE333" s="63">
        <f t="shared" si="807"/>
        <v>-145.12401034226468</v>
      </c>
      <c r="AF333" s="63">
        <f t="shared" si="807"/>
        <v>-128.47871332314844</v>
      </c>
      <c r="AG333" s="63">
        <f t="shared" si="807"/>
        <v>-120.08668729971623</v>
      </c>
      <c r="AH333" s="63">
        <f t="shared" si="807"/>
        <v>-91.590135459718567</v>
      </c>
      <c r="AI333" s="63">
        <f t="shared" si="807"/>
        <v>-155.67001010645026</v>
      </c>
      <c r="AJ333" s="63">
        <f t="shared" si="807"/>
        <v>-195.18416495231759</v>
      </c>
      <c r="AK333" s="63">
        <f t="shared" si="807"/>
        <v>-196.76463167065867</v>
      </c>
      <c r="AL333" s="63">
        <f t="shared" si="807"/>
        <v>-168.53337270695965</v>
      </c>
      <c r="AM333" s="63">
        <f t="shared" si="807"/>
        <v>-141.06368396581865</v>
      </c>
      <c r="AN333" s="63">
        <f t="shared" si="807"/>
        <v>-121.90503149738242</v>
      </c>
      <c r="AO333" s="63">
        <f t="shared" si="807"/>
        <v>-123.67593177127765</v>
      </c>
      <c r="AP333" s="63">
        <f t="shared" si="807"/>
        <v>-474.40777995994267</v>
      </c>
      <c r="AQ333" s="63">
        <f t="shared" si="807"/>
        <v>-450.89049520194794</v>
      </c>
      <c r="AR333" s="63">
        <f t="shared" si="807"/>
        <v>-505.27594324037636</v>
      </c>
      <c r="AS333" s="63">
        <f t="shared" si="807"/>
        <v>-579.52656316388493</v>
      </c>
      <c r="AT333" s="63">
        <f t="shared" si="807"/>
        <v>-584.76071551066616</v>
      </c>
      <c r="AU333" s="63">
        <f t="shared" si="807"/>
        <v>-566.79234904935765</v>
      </c>
      <c r="AV333" s="63">
        <f t="shared" si="807"/>
        <v>-557.47668972124211</v>
      </c>
      <c r="AW333" s="63">
        <f t="shared" si="807"/>
        <v>-576.95150590176127</v>
      </c>
      <c r="AX333" s="63">
        <f t="shared" si="807"/>
        <v>-566.09587874384761</v>
      </c>
      <c r="AY333" s="63">
        <f t="shared" si="807"/>
        <v>-555.03769818395267</v>
      </c>
      <c r="AZ333" s="63">
        <f t="shared" si="807"/>
        <v>-543.7592475099791</v>
      </c>
      <c r="BA333" s="63">
        <f t="shared" si="807"/>
        <v>-653.78708546746566</v>
      </c>
      <c r="BB333" s="63">
        <f t="shared" si="807"/>
        <v>-646.47251852572663</v>
      </c>
      <c r="BC333" s="63">
        <f t="shared" si="807"/>
        <v>-638.95448394053346</v>
      </c>
      <c r="BD333" s="63">
        <f t="shared" si="807"/>
        <v>-631.21635301027527</v>
      </c>
      <c r="BE333" s="63">
        <f t="shared" ref="BE333:CP333" si="808">+BE332-BE331</f>
        <v>-623.24159787997087</v>
      </c>
      <c r="BF333" s="63">
        <f t="shared" si="808"/>
        <v>-615.01587544332597</v>
      </c>
      <c r="BG333" s="63">
        <f t="shared" si="808"/>
        <v>-606.52117808094408</v>
      </c>
      <c r="BH333" s="63">
        <f t="shared" si="808"/>
        <v>-597.74431841934347</v>
      </c>
      <c r="BI333" s="63">
        <f t="shared" si="808"/>
        <v>-588.6668400450726</v>
      </c>
      <c r="BJ333" s="63">
        <f t="shared" si="808"/>
        <v>-579.27530508056952</v>
      </c>
      <c r="BK333" s="63">
        <f t="shared" si="808"/>
        <v>-569.55204892552138</v>
      </c>
      <c r="BL333" s="63">
        <f t="shared" si="808"/>
        <v>-559.48202186060371</v>
      </c>
      <c r="BM333" s="63">
        <f t="shared" si="808"/>
        <v>-549.04933576931944</v>
      </c>
      <c r="BN333" s="63">
        <f t="shared" si="808"/>
        <v>-538.23834142842679</v>
      </c>
      <c r="BO333" s="63">
        <f t="shared" si="808"/>
        <v>-527.03277377393533</v>
      </c>
      <c r="BP333" s="63">
        <f t="shared" si="808"/>
        <v>-515.41655895964141</v>
      </c>
      <c r="BQ333" s="63">
        <f t="shared" si="808"/>
        <v>-503.37353037167486</v>
      </c>
      <c r="BR333" s="63">
        <f t="shared" si="808"/>
        <v>-491.16059265486911</v>
      </c>
      <c r="BS333" s="63">
        <f t="shared" si="808"/>
        <v>-506.71536165295038</v>
      </c>
      <c r="BT333" s="63">
        <f t="shared" si="808"/>
        <v>-519.61564286050998</v>
      </c>
      <c r="BU333" s="63">
        <f t="shared" si="808"/>
        <v>-507.98041136700704</v>
      </c>
      <c r="BV333" s="63">
        <f t="shared" si="808"/>
        <v>-495.92003118348293</v>
      </c>
      <c r="BW333" s="63">
        <f t="shared" si="808"/>
        <v>-483.420211638193</v>
      </c>
      <c r="BX333" s="63">
        <f t="shared" si="808"/>
        <v>-470.46575662375835</v>
      </c>
      <c r="BY333" s="63">
        <f t="shared" si="808"/>
        <v>-457.04347329474695</v>
      </c>
      <c r="BZ333" s="63">
        <f t="shared" si="808"/>
        <v>-443.13659068114066</v>
      </c>
      <c r="CA333" s="63">
        <f t="shared" si="808"/>
        <v>-428.73109974194813</v>
      </c>
      <c r="CB333" s="63">
        <f t="shared" si="808"/>
        <v>-413.81045092413842</v>
      </c>
      <c r="CC333" s="63">
        <f t="shared" si="808"/>
        <v>-401.63037354882908</v>
      </c>
      <c r="CD333" s="63">
        <f t="shared" si="808"/>
        <v>-424.97231753068627</v>
      </c>
      <c r="CE333" s="63">
        <f t="shared" si="808"/>
        <v>-409.90975239954423</v>
      </c>
      <c r="CF333" s="63">
        <f t="shared" si="808"/>
        <v>-394.30398185495505</v>
      </c>
      <c r="CG333" s="63">
        <f t="shared" si="808"/>
        <v>-378.13906748564114</v>
      </c>
      <c r="CH333" s="63">
        <f t="shared" si="808"/>
        <v>-725.51332978026767</v>
      </c>
      <c r="CI333" s="63">
        <f t="shared" si="808"/>
        <v>-721.34911406322135</v>
      </c>
      <c r="CJ333" s="63">
        <f t="shared" si="808"/>
        <v>-716.84399461981229</v>
      </c>
      <c r="CK333" s="63">
        <f t="shared" si="808"/>
        <v>-711.98797540055966</v>
      </c>
      <c r="CL333" s="63">
        <f t="shared" si="808"/>
        <v>-706.77066010627095</v>
      </c>
      <c r="CM333" s="63">
        <f t="shared" si="808"/>
        <v>-701.18048101351451</v>
      </c>
      <c r="CN333" s="63">
        <f t="shared" si="808"/>
        <v>-695.20597420179911</v>
      </c>
      <c r="CO333" s="63">
        <f t="shared" si="808"/>
        <v>-688.83525369479685</v>
      </c>
      <c r="CP333" s="63">
        <f t="shared" si="808"/>
        <v>-703.60110907228591</v>
      </c>
      <c r="CQ333" s="23" t="s">
        <v>77</v>
      </c>
      <c r="DD333" s="8"/>
      <c r="DE333" s="8"/>
      <c r="DF333" s="8"/>
      <c r="DG333" s="8"/>
      <c r="DH333" s="8"/>
      <c r="DI333" s="8"/>
      <c r="DJ333" s="8"/>
      <c r="DK333" s="8"/>
    </row>
    <row r="334" spans="2:115" ht="11.25" hidden="1" customHeight="1" outlineLevel="1" x14ac:dyDescent="0.2">
      <c r="B334" s="495"/>
      <c r="C334" s="475"/>
      <c r="D334" s="496"/>
      <c r="E334" s="496"/>
      <c r="F334" s="496"/>
      <c r="G334" s="496"/>
      <c r="H334" s="496"/>
      <c r="I334" s="496"/>
      <c r="J334" s="496"/>
      <c r="K334" s="496"/>
      <c r="L334" s="496"/>
      <c r="M334" s="496"/>
      <c r="N334" s="496"/>
      <c r="O334" s="496"/>
      <c r="P334" s="496"/>
      <c r="Q334" s="496"/>
      <c r="R334" s="496"/>
      <c r="S334" s="496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BT334" s="8"/>
      <c r="BU334" s="8"/>
      <c r="BV334" s="8"/>
      <c r="BW334" s="8"/>
      <c r="BX334" s="8"/>
      <c r="BY334" s="8"/>
      <c r="BZ334" s="8"/>
      <c r="CA334" s="8"/>
      <c r="CB334" s="8"/>
      <c r="CC334" s="8"/>
      <c r="CD334" s="8"/>
      <c r="CE334" s="8"/>
      <c r="CF334" s="8"/>
      <c r="CG334" s="8"/>
      <c r="CH334" s="8"/>
      <c r="CI334" s="8"/>
      <c r="CJ334" s="8"/>
      <c r="CK334" s="8"/>
      <c r="CL334" s="8"/>
      <c r="CM334" s="8"/>
      <c r="CN334" s="8"/>
      <c r="CO334" s="8"/>
      <c r="CP334" s="8"/>
      <c r="CQ334" s="23" t="s">
        <v>77</v>
      </c>
      <c r="DD334" s="8"/>
      <c r="DE334" s="8"/>
      <c r="DF334" s="8"/>
      <c r="DG334" s="8"/>
      <c r="DH334" s="8"/>
      <c r="DI334" s="8"/>
      <c r="DJ334" s="8"/>
      <c r="DK334" s="8"/>
    </row>
    <row r="335" spans="2:115" ht="11.25" hidden="1" customHeight="1" outlineLevel="1" x14ac:dyDescent="0.2">
      <c r="B335" s="507" t="s">
        <v>43</v>
      </c>
      <c r="C335" s="475"/>
      <c r="D335" s="64"/>
      <c r="E335" s="64"/>
      <c r="F335" s="64"/>
      <c r="G335" s="64"/>
      <c r="H335" s="64"/>
      <c r="I335" s="64"/>
      <c r="J335" s="64"/>
      <c r="K335" s="64">
        <f t="shared" ref="K335:BD335" si="809">+K288-J288</f>
        <v>500.13499999999999</v>
      </c>
      <c r="L335" s="64">
        <f t="shared" si="809"/>
        <v>5.2440000000000282</v>
      </c>
      <c r="M335" s="64">
        <f t="shared" si="809"/>
        <v>593.92899999999997</v>
      </c>
      <c r="N335" s="64">
        <f t="shared" si="809"/>
        <v>109.38099999999986</v>
      </c>
      <c r="O335" s="64">
        <f t="shared" si="809"/>
        <v>44.19600000000014</v>
      </c>
      <c r="P335" s="64">
        <f t="shared" si="809"/>
        <v>52.981999999999971</v>
      </c>
      <c r="Q335" s="64">
        <f t="shared" si="809"/>
        <v>268.91300000000001</v>
      </c>
      <c r="R335" s="64">
        <f t="shared" si="809"/>
        <v>-72.509000000000015</v>
      </c>
      <c r="S335" s="64">
        <f t="shared" si="809"/>
        <v>897.02500000000032</v>
      </c>
      <c r="T335" s="60">
        <f t="shared" si="809"/>
        <v>-6.6640000000002146</v>
      </c>
      <c r="U335" s="60">
        <f t="shared" si="809"/>
        <v>1807.9029999999998</v>
      </c>
      <c r="V335" s="60">
        <f t="shared" si="809"/>
        <v>-1.599999999962165E-2</v>
      </c>
      <c r="W335" s="60">
        <f t="shared" si="809"/>
        <v>-109.61799999999994</v>
      </c>
      <c r="X335" s="60">
        <f t="shared" si="809"/>
        <v>504.7156960999996</v>
      </c>
      <c r="Y335" s="60">
        <f t="shared" si="809"/>
        <v>0</v>
      </c>
      <c r="Z335" s="60">
        <f t="shared" si="809"/>
        <v>0</v>
      </c>
      <c r="AA335" s="60">
        <f t="shared" si="809"/>
        <v>0</v>
      </c>
      <c r="AB335" s="60">
        <f t="shared" si="809"/>
        <v>0</v>
      </c>
      <c r="AC335" s="60">
        <f t="shared" si="809"/>
        <v>0</v>
      </c>
      <c r="AD335" s="60">
        <f t="shared" si="809"/>
        <v>0</v>
      </c>
      <c r="AE335" s="60">
        <f t="shared" si="809"/>
        <v>0</v>
      </c>
      <c r="AF335" s="60">
        <f t="shared" si="809"/>
        <v>0</v>
      </c>
      <c r="AG335" s="60">
        <f t="shared" si="809"/>
        <v>0</v>
      </c>
      <c r="AH335" s="60">
        <f t="shared" si="809"/>
        <v>0</v>
      </c>
      <c r="AI335" s="60">
        <f t="shared" si="809"/>
        <v>0</v>
      </c>
      <c r="AJ335" s="60">
        <f t="shared" si="809"/>
        <v>0</v>
      </c>
      <c r="AK335" s="60">
        <f t="shared" si="809"/>
        <v>0</v>
      </c>
      <c r="AL335" s="60">
        <f t="shared" si="809"/>
        <v>0</v>
      </c>
      <c r="AM335" s="60">
        <f t="shared" si="809"/>
        <v>0</v>
      </c>
      <c r="AN335" s="60">
        <f t="shared" si="809"/>
        <v>0</v>
      </c>
      <c r="AO335" s="60">
        <f t="shared" si="809"/>
        <v>0</v>
      </c>
      <c r="AP335" s="60">
        <f t="shared" si="809"/>
        <v>0</v>
      </c>
      <c r="AQ335" s="60">
        <f t="shared" si="809"/>
        <v>0</v>
      </c>
      <c r="AR335" s="60">
        <f t="shared" si="809"/>
        <v>0</v>
      </c>
      <c r="AS335" s="60">
        <f t="shared" si="809"/>
        <v>0</v>
      </c>
      <c r="AT335" s="60">
        <f t="shared" si="809"/>
        <v>0</v>
      </c>
      <c r="AU335" s="60">
        <f t="shared" si="809"/>
        <v>0</v>
      </c>
      <c r="AV335" s="60">
        <f t="shared" si="809"/>
        <v>0</v>
      </c>
      <c r="AW335" s="60">
        <f t="shared" si="809"/>
        <v>0</v>
      </c>
      <c r="AX335" s="60">
        <f t="shared" si="809"/>
        <v>0</v>
      </c>
      <c r="AY335" s="60">
        <f t="shared" si="809"/>
        <v>0</v>
      </c>
      <c r="AZ335" s="60">
        <f t="shared" si="809"/>
        <v>0</v>
      </c>
      <c r="BA335" s="60">
        <f t="shared" si="809"/>
        <v>0</v>
      </c>
      <c r="BB335" s="60">
        <f t="shared" si="809"/>
        <v>0</v>
      </c>
      <c r="BC335" s="60">
        <f t="shared" si="809"/>
        <v>0</v>
      </c>
      <c r="BD335" s="60">
        <f t="shared" si="809"/>
        <v>0</v>
      </c>
      <c r="BE335" s="60">
        <f t="shared" ref="BE335:CP335" si="810">+BE288-BD288</f>
        <v>0</v>
      </c>
      <c r="BF335" s="60">
        <f t="shared" si="810"/>
        <v>0</v>
      </c>
      <c r="BG335" s="60">
        <f t="shared" si="810"/>
        <v>0</v>
      </c>
      <c r="BH335" s="60">
        <f t="shared" si="810"/>
        <v>0</v>
      </c>
      <c r="BI335" s="60">
        <f t="shared" si="810"/>
        <v>0</v>
      </c>
      <c r="BJ335" s="60">
        <f t="shared" si="810"/>
        <v>0</v>
      </c>
      <c r="BK335" s="60">
        <f t="shared" si="810"/>
        <v>0</v>
      </c>
      <c r="BL335" s="60">
        <f t="shared" si="810"/>
        <v>0</v>
      </c>
      <c r="BM335" s="60">
        <f t="shared" si="810"/>
        <v>0</v>
      </c>
      <c r="BN335" s="60">
        <f t="shared" si="810"/>
        <v>0</v>
      </c>
      <c r="BO335" s="60">
        <f t="shared" si="810"/>
        <v>0</v>
      </c>
      <c r="BP335" s="60">
        <f t="shared" si="810"/>
        <v>0</v>
      </c>
      <c r="BQ335" s="60">
        <f t="shared" si="810"/>
        <v>0</v>
      </c>
      <c r="BR335" s="60">
        <f t="shared" si="810"/>
        <v>0</v>
      </c>
      <c r="BS335" s="60">
        <f t="shared" si="810"/>
        <v>0</v>
      </c>
      <c r="BT335" s="60">
        <f t="shared" si="810"/>
        <v>0</v>
      </c>
      <c r="BU335" s="60">
        <f t="shared" si="810"/>
        <v>0</v>
      </c>
      <c r="BV335" s="60">
        <f t="shared" si="810"/>
        <v>0</v>
      </c>
      <c r="BW335" s="60">
        <f t="shared" si="810"/>
        <v>0</v>
      </c>
      <c r="BX335" s="60">
        <f t="shared" si="810"/>
        <v>0</v>
      </c>
      <c r="BY335" s="60">
        <f t="shared" si="810"/>
        <v>0</v>
      </c>
      <c r="BZ335" s="60">
        <f t="shared" si="810"/>
        <v>0</v>
      </c>
      <c r="CA335" s="60">
        <f t="shared" si="810"/>
        <v>0</v>
      </c>
      <c r="CB335" s="60">
        <f t="shared" si="810"/>
        <v>0</v>
      </c>
      <c r="CC335" s="60">
        <f t="shared" si="810"/>
        <v>0</v>
      </c>
      <c r="CD335" s="60">
        <f t="shared" si="810"/>
        <v>0</v>
      </c>
      <c r="CE335" s="60">
        <f t="shared" si="810"/>
        <v>0</v>
      </c>
      <c r="CF335" s="60">
        <f t="shared" si="810"/>
        <v>0</v>
      </c>
      <c r="CG335" s="60">
        <f t="shared" si="810"/>
        <v>0</v>
      </c>
      <c r="CH335" s="60">
        <f t="shared" si="810"/>
        <v>0</v>
      </c>
      <c r="CI335" s="60">
        <f t="shared" si="810"/>
        <v>0</v>
      </c>
      <c r="CJ335" s="60">
        <f t="shared" si="810"/>
        <v>0</v>
      </c>
      <c r="CK335" s="60">
        <f t="shared" si="810"/>
        <v>0</v>
      </c>
      <c r="CL335" s="60">
        <f t="shared" si="810"/>
        <v>0</v>
      </c>
      <c r="CM335" s="60">
        <f t="shared" si="810"/>
        <v>0</v>
      </c>
      <c r="CN335" s="60">
        <f t="shared" si="810"/>
        <v>0</v>
      </c>
      <c r="CO335" s="60">
        <f t="shared" si="810"/>
        <v>0</v>
      </c>
      <c r="CP335" s="60">
        <f t="shared" si="810"/>
        <v>0</v>
      </c>
      <c r="CQ335" s="23" t="s">
        <v>77</v>
      </c>
      <c r="DD335" s="8"/>
      <c r="DE335" s="8"/>
      <c r="DF335" s="8"/>
      <c r="DG335" s="8"/>
      <c r="DH335" s="8"/>
      <c r="DI335" s="8"/>
      <c r="DJ335" s="8"/>
      <c r="DK335" s="8"/>
    </row>
    <row r="336" spans="2:115" ht="11.25" hidden="1" customHeight="1" outlineLevel="1" x14ac:dyDescent="0.2">
      <c r="B336" s="507" t="s">
        <v>44</v>
      </c>
      <c r="C336" s="475"/>
      <c r="D336" s="64"/>
      <c r="E336" s="64"/>
      <c r="F336" s="64"/>
      <c r="G336" s="64"/>
      <c r="H336" s="64"/>
      <c r="I336" s="64"/>
      <c r="J336" s="64"/>
      <c r="K336" s="64">
        <f t="shared" ref="K336:BD336" si="811">+K289-J289</f>
        <v>8.6690000000000005</v>
      </c>
      <c r="L336" s="64">
        <f t="shared" si="811"/>
        <v>-23.179000000000002</v>
      </c>
      <c r="M336" s="64">
        <f t="shared" si="811"/>
        <v>11.3</v>
      </c>
      <c r="N336" s="64">
        <f t="shared" si="811"/>
        <v>1.2649999999999999</v>
      </c>
      <c r="O336" s="64">
        <f t="shared" si="811"/>
        <v>21.622</v>
      </c>
      <c r="P336" s="64">
        <f t="shared" si="811"/>
        <v>40.177</v>
      </c>
      <c r="Q336" s="64">
        <f t="shared" si="811"/>
        <v>-4.4209999999999994</v>
      </c>
      <c r="R336" s="64">
        <f t="shared" si="811"/>
        <v>2.3440000000000012</v>
      </c>
      <c r="S336" s="64">
        <f t="shared" si="811"/>
        <v>-109.38</v>
      </c>
      <c r="T336" s="60">
        <f t="shared" si="811"/>
        <v>-65.033999999999992</v>
      </c>
      <c r="U336" s="60">
        <f t="shared" si="811"/>
        <v>-191.55999999999995</v>
      </c>
      <c r="V336" s="60">
        <f t="shared" si="811"/>
        <v>-87.138000000000034</v>
      </c>
      <c r="W336" s="60">
        <f t="shared" si="811"/>
        <v>187.56199999999998</v>
      </c>
      <c r="X336" s="60">
        <f t="shared" si="811"/>
        <v>0</v>
      </c>
      <c r="Y336" s="60">
        <f t="shared" si="811"/>
        <v>0</v>
      </c>
      <c r="Z336" s="60">
        <f t="shared" si="811"/>
        <v>0</v>
      </c>
      <c r="AA336" s="60">
        <f t="shared" si="811"/>
        <v>0</v>
      </c>
      <c r="AB336" s="60">
        <f t="shared" si="811"/>
        <v>0</v>
      </c>
      <c r="AC336" s="60">
        <f t="shared" si="811"/>
        <v>0</v>
      </c>
      <c r="AD336" s="60">
        <f t="shared" si="811"/>
        <v>0</v>
      </c>
      <c r="AE336" s="60">
        <f t="shared" si="811"/>
        <v>0</v>
      </c>
      <c r="AF336" s="60">
        <f t="shared" si="811"/>
        <v>0</v>
      </c>
      <c r="AG336" s="60">
        <f t="shared" si="811"/>
        <v>0</v>
      </c>
      <c r="AH336" s="60">
        <f t="shared" si="811"/>
        <v>0</v>
      </c>
      <c r="AI336" s="60">
        <f t="shared" si="811"/>
        <v>0</v>
      </c>
      <c r="AJ336" s="60">
        <f t="shared" si="811"/>
        <v>0</v>
      </c>
      <c r="AK336" s="60">
        <f t="shared" si="811"/>
        <v>0</v>
      </c>
      <c r="AL336" s="60">
        <f t="shared" si="811"/>
        <v>0</v>
      </c>
      <c r="AM336" s="60">
        <f t="shared" si="811"/>
        <v>0</v>
      </c>
      <c r="AN336" s="60">
        <f t="shared" si="811"/>
        <v>0</v>
      </c>
      <c r="AO336" s="60">
        <f t="shared" si="811"/>
        <v>0</v>
      </c>
      <c r="AP336" s="60">
        <f t="shared" si="811"/>
        <v>0</v>
      </c>
      <c r="AQ336" s="60">
        <f t="shared" si="811"/>
        <v>0</v>
      </c>
      <c r="AR336" s="60">
        <f t="shared" si="811"/>
        <v>0</v>
      </c>
      <c r="AS336" s="60">
        <f t="shared" si="811"/>
        <v>0</v>
      </c>
      <c r="AT336" s="60">
        <f t="shared" si="811"/>
        <v>0</v>
      </c>
      <c r="AU336" s="60">
        <f t="shared" si="811"/>
        <v>0</v>
      </c>
      <c r="AV336" s="60">
        <f t="shared" si="811"/>
        <v>0</v>
      </c>
      <c r="AW336" s="60">
        <f t="shared" si="811"/>
        <v>0</v>
      </c>
      <c r="AX336" s="60">
        <f t="shared" si="811"/>
        <v>0</v>
      </c>
      <c r="AY336" s="60">
        <f t="shared" si="811"/>
        <v>0</v>
      </c>
      <c r="AZ336" s="60">
        <f t="shared" si="811"/>
        <v>0</v>
      </c>
      <c r="BA336" s="60">
        <f t="shared" si="811"/>
        <v>0</v>
      </c>
      <c r="BB336" s="60">
        <f t="shared" si="811"/>
        <v>0</v>
      </c>
      <c r="BC336" s="60">
        <f t="shared" si="811"/>
        <v>0</v>
      </c>
      <c r="BD336" s="60">
        <f t="shared" si="811"/>
        <v>0</v>
      </c>
      <c r="BE336" s="60">
        <f t="shared" ref="BE336:CP336" si="812">+BE289-BD289</f>
        <v>0</v>
      </c>
      <c r="BF336" s="60">
        <f t="shared" si="812"/>
        <v>0</v>
      </c>
      <c r="BG336" s="60">
        <f t="shared" si="812"/>
        <v>0</v>
      </c>
      <c r="BH336" s="60">
        <f t="shared" si="812"/>
        <v>0</v>
      </c>
      <c r="BI336" s="60">
        <f t="shared" si="812"/>
        <v>0</v>
      </c>
      <c r="BJ336" s="60">
        <f t="shared" si="812"/>
        <v>0</v>
      </c>
      <c r="BK336" s="60">
        <f t="shared" si="812"/>
        <v>0</v>
      </c>
      <c r="BL336" s="60">
        <f t="shared" si="812"/>
        <v>0</v>
      </c>
      <c r="BM336" s="60">
        <f t="shared" si="812"/>
        <v>0</v>
      </c>
      <c r="BN336" s="60">
        <f t="shared" si="812"/>
        <v>0</v>
      </c>
      <c r="BO336" s="60">
        <f t="shared" si="812"/>
        <v>0</v>
      </c>
      <c r="BP336" s="60">
        <f t="shared" si="812"/>
        <v>0</v>
      </c>
      <c r="BQ336" s="60">
        <f t="shared" si="812"/>
        <v>0</v>
      </c>
      <c r="BR336" s="60">
        <f t="shared" si="812"/>
        <v>0</v>
      </c>
      <c r="BS336" s="60">
        <f t="shared" si="812"/>
        <v>0</v>
      </c>
      <c r="BT336" s="60">
        <f t="shared" si="812"/>
        <v>0</v>
      </c>
      <c r="BU336" s="60">
        <f t="shared" si="812"/>
        <v>0</v>
      </c>
      <c r="BV336" s="60">
        <f t="shared" si="812"/>
        <v>0</v>
      </c>
      <c r="BW336" s="60">
        <f t="shared" si="812"/>
        <v>0</v>
      </c>
      <c r="BX336" s="60">
        <f t="shared" si="812"/>
        <v>0</v>
      </c>
      <c r="BY336" s="60">
        <f t="shared" si="812"/>
        <v>0</v>
      </c>
      <c r="BZ336" s="60">
        <f t="shared" si="812"/>
        <v>0</v>
      </c>
      <c r="CA336" s="60">
        <f t="shared" si="812"/>
        <v>0</v>
      </c>
      <c r="CB336" s="60">
        <f t="shared" si="812"/>
        <v>0</v>
      </c>
      <c r="CC336" s="60">
        <f t="shared" si="812"/>
        <v>0</v>
      </c>
      <c r="CD336" s="60">
        <f t="shared" si="812"/>
        <v>0</v>
      </c>
      <c r="CE336" s="60">
        <f t="shared" si="812"/>
        <v>0</v>
      </c>
      <c r="CF336" s="60">
        <f t="shared" si="812"/>
        <v>0</v>
      </c>
      <c r="CG336" s="60">
        <f t="shared" si="812"/>
        <v>0</v>
      </c>
      <c r="CH336" s="60">
        <f t="shared" si="812"/>
        <v>0</v>
      </c>
      <c r="CI336" s="60">
        <f t="shared" si="812"/>
        <v>0</v>
      </c>
      <c r="CJ336" s="60">
        <f t="shared" si="812"/>
        <v>0</v>
      </c>
      <c r="CK336" s="60">
        <f t="shared" si="812"/>
        <v>0</v>
      </c>
      <c r="CL336" s="60">
        <f t="shared" si="812"/>
        <v>0</v>
      </c>
      <c r="CM336" s="60">
        <f t="shared" si="812"/>
        <v>0</v>
      </c>
      <c r="CN336" s="60">
        <f t="shared" si="812"/>
        <v>0</v>
      </c>
      <c r="CO336" s="60">
        <f t="shared" si="812"/>
        <v>0</v>
      </c>
      <c r="CP336" s="60">
        <f t="shared" si="812"/>
        <v>0</v>
      </c>
      <c r="CQ336" s="23" t="s">
        <v>77</v>
      </c>
      <c r="DD336" s="8"/>
      <c r="DE336" s="8"/>
      <c r="DF336" s="8"/>
      <c r="DG336" s="8"/>
      <c r="DH336" s="8"/>
      <c r="DI336" s="8"/>
      <c r="DJ336" s="8"/>
      <c r="DK336" s="8"/>
    </row>
    <row r="337" spans="2:115" ht="11.25" hidden="1" customHeight="1" outlineLevel="1" x14ac:dyDescent="0.2">
      <c r="B337" s="507" t="s">
        <v>45</v>
      </c>
      <c r="C337" s="475"/>
      <c r="D337" s="64"/>
      <c r="E337" s="64"/>
      <c r="F337" s="64"/>
      <c r="G337" s="64"/>
      <c r="H337" s="64"/>
      <c r="I337" s="64"/>
      <c r="J337" s="64"/>
      <c r="K337" s="64">
        <f t="shared" ref="K337:BD337" si="813">+K290-J290</f>
        <v>104.88</v>
      </c>
      <c r="L337" s="64">
        <f t="shared" si="813"/>
        <v>-4.3900000000000006</v>
      </c>
      <c r="M337" s="64">
        <f t="shared" si="813"/>
        <v>-35.885999999999996</v>
      </c>
      <c r="N337" s="64">
        <f t="shared" si="813"/>
        <v>-21.228999999999999</v>
      </c>
      <c r="O337" s="64">
        <f t="shared" si="813"/>
        <v>-37.563000000000002</v>
      </c>
      <c r="P337" s="64">
        <f t="shared" si="813"/>
        <v>23.48</v>
      </c>
      <c r="Q337" s="64">
        <f t="shared" si="813"/>
        <v>8.0570000000000022</v>
      </c>
      <c r="R337" s="64">
        <f t="shared" si="813"/>
        <v>16.595999999999989</v>
      </c>
      <c r="S337" s="64">
        <f t="shared" si="813"/>
        <v>110.62300000000002</v>
      </c>
      <c r="T337" s="60">
        <f t="shared" si="813"/>
        <v>55.875</v>
      </c>
      <c r="U337" s="60">
        <f t="shared" si="813"/>
        <v>269.81700000000001</v>
      </c>
      <c r="V337" s="60">
        <f t="shared" si="813"/>
        <v>-266.38599999999997</v>
      </c>
      <c r="W337" s="60">
        <f t="shared" si="813"/>
        <v>-128.87200000000001</v>
      </c>
      <c r="X337" s="60">
        <f t="shared" si="813"/>
        <v>-203.26912419505459</v>
      </c>
      <c r="Y337" s="60">
        <f t="shared" si="813"/>
        <v>-234.31136350790121</v>
      </c>
      <c r="Z337" s="60">
        <f t="shared" si="813"/>
        <v>-220.11788313874621</v>
      </c>
      <c r="AA337" s="60">
        <f t="shared" si="813"/>
        <v>-240.7854557740136</v>
      </c>
      <c r="AB337" s="60">
        <f t="shared" si="813"/>
        <v>-252.77202529876172</v>
      </c>
      <c r="AC337" s="60">
        <f t="shared" si="813"/>
        <v>-215.27691667255135</v>
      </c>
      <c r="AD337" s="60">
        <f t="shared" si="813"/>
        <v>-176.55754482537282</v>
      </c>
      <c r="AE337" s="60">
        <f t="shared" si="813"/>
        <v>-145.12401034226468</v>
      </c>
      <c r="AF337" s="60">
        <f t="shared" si="813"/>
        <v>-128.47871332314844</v>
      </c>
      <c r="AG337" s="60">
        <f t="shared" si="813"/>
        <v>-120.08668729971623</v>
      </c>
      <c r="AH337" s="60">
        <f t="shared" si="813"/>
        <v>-91.590135459718567</v>
      </c>
      <c r="AI337" s="60">
        <f t="shared" si="813"/>
        <v>-155.67001010645026</v>
      </c>
      <c r="AJ337" s="60">
        <f t="shared" si="813"/>
        <v>-195.18416495231759</v>
      </c>
      <c r="AK337" s="60">
        <f t="shared" si="813"/>
        <v>-196.76463167065867</v>
      </c>
      <c r="AL337" s="60">
        <f t="shared" si="813"/>
        <v>-168.53337270695965</v>
      </c>
      <c r="AM337" s="60">
        <f t="shared" si="813"/>
        <v>-141.06368396581865</v>
      </c>
      <c r="AN337" s="60">
        <f t="shared" si="813"/>
        <v>-121.90503149738242</v>
      </c>
      <c r="AO337" s="60">
        <f t="shared" si="813"/>
        <v>-123.67593177127765</v>
      </c>
      <c r="AP337" s="60">
        <f t="shared" si="813"/>
        <v>-474.40777995994267</v>
      </c>
      <c r="AQ337" s="60">
        <f t="shared" si="813"/>
        <v>-450.89049520194794</v>
      </c>
      <c r="AR337" s="60">
        <f t="shared" si="813"/>
        <v>-505.27594324037636</v>
      </c>
      <c r="AS337" s="60">
        <f t="shared" si="813"/>
        <v>-579.52656316388493</v>
      </c>
      <c r="AT337" s="60">
        <f t="shared" si="813"/>
        <v>-584.76071551066616</v>
      </c>
      <c r="AU337" s="60">
        <f t="shared" si="813"/>
        <v>-566.79234904935765</v>
      </c>
      <c r="AV337" s="60">
        <f t="shared" si="813"/>
        <v>-557.47668972124211</v>
      </c>
      <c r="AW337" s="60">
        <f t="shared" si="813"/>
        <v>-576.95150590176127</v>
      </c>
      <c r="AX337" s="60">
        <f t="shared" si="813"/>
        <v>-566.09587874384761</v>
      </c>
      <c r="AY337" s="60">
        <f t="shared" si="813"/>
        <v>-555.03769818395267</v>
      </c>
      <c r="AZ337" s="60">
        <f t="shared" si="813"/>
        <v>-543.7592475099791</v>
      </c>
      <c r="BA337" s="60">
        <f t="shared" si="813"/>
        <v>-653.78708546746566</v>
      </c>
      <c r="BB337" s="60">
        <f t="shared" si="813"/>
        <v>-646.47251852572663</v>
      </c>
      <c r="BC337" s="60">
        <f t="shared" si="813"/>
        <v>-638.95448394053346</v>
      </c>
      <c r="BD337" s="60">
        <f t="shared" si="813"/>
        <v>-631.21635301027527</v>
      </c>
      <c r="BE337" s="60">
        <f t="shared" ref="BE337:CP337" si="814">+BE290-BD290</f>
        <v>-623.24159787997087</v>
      </c>
      <c r="BF337" s="60">
        <f t="shared" si="814"/>
        <v>-615.01587544332688</v>
      </c>
      <c r="BG337" s="60">
        <f t="shared" si="814"/>
        <v>-606.52117808094408</v>
      </c>
      <c r="BH337" s="60">
        <f t="shared" si="814"/>
        <v>-597.74431841934347</v>
      </c>
      <c r="BI337" s="60">
        <f t="shared" si="814"/>
        <v>-588.6668400450726</v>
      </c>
      <c r="BJ337" s="60">
        <f t="shared" si="814"/>
        <v>-579.27530508056952</v>
      </c>
      <c r="BK337" s="60">
        <f t="shared" si="814"/>
        <v>-569.55204892551956</v>
      </c>
      <c r="BL337" s="60">
        <f t="shared" si="814"/>
        <v>-559.48202186060371</v>
      </c>
      <c r="BM337" s="60">
        <f t="shared" si="814"/>
        <v>-549.04933576932126</v>
      </c>
      <c r="BN337" s="60">
        <f t="shared" si="814"/>
        <v>-538.23834142842679</v>
      </c>
      <c r="BO337" s="60">
        <f t="shared" si="814"/>
        <v>-527.03277377393533</v>
      </c>
      <c r="BP337" s="60">
        <f t="shared" si="814"/>
        <v>-515.41655895964141</v>
      </c>
      <c r="BQ337" s="60">
        <f t="shared" si="814"/>
        <v>-503.37353037167486</v>
      </c>
      <c r="BR337" s="60">
        <f t="shared" si="814"/>
        <v>-491.16059265486911</v>
      </c>
      <c r="BS337" s="60">
        <f t="shared" si="814"/>
        <v>-506.71536165295038</v>
      </c>
      <c r="BT337" s="60">
        <f t="shared" si="814"/>
        <v>-519.61564286050998</v>
      </c>
      <c r="BU337" s="60">
        <f t="shared" si="814"/>
        <v>-507.98041136700704</v>
      </c>
      <c r="BV337" s="60">
        <f t="shared" si="814"/>
        <v>-495.92003118348293</v>
      </c>
      <c r="BW337" s="60">
        <f t="shared" si="814"/>
        <v>-483.420211638193</v>
      </c>
      <c r="BX337" s="60">
        <f t="shared" si="814"/>
        <v>-470.46575662375835</v>
      </c>
      <c r="BY337" s="60">
        <f t="shared" si="814"/>
        <v>-457.04347329474695</v>
      </c>
      <c r="BZ337" s="60">
        <f t="shared" si="814"/>
        <v>-443.13659068114066</v>
      </c>
      <c r="CA337" s="60">
        <f t="shared" si="814"/>
        <v>-428.73109974194813</v>
      </c>
      <c r="CB337" s="60">
        <f t="shared" si="814"/>
        <v>-413.81045092413842</v>
      </c>
      <c r="CC337" s="60">
        <f t="shared" si="814"/>
        <v>-401.63037354882908</v>
      </c>
      <c r="CD337" s="60">
        <f t="shared" si="814"/>
        <v>-424.97231753068627</v>
      </c>
      <c r="CE337" s="60">
        <f t="shared" si="814"/>
        <v>-409.90975239954423</v>
      </c>
      <c r="CF337" s="60">
        <f t="shared" si="814"/>
        <v>-394.30398185495505</v>
      </c>
      <c r="CG337" s="60">
        <f t="shared" si="814"/>
        <v>-378.13906748564114</v>
      </c>
      <c r="CH337" s="60">
        <f t="shared" si="814"/>
        <v>-725.51332978026767</v>
      </c>
      <c r="CI337" s="60">
        <f t="shared" si="814"/>
        <v>-721.34911406322135</v>
      </c>
      <c r="CJ337" s="60">
        <f t="shared" si="814"/>
        <v>-716.84399461981229</v>
      </c>
      <c r="CK337" s="60">
        <f t="shared" si="814"/>
        <v>-711.98797540055966</v>
      </c>
      <c r="CL337" s="60">
        <f t="shared" si="814"/>
        <v>-706.77066010627095</v>
      </c>
      <c r="CM337" s="60">
        <f t="shared" si="814"/>
        <v>-701.18048101351451</v>
      </c>
      <c r="CN337" s="60">
        <f t="shared" si="814"/>
        <v>-695.20597420179911</v>
      </c>
      <c r="CO337" s="60">
        <f t="shared" si="814"/>
        <v>-688.83525369479685</v>
      </c>
      <c r="CP337" s="60">
        <f t="shared" si="814"/>
        <v>-703.60110907228591</v>
      </c>
      <c r="CQ337" s="23" t="s">
        <v>77</v>
      </c>
      <c r="DD337" s="8"/>
      <c r="DE337" s="8"/>
      <c r="DF337" s="8"/>
      <c r="DG337" s="8"/>
      <c r="DH337" s="8"/>
      <c r="DI337" s="8"/>
      <c r="DJ337" s="8"/>
      <c r="DK337" s="8"/>
    </row>
    <row r="338" spans="2:115" ht="11.25" hidden="1" customHeight="1" outlineLevel="1" x14ac:dyDescent="0.2">
      <c r="B338" s="410" t="s">
        <v>130</v>
      </c>
      <c r="C338" s="498"/>
      <c r="D338" s="499"/>
      <c r="E338" s="499"/>
      <c r="F338" s="499"/>
      <c r="G338" s="499"/>
      <c r="H338" s="499"/>
      <c r="I338" s="499"/>
      <c r="J338" s="499"/>
      <c r="K338" s="501">
        <f>SUM(K335:K337)</f>
        <v>613.68399999999997</v>
      </c>
      <c r="L338" s="501">
        <f>SUM(L335:L337)</f>
        <v>-22.324999999999974</v>
      </c>
      <c r="M338" s="501">
        <f t="shared" ref="M338:BD338" si="815">SUM(M335:M337)</f>
        <v>569.34299999999996</v>
      </c>
      <c r="N338" s="501">
        <f t="shared" si="815"/>
        <v>89.416999999999859</v>
      </c>
      <c r="O338" s="501">
        <f t="shared" si="815"/>
        <v>28.255000000000138</v>
      </c>
      <c r="P338" s="502">
        <f t="shared" si="815"/>
        <v>116.63899999999997</v>
      </c>
      <c r="Q338" s="503">
        <f t="shared" si="815"/>
        <v>272.54900000000004</v>
      </c>
      <c r="R338" s="503">
        <f t="shared" si="815"/>
        <v>-53.569000000000031</v>
      </c>
      <c r="S338" s="503">
        <f t="shared" si="815"/>
        <v>898.26800000000037</v>
      </c>
      <c r="T338" s="63">
        <f t="shared" si="815"/>
        <v>-15.823000000000206</v>
      </c>
      <c r="U338" s="63">
        <f t="shared" si="815"/>
        <v>1886.1599999999999</v>
      </c>
      <c r="V338" s="63">
        <f t="shared" si="815"/>
        <v>-353.53999999999962</v>
      </c>
      <c r="W338" s="63">
        <f t="shared" si="815"/>
        <v>-50.927999999999969</v>
      </c>
      <c r="X338" s="63">
        <f t="shared" si="815"/>
        <v>301.44657190494502</v>
      </c>
      <c r="Y338" s="63">
        <f t="shared" si="815"/>
        <v>-234.31136350790121</v>
      </c>
      <c r="Z338" s="63">
        <f t="shared" si="815"/>
        <v>-220.11788313874621</v>
      </c>
      <c r="AA338" s="63">
        <f t="shared" si="815"/>
        <v>-240.7854557740136</v>
      </c>
      <c r="AB338" s="63">
        <f t="shared" si="815"/>
        <v>-252.77202529876172</v>
      </c>
      <c r="AC338" s="63">
        <f t="shared" si="815"/>
        <v>-215.27691667255135</v>
      </c>
      <c r="AD338" s="63">
        <f t="shared" si="815"/>
        <v>-176.55754482537282</v>
      </c>
      <c r="AE338" s="63">
        <f t="shared" si="815"/>
        <v>-145.12401034226468</v>
      </c>
      <c r="AF338" s="63">
        <f t="shared" si="815"/>
        <v>-128.47871332314844</v>
      </c>
      <c r="AG338" s="63">
        <f t="shared" si="815"/>
        <v>-120.08668729971623</v>
      </c>
      <c r="AH338" s="63">
        <f t="shared" si="815"/>
        <v>-91.590135459718567</v>
      </c>
      <c r="AI338" s="63">
        <f t="shared" si="815"/>
        <v>-155.67001010645026</v>
      </c>
      <c r="AJ338" s="63">
        <f t="shared" si="815"/>
        <v>-195.18416495231759</v>
      </c>
      <c r="AK338" s="63">
        <f t="shared" si="815"/>
        <v>-196.76463167065867</v>
      </c>
      <c r="AL338" s="63">
        <f t="shared" si="815"/>
        <v>-168.53337270695965</v>
      </c>
      <c r="AM338" s="63">
        <f t="shared" si="815"/>
        <v>-141.06368396581865</v>
      </c>
      <c r="AN338" s="63">
        <f t="shared" si="815"/>
        <v>-121.90503149738242</v>
      </c>
      <c r="AO338" s="63">
        <f t="shared" si="815"/>
        <v>-123.67593177127765</v>
      </c>
      <c r="AP338" s="63">
        <f t="shared" si="815"/>
        <v>-474.40777995994267</v>
      </c>
      <c r="AQ338" s="63">
        <f t="shared" si="815"/>
        <v>-450.89049520194794</v>
      </c>
      <c r="AR338" s="63">
        <f t="shared" si="815"/>
        <v>-505.27594324037636</v>
      </c>
      <c r="AS338" s="63">
        <f t="shared" si="815"/>
        <v>-579.52656316388493</v>
      </c>
      <c r="AT338" s="63">
        <f t="shared" si="815"/>
        <v>-584.76071551066616</v>
      </c>
      <c r="AU338" s="63">
        <f t="shared" si="815"/>
        <v>-566.79234904935765</v>
      </c>
      <c r="AV338" s="63">
        <f t="shared" si="815"/>
        <v>-557.47668972124211</v>
      </c>
      <c r="AW338" s="63">
        <f t="shared" si="815"/>
        <v>-576.95150590176127</v>
      </c>
      <c r="AX338" s="63">
        <f t="shared" si="815"/>
        <v>-566.09587874384761</v>
      </c>
      <c r="AY338" s="63">
        <f t="shared" si="815"/>
        <v>-555.03769818395267</v>
      </c>
      <c r="AZ338" s="63">
        <f t="shared" si="815"/>
        <v>-543.7592475099791</v>
      </c>
      <c r="BA338" s="63">
        <f t="shared" si="815"/>
        <v>-653.78708546746566</v>
      </c>
      <c r="BB338" s="63">
        <f t="shared" si="815"/>
        <v>-646.47251852572663</v>
      </c>
      <c r="BC338" s="63">
        <f t="shared" si="815"/>
        <v>-638.95448394053346</v>
      </c>
      <c r="BD338" s="63">
        <f t="shared" si="815"/>
        <v>-631.21635301027527</v>
      </c>
      <c r="BE338" s="63">
        <f t="shared" ref="BE338:CP338" si="816">SUM(BE335:BE337)</f>
        <v>-623.24159787997087</v>
      </c>
      <c r="BF338" s="63">
        <f t="shared" si="816"/>
        <v>-615.01587544332688</v>
      </c>
      <c r="BG338" s="63">
        <f t="shared" si="816"/>
        <v>-606.52117808094408</v>
      </c>
      <c r="BH338" s="63">
        <f t="shared" si="816"/>
        <v>-597.74431841934347</v>
      </c>
      <c r="BI338" s="63">
        <f t="shared" si="816"/>
        <v>-588.6668400450726</v>
      </c>
      <c r="BJ338" s="63">
        <f t="shared" si="816"/>
        <v>-579.27530508056952</v>
      </c>
      <c r="BK338" s="63">
        <f t="shared" si="816"/>
        <v>-569.55204892551956</v>
      </c>
      <c r="BL338" s="63">
        <f t="shared" si="816"/>
        <v>-559.48202186060371</v>
      </c>
      <c r="BM338" s="63">
        <f t="shared" si="816"/>
        <v>-549.04933576932126</v>
      </c>
      <c r="BN338" s="63">
        <f t="shared" si="816"/>
        <v>-538.23834142842679</v>
      </c>
      <c r="BO338" s="63">
        <f t="shared" si="816"/>
        <v>-527.03277377393533</v>
      </c>
      <c r="BP338" s="63">
        <f t="shared" si="816"/>
        <v>-515.41655895964141</v>
      </c>
      <c r="BQ338" s="63">
        <f t="shared" si="816"/>
        <v>-503.37353037167486</v>
      </c>
      <c r="BR338" s="63">
        <f t="shared" si="816"/>
        <v>-491.16059265486911</v>
      </c>
      <c r="BS338" s="63">
        <f t="shared" si="816"/>
        <v>-506.71536165295038</v>
      </c>
      <c r="BT338" s="63">
        <f t="shared" si="816"/>
        <v>-519.61564286050998</v>
      </c>
      <c r="BU338" s="63">
        <f t="shared" si="816"/>
        <v>-507.98041136700704</v>
      </c>
      <c r="BV338" s="63">
        <f t="shared" si="816"/>
        <v>-495.92003118348293</v>
      </c>
      <c r="BW338" s="63">
        <f t="shared" si="816"/>
        <v>-483.420211638193</v>
      </c>
      <c r="BX338" s="63">
        <f t="shared" si="816"/>
        <v>-470.46575662375835</v>
      </c>
      <c r="BY338" s="63">
        <f t="shared" si="816"/>
        <v>-457.04347329474695</v>
      </c>
      <c r="BZ338" s="63">
        <f t="shared" si="816"/>
        <v>-443.13659068114066</v>
      </c>
      <c r="CA338" s="63">
        <f t="shared" si="816"/>
        <v>-428.73109974194813</v>
      </c>
      <c r="CB338" s="63">
        <f t="shared" si="816"/>
        <v>-413.81045092413842</v>
      </c>
      <c r="CC338" s="63">
        <f t="shared" si="816"/>
        <v>-401.63037354882908</v>
      </c>
      <c r="CD338" s="63">
        <f t="shared" si="816"/>
        <v>-424.97231753068627</v>
      </c>
      <c r="CE338" s="63">
        <f t="shared" si="816"/>
        <v>-409.90975239954423</v>
      </c>
      <c r="CF338" s="63">
        <f t="shared" si="816"/>
        <v>-394.30398185495505</v>
      </c>
      <c r="CG338" s="63">
        <f t="shared" si="816"/>
        <v>-378.13906748564114</v>
      </c>
      <c r="CH338" s="63">
        <f t="shared" si="816"/>
        <v>-725.51332978026767</v>
      </c>
      <c r="CI338" s="63">
        <f t="shared" si="816"/>
        <v>-721.34911406322135</v>
      </c>
      <c r="CJ338" s="63">
        <f t="shared" si="816"/>
        <v>-716.84399461981229</v>
      </c>
      <c r="CK338" s="63">
        <f t="shared" si="816"/>
        <v>-711.98797540055966</v>
      </c>
      <c r="CL338" s="63">
        <f t="shared" si="816"/>
        <v>-706.77066010627095</v>
      </c>
      <c r="CM338" s="63">
        <f t="shared" si="816"/>
        <v>-701.18048101351451</v>
      </c>
      <c r="CN338" s="63">
        <f t="shared" si="816"/>
        <v>-695.20597420179911</v>
      </c>
      <c r="CO338" s="63">
        <f t="shared" si="816"/>
        <v>-688.83525369479685</v>
      </c>
      <c r="CP338" s="63">
        <f t="shared" si="816"/>
        <v>-703.60110907228591</v>
      </c>
      <c r="CQ338" s="23" t="s">
        <v>77</v>
      </c>
      <c r="DD338" s="8"/>
      <c r="DE338" s="8"/>
      <c r="DF338" s="8"/>
      <c r="DG338" s="8"/>
      <c r="DH338" s="8"/>
      <c r="DI338" s="8"/>
      <c r="DJ338" s="8"/>
      <c r="DK338" s="8"/>
    </row>
    <row r="339" spans="2:115" ht="11.25" hidden="1" customHeight="1" outlineLevel="1" x14ac:dyDescent="0.2">
      <c r="B339" s="487" t="s">
        <v>131</v>
      </c>
      <c r="C339" s="475"/>
      <c r="D339" s="64"/>
      <c r="E339" s="64"/>
      <c r="F339" s="64"/>
      <c r="G339" s="64"/>
      <c r="H339" s="64"/>
      <c r="I339" s="64"/>
      <c r="J339" s="64"/>
      <c r="K339" s="64">
        <f t="shared" ref="K339:AP339" si="817">-K126</f>
        <v>-109.508</v>
      </c>
      <c r="L339" s="64">
        <f t="shared" si="817"/>
        <v>-62.545999999999999</v>
      </c>
      <c r="M339" s="64">
        <f t="shared" si="817"/>
        <v>-56.76</v>
      </c>
      <c r="N339" s="64">
        <f t="shared" si="817"/>
        <v>-67.191999999999993</v>
      </c>
      <c r="O339" s="64">
        <f t="shared" si="817"/>
        <v>-78.772000000000006</v>
      </c>
      <c r="P339" s="64">
        <f t="shared" si="817"/>
        <v>-100.358</v>
      </c>
      <c r="Q339" s="64">
        <f t="shared" si="817"/>
        <v>-108.509</v>
      </c>
      <c r="R339" s="64">
        <f t="shared" si="817"/>
        <v>-130.65</v>
      </c>
      <c r="S339" s="64">
        <f t="shared" si="817"/>
        <v>-298.767</v>
      </c>
      <c r="T339" s="64">
        <f t="shared" si="817"/>
        <v>-343.70500000000004</v>
      </c>
      <c r="U339" s="64">
        <f t="shared" si="817"/>
        <v>-560.92999999999995</v>
      </c>
      <c r="V339" s="64">
        <f t="shared" si="817"/>
        <v>-179.30099999999987</v>
      </c>
      <c r="W339" s="64">
        <f t="shared" si="817"/>
        <v>-236.84599999999961</v>
      </c>
      <c r="X339" s="64">
        <f t="shared" si="817"/>
        <v>-282.43762748494544</v>
      </c>
      <c r="Y339" s="64">
        <f t="shared" si="817"/>
        <v>-312.35454904209882</v>
      </c>
      <c r="Z339" s="64">
        <f t="shared" si="817"/>
        <v>-352.1115459662538</v>
      </c>
      <c r="AA339" s="64">
        <f t="shared" si="817"/>
        <v>-349.14179072598643</v>
      </c>
      <c r="AB339" s="64">
        <f t="shared" si="817"/>
        <v>-337.15522120123831</v>
      </c>
      <c r="AC339" s="64">
        <f t="shared" si="817"/>
        <v>-374.65032982744867</v>
      </c>
      <c r="AD339" s="64">
        <f t="shared" si="817"/>
        <v>-413.36970167462709</v>
      </c>
      <c r="AE339" s="64">
        <f t="shared" si="817"/>
        <v>-444.80323615773523</v>
      </c>
      <c r="AF339" s="64">
        <f t="shared" si="817"/>
        <v>-461.44853317685158</v>
      </c>
      <c r="AG339" s="64">
        <f t="shared" si="817"/>
        <v>-469.84055920028374</v>
      </c>
      <c r="AH339" s="64">
        <f t="shared" si="817"/>
        <v>-498.33711104028157</v>
      </c>
      <c r="AI339" s="64">
        <f t="shared" si="817"/>
        <v>-434.25723639354965</v>
      </c>
      <c r="AJ339" s="64">
        <f t="shared" si="817"/>
        <v>-394.74308154768232</v>
      </c>
      <c r="AK339" s="64">
        <f t="shared" si="817"/>
        <v>-393.16261482934135</v>
      </c>
      <c r="AL339" s="64">
        <f t="shared" si="817"/>
        <v>-421.39387379304043</v>
      </c>
      <c r="AM339" s="64">
        <f t="shared" si="817"/>
        <v>-448.86356253418137</v>
      </c>
      <c r="AN339" s="64">
        <f t="shared" si="817"/>
        <v>-468.02221500261771</v>
      </c>
      <c r="AO339" s="64">
        <f t="shared" si="817"/>
        <v>-466.25131472872249</v>
      </c>
      <c r="AP339" s="64">
        <f t="shared" si="817"/>
        <v>-115.51946654005735</v>
      </c>
      <c r="AQ339" s="64">
        <f t="shared" ref="AQ339:BV339" si="818">-AQ126</f>
        <v>-139.036751298052</v>
      </c>
      <c r="AR339" s="64">
        <f t="shared" si="818"/>
        <v>-84.651303259623745</v>
      </c>
      <c r="AS339" s="64">
        <f t="shared" si="818"/>
        <v>-10.400683336115584</v>
      </c>
      <c r="AT339" s="64">
        <f t="shared" si="818"/>
        <v>-5.1665309893337685</v>
      </c>
      <c r="AU339" s="64">
        <f t="shared" si="818"/>
        <v>-23.134897450642725</v>
      </c>
      <c r="AV339" s="64">
        <f t="shared" si="818"/>
        <v>-32.450556778757935</v>
      </c>
      <c r="AW339" s="64">
        <f t="shared" si="818"/>
        <v>-12.975740598238712</v>
      </c>
      <c r="AX339" s="64">
        <f t="shared" si="818"/>
        <v>-23.831367756152549</v>
      </c>
      <c r="AY339" s="64">
        <f t="shared" si="818"/>
        <v>-34.889548316046977</v>
      </c>
      <c r="AZ339" s="64">
        <f t="shared" si="818"/>
        <v>-46.167998990020557</v>
      </c>
      <c r="BA339" s="64">
        <f t="shared" si="818"/>
        <v>63.85983896746653</v>
      </c>
      <c r="BB339" s="64">
        <f t="shared" si="818"/>
        <v>56.54527202572806</v>
      </c>
      <c r="BC339" s="64">
        <f t="shared" si="818"/>
        <v>49.027237440534677</v>
      </c>
      <c r="BD339" s="64">
        <f t="shared" si="818"/>
        <v>41.289106510275502</v>
      </c>
      <c r="BE339" s="64">
        <f t="shared" si="818"/>
        <v>33.314351379971029</v>
      </c>
      <c r="BF339" s="64">
        <f t="shared" si="818"/>
        <v>25.088628943326661</v>
      </c>
      <c r="BG339" s="64">
        <f t="shared" si="818"/>
        <v>16.593931580945242</v>
      </c>
      <c r="BH339" s="64">
        <f t="shared" si="818"/>
        <v>7.8170719193431406</v>
      </c>
      <c r="BI339" s="64">
        <f t="shared" si="818"/>
        <v>-1.2604064549260898</v>
      </c>
      <c r="BJ339" s="64">
        <f t="shared" si="818"/>
        <v>-10.651941419429079</v>
      </c>
      <c r="BK339" s="64">
        <f t="shared" si="818"/>
        <v>-20.375197574480481</v>
      </c>
      <c r="BL339" s="64">
        <f t="shared" si="818"/>
        <v>-30.445224639396507</v>
      </c>
      <c r="BM339" s="64">
        <f t="shared" si="818"/>
        <v>-40.87791073067757</v>
      </c>
      <c r="BN339" s="64">
        <f t="shared" si="818"/>
        <v>-51.688905071573316</v>
      </c>
      <c r="BO339" s="64">
        <f t="shared" si="818"/>
        <v>-62.894472726064329</v>
      </c>
      <c r="BP339" s="64">
        <f t="shared" si="818"/>
        <v>-74.510687540356912</v>
      </c>
      <c r="BQ339" s="64">
        <f t="shared" si="818"/>
        <v>-86.553716128325618</v>
      </c>
      <c r="BR339" s="64">
        <f t="shared" si="818"/>
        <v>-98.7666538451316</v>
      </c>
      <c r="BS339" s="64">
        <f t="shared" si="818"/>
        <v>-83.211884847050129</v>
      </c>
      <c r="BT339" s="64">
        <f t="shared" si="818"/>
        <v>-70.311603639488638</v>
      </c>
      <c r="BU339" s="64">
        <f t="shared" si="818"/>
        <v>-81.946835132990913</v>
      </c>
      <c r="BV339" s="64">
        <f t="shared" si="818"/>
        <v>-94.007215316515456</v>
      </c>
      <c r="BW339" s="64">
        <f t="shared" ref="BW339:CP339" si="819">-BW126</f>
        <v>-106.50703486180825</v>
      </c>
      <c r="BX339" s="64">
        <f t="shared" si="819"/>
        <v>-119.46148987624215</v>
      </c>
      <c r="BY339" s="64">
        <f t="shared" si="819"/>
        <v>-132.88377320525072</v>
      </c>
      <c r="BZ339" s="64">
        <f t="shared" si="819"/>
        <v>-146.79065581885766</v>
      </c>
      <c r="CA339" s="64">
        <f t="shared" si="819"/>
        <v>-161.19614675805252</v>
      </c>
      <c r="CB339" s="64">
        <f t="shared" si="819"/>
        <v>-176.11679557586217</v>
      </c>
      <c r="CC339" s="64">
        <f t="shared" si="819"/>
        <v>-188.29687295116946</v>
      </c>
      <c r="CD339" s="64">
        <f t="shared" si="819"/>
        <v>-164.95492896931208</v>
      </c>
      <c r="CE339" s="64">
        <f t="shared" si="819"/>
        <v>-180.01749410045625</v>
      </c>
      <c r="CF339" s="64">
        <f t="shared" si="819"/>
        <v>-195.62326464504491</v>
      </c>
      <c r="CG339" s="64">
        <f t="shared" si="819"/>
        <v>-211.7881790143573</v>
      </c>
      <c r="CH339" s="64">
        <f t="shared" si="819"/>
        <v>135.58608328026929</v>
      </c>
      <c r="CI339" s="64">
        <f t="shared" si="819"/>
        <v>131.42186756322204</v>
      </c>
      <c r="CJ339" s="64">
        <f t="shared" si="819"/>
        <v>126.91674811981417</v>
      </c>
      <c r="CK339" s="64">
        <f t="shared" si="819"/>
        <v>122.06072890055984</v>
      </c>
      <c r="CL339" s="64">
        <f t="shared" si="819"/>
        <v>116.84341360627167</v>
      </c>
      <c r="CM339" s="64">
        <f t="shared" si="819"/>
        <v>111.25323451351592</v>
      </c>
      <c r="CN339" s="64">
        <f t="shared" si="819"/>
        <v>105.27872770179893</v>
      </c>
      <c r="CO339" s="64">
        <f t="shared" si="819"/>
        <v>98.908007194797506</v>
      </c>
      <c r="CP339" s="64">
        <f t="shared" si="819"/>
        <v>113.67386257228807</v>
      </c>
      <c r="CQ339" s="23" t="s">
        <v>77</v>
      </c>
      <c r="DD339" s="8"/>
      <c r="DE339" s="8"/>
      <c r="DF339" s="8"/>
      <c r="DG339" s="8"/>
      <c r="DH339" s="8"/>
      <c r="DI339" s="8"/>
      <c r="DJ339" s="8"/>
      <c r="DK339" s="8"/>
    </row>
    <row r="340" spans="2:115" ht="11.25" hidden="1" customHeight="1" outlineLevel="1" x14ac:dyDescent="0.2">
      <c r="B340" s="487" t="s">
        <v>422</v>
      </c>
      <c r="C340" s="475"/>
      <c r="D340" s="64"/>
      <c r="E340" s="64"/>
      <c r="F340" s="64"/>
      <c r="G340" s="64"/>
      <c r="H340" s="64"/>
      <c r="I340" s="64"/>
      <c r="J340" s="64"/>
      <c r="K340" s="64">
        <f t="shared" ref="K340:AP340" si="820">-K173</f>
        <v>-28.558999999999969</v>
      </c>
      <c r="L340" s="475">
        <f t="shared" si="820"/>
        <v>-1.2860000000000014</v>
      </c>
      <c r="M340" s="475">
        <f t="shared" si="820"/>
        <v>-151.52000000000004</v>
      </c>
      <c r="N340" s="475">
        <f t="shared" si="820"/>
        <v>-36.538999999999987</v>
      </c>
      <c r="O340" s="475">
        <f t="shared" si="820"/>
        <v>-30.423000000000002</v>
      </c>
      <c r="P340" s="475">
        <f t="shared" si="820"/>
        <v>-43.654999999999973</v>
      </c>
      <c r="Q340" s="475">
        <f t="shared" si="820"/>
        <v>-91.797000000000025</v>
      </c>
      <c r="R340" s="475">
        <f t="shared" si="820"/>
        <v>-10.370000000000005</v>
      </c>
      <c r="S340" s="475">
        <f t="shared" si="820"/>
        <v>-191.26499999999999</v>
      </c>
      <c r="T340" s="475">
        <f t="shared" si="820"/>
        <v>0</v>
      </c>
      <c r="U340" s="475">
        <f t="shared" si="820"/>
        <v>-278.55600000000004</v>
      </c>
      <c r="V340" s="475">
        <f t="shared" si="820"/>
        <v>0</v>
      </c>
      <c r="W340" s="475">
        <f t="shared" si="820"/>
        <v>0</v>
      </c>
      <c r="X340" s="475">
        <f t="shared" si="820"/>
        <v>-65.547493000000031</v>
      </c>
      <c r="Y340" s="475">
        <f t="shared" si="820"/>
        <v>0</v>
      </c>
      <c r="Z340" s="475">
        <f t="shared" si="820"/>
        <v>0</v>
      </c>
      <c r="AA340" s="475">
        <f t="shared" si="820"/>
        <v>0</v>
      </c>
      <c r="AB340" s="475">
        <f t="shared" si="820"/>
        <v>0</v>
      </c>
      <c r="AC340" s="475">
        <f t="shared" si="820"/>
        <v>0</v>
      </c>
      <c r="AD340" s="475">
        <f t="shared" si="820"/>
        <v>0</v>
      </c>
      <c r="AE340" s="475">
        <f t="shared" si="820"/>
        <v>0</v>
      </c>
      <c r="AF340" s="475">
        <f t="shared" si="820"/>
        <v>0</v>
      </c>
      <c r="AG340" s="475">
        <f t="shared" si="820"/>
        <v>0</v>
      </c>
      <c r="AH340" s="475">
        <f t="shared" si="820"/>
        <v>0</v>
      </c>
      <c r="AI340" s="475">
        <f t="shared" si="820"/>
        <v>0</v>
      </c>
      <c r="AJ340" s="475">
        <f t="shared" si="820"/>
        <v>0</v>
      </c>
      <c r="AK340" s="475">
        <f t="shared" si="820"/>
        <v>0</v>
      </c>
      <c r="AL340" s="475">
        <f t="shared" si="820"/>
        <v>0</v>
      </c>
      <c r="AM340" s="475">
        <f t="shared" si="820"/>
        <v>0</v>
      </c>
      <c r="AN340" s="475">
        <f t="shared" si="820"/>
        <v>0</v>
      </c>
      <c r="AO340" s="475">
        <f t="shared" si="820"/>
        <v>0</v>
      </c>
      <c r="AP340" s="475">
        <f t="shared" si="820"/>
        <v>0</v>
      </c>
      <c r="AQ340" s="475">
        <f t="shared" ref="AQ340:BV340" si="821">-AQ173</f>
        <v>0</v>
      </c>
      <c r="AR340" s="475">
        <f t="shared" si="821"/>
        <v>0</v>
      </c>
      <c r="AS340" s="475">
        <f t="shared" si="821"/>
        <v>0</v>
      </c>
      <c r="AT340" s="475">
        <f t="shared" si="821"/>
        <v>0</v>
      </c>
      <c r="AU340" s="475">
        <f t="shared" si="821"/>
        <v>0</v>
      </c>
      <c r="AV340" s="475">
        <f t="shared" si="821"/>
        <v>0</v>
      </c>
      <c r="AW340" s="475">
        <f t="shared" si="821"/>
        <v>0</v>
      </c>
      <c r="AX340" s="475">
        <f t="shared" si="821"/>
        <v>0</v>
      </c>
      <c r="AY340" s="475">
        <f t="shared" si="821"/>
        <v>0</v>
      </c>
      <c r="AZ340" s="475">
        <f t="shared" si="821"/>
        <v>0</v>
      </c>
      <c r="BA340" s="475">
        <f t="shared" si="821"/>
        <v>0</v>
      </c>
      <c r="BB340" s="475">
        <f t="shared" si="821"/>
        <v>0</v>
      </c>
      <c r="BC340" s="475">
        <f t="shared" si="821"/>
        <v>0</v>
      </c>
      <c r="BD340" s="475">
        <f t="shared" si="821"/>
        <v>0</v>
      </c>
      <c r="BE340" s="475">
        <f t="shared" si="821"/>
        <v>0</v>
      </c>
      <c r="BF340" s="475">
        <f t="shared" si="821"/>
        <v>0</v>
      </c>
      <c r="BG340" s="475">
        <f t="shared" si="821"/>
        <v>0</v>
      </c>
      <c r="BH340" s="475">
        <f t="shared" si="821"/>
        <v>0</v>
      </c>
      <c r="BI340" s="475">
        <f t="shared" si="821"/>
        <v>0</v>
      </c>
      <c r="BJ340" s="475">
        <f t="shared" si="821"/>
        <v>0</v>
      </c>
      <c r="BK340" s="475">
        <f t="shared" si="821"/>
        <v>0</v>
      </c>
      <c r="BL340" s="475">
        <f t="shared" si="821"/>
        <v>0</v>
      </c>
      <c r="BM340" s="475">
        <f t="shared" si="821"/>
        <v>0</v>
      </c>
      <c r="BN340" s="475">
        <f t="shared" si="821"/>
        <v>0</v>
      </c>
      <c r="BO340" s="475">
        <f t="shared" si="821"/>
        <v>0</v>
      </c>
      <c r="BP340" s="475">
        <f t="shared" si="821"/>
        <v>0</v>
      </c>
      <c r="BQ340" s="475">
        <f t="shared" si="821"/>
        <v>0</v>
      </c>
      <c r="BR340" s="475">
        <f t="shared" si="821"/>
        <v>0</v>
      </c>
      <c r="BS340" s="475">
        <f t="shared" si="821"/>
        <v>0</v>
      </c>
      <c r="BT340" s="475">
        <f t="shared" si="821"/>
        <v>0</v>
      </c>
      <c r="BU340" s="475">
        <f t="shared" si="821"/>
        <v>0</v>
      </c>
      <c r="BV340" s="475">
        <f t="shared" si="821"/>
        <v>0</v>
      </c>
      <c r="BW340" s="475">
        <f t="shared" ref="BW340:CP340" si="822">-BW173</f>
        <v>0</v>
      </c>
      <c r="BX340" s="475">
        <f t="shared" si="822"/>
        <v>0</v>
      </c>
      <c r="BY340" s="475">
        <f t="shared" si="822"/>
        <v>0</v>
      </c>
      <c r="BZ340" s="475">
        <f t="shared" si="822"/>
        <v>0</v>
      </c>
      <c r="CA340" s="475">
        <f t="shared" si="822"/>
        <v>0</v>
      </c>
      <c r="CB340" s="475">
        <f t="shared" si="822"/>
        <v>0</v>
      </c>
      <c r="CC340" s="475">
        <f t="shared" si="822"/>
        <v>0</v>
      </c>
      <c r="CD340" s="475">
        <f t="shared" si="822"/>
        <v>0</v>
      </c>
      <c r="CE340" s="475">
        <f t="shared" si="822"/>
        <v>0</v>
      </c>
      <c r="CF340" s="475">
        <f t="shared" si="822"/>
        <v>0</v>
      </c>
      <c r="CG340" s="475">
        <f t="shared" si="822"/>
        <v>0</v>
      </c>
      <c r="CH340" s="475">
        <f t="shared" si="822"/>
        <v>0</v>
      </c>
      <c r="CI340" s="475">
        <f t="shared" si="822"/>
        <v>0</v>
      </c>
      <c r="CJ340" s="475">
        <f t="shared" si="822"/>
        <v>0</v>
      </c>
      <c r="CK340" s="475">
        <f t="shared" si="822"/>
        <v>0</v>
      </c>
      <c r="CL340" s="475">
        <f t="shared" si="822"/>
        <v>0</v>
      </c>
      <c r="CM340" s="475">
        <f t="shared" si="822"/>
        <v>0</v>
      </c>
      <c r="CN340" s="475">
        <f t="shared" si="822"/>
        <v>0</v>
      </c>
      <c r="CO340" s="475">
        <f t="shared" si="822"/>
        <v>0</v>
      </c>
      <c r="CP340" s="475">
        <f t="shared" si="822"/>
        <v>0</v>
      </c>
      <c r="CQ340" s="23" t="s">
        <v>77</v>
      </c>
      <c r="DD340" s="8"/>
      <c r="DE340" s="8"/>
      <c r="DF340" s="8"/>
      <c r="DG340" s="8"/>
      <c r="DH340" s="8"/>
      <c r="DI340" s="8"/>
      <c r="DJ340" s="8"/>
      <c r="DK340" s="8"/>
    </row>
    <row r="341" spans="2:115" hidden="1" outlineLevel="1" x14ac:dyDescent="0.2">
      <c r="B341" s="1" t="s">
        <v>132</v>
      </c>
      <c r="D341" s="3"/>
      <c r="E341" s="3"/>
      <c r="F341" s="3"/>
      <c r="G341" s="3"/>
      <c r="H341" s="3"/>
      <c r="I341" s="3"/>
      <c r="J341" s="3"/>
      <c r="K341" s="3">
        <f>+K338+K339+K340</f>
        <v>475.61700000000002</v>
      </c>
      <c r="L341" s="3">
        <f>+L338+L339+L340</f>
        <v>-86.156999999999982</v>
      </c>
      <c r="M341" s="3">
        <f t="shared" ref="M341:BD341" si="823">+M338+M339+M340</f>
        <v>361.06299999999993</v>
      </c>
      <c r="N341" s="3">
        <f t="shared" si="823"/>
        <v>-14.314000000000121</v>
      </c>
      <c r="O341" s="3">
        <f t="shared" si="823"/>
        <v>-80.93999999999987</v>
      </c>
      <c r="P341" s="3">
        <f t="shared" si="823"/>
        <v>-27.374000000000009</v>
      </c>
      <c r="Q341" s="3">
        <f t="shared" si="823"/>
        <v>72.242999999999995</v>
      </c>
      <c r="R341" s="3">
        <f t="shared" si="823"/>
        <v>-194.58900000000006</v>
      </c>
      <c r="S341" s="3">
        <f t="shared" si="823"/>
        <v>408.23600000000044</v>
      </c>
      <c r="T341" s="33">
        <f t="shared" si="823"/>
        <v>-359.52800000000025</v>
      </c>
      <c r="U341" s="33">
        <f t="shared" si="823"/>
        <v>1046.674</v>
      </c>
      <c r="V341" s="33">
        <f t="shared" si="823"/>
        <v>-532.84099999999944</v>
      </c>
      <c r="W341" s="33">
        <f t="shared" si="823"/>
        <v>-287.77399999999955</v>
      </c>
      <c r="X341" s="33">
        <f t="shared" si="823"/>
        <v>-46.538548580000452</v>
      </c>
      <c r="Y341" s="33">
        <f t="shared" si="823"/>
        <v>-546.66591255000003</v>
      </c>
      <c r="Z341" s="33">
        <f t="shared" si="823"/>
        <v>-572.22942910500001</v>
      </c>
      <c r="AA341" s="33">
        <f t="shared" si="823"/>
        <v>-589.92724650000002</v>
      </c>
      <c r="AB341" s="33">
        <f t="shared" si="823"/>
        <v>-589.92724650000002</v>
      </c>
      <c r="AC341" s="33">
        <f t="shared" si="823"/>
        <v>-589.92724650000002</v>
      </c>
      <c r="AD341" s="33">
        <f t="shared" si="823"/>
        <v>-589.92724649999991</v>
      </c>
      <c r="AE341" s="33">
        <f t="shared" si="823"/>
        <v>-589.92724649999991</v>
      </c>
      <c r="AF341" s="33">
        <f t="shared" si="823"/>
        <v>-589.92724650000002</v>
      </c>
      <c r="AG341" s="33">
        <f t="shared" si="823"/>
        <v>-589.92724649999991</v>
      </c>
      <c r="AH341" s="33">
        <f t="shared" si="823"/>
        <v>-589.92724650000014</v>
      </c>
      <c r="AI341" s="33">
        <f t="shared" si="823"/>
        <v>-589.92724649999991</v>
      </c>
      <c r="AJ341" s="33">
        <f t="shared" si="823"/>
        <v>-589.92724649999991</v>
      </c>
      <c r="AK341" s="33">
        <f t="shared" si="823"/>
        <v>-589.92724650000002</v>
      </c>
      <c r="AL341" s="33">
        <f t="shared" si="823"/>
        <v>-589.92724650000014</v>
      </c>
      <c r="AM341" s="33">
        <f t="shared" si="823"/>
        <v>-589.92724650000002</v>
      </c>
      <c r="AN341" s="33">
        <f t="shared" si="823"/>
        <v>-589.92724650000014</v>
      </c>
      <c r="AO341" s="33">
        <f t="shared" si="823"/>
        <v>-589.92724650000014</v>
      </c>
      <c r="AP341" s="33">
        <f t="shared" si="823"/>
        <v>-589.92724650000002</v>
      </c>
      <c r="AQ341" s="33">
        <f t="shared" si="823"/>
        <v>-589.92724649999991</v>
      </c>
      <c r="AR341" s="33">
        <f t="shared" si="823"/>
        <v>-589.92724650000014</v>
      </c>
      <c r="AS341" s="33">
        <f t="shared" si="823"/>
        <v>-589.92724650000048</v>
      </c>
      <c r="AT341" s="33">
        <f t="shared" si="823"/>
        <v>-589.92724649999991</v>
      </c>
      <c r="AU341" s="33">
        <f t="shared" si="823"/>
        <v>-589.92724650000036</v>
      </c>
      <c r="AV341" s="33">
        <f t="shared" si="823"/>
        <v>-589.92724650000002</v>
      </c>
      <c r="AW341" s="33">
        <f t="shared" si="823"/>
        <v>-589.92724650000002</v>
      </c>
      <c r="AX341" s="33">
        <f t="shared" si="823"/>
        <v>-589.92724650000014</v>
      </c>
      <c r="AY341" s="33">
        <f t="shared" si="823"/>
        <v>-589.92724649999968</v>
      </c>
      <c r="AZ341" s="33">
        <f t="shared" si="823"/>
        <v>-589.92724649999968</v>
      </c>
      <c r="BA341" s="33">
        <f t="shared" si="823"/>
        <v>-589.92724649999911</v>
      </c>
      <c r="BB341" s="33">
        <f t="shared" si="823"/>
        <v>-589.92724649999855</v>
      </c>
      <c r="BC341" s="33">
        <f t="shared" si="823"/>
        <v>-589.92724649999877</v>
      </c>
      <c r="BD341" s="33">
        <f t="shared" si="823"/>
        <v>-589.9272464999998</v>
      </c>
      <c r="BE341" s="33">
        <f t="shared" ref="BE341:CP341" si="824">+BE338+BE339+BE340</f>
        <v>-589.9272464999998</v>
      </c>
      <c r="BF341" s="33">
        <f t="shared" si="824"/>
        <v>-589.92724650000025</v>
      </c>
      <c r="BG341" s="33">
        <f t="shared" si="824"/>
        <v>-589.92724649999889</v>
      </c>
      <c r="BH341" s="33">
        <f t="shared" si="824"/>
        <v>-589.92724650000036</v>
      </c>
      <c r="BI341" s="33">
        <f t="shared" si="824"/>
        <v>-589.92724649999866</v>
      </c>
      <c r="BJ341" s="33">
        <f t="shared" si="824"/>
        <v>-589.92724649999855</v>
      </c>
      <c r="BK341" s="33">
        <f t="shared" si="824"/>
        <v>-589.92724650000002</v>
      </c>
      <c r="BL341" s="33">
        <f t="shared" si="824"/>
        <v>-589.92724650000025</v>
      </c>
      <c r="BM341" s="33">
        <f t="shared" si="824"/>
        <v>-589.92724649999877</v>
      </c>
      <c r="BN341" s="33">
        <f t="shared" si="824"/>
        <v>-589.92724650000014</v>
      </c>
      <c r="BO341" s="33">
        <f t="shared" si="824"/>
        <v>-589.92724649999968</v>
      </c>
      <c r="BP341" s="33">
        <f t="shared" si="824"/>
        <v>-589.92724649999832</v>
      </c>
      <c r="BQ341" s="33">
        <f t="shared" si="824"/>
        <v>-589.92724650000048</v>
      </c>
      <c r="BR341" s="33">
        <f t="shared" si="824"/>
        <v>-589.92724650000071</v>
      </c>
      <c r="BS341" s="33">
        <f t="shared" si="824"/>
        <v>-589.92724650000048</v>
      </c>
      <c r="BT341" s="33">
        <f t="shared" si="824"/>
        <v>-589.92724649999866</v>
      </c>
      <c r="BU341" s="33">
        <f t="shared" si="824"/>
        <v>-589.92724649999798</v>
      </c>
      <c r="BV341" s="33">
        <f t="shared" si="824"/>
        <v>-589.92724649999843</v>
      </c>
      <c r="BW341" s="33">
        <f t="shared" si="824"/>
        <v>-589.92724650000127</v>
      </c>
      <c r="BX341" s="33">
        <f t="shared" si="824"/>
        <v>-589.92724650000048</v>
      </c>
      <c r="BY341" s="33">
        <f t="shared" si="824"/>
        <v>-589.92724649999764</v>
      </c>
      <c r="BZ341" s="33">
        <f t="shared" si="824"/>
        <v>-589.92724649999832</v>
      </c>
      <c r="CA341" s="33">
        <f t="shared" si="824"/>
        <v>-589.92724650000059</v>
      </c>
      <c r="CB341" s="33">
        <f t="shared" si="824"/>
        <v>-589.92724650000059</v>
      </c>
      <c r="CC341" s="33">
        <f t="shared" si="824"/>
        <v>-589.92724649999855</v>
      </c>
      <c r="CD341" s="33">
        <f t="shared" si="824"/>
        <v>-589.92724649999832</v>
      </c>
      <c r="CE341" s="33">
        <f t="shared" si="824"/>
        <v>-589.92724650000048</v>
      </c>
      <c r="CF341" s="33">
        <f t="shared" si="824"/>
        <v>-589.92724649999991</v>
      </c>
      <c r="CG341" s="33">
        <f t="shared" si="824"/>
        <v>-589.92724649999843</v>
      </c>
      <c r="CH341" s="33">
        <f t="shared" si="824"/>
        <v>-589.92724649999832</v>
      </c>
      <c r="CI341" s="33">
        <f t="shared" si="824"/>
        <v>-589.92724649999934</v>
      </c>
      <c r="CJ341" s="33">
        <f t="shared" si="824"/>
        <v>-589.92724649999809</v>
      </c>
      <c r="CK341" s="33">
        <f t="shared" si="824"/>
        <v>-589.9272464999998</v>
      </c>
      <c r="CL341" s="33">
        <f t="shared" si="824"/>
        <v>-589.92724649999923</v>
      </c>
      <c r="CM341" s="33">
        <f t="shared" si="824"/>
        <v>-589.92724649999855</v>
      </c>
      <c r="CN341" s="33">
        <f t="shared" si="824"/>
        <v>-589.92724650000014</v>
      </c>
      <c r="CO341" s="33">
        <f t="shared" si="824"/>
        <v>-589.92724649999934</v>
      </c>
      <c r="CP341" s="33">
        <f t="shared" si="824"/>
        <v>-589.92724649999786</v>
      </c>
      <c r="CQ341" s="23" t="s">
        <v>77</v>
      </c>
      <c r="DD341" s="8"/>
      <c r="DE341" s="8"/>
      <c r="DF341" s="8"/>
      <c r="DG341" s="8"/>
      <c r="DH341" s="8"/>
      <c r="DI341" s="8"/>
      <c r="DJ341" s="8"/>
      <c r="DK341" s="8"/>
    </row>
    <row r="342" spans="2:115" hidden="1" outlineLevel="1" x14ac:dyDescent="0.2">
      <c r="CQ342" s="23" t="s">
        <v>77</v>
      </c>
      <c r="DD342" s="8"/>
      <c r="DE342" s="8"/>
      <c r="DF342" s="8"/>
      <c r="DG342" s="8"/>
      <c r="DH342" s="8"/>
      <c r="DI342" s="8"/>
      <c r="DJ342" s="8"/>
      <c r="DK342" s="8"/>
    </row>
    <row r="343" spans="2:115" hidden="1" outlineLevel="1" x14ac:dyDescent="0.2">
      <c r="B343" s="358" t="s">
        <v>435</v>
      </c>
      <c r="C343" s="218"/>
      <c r="D343" s="66"/>
      <c r="E343" s="66"/>
      <c r="F343" s="66"/>
      <c r="G343" s="66"/>
      <c r="H343" s="66"/>
      <c r="I343" s="66"/>
      <c r="J343" s="66"/>
      <c r="K343" s="66"/>
      <c r="L343" s="66"/>
      <c r="M343" s="66"/>
      <c r="N343" s="66"/>
      <c r="O343" s="66"/>
      <c r="P343" s="66"/>
      <c r="Q343" s="66"/>
      <c r="R343" s="66"/>
      <c r="S343" s="66"/>
      <c r="T343" s="66"/>
      <c r="U343" s="66"/>
      <c r="V343" s="66"/>
      <c r="W343" s="66"/>
      <c r="X343" s="66"/>
      <c r="Y343" s="66"/>
      <c r="Z343" s="66"/>
      <c r="AA343" s="66"/>
      <c r="AB343" s="66"/>
      <c r="AC343" s="66"/>
      <c r="AD343" s="66"/>
      <c r="AE343" s="66"/>
      <c r="AF343" s="66"/>
      <c r="AG343" s="66"/>
      <c r="AH343" s="66"/>
      <c r="AI343" s="66"/>
      <c r="AJ343" s="66"/>
      <c r="AK343" s="66"/>
      <c r="AL343" s="66"/>
      <c r="AM343" s="66"/>
      <c r="AN343" s="66"/>
      <c r="AO343" s="66"/>
      <c r="AP343" s="66"/>
      <c r="AQ343" s="66"/>
      <c r="AR343" s="66"/>
      <c r="AS343" s="66"/>
      <c r="AT343" s="66"/>
      <c r="AU343" s="66"/>
      <c r="AV343" s="66"/>
      <c r="AW343" s="66"/>
      <c r="AX343" s="66"/>
      <c r="AY343" s="66"/>
      <c r="AZ343" s="66"/>
      <c r="BA343" s="66"/>
      <c r="BB343" s="66"/>
      <c r="BC343" s="66"/>
      <c r="BD343" s="66"/>
      <c r="BE343" s="66"/>
      <c r="BF343" s="66"/>
      <c r="BG343" s="66"/>
      <c r="BH343" s="66"/>
      <c r="BI343" s="66"/>
      <c r="BJ343" s="66"/>
      <c r="BK343" s="66"/>
      <c r="BL343" s="66"/>
      <c r="BM343" s="66"/>
      <c r="BN343" s="66"/>
      <c r="BO343" s="66"/>
      <c r="BP343" s="66"/>
      <c r="BQ343" s="66"/>
      <c r="BR343" s="66"/>
      <c r="BS343" s="66"/>
      <c r="BT343" s="66"/>
      <c r="BU343" s="66"/>
      <c r="BV343" s="66"/>
      <c r="BW343" s="66"/>
      <c r="BX343" s="66"/>
      <c r="BY343" s="66"/>
      <c r="BZ343" s="66"/>
      <c r="CA343" s="66"/>
      <c r="CB343" s="66"/>
      <c r="CC343" s="66"/>
      <c r="CD343" s="66"/>
      <c r="CE343" s="66"/>
      <c r="CF343" s="66"/>
      <c r="CG343" s="66"/>
      <c r="CH343" s="66"/>
      <c r="CI343" s="66"/>
      <c r="CJ343" s="66"/>
      <c r="CK343" s="66"/>
      <c r="CL343" s="66"/>
      <c r="CM343" s="66"/>
      <c r="CN343" s="66"/>
      <c r="CO343" s="66"/>
      <c r="CP343" s="66"/>
      <c r="CQ343" s="23" t="s">
        <v>77</v>
      </c>
      <c r="DD343" s="8"/>
      <c r="DE343" s="8"/>
      <c r="DF343" s="8"/>
      <c r="DG343" s="8"/>
      <c r="DH343" s="8"/>
      <c r="DI343" s="8"/>
      <c r="DJ343" s="8"/>
      <c r="DK343" s="8"/>
    </row>
    <row r="344" spans="2:115" hidden="1" outlineLevel="1" x14ac:dyDescent="0.2">
      <c r="B344" s="8" t="s">
        <v>432</v>
      </c>
      <c r="C344" s="447"/>
      <c r="D344" s="447"/>
      <c r="E344" s="447"/>
      <c r="F344" s="447"/>
      <c r="G344" s="447"/>
      <c r="H344" s="447"/>
      <c r="I344" s="447"/>
      <c r="J344" s="447"/>
      <c r="K344" s="624">
        <f>+Valuation!$D$33</f>
        <v>0.7</v>
      </c>
      <c r="L344" s="624">
        <f>+Valuation!$D$33</f>
        <v>0.7</v>
      </c>
      <c r="M344" s="624">
        <f>+Valuation!$D$33</f>
        <v>0.7</v>
      </c>
      <c r="N344" s="624">
        <f>+Valuation!$D$33</f>
        <v>0.7</v>
      </c>
      <c r="O344" s="624">
        <f>+Valuation!$D$33</f>
        <v>0.7</v>
      </c>
      <c r="P344" s="624">
        <f>+Valuation!$D$33</f>
        <v>0.7</v>
      </c>
      <c r="Q344" s="624">
        <f>+Valuation!$D$33</f>
        <v>0.7</v>
      </c>
      <c r="R344" s="624">
        <f>+Valuation!$D$33</f>
        <v>0.7</v>
      </c>
      <c r="S344" s="624">
        <f>+Valuation!$D$33</f>
        <v>0.7</v>
      </c>
      <c r="T344" s="624">
        <f>+Valuation!$D$33</f>
        <v>0.7</v>
      </c>
      <c r="U344" s="624">
        <f>+Valuation!$D$33</f>
        <v>0.7</v>
      </c>
      <c r="V344" s="624">
        <f>+Valuation!$D$33</f>
        <v>0.7</v>
      </c>
      <c r="W344" s="624">
        <f>+Valuation!$D$33</f>
        <v>0.7</v>
      </c>
      <c r="X344" s="624">
        <f>+Valuation!$D$33</f>
        <v>0.7</v>
      </c>
      <c r="Y344" s="624">
        <f>+Valuation!$D$33</f>
        <v>0.7</v>
      </c>
      <c r="Z344" s="624">
        <f>+Valuation!$D$33</f>
        <v>0.7</v>
      </c>
      <c r="AA344" s="624">
        <f>+Valuation!$D$33</f>
        <v>0.7</v>
      </c>
      <c r="AB344" s="624">
        <f>+Valuation!$D$33</f>
        <v>0.7</v>
      </c>
      <c r="AC344" s="624">
        <f>+Valuation!$D$33</f>
        <v>0.7</v>
      </c>
      <c r="AD344" s="624">
        <f>+Valuation!$D$33</f>
        <v>0.7</v>
      </c>
      <c r="AE344" s="624">
        <f>+Valuation!$D$33</f>
        <v>0.7</v>
      </c>
      <c r="AF344" s="624">
        <f>+Valuation!$D$33</f>
        <v>0.7</v>
      </c>
      <c r="AG344" s="624">
        <f>+Valuation!$D$33</f>
        <v>0.7</v>
      </c>
      <c r="AH344" s="624">
        <f>+Valuation!$D$33</f>
        <v>0.7</v>
      </c>
      <c r="AI344" s="624">
        <f>+Valuation!$D$33</f>
        <v>0.7</v>
      </c>
      <c r="AJ344" s="624">
        <f>+Valuation!$D$33</f>
        <v>0.7</v>
      </c>
      <c r="AK344" s="624">
        <f>+Valuation!$D$33</f>
        <v>0.7</v>
      </c>
      <c r="AL344" s="624">
        <f>+Valuation!$D$33</f>
        <v>0.7</v>
      </c>
      <c r="AM344" s="624">
        <f>+Valuation!$D$33</f>
        <v>0.7</v>
      </c>
      <c r="AN344" s="624">
        <f>+Valuation!$D$33</f>
        <v>0.7</v>
      </c>
      <c r="AO344" s="624">
        <f>+Valuation!$D$33</f>
        <v>0.7</v>
      </c>
      <c r="AP344" s="624">
        <f>+Valuation!$D$33</f>
        <v>0.7</v>
      </c>
      <c r="AQ344" s="624">
        <f>+Valuation!$D$33</f>
        <v>0.7</v>
      </c>
      <c r="AR344" s="624">
        <f>+Valuation!$D$33</f>
        <v>0.7</v>
      </c>
      <c r="AS344" s="624">
        <f>+Valuation!$D$33</f>
        <v>0.7</v>
      </c>
      <c r="AT344" s="624">
        <f>+Valuation!$D$33</f>
        <v>0.7</v>
      </c>
      <c r="AU344" s="624">
        <f>+Valuation!$D$33</f>
        <v>0.7</v>
      </c>
      <c r="AV344" s="624">
        <f>+Valuation!$D$33</f>
        <v>0.7</v>
      </c>
      <c r="AW344" s="624">
        <f>+Valuation!$D$33</f>
        <v>0.7</v>
      </c>
      <c r="AX344" s="624">
        <f>+Valuation!$D$33</f>
        <v>0.7</v>
      </c>
      <c r="AY344" s="624">
        <f>+Valuation!$D$33</f>
        <v>0.7</v>
      </c>
      <c r="AZ344" s="624">
        <f>+Valuation!$D$33</f>
        <v>0.7</v>
      </c>
      <c r="BA344" s="624">
        <f>+Valuation!$D$33</f>
        <v>0.7</v>
      </c>
      <c r="BB344" s="624">
        <f>+Valuation!$D$33</f>
        <v>0.7</v>
      </c>
      <c r="BC344" s="624">
        <f>+Valuation!$D$33</f>
        <v>0.7</v>
      </c>
      <c r="BD344" s="624">
        <f>+Valuation!$D$33</f>
        <v>0.7</v>
      </c>
      <c r="BE344" s="624">
        <f>+Valuation!$D$33</f>
        <v>0.7</v>
      </c>
      <c r="BF344" s="624">
        <f>+Valuation!$D$33</f>
        <v>0.7</v>
      </c>
      <c r="BG344" s="624">
        <f>+Valuation!$D$33</f>
        <v>0.7</v>
      </c>
      <c r="BH344" s="624">
        <f>+Valuation!$D$33</f>
        <v>0.7</v>
      </c>
      <c r="BI344" s="624">
        <f>+Valuation!$D$33</f>
        <v>0.7</v>
      </c>
      <c r="BJ344" s="624">
        <f>+Valuation!$D$33</f>
        <v>0.7</v>
      </c>
      <c r="BK344" s="624">
        <f>+Valuation!$D$33</f>
        <v>0.7</v>
      </c>
      <c r="BL344" s="624">
        <f>+Valuation!$D$33</f>
        <v>0.7</v>
      </c>
      <c r="BM344" s="624">
        <f>+Valuation!$D$33</f>
        <v>0.7</v>
      </c>
      <c r="BN344" s="624">
        <f>+Valuation!$D$33</f>
        <v>0.7</v>
      </c>
      <c r="BO344" s="624">
        <f>+Valuation!$D$33</f>
        <v>0.7</v>
      </c>
      <c r="BP344" s="624">
        <f>+Valuation!$D$33</f>
        <v>0.7</v>
      </c>
      <c r="BQ344" s="624">
        <f>+Valuation!$D$33</f>
        <v>0.7</v>
      </c>
      <c r="BR344" s="624">
        <f>+Valuation!$D$33</f>
        <v>0.7</v>
      </c>
      <c r="BS344" s="624">
        <f>+Valuation!$D$33</f>
        <v>0.7</v>
      </c>
      <c r="BT344" s="624">
        <f>+Valuation!$D$33</f>
        <v>0.7</v>
      </c>
      <c r="BU344" s="624">
        <f>+Valuation!$D$33</f>
        <v>0.7</v>
      </c>
      <c r="BV344" s="624">
        <f>+Valuation!$D$33</f>
        <v>0.7</v>
      </c>
      <c r="BW344" s="624">
        <f>+Valuation!$D$33</f>
        <v>0.7</v>
      </c>
      <c r="BX344" s="624">
        <f>+Valuation!$D$33</f>
        <v>0.7</v>
      </c>
      <c r="BY344" s="624">
        <f>+Valuation!$D$33</f>
        <v>0.7</v>
      </c>
      <c r="BZ344" s="624">
        <f>+Valuation!$D$33</f>
        <v>0.7</v>
      </c>
      <c r="CA344" s="624">
        <f>+Valuation!$D$33</f>
        <v>0.7</v>
      </c>
      <c r="CB344" s="624">
        <f>+Valuation!$D$33</f>
        <v>0.7</v>
      </c>
      <c r="CC344" s="624">
        <f>+Valuation!$D$33</f>
        <v>0.7</v>
      </c>
      <c r="CD344" s="624">
        <f>+Valuation!$D$33</f>
        <v>0.7</v>
      </c>
      <c r="CE344" s="624">
        <f>+Valuation!$D$33</f>
        <v>0.7</v>
      </c>
      <c r="CF344" s="624">
        <f>+Valuation!$D$33</f>
        <v>0.7</v>
      </c>
      <c r="CG344" s="624">
        <f>+Valuation!$D$33</f>
        <v>0.7</v>
      </c>
      <c r="CH344" s="624">
        <f>+Valuation!$D$33</f>
        <v>0.7</v>
      </c>
      <c r="CI344" s="624">
        <f>+Valuation!$D$33</f>
        <v>0.7</v>
      </c>
      <c r="CJ344" s="624">
        <f>+Valuation!$D$33</f>
        <v>0.7</v>
      </c>
      <c r="CK344" s="624">
        <f>+Valuation!$D$33</f>
        <v>0.7</v>
      </c>
      <c r="CL344" s="624">
        <f>+Valuation!$D$33</f>
        <v>0.7</v>
      </c>
      <c r="CM344" s="624">
        <f>+Valuation!$D$33</f>
        <v>0.7</v>
      </c>
      <c r="CN344" s="624">
        <f>+Valuation!$D$33</f>
        <v>0.7</v>
      </c>
      <c r="CO344" s="624">
        <f>+Valuation!$D$33</f>
        <v>0.7</v>
      </c>
      <c r="CP344" s="624">
        <f>+Valuation!$D$33</f>
        <v>0.7</v>
      </c>
      <c r="CQ344" s="23" t="s">
        <v>77</v>
      </c>
      <c r="DD344" s="8"/>
      <c r="DE344" s="8"/>
      <c r="DF344" s="8"/>
      <c r="DG344" s="8"/>
      <c r="DH344" s="8"/>
      <c r="DI344" s="8"/>
      <c r="DJ344" s="8"/>
      <c r="DK344" s="8"/>
    </row>
    <row r="345" spans="2:115" hidden="1" outlineLevel="1" x14ac:dyDescent="0.2">
      <c r="B345" s="8" t="s">
        <v>72</v>
      </c>
      <c r="C345" s="10"/>
      <c r="D345" s="10"/>
      <c r="E345" s="10"/>
      <c r="F345" s="10"/>
      <c r="G345" s="10"/>
      <c r="H345" s="10"/>
      <c r="I345" s="10"/>
      <c r="J345" s="10"/>
      <c r="K345" s="626">
        <f>+Valuation!$D$52</f>
        <v>6.6630405405405407E-2</v>
      </c>
      <c r="L345" s="626">
        <f>+Valuation!$D$52</f>
        <v>6.6630405405405407E-2</v>
      </c>
      <c r="M345" s="626">
        <f>+Valuation!$D$52</f>
        <v>6.6630405405405407E-2</v>
      </c>
      <c r="N345" s="626">
        <f>+Valuation!$D$52</f>
        <v>6.6630405405405407E-2</v>
      </c>
      <c r="O345" s="626">
        <f>+Valuation!$D$52</f>
        <v>6.6630405405405407E-2</v>
      </c>
      <c r="P345" s="626">
        <f>+Valuation!$D$52</f>
        <v>6.6630405405405407E-2</v>
      </c>
      <c r="Q345" s="626">
        <f>+Valuation!$D$52</f>
        <v>6.6630405405405407E-2</v>
      </c>
      <c r="R345" s="626">
        <f>+Valuation!$D$52</f>
        <v>6.6630405405405407E-2</v>
      </c>
      <c r="S345" s="626">
        <f>+Valuation!$D$52</f>
        <v>6.6630405405405407E-2</v>
      </c>
      <c r="T345" s="626">
        <f>+Valuation!$D$52</f>
        <v>6.6630405405405407E-2</v>
      </c>
      <c r="U345" s="626">
        <f>+Valuation!$D$52</f>
        <v>6.6630405405405407E-2</v>
      </c>
      <c r="V345" s="626">
        <f>+Valuation!$D$52</f>
        <v>6.6630405405405407E-2</v>
      </c>
      <c r="W345" s="626">
        <f>+Valuation!$D$52</f>
        <v>6.6630405405405407E-2</v>
      </c>
      <c r="X345" s="626">
        <f>+Valuation!$D$52</f>
        <v>6.6630405405405407E-2</v>
      </c>
      <c r="Y345" s="626">
        <f>+Valuation!$D$52</f>
        <v>6.6630405405405407E-2</v>
      </c>
      <c r="Z345" s="626">
        <f>+Valuation!$D$52</f>
        <v>6.6630405405405407E-2</v>
      </c>
      <c r="AA345" s="626">
        <f>+Valuation!$D$52</f>
        <v>6.6630405405405407E-2</v>
      </c>
      <c r="AB345" s="626">
        <f>+Valuation!$D$52</f>
        <v>6.6630405405405407E-2</v>
      </c>
      <c r="AC345" s="626">
        <f>+Valuation!$D$52</f>
        <v>6.6630405405405407E-2</v>
      </c>
      <c r="AD345" s="626">
        <f>+Valuation!$D$52</f>
        <v>6.6630405405405407E-2</v>
      </c>
      <c r="AE345" s="626">
        <f>+Valuation!$D$52</f>
        <v>6.6630405405405407E-2</v>
      </c>
      <c r="AF345" s="626">
        <f>+Valuation!$D$52</f>
        <v>6.6630405405405407E-2</v>
      </c>
      <c r="AG345" s="626">
        <f>+Valuation!$D$52</f>
        <v>6.6630405405405407E-2</v>
      </c>
      <c r="AH345" s="626">
        <f>+Valuation!$D$52</f>
        <v>6.6630405405405407E-2</v>
      </c>
      <c r="AI345" s="626">
        <f>+Valuation!$D$52</f>
        <v>6.6630405405405407E-2</v>
      </c>
      <c r="AJ345" s="626">
        <f>+Valuation!$D$52</f>
        <v>6.6630405405405407E-2</v>
      </c>
      <c r="AK345" s="626">
        <f>+Valuation!$D$52</f>
        <v>6.6630405405405407E-2</v>
      </c>
      <c r="AL345" s="626">
        <f>+Valuation!$D$52</f>
        <v>6.6630405405405407E-2</v>
      </c>
      <c r="AM345" s="626">
        <f>+Valuation!$D$52</f>
        <v>6.6630405405405407E-2</v>
      </c>
      <c r="AN345" s="626">
        <f>+Valuation!$D$52</f>
        <v>6.6630405405405407E-2</v>
      </c>
      <c r="AO345" s="626">
        <f>+Valuation!$D$52</f>
        <v>6.6630405405405407E-2</v>
      </c>
      <c r="AP345" s="626">
        <f>+Valuation!$D$52</f>
        <v>6.6630405405405407E-2</v>
      </c>
      <c r="AQ345" s="626">
        <f>+Valuation!$D$52</f>
        <v>6.6630405405405407E-2</v>
      </c>
      <c r="AR345" s="626">
        <f>+Valuation!$D$52</f>
        <v>6.6630405405405407E-2</v>
      </c>
      <c r="AS345" s="626">
        <f>+Valuation!$D$52</f>
        <v>6.6630405405405407E-2</v>
      </c>
      <c r="AT345" s="626">
        <f>+Valuation!$D$52</f>
        <v>6.6630405405405407E-2</v>
      </c>
      <c r="AU345" s="626">
        <f>+Valuation!$D$52</f>
        <v>6.6630405405405407E-2</v>
      </c>
      <c r="AV345" s="626">
        <f>+Valuation!$D$52</f>
        <v>6.6630405405405407E-2</v>
      </c>
      <c r="AW345" s="626">
        <f>+Valuation!$D$52</f>
        <v>6.6630405405405407E-2</v>
      </c>
      <c r="AX345" s="626">
        <f>+Valuation!$D$52</f>
        <v>6.6630405405405407E-2</v>
      </c>
      <c r="AY345" s="626">
        <f>+Valuation!$D$52</f>
        <v>6.6630405405405407E-2</v>
      </c>
      <c r="AZ345" s="626">
        <f>+Valuation!$D$52</f>
        <v>6.6630405405405407E-2</v>
      </c>
      <c r="BA345" s="626">
        <f>+Valuation!$D$52</f>
        <v>6.6630405405405407E-2</v>
      </c>
      <c r="BB345" s="626">
        <f>+Valuation!$D$52</f>
        <v>6.6630405405405407E-2</v>
      </c>
      <c r="BC345" s="626">
        <f>+Valuation!$D$52</f>
        <v>6.6630405405405407E-2</v>
      </c>
      <c r="BD345" s="626">
        <f>+Valuation!$D$52</f>
        <v>6.6630405405405407E-2</v>
      </c>
      <c r="BE345" s="626">
        <f>+Valuation!$D$52</f>
        <v>6.6630405405405407E-2</v>
      </c>
      <c r="BF345" s="626">
        <f>+Valuation!$D$52</f>
        <v>6.6630405405405407E-2</v>
      </c>
      <c r="BG345" s="626">
        <f>+Valuation!$D$52</f>
        <v>6.6630405405405407E-2</v>
      </c>
      <c r="BH345" s="626">
        <f>+Valuation!$D$52</f>
        <v>6.6630405405405407E-2</v>
      </c>
      <c r="BI345" s="626">
        <f>+Valuation!$D$52</f>
        <v>6.6630405405405407E-2</v>
      </c>
      <c r="BJ345" s="626">
        <f>+Valuation!$D$52</f>
        <v>6.6630405405405407E-2</v>
      </c>
      <c r="BK345" s="626">
        <f>+Valuation!$D$52</f>
        <v>6.6630405405405407E-2</v>
      </c>
      <c r="BL345" s="626">
        <f>+Valuation!$D$52</f>
        <v>6.6630405405405407E-2</v>
      </c>
      <c r="BM345" s="626">
        <f>+Valuation!$D$52</f>
        <v>6.6630405405405407E-2</v>
      </c>
      <c r="BN345" s="626">
        <f>+Valuation!$D$52</f>
        <v>6.6630405405405407E-2</v>
      </c>
      <c r="BO345" s="626">
        <f>+Valuation!$D$52</f>
        <v>6.6630405405405407E-2</v>
      </c>
      <c r="BP345" s="626">
        <f>+Valuation!$D$52</f>
        <v>6.6630405405405407E-2</v>
      </c>
      <c r="BQ345" s="626">
        <f>+Valuation!$D$52</f>
        <v>6.6630405405405407E-2</v>
      </c>
      <c r="BR345" s="626">
        <f>+Valuation!$D$52</f>
        <v>6.6630405405405407E-2</v>
      </c>
      <c r="BS345" s="626">
        <f>+Valuation!$D$52</f>
        <v>6.6630405405405407E-2</v>
      </c>
      <c r="BT345" s="626">
        <f>+Valuation!$D$52</f>
        <v>6.6630405405405407E-2</v>
      </c>
      <c r="BU345" s="626">
        <f>+Valuation!$D$52</f>
        <v>6.6630405405405407E-2</v>
      </c>
      <c r="BV345" s="626">
        <f>+Valuation!$D$52</f>
        <v>6.6630405405405407E-2</v>
      </c>
      <c r="BW345" s="626">
        <f>+Valuation!$D$52</f>
        <v>6.6630405405405407E-2</v>
      </c>
      <c r="BX345" s="626">
        <f>+Valuation!$D$52</f>
        <v>6.6630405405405407E-2</v>
      </c>
      <c r="BY345" s="626">
        <f>+Valuation!$D$52</f>
        <v>6.6630405405405407E-2</v>
      </c>
      <c r="BZ345" s="626">
        <f>+Valuation!$D$52</f>
        <v>6.6630405405405407E-2</v>
      </c>
      <c r="CA345" s="626">
        <f>+Valuation!$D$52</f>
        <v>6.6630405405405407E-2</v>
      </c>
      <c r="CB345" s="626">
        <f>+Valuation!$D$52</f>
        <v>6.6630405405405407E-2</v>
      </c>
      <c r="CC345" s="626">
        <f>+Valuation!$D$52</f>
        <v>6.6630405405405407E-2</v>
      </c>
      <c r="CD345" s="626">
        <f>+Valuation!$D$52</f>
        <v>6.6630405405405407E-2</v>
      </c>
      <c r="CE345" s="626">
        <f>+Valuation!$D$52</f>
        <v>6.6630405405405407E-2</v>
      </c>
      <c r="CF345" s="626">
        <f>+Valuation!$D$52</f>
        <v>6.6630405405405407E-2</v>
      </c>
      <c r="CG345" s="626">
        <f>+Valuation!$D$52</f>
        <v>6.6630405405405407E-2</v>
      </c>
      <c r="CH345" s="626">
        <f>+Valuation!$D$52</f>
        <v>6.6630405405405407E-2</v>
      </c>
      <c r="CI345" s="626">
        <f>+Valuation!$D$52</f>
        <v>6.6630405405405407E-2</v>
      </c>
      <c r="CJ345" s="626">
        <f>+Valuation!$D$52</f>
        <v>6.6630405405405407E-2</v>
      </c>
      <c r="CK345" s="626">
        <f>+Valuation!$D$52</f>
        <v>6.6630405405405407E-2</v>
      </c>
      <c r="CL345" s="626">
        <f>+Valuation!$D$52</f>
        <v>6.6630405405405407E-2</v>
      </c>
      <c r="CM345" s="626">
        <f>+Valuation!$D$52</f>
        <v>6.6630405405405407E-2</v>
      </c>
      <c r="CN345" s="626">
        <f>+Valuation!$D$52</f>
        <v>6.6630405405405407E-2</v>
      </c>
      <c r="CO345" s="626">
        <f>+Valuation!$D$52</f>
        <v>6.6630405405405407E-2</v>
      </c>
      <c r="CP345" s="626">
        <f>+Valuation!$D$52</f>
        <v>6.6630405405405407E-2</v>
      </c>
      <c r="CQ345" s="23" t="s">
        <v>77</v>
      </c>
    </row>
    <row r="346" spans="2:115" hidden="1" outlineLevel="1" x14ac:dyDescent="0.2">
      <c r="B346" s="8" t="s">
        <v>433</v>
      </c>
      <c r="C346" s="10"/>
      <c r="D346" s="10"/>
      <c r="E346" s="10"/>
      <c r="F346" s="10"/>
      <c r="G346" s="10"/>
      <c r="H346" s="10"/>
      <c r="I346" s="10"/>
      <c r="J346" s="10"/>
      <c r="K346" s="626">
        <f>+Valuation!$D$26</f>
        <v>4.2000000000000003E-2</v>
      </c>
      <c r="L346" s="626">
        <f>+Valuation!$D$26</f>
        <v>4.2000000000000003E-2</v>
      </c>
      <c r="M346" s="626">
        <f>+Valuation!$D$26</f>
        <v>4.2000000000000003E-2</v>
      </c>
      <c r="N346" s="626">
        <f>+Valuation!$D$26</f>
        <v>4.2000000000000003E-2</v>
      </c>
      <c r="O346" s="626">
        <f>+Valuation!$D$26</f>
        <v>4.2000000000000003E-2</v>
      </c>
      <c r="P346" s="626">
        <f>+Valuation!$D$26</f>
        <v>4.2000000000000003E-2</v>
      </c>
      <c r="Q346" s="626">
        <f>+Valuation!$D$26</f>
        <v>4.2000000000000003E-2</v>
      </c>
      <c r="R346" s="626">
        <f>+Valuation!$D$26</f>
        <v>4.2000000000000003E-2</v>
      </c>
      <c r="S346" s="626">
        <f>+Valuation!$D$26</f>
        <v>4.2000000000000003E-2</v>
      </c>
      <c r="T346" s="626">
        <f>+Valuation!$D$26</f>
        <v>4.2000000000000003E-2</v>
      </c>
      <c r="U346" s="626">
        <f>+Valuation!$D$26</f>
        <v>4.2000000000000003E-2</v>
      </c>
      <c r="V346" s="626">
        <f>+Valuation!$D$26</f>
        <v>4.2000000000000003E-2</v>
      </c>
      <c r="W346" s="626">
        <f>+Valuation!$D$26</f>
        <v>4.2000000000000003E-2</v>
      </c>
      <c r="X346" s="626">
        <f>+Valuation!$D$26</f>
        <v>4.2000000000000003E-2</v>
      </c>
      <c r="Y346" s="626">
        <f>+Valuation!$D$26</f>
        <v>4.2000000000000003E-2</v>
      </c>
      <c r="Z346" s="626">
        <f>+Valuation!$D$26</f>
        <v>4.2000000000000003E-2</v>
      </c>
      <c r="AA346" s="626">
        <f>+Valuation!$D$26</f>
        <v>4.2000000000000003E-2</v>
      </c>
      <c r="AB346" s="626">
        <f>+Valuation!$D$26</f>
        <v>4.2000000000000003E-2</v>
      </c>
      <c r="AC346" s="626">
        <f>+Valuation!$D$26</f>
        <v>4.2000000000000003E-2</v>
      </c>
      <c r="AD346" s="626">
        <f>+Valuation!$D$26</f>
        <v>4.2000000000000003E-2</v>
      </c>
      <c r="AE346" s="626">
        <f>+Valuation!$D$26</f>
        <v>4.2000000000000003E-2</v>
      </c>
      <c r="AF346" s="626">
        <f>+Valuation!$D$26</f>
        <v>4.2000000000000003E-2</v>
      </c>
      <c r="AG346" s="626">
        <f>+Valuation!$D$26</f>
        <v>4.2000000000000003E-2</v>
      </c>
      <c r="AH346" s="626">
        <f>+Valuation!$D$26</f>
        <v>4.2000000000000003E-2</v>
      </c>
      <c r="AI346" s="626">
        <f>+Valuation!$D$26</f>
        <v>4.2000000000000003E-2</v>
      </c>
      <c r="AJ346" s="626">
        <f>+Valuation!$D$26</f>
        <v>4.2000000000000003E-2</v>
      </c>
      <c r="AK346" s="626">
        <f>+Valuation!$D$26</f>
        <v>4.2000000000000003E-2</v>
      </c>
      <c r="AL346" s="626">
        <f>+Valuation!$D$26</f>
        <v>4.2000000000000003E-2</v>
      </c>
      <c r="AM346" s="626">
        <f>+Valuation!$D$26</f>
        <v>4.2000000000000003E-2</v>
      </c>
      <c r="AN346" s="626">
        <f>+Valuation!$D$26</f>
        <v>4.2000000000000003E-2</v>
      </c>
      <c r="AO346" s="626">
        <f>+Valuation!$D$26</f>
        <v>4.2000000000000003E-2</v>
      </c>
      <c r="AP346" s="626">
        <f>+Valuation!$D$26</f>
        <v>4.2000000000000003E-2</v>
      </c>
      <c r="AQ346" s="626">
        <f>+Valuation!$D$26</f>
        <v>4.2000000000000003E-2</v>
      </c>
      <c r="AR346" s="626">
        <f>+Valuation!$D$26</f>
        <v>4.2000000000000003E-2</v>
      </c>
      <c r="AS346" s="626">
        <f>+Valuation!$D$26</f>
        <v>4.2000000000000003E-2</v>
      </c>
      <c r="AT346" s="626">
        <f>+Valuation!$D$26</f>
        <v>4.2000000000000003E-2</v>
      </c>
      <c r="AU346" s="626">
        <f>+Valuation!$D$26</f>
        <v>4.2000000000000003E-2</v>
      </c>
      <c r="AV346" s="626">
        <f>+Valuation!$D$26</f>
        <v>4.2000000000000003E-2</v>
      </c>
      <c r="AW346" s="626">
        <f>+Valuation!$D$26</f>
        <v>4.2000000000000003E-2</v>
      </c>
      <c r="AX346" s="626">
        <f>+Valuation!$D$26</f>
        <v>4.2000000000000003E-2</v>
      </c>
      <c r="AY346" s="626">
        <f>+Valuation!$D$26</f>
        <v>4.2000000000000003E-2</v>
      </c>
      <c r="AZ346" s="626">
        <f>+Valuation!$D$26</f>
        <v>4.2000000000000003E-2</v>
      </c>
      <c r="BA346" s="626">
        <f>+Valuation!$D$26</f>
        <v>4.2000000000000003E-2</v>
      </c>
      <c r="BB346" s="626">
        <f>+Valuation!$D$26</f>
        <v>4.2000000000000003E-2</v>
      </c>
      <c r="BC346" s="626">
        <f>+Valuation!$D$26</f>
        <v>4.2000000000000003E-2</v>
      </c>
      <c r="BD346" s="626">
        <f>+Valuation!$D$26</f>
        <v>4.2000000000000003E-2</v>
      </c>
      <c r="BE346" s="626">
        <f>+Valuation!$D$26</f>
        <v>4.2000000000000003E-2</v>
      </c>
      <c r="BF346" s="626">
        <f>+Valuation!$D$26</f>
        <v>4.2000000000000003E-2</v>
      </c>
      <c r="BG346" s="626">
        <f>+Valuation!$D$26</f>
        <v>4.2000000000000003E-2</v>
      </c>
      <c r="BH346" s="626">
        <f>+Valuation!$D$26</f>
        <v>4.2000000000000003E-2</v>
      </c>
      <c r="BI346" s="626">
        <f>+Valuation!$D$26</f>
        <v>4.2000000000000003E-2</v>
      </c>
      <c r="BJ346" s="626">
        <f>+Valuation!$D$26</f>
        <v>4.2000000000000003E-2</v>
      </c>
      <c r="BK346" s="626">
        <f>+Valuation!$D$26</f>
        <v>4.2000000000000003E-2</v>
      </c>
      <c r="BL346" s="626">
        <f>+Valuation!$D$26</f>
        <v>4.2000000000000003E-2</v>
      </c>
      <c r="BM346" s="626">
        <f>+Valuation!$D$26</f>
        <v>4.2000000000000003E-2</v>
      </c>
      <c r="BN346" s="626">
        <f>+Valuation!$D$26</f>
        <v>4.2000000000000003E-2</v>
      </c>
      <c r="BO346" s="626">
        <f>+Valuation!$D$26</f>
        <v>4.2000000000000003E-2</v>
      </c>
      <c r="BP346" s="626">
        <f>+Valuation!$D$26</f>
        <v>4.2000000000000003E-2</v>
      </c>
      <c r="BQ346" s="626">
        <f>+Valuation!$D$26</f>
        <v>4.2000000000000003E-2</v>
      </c>
      <c r="BR346" s="626">
        <f>+Valuation!$D$26</f>
        <v>4.2000000000000003E-2</v>
      </c>
      <c r="BS346" s="626">
        <f>+Valuation!$D$26</f>
        <v>4.2000000000000003E-2</v>
      </c>
      <c r="BT346" s="626">
        <f>+Valuation!$D$26</f>
        <v>4.2000000000000003E-2</v>
      </c>
      <c r="BU346" s="626">
        <f>+Valuation!$D$26</f>
        <v>4.2000000000000003E-2</v>
      </c>
      <c r="BV346" s="626">
        <f>+Valuation!$D$26</f>
        <v>4.2000000000000003E-2</v>
      </c>
      <c r="BW346" s="626">
        <f>+Valuation!$D$26</f>
        <v>4.2000000000000003E-2</v>
      </c>
      <c r="BX346" s="626">
        <f>+Valuation!$D$26</f>
        <v>4.2000000000000003E-2</v>
      </c>
      <c r="BY346" s="626">
        <f>+Valuation!$D$26</f>
        <v>4.2000000000000003E-2</v>
      </c>
      <c r="BZ346" s="626">
        <f>+Valuation!$D$26</f>
        <v>4.2000000000000003E-2</v>
      </c>
      <c r="CA346" s="626">
        <f>+Valuation!$D$26</f>
        <v>4.2000000000000003E-2</v>
      </c>
      <c r="CB346" s="626">
        <f>+Valuation!$D$26</f>
        <v>4.2000000000000003E-2</v>
      </c>
      <c r="CC346" s="626">
        <f>+Valuation!$D$26</f>
        <v>4.2000000000000003E-2</v>
      </c>
      <c r="CD346" s="626">
        <f>+Valuation!$D$26</f>
        <v>4.2000000000000003E-2</v>
      </c>
      <c r="CE346" s="626">
        <f>+Valuation!$D$26</f>
        <v>4.2000000000000003E-2</v>
      </c>
      <c r="CF346" s="626">
        <f>+Valuation!$D$26</f>
        <v>4.2000000000000003E-2</v>
      </c>
      <c r="CG346" s="626">
        <f>+Valuation!$D$26</f>
        <v>4.2000000000000003E-2</v>
      </c>
      <c r="CH346" s="626">
        <f>+Valuation!$D$26</f>
        <v>4.2000000000000003E-2</v>
      </c>
      <c r="CI346" s="626">
        <f>+Valuation!$D$26</f>
        <v>4.2000000000000003E-2</v>
      </c>
      <c r="CJ346" s="626">
        <f>+Valuation!$D$26</f>
        <v>4.2000000000000003E-2</v>
      </c>
      <c r="CK346" s="626">
        <f>+Valuation!$D$26</f>
        <v>4.2000000000000003E-2</v>
      </c>
      <c r="CL346" s="626">
        <f>+Valuation!$D$26</f>
        <v>4.2000000000000003E-2</v>
      </c>
      <c r="CM346" s="626">
        <f>+Valuation!$D$26</f>
        <v>4.2000000000000003E-2</v>
      </c>
      <c r="CN346" s="626">
        <f>+Valuation!$D$26</f>
        <v>4.2000000000000003E-2</v>
      </c>
      <c r="CO346" s="626">
        <f>+Valuation!$D$26</f>
        <v>4.2000000000000003E-2</v>
      </c>
      <c r="CP346" s="626">
        <f>+Valuation!$D$26</f>
        <v>4.2000000000000003E-2</v>
      </c>
      <c r="CQ346" s="23" t="s">
        <v>77</v>
      </c>
    </row>
    <row r="347" spans="2:115" hidden="1" outlineLevel="1" x14ac:dyDescent="0.2">
      <c r="B347" s="8" t="s">
        <v>434</v>
      </c>
      <c r="C347" s="10"/>
      <c r="D347" s="10"/>
      <c r="E347" s="10"/>
      <c r="F347" s="10"/>
      <c r="G347" s="10"/>
      <c r="H347" s="10"/>
      <c r="I347" s="10"/>
      <c r="J347" s="10"/>
      <c r="K347" s="626">
        <f>+Valuation!$D$32</f>
        <v>0.06</v>
      </c>
      <c r="L347" s="626">
        <f>+Valuation!$D$32</f>
        <v>0.06</v>
      </c>
      <c r="M347" s="626">
        <f>+Valuation!$D$32</f>
        <v>0.06</v>
      </c>
      <c r="N347" s="626">
        <f>+Valuation!$D$32</f>
        <v>0.06</v>
      </c>
      <c r="O347" s="626">
        <f>+Valuation!$D$32</f>
        <v>0.06</v>
      </c>
      <c r="P347" s="626">
        <f>+Valuation!$D$32</f>
        <v>0.06</v>
      </c>
      <c r="Q347" s="626">
        <f>+Valuation!$D$32</f>
        <v>0.06</v>
      </c>
      <c r="R347" s="626">
        <f>+Valuation!$D$32</f>
        <v>0.06</v>
      </c>
      <c r="S347" s="626">
        <f>+Valuation!$D$32</f>
        <v>0.06</v>
      </c>
      <c r="T347" s="626">
        <f>+Valuation!$D$32</f>
        <v>0.06</v>
      </c>
      <c r="U347" s="626">
        <f>+Valuation!$D$32</f>
        <v>0.06</v>
      </c>
      <c r="V347" s="626">
        <f>+Valuation!$D$32</f>
        <v>0.06</v>
      </c>
      <c r="W347" s="626">
        <f>+Valuation!$D$32</f>
        <v>0.06</v>
      </c>
      <c r="X347" s="626">
        <f>+Valuation!$D$32</f>
        <v>0.06</v>
      </c>
      <c r="Y347" s="626">
        <f>+Valuation!$D$32</f>
        <v>0.06</v>
      </c>
      <c r="Z347" s="626">
        <f>+Valuation!$D$32</f>
        <v>0.06</v>
      </c>
      <c r="AA347" s="626">
        <f>+Valuation!$D$32</f>
        <v>0.06</v>
      </c>
      <c r="AB347" s="626">
        <f>+Valuation!$D$32</f>
        <v>0.06</v>
      </c>
      <c r="AC347" s="626">
        <f>+Valuation!$D$32</f>
        <v>0.06</v>
      </c>
      <c r="AD347" s="626">
        <f>+Valuation!$D$32</f>
        <v>0.06</v>
      </c>
      <c r="AE347" s="626">
        <f>+Valuation!$D$32</f>
        <v>0.06</v>
      </c>
      <c r="AF347" s="626">
        <f>+Valuation!$D$32</f>
        <v>0.06</v>
      </c>
      <c r="AG347" s="626">
        <f>+Valuation!$D$32</f>
        <v>0.06</v>
      </c>
      <c r="AH347" s="626">
        <f>+Valuation!$D$32</f>
        <v>0.06</v>
      </c>
      <c r="AI347" s="626">
        <f>+Valuation!$D$32</f>
        <v>0.06</v>
      </c>
      <c r="AJ347" s="626">
        <f>+Valuation!$D$32</f>
        <v>0.06</v>
      </c>
      <c r="AK347" s="626">
        <f>+Valuation!$D$32</f>
        <v>0.06</v>
      </c>
      <c r="AL347" s="626">
        <f>+Valuation!$D$32</f>
        <v>0.06</v>
      </c>
      <c r="AM347" s="626">
        <f>+Valuation!$D$32</f>
        <v>0.06</v>
      </c>
      <c r="AN347" s="626">
        <f>+Valuation!$D$32</f>
        <v>0.06</v>
      </c>
      <c r="AO347" s="626">
        <f>+Valuation!$D$32</f>
        <v>0.06</v>
      </c>
      <c r="AP347" s="626">
        <f>+Valuation!$D$32</f>
        <v>0.06</v>
      </c>
      <c r="AQ347" s="626">
        <f>+Valuation!$D$32</f>
        <v>0.06</v>
      </c>
      <c r="AR347" s="626">
        <f>+Valuation!$D$32</f>
        <v>0.06</v>
      </c>
      <c r="AS347" s="626">
        <f>+Valuation!$D$32</f>
        <v>0.06</v>
      </c>
      <c r="AT347" s="626">
        <f>+Valuation!$D$32</f>
        <v>0.06</v>
      </c>
      <c r="AU347" s="626">
        <f>+Valuation!$D$32</f>
        <v>0.06</v>
      </c>
      <c r="AV347" s="626">
        <f>+Valuation!$D$32</f>
        <v>0.06</v>
      </c>
      <c r="AW347" s="626">
        <f>+Valuation!$D$32</f>
        <v>0.06</v>
      </c>
      <c r="AX347" s="626">
        <f>+Valuation!$D$32</f>
        <v>0.06</v>
      </c>
      <c r="AY347" s="626">
        <f>+Valuation!$D$32</f>
        <v>0.06</v>
      </c>
      <c r="AZ347" s="626">
        <f>+Valuation!$D$32</f>
        <v>0.06</v>
      </c>
      <c r="BA347" s="626">
        <f>+Valuation!$D$32</f>
        <v>0.06</v>
      </c>
      <c r="BB347" s="626">
        <f>+Valuation!$D$32</f>
        <v>0.06</v>
      </c>
      <c r="BC347" s="626">
        <f>+Valuation!$D$32</f>
        <v>0.06</v>
      </c>
      <c r="BD347" s="626">
        <f>+Valuation!$D$32</f>
        <v>0.06</v>
      </c>
      <c r="BE347" s="626">
        <f>+Valuation!$D$32</f>
        <v>0.06</v>
      </c>
      <c r="BF347" s="626">
        <f>+Valuation!$D$32</f>
        <v>0.06</v>
      </c>
      <c r="BG347" s="626">
        <f>+Valuation!$D$32</f>
        <v>0.06</v>
      </c>
      <c r="BH347" s="626">
        <f>+Valuation!$D$32</f>
        <v>0.06</v>
      </c>
      <c r="BI347" s="626">
        <f>+Valuation!$D$32</f>
        <v>0.06</v>
      </c>
      <c r="BJ347" s="626">
        <f>+Valuation!$D$32</f>
        <v>0.06</v>
      </c>
      <c r="BK347" s="626">
        <f>+Valuation!$D$32</f>
        <v>0.06</v>
      </c>
      <c r="BL347" s="626">
        <f>+Valuation!$D$32</f>
        <v>0.06</v>
      </c>
      <c r="BM347" s="626">
        <f>+Valuation!$D$32</f>
        <v>0.06</v>
      </c>
      <c r="BN347" s="626">
        <f>+Valuation!$D$32</f>
        <v>0.06</v>
      </c>
      <c r="BO347" s="626">
        <f>+Valuation!$D$32</f>
        <v>0.06</v>
      </c>
      <c r="BP347" s="626">
        <f>+Valuation!$D$32</f>
        <v>0.06</v>
      </c>
      <c r="BQ347" s="626">
        <f>+Valuation!$D$32</f>
        <v>0.06</v>
      </c>
      <c r="BR347" s="626">
        <f>+Valuation!$D$32</f>
        <v>0.06</v>
      </c>
      <c r="BS347" s="626">
        <f>+Valuation!$D$32</f>
        <v>0.06</v>
      </c>
      <c r="BT347" s="626">
        <f>+Valuation!$D$32</f>
        <v>0.06</v>
      </c>
      <c r="BU347" s="626">
        <f>+Valuation!$D$32</f>
        <v>0.06</v>
      </c>
      <c r="BV347" s="626">
        <f>+Valuation!$D$32</f>
        <v>0.06</v>
      </c>
      <c r="BW347" s="626">
        <f>+Valuation!$D$32</f>
        <v>0.06</v>
      </c>
      <c r="BX347" s="626">
        <f>+Valuation!$D$32</f>
        <v>0.06</v>
      </c>
      <c r="BY347" s="626">
        <f>+Valuation!$D$32</f>
        <v>0.06</v>
      </c>
      <c r="BZ347" s="626">
        <f>+Valuation!$D$32</f>
        <v>0.06</v>
      </c>
      <c r="CA347" s="626">
        <f>+Valuation!$D$32</f>
        <v>0.06</v>
      </c>
      <c r="CB347" s="626">
        <f>+Valuation!$D$32</f>
        <v>0.06</v>
      </c>
      <c r="CC347" s="626">
        <f>+Valuation!$D$32</f>
        <v>0.06</v>
      </c>
      <c r="CD347" s="626">
        <f>+Valuation!$D$32</f>
        <v>0.06</v>
      </c>
      <c r="CE347" s="626">
        <f>+Valuation!$D$32</f>
        <v>0.06</v>
      </c>
      <c r="CF347" s="626">
        <f>+Valuation!$D$32</f>
        <v>0.06</v>
      </c>
      <c r="CG347" s="626">
        <f>+Valuation!$D$32</f>
        <v>0.06</v>
      </c>
      <c r="CH347" s="626">
        <f>+Valuation!$D$32</f>
        <v>0.06</v>
      </c>
      <c r="CI347" s="626">
        <f>+Valuation!$D$32</f>
        <v>0.06</v>
      </c>
      <c r="CJ347" s="626">
        <f>+Valuation!$D$32</f>
        <v>0.06</v>
      </c>
      <c r="CK347" s="626">
        <f>+Valuation!$D$32</f>
        <v>0.06</v>
      </c>
      <c r="CL347" s="626">
        <f>+Valuation!$D$32</f>
        <v>0.06</v>
      </c>
      <c r="CM347" s="626">
        <f>+Valuation!$D$32</f>
        <v>0.06</v>
      </c>
      <c r="CN347" s="626">
        <f>+Valuation!$D$32</f>
        <v>0.06</v>
      </c>
      <c r="CO347" s="626">
        <f>+Valuation!$D$32</f>
        <v>0.06</v>
      </c>
      <c r="CP347" s="626">
        <f>+Valuation!$D$32</f>
        <v>0.06</v>
      </c>
      <c r="CQ347" s="23" t="s">
        <v>77</v>
      </c>
    </row>
    <row r="348" spans="2:115" collapsed="1" x14ac:dyDescent="0.2">
      <c r="CQ348" s="23" t="s">
        <v>77</v>
      </c>
    </row>
    <row r="349" spans="2:115" x14ac:dyDescent="0.2">
      <c r="CQ349" s="23" t="s">
        <v>77</v>
      </c>
    </row>
    <row r="353" spans="2:115" x14ac:dyDescent="0.2">
      <c r="B353" s="12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  <c r="BV353" s="8"/>
      <c r="BW353" s="8"/>
      <c r="BX353" s="8"/>
      <c r="BY353" s="8"/>
      <c r="BZ353" s="8"/>
      <c r="CA353" s="8"/>
      <c r="CB353" s="8"/>
      <c r="CC353" s="8"/>
      <c r="CD353" s="8"/>
      <c r="CE353" s="8"/>
      <c r="CF353" s="8"/>
      <c r="CG353" s="8"/>
      <c r="CH353" s="8"/>
      <c r="CI353" s="8"/>
      <c r="CJ353" s="8"/>
      <c r="CK353" s="8"/>
      <c r="CL353" s="8"/>
      <c r="CM353" s="8"/>
      <c r="CN353" s="8"/>
      <c r="CO353" s="8"/>
      <c r="CP353" s="8"/>
      <c r="DD353" s="8"/>
      <c r="DE353" s="8"/>
      <c r="DF353" s="8"/>
      <c r="DG353" s="8"/>
      <c r="DH353" s="8"/>
      <c r="DI353" s="8"/>
      <c r="DJ353" s="8"/>
      <c r="DK353" s="8"/>
    </row>
    <row r="354" spans="2:115" x14ac:dyDescent="0.2">
      <c r="B354" s="12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BT354" s="8"/>
      <c r="BU354" s="8"/>
      <c r="BV354" s="8"/>
      <c r="BW354" s="8"/>
      <c r="BX354" s="8"/>
      <c r="BY354" s="8"/>
      <c r="BZ354" s="8"/>
      <c r="CA354" s="8"/>
      <c r="CB354" s="8"/>
      <c r="CC354" s="8"/>
      <c r="CD354" s="8"/>
      <c r="CE354" s="8"/>
      <c r="CF354" s="8"/>
      <c r="CG354" s="8"/>
      <c r="CH354" s="8"/>
      <c r="CI354" s="8"/>
      <c r="CJ354" s="8"/>
      <c r="CK354" s="8"/>
      <c r="CL354" s="8"/>
      <c r="CM354" s="8"/>
      <c r="CN354" s="8"/>
      <c r="CO354" s="8"/>
      <c r="CP354" s="8"/>
      <c r="DD354" s="8"/>
      <c r="DE354" s="8"/>
      <c r="DF354" s="8"/>
      <c r="DG354" s="8"/>
      <c r="DH354" s="8"/>
      <c r="DI354" s="8"/>
      <c r="DJ354" s="8"/>
      <c r="DK354" s="8"/>
    </row>
    <row r="355" spans="2:115" x14ac:dyDescent="0.2">
      <c r="B355" s="12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  <c r="BV355" s="8"/>
      <c r="BW355" s="8"/>
      <c r="BX355" s="8"/>
      <c r="BY355" s="8"/>
      <c r="BZ355" s="8"/>
      <c r="CA355" s="8"/>
      <c r="CB355" s="8"/>
      <c r="CC355" s="8"/>
      <c r="CD355" s="8"/>
      <c r="CE355" s="8"/>
      <c r="CF355" s="8"/>
      <c r="CG355" s="8"/>
      <c r="CH355" s="8"/>
      <c r="CI355" s="8"/>
      <c r="CJ355" s="8"/>
      <c r="CK355" s="8"/>
      <c r="CL355" s="8"/>
      <c r="CM355" s="8"/>
      <c r="CN355" s="8"/>
      <c r="CO355" s="8"/>
      <c r="CP355" s="8"/>
      <c r="DD355" s="8"/>
      <c r="DE355" s="8"/>
      <c r="DF355" s="8"/>
      <c r="DG355" s="8"/>
      <c r="DH355" s="8"/>
      <c r="DI355" s="8"/>
      <c r="DJ355" s="8"/>
      <c r="DK355" s="8"/>
    </row>
    <row r="356" spans="2:115" x14ac:dyDescent="0.2">
      <c r="B356" s="12"/>
      <c r="V356" s="508"/>
      <c r="W356" s="508"/>
      <c r="X356" s="508"/>
      <c r="Y356" s="508"/>
      <c r="Z356" s="508"/>
      <c r="AA356" s="508"/>
      <c r="AB356" s="508"/>
      <c r="AC356" s="508"/>
      <c r="AD356" s="508"/>
      <c r="AE356" s="508"/>
      <c r="AF356" s="508"/>
      <c r="AG356" s="508"/>
      <c r="AH356" s="508"/>
      <c r="AI356" s="508"/>
      <c r="AJ356" s="508"/>
      <c r="AK356" s="508"/>
      <c r="AL356" s="508"/>
      <c r="AM356" s="508"/>
      <c r="AN356" s="508"/>
      <c r="AO356" s="508"/>
      <c r="AP356" s="508"/>
      <c r="AQ356" s="8"/>
      <c r="AR356" s="8"/>
      <c r="AS356" s="8"/>
      <c r="AT356" s="8"/>
      <c r="AU356" s="8"/>
      <c r="AV356" s="8"/>
      <c r="AW356" s="8"/>
      <c r="AX356" s="8"/>
      <c r="AY356" s="8"/>
      <c r="AZ356" s="8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BT356" s="8"/>
      <c r="BU356" s="8"/>
      <c r="BV356" s="8"/>
      <c r="BW356" s="8"/>
      <c r="BX356" s="8"/>
      <c r="BY356" s="8"/>
      <c r="BZ356" s="8"/>
      <c r="CA356" s="8"/>
      <c r="CB356" s="8"/>
      <c r="CC356" s="8"/>
      <c r="CD356" s="8"/>
      <c r="CE356" s="8"/>
      <c r="CF356" s="8"/>
      <c r="CG356" s="8"/>
      <c r="CH356" s="8"/>
      <c r="CI356" s="8"/>
      <c r="CJ356" s="8"/>
      <c r="CK356" s="8"/>
      <c r="CL356" s="8"/>
      <c r="CM356" s="8"/>
      <c r="CN356" s="8"/>
      <c r="CO356" s="8"/>
      <c r="CP356" s="8"/>
      <c r="DD356" s="8"/>
      <c r="DE356" s="8"/>
      <c r="DF356" s="8"/>
      <c r="DG356" s="8"/>
      <c r="DH356" s="8"/>
      <c r="DI356" s="8"/>
      <c r="DJ356" s="8"/>
      <c r="DK356" s="8"/>
    </row>
    <row r="357" spans="2:115" x14ac:dyDescent="0.2">
      <c r="B357" s="12"/>
      <c r="AQ357" s="8"/>
      <c r="AR357" s="8"/>
      <c r="AS357" s="8"/>
      <c r="AT357" s="8"/>
      <c r="AU357" s="8"/>
      <c r="AV357" s="8"/>
      <c r="AW357" s="8"/>
      <c r="AX357" s="8"/>
      <c r="AY357" s="8"/>
      <c r="AZ357" s="8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BT357" s="8"/>
      <c r="BU357" s="8"/>
      <c r="BV357" s="8"/>
      <c r="BW357" s="8"/>
      <c r="BX357" s="8"/>
      <c r="BY357" s="8"/>
      <c r="BZ357" s="8"/>
      <c r="CA357" s="8"/>
      <c r="CB357" s="8"/>
      <c r="CC357" s="8"/>
      <c r="CD357" s="8"/>
      <c r="CE357" s="8"/>
      <c r="CF357" s="8"/>
      <c r="CG357" s="8"/>
      <c r="CH357" s="8"/>
      <c r="CI357" s="8"/>
      <c r="CJ357" s="8"/>
      <c r="CK357" s="8"/>
      <c r="CL357" s="8"/>
      <c r="CM357" s="8"/>
      <c r="CN357" s="8"/>
      <c r="CO357" s="8"/>
      <c r="CP357" s="8"/>
      <c r="DD357" s="8"/>
      <c r="DE357" s="8"/>
      <c r="DF357" s="8"/>
      <c r="DG357" s="8"/>
      <c r="DH357" s="8"/>
      <c r="DI357" s="8"/>
      <c r="DJ357" s="8"/>
      <c r="DK357" s="8"/>
    </row>
    <row r="358" spans="2:115" x14ac:dyDescent="0.2">
      <c r="B358" s="12"/>
      <c r="V358" s="508"/>
      <c r="W358" s="508"/>
      <c r="X358" s="508"/>
      <c r="Y358" s="508"/>
      <c r="Z358" s="508"/>
      <c r="AA358" s="508"/>
      <c r="AB358" s="508"/>
      <c r="AC358" s="508"/>
      <c r="AD358" s="508"/>
      <c r="AE358" s="508"/>
      <c r="AF358" s="508"/>
      <c r="AG358" s="508"/>
      <c r="AH358" s="508"/>
      <c r="AI358" s="508"/>
      <c r="AJ358" s="508"/>
      <c r="AK358" s="508"/>
      <c r="AL358" s="508"/>
      <c r="AM358" s="508"/>
      <c r="AN358" s="508"/>
      <c r="AO358" s="508"/>
      <c r="AP358" s="508"/>
      <c r="AQ358" s="8"/>
      <c r="AR358" s="8"/>
      <c r="AS358" s="8"/>
      <c r="AT358" s="8"/>
      <c r="AU358" s="8"/>
      <c r="AV358" s="8"/>
      <c r="AW358" s="8"/>
      <c r="AX358" s="8"/>
      <c r="AY358" s="8"/>
      <c r="AZ358" s="8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BT358" s="8"/>
      <c r="BU358" s="8"/>
      <c r="BV358" s="8"/>
      <c r="BW358" s="8"/>
      <c r="BX358" s="8"/>
      <c r="BY358" s="8"/>
      <c r="BZ358" s="8"/>
      <c r="CA358" s="8"/>
      <c r="CB358" s="8"/>
      <c r="CC358" s="8"/>
      <c r="CD358" s="8"/>
      <c r="CE358" s="8"/>
      <c r="CF358" s="8"/>
      <c r="CG358" s="8"/>
      <c r="CH358" s="8"/>
      <c r="CI358" s="8"/>
      <c r="CJ358" s="8"/>
      <c r="CK358" s="8"/>
      <c r="CL358" s="8"/>
      <c r="CM358" s="8"/>
      <c r="CN358" s="8"/>
      <c r="CO358" s="8"/>
      <c r="CP358" s="8"/>
      <c r="DD358" s="8"/>
      <c r="DE358" s="8"/>
      <c r="DF358" s="8"/>
      <c r="DG358" s="8"/>
      <c r="DH358" s="8"/>
      <c r="DI358" s="8"/>
      <c r="DJ358" s="8"/>
      <c r="DK358" s="8"/>
    </row>
    <row r="360" spans="2:115" x14ac:dyDescent="0.2">
      <c r="O360" s="53"/>
      <c r="P360" s="53"/>
      <c r="Q360" s="53"/>
      <c r="R360" s="53"/>
    </row>
    <row r="361" spans="2:115" x14ac:dyDescent="0.2">
      <c r="P361" s="447"/>
      <c r="Q361" s="447"/>
    </row>
    <row r="362" spans="2:115" x14ac:dyDescent="0.2">
      <c r="P362" s="447"/>
      <c r="Q362" s="447"/>
      <c r="R362" s="447"/>
    </row>
    <row r="363" spans="2:115" x14ac:dyDescent="0.2">
      <c r="P363" s="508"/>
      <c r="Q363" s="508"/>
      <c r="R363" s="508"/>
    </row>
  </sheetData>
  <phoneticPr fontId="0" type="noConversion"/>
  <conditionalFormatting sqref="D151:BC151">
    <cfRule type="cellIs" dxfId="96" priority="65" stopIfTrue="1" operator="greaterThan">
      <formula>0.7</formula>
    </cfRule>
  </conditionalFormatting>
  <conditionalFormatting sqref="X255:BC255 CR255">
    <cfRule type="cellIs" dxfId="95" priority="63" stopIfTrue="1" operator="lessThan">
      <formula>0</formula>
    </cfRule>
  </conditionalFormatting>
  <conditionalFormatting sqref="EH23:EI39 EJ103:EJ107 EH87:EI89 EJ113:EJ119 EH113:EI123 EH91:EI109">
    <cfRule type="containsText" dxfId="94" priority="62" stopIfTrue="1" operator="containsText" text="FALSE">
      <formula>NOT(ISERROR(SEARCH("FALSE",EH23)))</formula>
    </cfRule>
  </conditionalFormatting>
  <conditionalFormatting sqref="EH126:EI126">
    <cfRule type="containsText" dxfId="93" priority="60" stopIfTrue="1" operator="containsText" text="FALSE">
      <formula>NOT(ISERROR(SEARCH("FALSE",EH126)))</formula>
    </cfRule>
  </conditionalFormatting>
  <conditionalFormatting sqref="EH127:EI127">
    <cfRule type="containsText" dxfId="92" priority="59" stopIfTrue="1" operator="containsText" text="FALSE">
      <formula>NOT(ISERROR(SEARCH("FALSE",EH127)))</formula>
    </cfRule>
  </conditionalFormatting>
  <conditionalFormatting sqref="EH128:EI128">
    <cfRule type="containsText" dxfId="91" priority="58" stopIfTrue="1" operator="containsText" text="FALSE">
      <formula>NOT(ISERROR(SEARCH("FALSE",EH128)))</formula>
    </cfRule>
  </conditionalFormatting>
  <conditionalFormatting sqref="EH131:EI131">
    <cfRule type="containsText" dxfId="90" priority="57" stopIfTrue="1" operator="containsText" text="FALSE">
      <formula>NOT(ISERROR(SEARCH("FALSE",EH131)))</formula>
    </cfRule>
  </conditionalFormatting>
  <conditionalFormatting sqref="EH132:EI132">
    <cfRule type="containsText" dxfId="89" priority="56" stopIfTrue="1" operator="containsText" text="FALSE">
      <formula>NOT(ISERROR(SEARCH("FALSE",EH132)))</formula>
    </cfRule>
  </conditionalFormatting>
  <conditionalFormatting sqref="EH133:EI133">
    <cfRule type="containsText" dxfId="88" priority="55" stopIfTrue="1" operator="containsText" text="FALSE">
      <formula>NOT(ISERROR(SEARCH("FALSE",EH133)))</formula>
    </cfRule>
  </conditionalFormatting>
  <conditionalFormatting sqref="EH134:EI134">
    <cfRule type="containsText" dxfId="87" priority="54" stopIfTrue="1" operator="containsText" text="FALSE">
      <formula>NOT(ISERROR(SEARCH("FALSE",EH134)))</formula>
    </cfRule>
  </conditionalFormatting>
  <conditionalFormatting sqref="EH139:EI139">
    <cfRule type="containsText" dxfId="86" priority="53" stopIfTrue="1" operator="containsText" text="FALSE">
      <formula>NOT(ISERROR(SEARCH("FALSE",EH139)))</formula>
    </cfRule>
  </conditionalFormatting>
  <conditionalFormatting sqref="EH147:EI147">
    <cfRule type="containsText" dxfId="85" priority="52" stopIfTrue="1" operator="containsText" text="FALSE">
      <formula>NOT(ISERROR(SEARCH("FALSE",EH147)))</formula>
    </cfRule>
  </conditionalFormatting>
  <conditionalFormatting sqref="EH148:EI148">
    <cfRule type="containsText" dxfId="84" priority="51" stopIfTrue="1" operator="containsText" text="FALSE">
      <formula>NOT(ISERROR(SEARCH("FALSE",EH148)))</formula>
    </cfRule>
  </conditionalFormatting>
  <conditionalFormatting sqref="EH149:EI149">
    <cfRule type="containsText" dxfId="83" priority="50" stopIfTrue="1" operator="containsText" text="FALSE">
      <formula>NOT(ISERROR(SEARCH("FALSE",EH149)))</formula>
    </cfRule>
  </conditionalFormatting>
  <conditionalFormatting sqref="DJ151:DM151 DO151 DR151:DS151">
    <cfRule type="cellIs" dxfId="82" priority="49" stopIfTrue="1" operator="greaterThan">
      <formula>0.7</formula>
    </cfRule>
  </conditionalFormatting>
  <conditionalFormatting sqref="EJ23:EJ39">
    <cfRule type="containsText" dxfId="81" priority="48" stopIfTrue="1" operator="containsText" text="FALSE">
      <formula>NOT(ISERROR(SEARCH("FALSE",EJ23)))</formula>
    </cfRule>
  </conditionalFormatting>
  <conditionalFormatting sqref="EJ87:EJ89 EJ91:EJ97">
    <cfRule type="containsText" dxfId="80" priority="47" stopIfTrue="1" operator="containsText" text="FALSE">
      <formula>NOT(ISERROR(SEARCH("FALSE",EJ87)))</formula>
    </cfRule>
  </conditionalFormatting>
  <conditionalFormatting sqref="EJ99:EJ101">
    <cfRule type="containsText" dxfId="79" priority="46" stopIfTrue="1" operator="containsText" text="FALSE">
      <formula>NOT(ISERROR(SEARCH("FALSE",EJ99)))</formula>
    </cfRule>
  </conditionalFormatting>
  <conditionalFormatting sqref="EJ109">
    <cfRule type="containsText" dxfId="78" priority="44" stopIfTrue="1" operator="containsText" text="FALSE">
      <formula>NOT(ISERROR(SEARCH("FALSE",EJ109)))</formula>
    </cfRule>
  </conditionalFormatting>
  <conditionalFormatting sqref="EJ121:EJ123">
    <cfRule type="containsText" dxfId="77" priority="41" stopIfTrue="1" operator="containsText" text="FALSE">
      <formula>NOT(ISERROR(SEARCH("FALSE",EJ121)))</formula>
    </cfRule>
  </conditionalFormatting>
  <conditionalFormatting sqref="EJ126:EJ128">
    <cfRule type="containsText" dxfId="76" priority="39" stopIfTrue="1" operator="containsText" text="FALSE">
      <formula>NOT(ISERROR(SEARCH("FALSE",EJ126)))</formula>
    </cfRule>
  </conditionalFormatting>
  <conditionalFormatting sqref="EJ131">
    <cfRule type="containsText" dxfId="75" priority="38" stopIfTrue="1" operator="containsText" text="FALSE">
      <formula>NOT(ISERROR(SEARCH("FALSE",EJ131)))</formula>
    </cfRule>
  </conditionalFormatting>
  <conditionalFormatting sqref="EJ132">
    <cfRule type="containsText" dxfId="74" priority="37" stopIfTrue="1" operator="containsText" text="FALSE">
      <formula>NOT(ISERROR(SEARCH("FALSE",EJ132)))</formula>
    </cfRule>
  </conditionalFormatting>
  <conditionalFormatting sqref="EJ133">
    <cfRule type="containsText" dxfId="73" priority="36" stopIfTrue="1" operator="containsText" text="FALSE">
      <formula>NOT(ISERROR(SEARCH("FALSE",EJ133)))</formula>
    </cfRule>
  </conditionalFormatting>
  <conditionalFormatting sqref="EJ134">
    <cfRule type="containsText" dxfId="72" priority="35" stopIfTrue="1" operator="containsText" text="FALSE">
      <formula>NOT(ISERROR(SEARCH("FALSE",EJ134)))</formula>
    </cfRule>
  </conditionalFormatting>
  <conditionalFormatting sqref="EJ139">
    <cfRule type="containsText" dxfId="71" priority="34" stopIfTrue="1" operator="containsText" text="FALSE">
      <formula>NOT(ISERROR(SEARCH("FALSE",EJ139)))</formula>
    </cfRule>
  </conditionalFormatting>
  <conditionalFormatting sqref="EJ147:EJ149">
    <cfRule type="containsText" dxfId="70" priority="33" stopIfTrue="1" operator="containsText" text="FALSE">
      <formula>NOT(ISERROR(SEARCH("FALSE",EJ147)))</formula>
    </cfRule>
  </conditionalFormatting>
  <conditionalFormatting sqref="EH210:EI220">
    <cfRule type="containsText" dxfId="69" priority="32" stopIfTrue="1" operator="containsText" text="FALSE">
      <formula>NOT(ISERROR(SEARCH("FALSE",EH210)))</formula>
    </cfRule>
  </conditionalFormatting>
  <conditionalFormatting sqref="EJ210:EJ220">
    <cfRule type="containsText" dxfId="68" priority="31" stopIfTrue="1" operator="containsText" text="FALSE">
      <formula>NOT(ISERROR(SEARCH("FALSE",EJ210)))</formula>
    </cfRule>
  </conditionalFormatting>
  <conditionalFormatting sqref="EH221:EI221">
    <cfRule type="containsText" dxfId="67" priority="30" stopIfTrue="1" operator="containsText" text="FALSE">
      <formula>NOT(ISERROR(SEARCH("FALSE",EH221)))</formula>
    </cfRule>
  </conditionalFormatting>
  <conditionalFormatting sqref="EJ221">
    <cfRule type="containsText" dxfId="66" priority="29" stopIfTrue="1" operator="containsText" text="FALSE">
      <formula>NOT(ISERROR(SEARCH("FALSE",EJ221)))</formula>
    </cfRule>
  </conditionalFormatting>
  <conditionalFormatting sqref="EH223:EI230">
    <cfRule type="containsText" dxfId="65" priority="28" stopIfTrue="1" operator="containsText" text="FALSE">
      <formula>NOT(ISERROR(SEARCH("FALSE",EH223)))</formula>
    </cfRule>
  </conditionalFormatting>
  <conditionalFormatting sqref="EJ223:EJ230">
    <cfRule type="containsText" dxfId="64" priority="27" stopIfTrue="1" operator="containsText" text="FALSE">
      <formula>NOT(ISERROR(SEARCH("FALSE",EJ223)))</formula>
    </cfRule>
  </conditionalFormatting>
  <conditionalFormatting sqref="EH232:EI237">
    <cfRule type="containsText" dxfId="63" priority="26" stopIfTrue="1" operator="containsText" text="FALSE">
      <formula>NOT(ISERROR(SEARCH("FALSE",EH232)))</formula>
    </cfRule>
  </conditionalFormatting>
  <conditionalFormatting sqref="EJ232:EJ237">
    <cfRule type="containsText" dxfId="62" priority="25" stopIfTrue="1" operator="containsText" text="FALSE">
      <formula>NOT(ISERROR(SEARCH("FALSE",EJ232)))</formula>
    </cfRule>
  </conditionalFormatting>
  <conditionalFormatting sqref="EJ239">
    <cfRule type="containsText" dxfId="61" priority="23" stopIfTrue="1" operator="containsText" text="FALSE">
      <formula>NOT(ISERROR(SEARCH("FALSE",EJ239)))</formula>
    </cfRule>
  </conditionalFormatting>
  <conditionalFormatting sqref="EH140:EI140">
    <cfRule type="containsText" dxfId="60" priority="22" stopIfTrue="1" operator="containsText" text="FALSE">
      <formula>NOT(ISERROR(SEARCH("FALSE",EH140)))</formula>
    </cfRule>
  </conditionalFormatting>
  <conditionalFormatting sqref="EJ140">
    <cfRule type="containsText" dxfId="59" priority="21" stopIfTrue="1" operator="containsText" text="FALSE">
      <formula>NOT(ISERROR(SEARCH("FALSE",EJ140)))</formula>
    </cfRule>
  </conditionalFormatting>
  <conditionalFormatting sqref="CR256">
    <cfRule type="cellIs" dxfId="58" priority="20" stopIfTrue="1" operator="lessThan">
      <formula>0</formula>
    </cfRule>
  </conditionalFormatting>
  <conditionalFormatting sqref="CR257">
    <cfRule type="cellIs" dxfId="57" priority="19" stopIfTrue="1" operator="lessThan">
      <formula>0</formula>
    </cfRule>
  </conditionalFormatting>
  <conditionalFormatting sqref="EH112:EI112">
    <cfRule type="containsText" dxfId="56" priority="17" stopIfTrue="1" operator="containsText" text="FALSE">
      <formula>NOT(ISERROR(SEARCH("FALSE",EH112)))</formula>
    </cfRule>
  </conditionalFormatting>
  <conditionalFormatting sqref="EJ112">
    <cfRule type="containsText" dxfId="55" priority="16" stopIfTrue="1" operator="containsText" text="FALSE">
      <formula>NOT(ISERROR(SEARCH("FALSE",EJ112)))</formula>
    </cfRule>
  </conditionalFormatting>
  <conditionalFormatting sqref="EH111:EI111">
    <cfRule type="containsText" dxfId="54" priority="15" stopIfTrue="1" operator="containsText" text="FALSE">
      <formula>NOT(ISERROR(SEARCH("FALSE",EH111)))</formula>
    </cfRule>
  </conditionalFormatting>
  <conditionalFormatting sqref="EJ111">
    <cfRule type="containsText" dxfId="53" priority="14" stopIfTrue="1" operator="containsText" text="FALSE">
      <formula>NOT(ISERROR(SEARCH("FALSE",EJ111)))</formula>
    </cfRule>
  </conditionalFormatting>
  <conditionalFormatting sqref="EH110:EI110">
    <cfRule type="containsText" dxfId="52" priority="13" stopIfTrue="1" operator="containsText" text="FALSE">
      <formula>NOT(ISERROR(SEARCH("FALSE",EH110)))</formula>
    </cfRule>
  </conditionalFormatting>
  <conditionalFormatting sqref="EJ110">
    <cfRule type="containsText" dxfId="51" priority="12" stopIfTrue="1" operator="containsText" text="FALSE">
      <formula>NOT(ISERROR(SEARCH("FALSE",EJ110)))</formula>
    </cfRule>
  </conditionalFormatting>
  <conditionalFormatting sqref="DN151">
    <cfRule type="cellIs" dxfId="50" priority="11" stopIfTrue="1" operator="greaterThan">
      <formula>0.7</formula>
    </cfRule>
  </conditionalFormatting>
  <conditionalFormatting sqref="BD151">
    <cfRule type="cellIs" dxfId="49" priority="10" stopIfTrue="1" operator="greaterThan">
      <formula>0.7</formula>
    </cfRule>
  </conditionalFormatting>
  <conditionalFormatting sqref="BD255">
    <cfRule type="cellIs" dxfId="48" priority="9" stopIfTrue="1" operator="lessThan">
      <formula>0</formula>
    </cfRule>
  </conditionalFormatting>
  <conditionalFormatting sqref="BE151:CM151">
    <cfRule type="cellIs" dxfId="47" priority="8" stopIfTrue="1" operator="greaterThan">
      <formula>0.7</formula>
    </cfRule>
  </conditionalFormatting>
  <conditionalFormatting sqref="BE255:CP255">
    <cfRule type="cellIs" dxfId="46" priority="7" stopIfTrue="1" operator="lessThan">
      <formula>0</formula>
    </cfRule>
  </conditionalFormatting>
  <conditionalFormatting sqref="CN151:CP151">
    <cfRule type="cellIs" dxfId="45" priority="6" stopIfTrue="1" operator="greaterThan">
      <formula>0.7</formula>
    </cfRule>
  </conditionalFormatting>
  <conditionalFormatting sqref="CN255:CP255">
    <cfRule type="cellIs" dxfId="44" priority="5" stopIfTrue="1" operator="lessThan">
      <formula>0</formula>
    </cfRule>
  </conditionalFormatting>
  <conditionalFormatting sqref="EH90:EI90">
    <cfRule type="containsText" dxfId="43" priority="4" stopIfTrue="1" operator="containsText" text="FALSE">
      <formula>NOT(ISERROR(SEARCH("FALSE",EH90)))</formula>
    </cfRule>
  </conditionalFormatting>
  <conditionalFormatting sqref="EJ90">
    <cfRule type="containsText" dxfId="42" priority="3" stopIfTrue="1" operator="containsText" text="FALSE">
      <formula>NOT(ISERROR(SEARCH("FALSE",EJ90)))</formula>
    </cfRule>
  </conditionalFormatting>
  <conditionalFormatting sqref="DP151:DQ151">
    <cfRule type="cellIs" dxfId="41" priority="1" stopIfTrue="1" operator="greaterThan">
      <formula>0.7</formula>
    </cfRule>
  </conditionalFormatting>
  <pageMargins left="0.75" right="0.75" top="1" bottom="1" header="0.5" footer="0.5"/>
  <pageSetup paperSize="9" scale="15" fitToHeight="0" orientation="portrait" horizontalDpi="300" verticalDpi="300" r:id="rId1"/>
  <headerFooter alignWithMargins="0"/>
  <rowBreaks count="3" manualBreakCount="3">
    <brk id="84" max="16383" man="1"/>
    <brk id="207" max="94" man="1"/>
    <brk id="252" max="94" man="1"/>
  </rowBreaks>
  <colBreaks count="1" manualBreakCount="1">
    <brk id="1" max="1048575" man="1"/>
  </colBreaks>
  <cellWatches>
    <cellWatch r="X56"/>
  </cellWatche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R372"/>
  <sheetViews>
    <sheetView showGridLines="0" workbookViewId="0">
      <selection activeCell="AI49" sqref="AI49"/>
    </sheetView>
  </sheetViews>
  <sheetFormatPr defaultRowHeight="11.25" outlineLevelRow="2" outlineLevelCol="1" x14ac:dyDescent="0.2"/>
  <cols>
    <col min="1" max="1" width="1" style="8" customWidth="1"/>
    <col min="2" max="2" width="33.33203125" style="8" customWidth="1"/>
    <col min="3" max="3" width="1" style="24" customWidth="1"/>
    <col min="4" max="5" width="9.33203125" style="8" customWidth="1"/>
    <col min="6" max="10" width="9.33203125" style="8" hidden="1" customWidth="1" outlineLevel="1"/>
    <col min="11" max="20" width="9.33203125" style="9" hidden="1" customWidth="1" outlineLevel="1"/>
    <col min="21" max="21" width="9.83203125" style="9" bestFit="1" customWidth="1" collapsed="1"/>
    <col min="22" max="29" width="9.33203125" style="9" customWidth="1"/>
    <col min="30" max="94" width="9.33203125" style="9" customWidth="1" outlineLevel="1"/>
    <col min="95" max="95" width="9.33203125" style="8" customWidth="1"/>
    <col min="96" max="16384" width="9.33203125" style="8"/>
  </cols>
  <sheetData>
    <row r="1" spans="1:95" s="218" customFormat="1" ht="15.75" x14ac:dyDescent="0.25">
      <c r="A1" s="232" t="s">
        <v>301</v>
      </c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</row>
    <row r="2" spans="1:95" x14ac:dyDescent="0.2">
      <c r="CQ2" s="9"/>
    </row>
    <row r="3" spans="1:95" x14ac:dyDescent="0.2">
      <c r="A3" s="233"/>
      <c r="B3" s="728" t="s">
        <v>10</v>
      </c>
      <c r="C3" s="312"/>
      <c r="D3" s="728"/>
      <c r="E3" s="728"/>
      <c r="F3" s="312">
        <f t="shared" ref="F3:V3" si="0">Fiscal_Year</f>
        <v>36707</v>
      </c>
      <c r="G3" s="312">
        <f t="shared" si="0"/>
        <v>37072</v>
      </c>
      <c r="H3" s="312">
        <f t="shared" si="0"/>
        <v>37437</v>
      </c>
      <c r="I3" s="312">
        <f t="shared" si="0"/>
        <v>37802</v>
      </c>
      <c r="J3" s="312">
        <f t="shared" si="0"/>
        <v>38168</v>
      </c>
      <c r="K3" s="312">
        <f t="shared" si="0"/>
        <v>38533</v>
      </c>
      <c r="L3" s="312">
        <f t="shared" si="0"/>
        <v>38898</v>
      </c>
      <c r="M3" s="312">
        <f t="shared" si="0"/>
        <v>39263</v>
      </c>
      <c r="N3" s="312">
        <f t="shared" si="0"/>
        <v>39629</v>
      </c>
      <c r="O3" s="312">
        <f t="shared" si="0"/>
        <v>39994</v>
      </c>
      <c r="P3" s="312">
        <f t="shared" si="0"/>
        <v>40359</v>
      </c>
      <c r="Q3" s="312">
        <f t="shared" si="0"/>
        <v>40724</v>
      </c>
      <c r="R3" s="312">
        <f t="shared" si="0"/>
        <v>41090</v>
      </c>
      <c r="S3" s="312">
        <f t="shared" si="0"/>
        <v>41455</v>
      </c>
      <c r="T3" s="312">
        <f t="shared" si="0"/>
        <v>41820</v>
      </c>
      <c r="U3" s="312">
        <f t="shared" si="0"/>
        <v>42185</v>
      </c>
      <c r="V3" s="312">
        <f t="shared" si="0"/>
        <v>42551</v>
      </c>
      <c r="W3" s="312">
        <f t="shared" ref="W3:CH3" si="1">Fiscal_Year</f>
        <v>42916</v>
      </c>
      <c r="X3" s="312">
        <f t="shared" si="1"/>
        <v>43281</v>
      </c>
      <c r="Y3" s="312">
        <f t="shared" si="1"/>
        <v>43646</v>
      </c>
      <c r="Z3" s="312">
        <f t="shared" si="1"/>
        <v>44012</v>
      </c>
      <c r="AA3" s="312">
        <f t="shared" si="1"/>
        <v>44377</v>
      </c>
      <c r="AB3" s="312">
        <f t="shared" si="1"/>
        <v>44742</v>
      </c>
      <c r="AC3" s="312">
        <f t="shared" si="1"/>
        <v>45107</v>
      </c>
      <c r="AD3" s="312">
        <f t="shared" si="1"/>
        <v>45473</v>
      </c>
      <c r="AE3" s="312">
        <f t="shared" si="1"/>
        <v>45838</v>
      </c>
      <c r="AF3" s="312">
        <f t="shared" si="1"/>
        <v>46203</v>
      </c>
      <c r="AG3" s="312">
        <f t="shared" si="1"/>
        <v>46568</v>
      </c>
      <c r="AH3" s="312">
        <f t="shared" si="1"/>
        <v>46934</v>
      </c>
      <c r="AI3" s="312">
        <f t="shared" si="1"/>
        <v>47299</v>
      </c>
      <c r="AJ3" s="312">
        <f t="shared" si="1"/>
        <v>47664</v>
      </c>
      <c r="AK3" s="312">
        <f t="shared" si="1"/>
        <v>48029</v>
      </c>
      <c r="AL3" s="312">
        <f t="shared" si="1"/>
        <v>48395</v>
      </c>
      <c r="AM3" s="312">
        <f t="shared" si="1"/>
        <v>48760</v>
      </c>
      <c r="AN3" s="312">
        <f t="shared" si="1"/>
        <v>49125</v>
      </c>
      <c r="AO3" s="312">
        <f t="shared" si="1"/>
        <v>49490</v>
      </c>
      <c r="AP3" s="312">
        <f t="shared" si="1"/>
        <v>49856</v>
      </c>
      <c r="AQ3" s="312">
        <f t="shared" si="1"/>
        <v>50221</v>
      </c>
      <c r="AR3" s="312">
        <f t="shared" si="1"/>
        <v>50586</v>
      </c>
      <c r="AS3" s="312">
        <f t="shared" si="1"/>
        <v>50951</v>
      </c>
      <c r="AT3" s="312">
        <f t="shared" si="1"/>
        <v>51317</v>
      </c>
      <c r="AU3" s="312">
        <f t="shared" si="1"/>
        <v>51682</v>
      </c>
      <c r="AV3" s="312">
        <f t="shared" si="1"/>
        <v>52047</v>
      </c>
      <c r="AW3" s="312">
        <f t="shared" si="1"/>
        <v>52412</v>
      </c>
      <c r="AX3" s="312">
        <f t="shared" si="1"/>
        <v>52778</v>
      </c>
      <c r="AY3" s="312">
        <f t="shared" si="1"/>
        <v>53143</v>
      </c>
      <c r="AZ3" s="312">
        <f t="shared" si="1"/>
        <v>53508</v>
      </c>
      <c r="BA3" s="312">
        <f t="shared" si="1"/>
        <v>53873</v>
      </c>
      <c r="BB3" s="312">
        <f t="shared" si="1"/>
        <v>54239</v>
      </c>
      <c r="BC3" s="312">
        <f t="shared" si="1"/>
        <v>54604</v>
      </c>
      <c r="BD3" s="312">
        <f t="shared" si="1"/>
        <v>54969</v>
      </c>
      <c r="BE3" s="312">
        <f t="shared" si="1"/>
        <v>55334</v>
      </c>
      <c r="BF3" s="312">
        <f t="shared" si="1"/>
        <v>55700</v>
      </c>
      <c r="BG3" s="312">
        <f t="shared" si="1"/>
        <v>56065</v>
      </c>
      <c r="BH3" s="312">
        <f t="shared" si="1"/>
        <v>56430</v>
      </c>
      <c r="BI3" s="312">
        <f t="shared" si="1"/>
        <v>56795</v>
      </c>
      <c r="BJ3" s="312">
        <f t="shared" si="1"/>
        <v>57161</v>
      </c>
      <c r="BK3" s="312">
        <f t="shared" si="1"/>
        <v>57526</v>
      </c>
      <c r="BL3" s="312">
        <f t="shared" si="1"/>
        <v>57891</v>
      </c>
      <c r="BM3" s="312">
        <f t="shared" si="1"/>
        <v>58256</v>
      </c>
      <c r="BN3" s="312">
        <f t="shared" si="1"/>
        <v>58622</v>
      </c>
      <c r="BO3" s="312">
        <f t="shared" si="1"/>
        <v>58987</v>
      </c>
      <c r="BP3" s="312">
        <f t="shared" si="1"/>
        <v>59352</v>
      </c>
      <c r="BQ3" s="312">
        <f t="shared" si="1"/>
        <v>59717</v>
      </c>
      <c r="BR3" s="312">
        <f t="shared" si="1"/>
        <v>60083</v>
      </c>
      <c r="BS3" s="312">
        <f t="shared" si="1"/>
        <v>60448</v>
      </c>
      <c r="BT3" s="312">
        <f t="shared" si="1"/>
        <v>60813</v>
      </c>
      <c r="BU3" s="312">
        <f t="shared" si="1"/>
        <v>61178</v>
      </c>
      <c r="BV3" s="312">
        <f t="shared" si="1"/>
        <v>61544</v>
      </c>
      <c r="BW3" s="312">
        <f t="shared" si="1"/>
        <v>61909</v>
      </c>
      <c r="BX3" s="312">
        <f t="shared" si="1"/>
        <v>62274</v>
      </c>
      <c r="BY3" s="312">
        <f t="shared" si="1"/>
        <v>62639</v>
      </c>
      <c r="BZ3" s="312">
        <f t="shared" si="1"/>
        <v>63005</v>
      </c>
      <c r="CA3" s="312">
        <f t="shared" si="1"/>
        <v>63370</v>
      </c>
      <c r="CB3" s="312">
        <f t="shared" si="1"/>
        <v>63735</v>
      </c>
      <c r="CC3" s="312">
        <f t="shared" si="1"/>
        <v>64100</v>
      </c>
      <c r="CD3" s="312">
        <f t="shared" si="1"/>
        <v>64466</v>
      </c>
      <c r="CE3" s="312">
        <f t="shared" si="1"/>
        <v>64831</v>
      </c>
      <c r="CF3" s="312">
        <f t="shared" si="1"/>
        <v>65196</v>
      </c>
      <c r="CG3" s="312">
        <f t="shared" si="1"/>
        <v>65561</v>
      </c>
      <c r="CH3" s="312">
        <f t="shared" si="1"/>
        <v>65927</v>
      </c>
      <c r="CI3" s="312">
        <f t="shared" ref="CI3:CP3" si="2">Fiscal_Year</f>
        <v>66292</v>
      </c>
      <c r="CJ3" s="312">
        <f t="shared" si="2"/>
        <v>66657</v>
      </c>
      <c r="CK3" s="312">
        <f t="shared" si="2"/>
        <v>67022</v>
      </c>
      <c r="CL3" s="312">
        <f t="shared" si="2"/>
        <v>67388</v>
      </c>
      <c r="CM3" s="312">
        <f t="shared" si="2"/>
        <v>67753</v>
      </c>
      <c r="CN3" s="312">
        <f t="shared" si="2"/>
        <v>68118</v>
      </c>
      <c r="CO3" s="312">
        <f t="shared" si="2"/>
        <v>68483</v>
      </c>
      <c r="CP3" s="312">
        <f t="shared" si="2"/>
        <v>68849</v>
      </c>
      <c r="CQ3" s="23" t="s">
        <v>77</v>
      </c>
    </row>
    <row r="4" spans="1:95" x14ac:dyDescent="0.2">
      <c r="CQ4" s="23" t="s">
        <v>77</v>
      </c>
    </row>
    <row r="5" spans="1:95" s="233" customFormat="1" x14ac:dyDescent="0.2">
      <c r="B5" s="728" t="s">
        <v>466</v>
      </c>
      <c r="C5" s="312"/>
      <c r="D5" s="312"/>
      <c r="E5" s="312"/>
      <c r="F5" s="312">
        <f t="shared" ref="F5:AK5" si="3">Fiscal_Year</f>
        <v>36707</v>
      </c>
      <c r="G5" s="312">
        <f t="shared" si="3"/>
        <v>37072</v>
      </c>
      <c r="H5" s="312">
        <f t="shared" si="3"/>
        <v>37437</v>
      </c>
      <c r="I5" s="312">
        <f t="shared" si="3"/>
        <v>37802</v>
      </c>
      <c r="J5" s="312">
        <f t="shared" si="3"/>
        <v>38168</v>
      </c>
      <c r="K5" s="312">
        <f t="shared" si="3"/>
        <v>38533</v>
      </c>
      <c r="L5" s="312">
        <f t="shared" si="3"/>
        <v>38898</v>
      </c>
      <c r="M5" s="312">
        <f t="shared" si="3"/>
        <v>39263</v>
      </c>
      <c r="N5" s="312">
        <f t="shared" si="3"/>
        <v>39629</v>
      </c>
      <c r="O5" s="312">
        <f t="shared" si="3"/>
        <v>39994</v>
      </c>
      <c r="P5" s="312">
        <f t="shared" si="3"/>
        <v>40359</v>
      </c>
      <c r="Q5" s="312">
        <f t="shared" si="3"/>
        <v>40724</v>
      </c>
      <c r="R5" s="312">
        <f t="shared" si="3"/>
        <v>41090</v>
      </c>
      <c r="S5" s="312">
        <f t="shared" si="3"/>
        <v>41455</v>
      </c>
      <c r="T5" s="312">
        <f t="shared" si="3"/>
        <v>41820</v>
      </c>
      <c r="U5" s="312">
        <f t="shared" si="3"/>
        <v>42185</v>
      </c>
      <c r="V5" s="312">
        <f t="shared" si="3"/>
        <v>42551</v>
      </c>
      <c r="W5" s="312">
        <f t="shared" si="3"/>
        <v>42916</v>
      </c>
      <c r="X5" s="312">
        <f t="shared" si="3"/>
        <v>43281</v>
      </c>
      <c r="Y5" s="312">
        <f t="shared" si="3"/>
        <v>43646</v>
      </c>
      <c r="Z5" s="312">
        <f t="shared" si="3"/>
        <v>44012</v>
      </c>
      <c r="AA5" s="312">
        <f t="shared" si="3"/>
        <v>44377</v>
      </c>
      <c r="AB5" s="312">
        <f t="shared" si="3"/>
        <v>44742</v>
      </c>
      <c r="AC5" s="312">
        <f t="shared" si="3"/>
        <v>45107</v>
      </c>
      <c r="AD5" s="312">
        <f t="shared" si="3"/>
        <v>45473</v>
      </c>
      <c r="AE5" s="312">
        <f t="shared" si="3"/>
        <v>45838</v>
      </c>
      <c r="AF5" s="312">
        <f t="shared" si="3"/>
        <v>46203</v>
      </c>
      <c r="AG5" s="312">
        <f t="shared" si="3"/>
        <v>46568</v>
      </c>
      <c r="AH5" s="312">
        <f t="shared" si="3"/>
        <v>46934</v>
      </c>
      <c r="AI5" s="312">
        <f t="shared" si="3"/>
        <v>47299</v>
      </c>
      <c r="AJ5" s="312">
        <f t="shared" si="3"/>
        <v>47664</v>
      </c>
      <c r="AK5" s="312">
        <f t="shared" si="3"/>
        <v>48029</v>
      </c>
      <c r="AL5" s="312">
        <f t="shared" ref="AL5:CP5" si="4">Fiscal_Year</f>
        <v>48395</v>
      </c>
      <c r="AM5" s="312">
        <f t="shared" si="4"/>
        <v>48760</v>
      </c>
      <c r="AN5" s="312">
        <f t="shared" si="4"/>
        <v>49125</v>
      </c>
      <c r="AO5" s="312">
        <f t="shared" si="4"/>
        <v>49490</v>
      </c>
      <c r="AP5" s="312">
        <f t="shared" si="4"/>
        <v>49856</v>
      </c>
      <c r="AQ5" s="312">
        <f t="shared" si="4"/>
        <v>50221</v>
      </c>
      <c r="AR5" s="312">
        <f t="shared" si="4"/>
        <v>50586</v>
      </c>
      <c r="AS5" s="312">
        <f t="shared" si="4"/>
        <v>50951</v>
      </c>
      <c r="AT5" s="312">
        <f t="shared" si="4"/>
        <v>51317</v>
      </c>
      <c r="AU5" s="312">
        <f t="shared" si="4"/>
        <v>51682</v>
      </c>
      <c r="AV5" s="312">
        <f t="shared" si="4"/>
        <v>52047</v>
      </c>
      <c r="AW5" s="312">
        <f t="shared" si="4"/>
        <v>52412</v>
      </c>
      <c r="AX5" s="312">
        <f t="shared" si="4"/>
        <v>52778</v>
      </c>
      <c r="AY5" s="312">
        <f t="shared" si="4"/>
        <v>53143</v>
      </c>
      <c r="AZ5" s="312">
        <f t="shared" si="4"/>
        <v>53508</v>
      </c>
      <c r="BA5" s="312">
        <f t="shared" si="4"/>
        <v>53873</v>
      </c>
      <c r="BB5" s="312">
        <f t="shared" si="4"/>
        <v>54239</v>
      </c>
      <c r="BC5" s="312">
        <f t="shared" si="4"/>
        <v>54604</v>
      </c>
      <c r="BD5" s="312">
        <f t="shared" si="4"/>
        <v>54969</v>
      </c>
      <c r="BE5" s="312">
        <f t="shared" si="4"/>
        <v>55334</v>
      </c>
      <c r="BF5" s="312">
        <f t="shared" si="4"/>
        <v>55700</v>
      </c>
      <c r="BG5" s="312">
        <f t="shared" si="4"/>
        <v>56065</v>
      </c>
      <c r="BH5" s="312">
        <f t="shared" si="4"/>
        <v>56430</v>
      </c>
      <c r="BI5" s="312">
        <f t="shared" si="4"/>
        <v>56795</v>
      </c>
      <c r="BJ5" s="312">
        <f t="shared" si="4"/>
        <v>57161</v>
      </c>
      <c r="BK5" s="312">
        <f t="shared" si="4"/>
        <v>57526</v>
      </c>
      <c r="BL5" s="312">
        <f t="shared" si="4"/>
        <v>57891</v>
      </c>
      <c r="BM5" s="312">
        <f t="shared" si="4"/>
        <v>58256</v>
      </c>
      <c r="BN5" s="312">
        <f t="shared" si="4"/>
        <v>58622</v>
      </c>
      <c r="BO5" s="312">
        <f t="shared" si="4"/>
        <v>58987</v>
      </c>
      <c r="BP5" s="312">
        <f t="shared" si="4"/>
        <v>59352</v>
      </c>
      <c r="BQ5" s="312">
        <f t="shared" si="4"/>
        <v>59717</v>
      </c>
      <c r="BR5" s="312">
        <f t="shared" si="4"/>
        <v>60083</v>
      </c>
      <c r="BS5" s="312">
        <f t="shared" si="4"/>
        <v>60448</v>
      </c>
      <c r="BT5" s="312">
        <f t="shared" si="4"/>
        <v>60813</v>
      </c>
      <c r="BU5" s="312">
        <f t="shared" si="4"/>
        <v>61178</v>
      </c>
      <c r="BV5" s="312">
        <f t="shared" si="4"/>
        <v>61544</v>
      </c>
      <c r="BW5" s="312">
        <f t="shared" si="4"/>
        <v>61909</v>
      </c>
      <c r="BX5" s="312">
        <f t="shared" si="4"/>
        <v>62274</v>
      </c>
      <c r="BY5" s="312">
        <f t="shared" si="4"/>
        <v>62639</v>
      </c>
      <c r="BZ5" s="312">
        <f t="shared" si="4"/>
        <v>63005</v>
      </c>
      <c r="CA5" s="312">
        <f t="shared" si="4"/>
        <v>63370</v>
      </c>
      <c r="CB5" s="312">
        <f t="shared" si="4"/>
        <v>63735</v>
      </c>
      <c r="CC5" s="312">
        <f t="shared" si="4"/>
        <v>64100</v>
      </c>
      <c r="CD5" s="312">
        <f t="shared" si="4"/>
        <v>64466</v>
      </c>
      <c r="CE5" s="312">
        <f t="shared" si="4"/>
        <v>64831</v>
      </c>
      <c r="CF5" s="312">
        <f t="shared" si="4"/>
        <v>65196</v>
      </c>
      <c r="CG5" s="312">
        <f t="shared" si="4"/>
        <v>65561</v>
      </c>
      <c r="CH5" s="312">
        <f t="shared" si="4"/>
        <v>65927</v>
      </c>
      <c r="CI5" s="312">
        <f t="shared" si="4"/>
        <v>66292</v>
      </c>
      <c r="CJ5" s="312">
        <f t="shared" si="4"/>
        <v>66657</v>
      </c>
      <c r="CK5" s="312">
        <f t="shared" si="4"/>
        <v>67022</v>
      </c>
      <c r="CL5" s="312">
        <f t="shared" si="4"/>
        <v>67388</v>
      </c>
      <c r="CM5" s="312">
        <f t="shared" si="4"/>
        <v>67753</v>
      </c>
      <c r="CN5" s="312">
        <f t="shared" si="4"/>
        <v>68118</v>
      </c>
      <c r="CO5" s="312">
        <f t="shared" si="4"/>
        <v>68483</v>
      </c>
      <c r="CP5" s="312">
        <f t="shared" si="4"/>
        <v>68849</v>
      </c>
      <c r="CQ5" s="23" t="s">
        <v>77</v>
      </c>
    </row>
    <row r="6" spans="1:95" ht="5.0999999999999996" customHeight="1" outlineLevel="1" x14ac:dyDescent="0.2">
      <c r="CQ6" s="23" t="s">
        <v>77</v>
      </c>
    </row>
    <row r="7" spans="1:95" s="98" customFormat="1" outlineLevel="1" x14ac:dyDescent="0.2">
      <c r="B7" s="98" t="s">
        <v>305</v>
      </c>
      <c r="C7" s="25"/>
      <c r="K7" s="637">
        <v>2.4860161591050201E-2</v>
      </c>
      <c r="L7" s="637">
        <v>3.0018192844148306E-2</v>
      </c>
      <c r="M7" s="637">
        <v>2.7377097438916476E-2</v>
      </c>
      <c r="N7" s="637">
        <v>2.9799426934097317E-2</v>
      </c>
      <c r="O7" s="637">
        <v>3.0884808013355691E-2</v>
      </c>
      <c r="P7" s="637">
        <v>2.3211875843454743E-2</v>
      </c>
      <c r="Q7" s="637">
        <v>2.9807438670535369E-2</v>
      </c>
      <c r="R7" s="637">
        <v>2.4846311475410054E-2</v>
      </c>
      <c r="S7" s="637">
        <v>2.5493626593351415E-2</v>
      </c>
      <c r="T7" s="638">
        <v>2.8128031037827302E-2</v>
      </c>
      <c r="U7" s="639">
        <v>0.02</v>
      </c>
      <c r="V7" s="639">
        <v>1.4999999999999999E-2</v>
      </c>
      <c r="W7" s="639">
        <v>1.4999999999999999E-2</v>
      </c>
      <c r="X7" s="640">
        <v>2.5000000000000001E-2</v>
      </c>
      <c r="Y7" s="640">
        <v>2.5000000000000001E-2</v>
      </c>
      <c r="Z7" s="640">
        <v>2.5000000000000001E-2</v>
      </c>
      <c r="AA7" s="640">
        <v>2.5000000000000001E-2</v>
      </c>
      <c r="AB7" s="640">
        <v>2.5000000000000001E-2</v>
      </c>
      <c r="AC7" s="640">
        <v>2.5000000000000001E-2</v>
      </c>
      <c r="AD7" s="640">
        <v>2.5000000000000001E-2</v>
      </c>
      <c r="AE7" s="640">
        <v>2.5000000000000001E-2</v>
      </c>
      <c r="AF7" s="640">
        <v>2.5000000000000001E-2</v>
      </c>
      <c r="AG7" s="640">
        <v>2.5000000000000001E-2</v>
      </c>
      <c r="AH7" s="640">
        <v>2.5000000000000001E-2</v>
      </c>
      <c r="AI7" s="640">
        <v>2.5000000000000001E-2</v>
      </c>
      <c r="AJ7" s="640">
        <v>2.5000000000000001E-2</v>
      </c>
      <c r="AK7" s="640">
        <v>2.5000000000000001E-2</v>
      </c>
      <c r="AL7" s="640">
        <v>2.5000000000000001E-2</v>
      </c>
      <c r="AM7" s="640">
        <v>2.5000000000000001E-2</v>
      </c>
      <c r="AN7" s="640">
        <v>2.5000000000000001E-2</v>
      </c>
      <c r="AO7" s="640">
        <v>2.5000000000000001E-2</v>
      </c>
      <c r="AP7" s="640">
        <v>2.5000000000000001E-2</v>
      </c>
      <c r="AQ7" s="640">
        <v>2.5000000000000001E-2</v>
      </c>
      <c r="AR7" s="640">
        <v>2.5000000000000001E-2</v>
      </c>
      <c r="AS7" s="640">
        <v>2.5000000000000001E-2</v>
      </c>
      <c r="AT7" s="640">
        <v>2.5000000000000001E-2</v>
      </c>
      <c r="AU7" s="640">
        <v>2.5000000000000001E-2</v>
      </c>
      <c r="AV7" s="640">
        <v>2.5000000000000001E-2</v>
      </c>
      <c r="AW7" s="640">
        <v>2.5000000000000001E-2</v>
      </c>
      <c r="AX7" s="640">
        <v>2.5000000000000001E-2</v>
      </c>
      <c r="AY7" s="640">
        <v>2.5000000000000001E-2</v>
      </c>
      <c r="AZ7" s="640">
        <v>2.5000000000000001E-2</v>
      </c>
      <c r="BA7" s="640">
        <v>2.5000000000000001E-2</v>
      </c>
      <c r="BB7" s="640">
        <v>2.5000000000000001E-2</v>
      </c>
      <c r="BC7" s="640">
        <v>2.5000000000000001E-2</v>
      </c>
      <c r="BD7" s="640">
        <v>2.5000000000000001E-2</v>
      </c>
      <c r="BE7" s="640">
        <v>2.5000000000000001E-2</v>
      </c>
      <c r="BF7" s="640">
        <v>2.5000000000000001E-2</v>
      </c>
      <c r="BG7" s="640">
        <v>2.5000000000000001E-2</v>
      </c>
      <c r="BH7" s="640">
        <v>2.5000000000000001E-2</v>
      </c>
      <c r="BI7" s="640">
        <v>2.5000000000000001E-2</v>
      </c>
      <c r="BJ7" s="640">
        <v>2.5000000000000001E-2</v>
      </c>
      <c r="BK7" s="640">
        <v>2.5000000000000001E-2</v>
      </c>
      <c r="BL7" s="640">
        <v>2.5000000000000001E-2</v>
      </c>
      <c r="BM7" s="640">
        <v>2.5000000000000001E-2</v>
      </c>
      <c r="BN7" s="640">
        <v>2.5000000000000001E-2</v>
      </c>
      <c r="BO7" s="640">
        <v>2.5000000000000001E-2</v>
      </c>
      <c r="BP7" s="640">
        <v>2.5000000000000001E-2</v>
      </c>
      <c r="BQ7" s="640">
        <v>2.5000000000000001E-2</v>
      </c>
      <c r="BR7" s="640">
        <v>2.5000000000000001E-2</v>
      </c>
      <c r="BS7" s="640">
        <v>2.5000000000000001E-2</v>
      </c>
      <c r="BT7" s="640">
        <v>2.5000000000000001E-2</v>
      </c>
      <c r="BU7" s="640">
        <v>2.5000000000000001E-2</v>
      </c>
      <c r="BV7" s="640">
        <v>2.5000000000000001E-2</v>
      </c>
      <c r="BW7" s="640">
        <v>2.5000000000000001E-2</v>
      </c>
      <c r="BX7" s="640">
        <v>2.5000000000000001E-2</v>
      </c>
      <c r="BY7" s="640">
        <v>2.5000000000000001E-2</v>
      </c>
      <c r="BZ7" s="640">
        <v>2.5000000000000001E-2</v>
      </c>
      <c r="CA7" s="640">
        <v>2.5000000000000001E-2</v>
      </c>
      <c r="CB7" s="640">
        <v>2.5000000000000001E-2</v>
      </c>
      <c r="CC7" s="640">
        <v>2.5000000000000001E-2</v>
      </c>
      <c r="CD7" s="640">
        <v>2.5000000000000001E-2</v>
      </c>
      <c r="CE7" s="640">
        <v>2.5000000000000001E-2</v>
      </c>
      <c r="CF7" s="640">
        <v>2.5000000000000001E-2</v>
      </c>
      <c r="CG7" s="640">
        <v>2.5000000000000001E-2</v>
      </c>
      <c r="CH7" s="640">
        <v>2.5000000000000001E-2</v>
      </c>
      <c r="CI7" s="640">
        <v>2.5000000000000001E-2</v>
      </c>
      <c r="CJ7" s="640">
        <v>2.5000000000000001E-2</v>
      </c>
      <c r="CK7" s="640">
        <v>2.5000000000000001E-2</v>
      </c>
      <c r="CL7" s="640">
        <v>2.5000000000000001E-2</v>
      </c>
      <c r="CM7" s="640">
        <v>2.5000000000000001E-2</v>
      </c>
      <c r="CN7" s="640">
        <v>2.5000000000000001E-2</v>
      </c>
      <c r="CO7" s="640">
        <v>2.5000000000000001E-2</v>
      </c>
      <c r="CP7" s="640">
        <v>2.5000000000000001E-2</v>
      </c>
      <c r="CQ7" s="118" t="s">
        <v>77</v>
      </c>
    </row>
    <row r="8" spans="1:95" s="98" customFormat="1" outlineLevel="1" x14ac:dyDescent="0.2">
      <c r="B8" s="98" t="s">
        <v>306</v>
      </c>
      <c r="C8" s="25"/>
      <c r="K8" s="637">
        <v>2.0136307311028778E-2</v>
      </c>
      <c r="L8" s="637">
        <v>3.0671120558760867E-2</v>
      </c>
      <c r="M8" s="637">
        <v>2.6222746022392496E-2</v>
      </c>
      <c r="N8" s="637">
        <v>3.5314384151593714E-2</v>
      </c>
      <c r="O8" s="637">
        <v>2.8008874098724101E-2</v>
      </c>
      <c r="P8" s="637">
        <v>2.0771513353116111E-2</v>
      </c>
      <c r="Q8" s="637">
        <v>3.3033826638477759E-2</v>
      </c>
      <c r="R8" s="637">
        <v>2.3279611153747881E-2</v>
      </c>
      <c r="S8" s="637">
        <v>2.1500000000000075E-2</v>
      </c>
      <c r="T8" s="638">
        <v>3.2163742690058499E-2</v>
      </c>
      <c r="U8" s="639">
        <v>1.4E-2</v>
      </c>
      <c r="V8" s="639">
        <v>1.4999999999999999E-2</v>
      </c>
      <c r="W8" s="639">
        <v>1.4999999999999999E-2</v>
      </c>
      <c r="X8" s="640">
        <v>2.5000000000000001E-2</v>
      </c>
      <c r="Y8" s="640">
        <v>2.5000000000000001E-2</v>
      </c>
      <c r="Z8" s="640">
        <v>2.5000000000000001E-2</v>
      </c>
      <c r="AA8" s="640">
        <v>2.5000000000000001E-2</v>
      </c>
      <c r="AB8" s="640">
        <v>2.5000000000000001E-2</v>
      </c>
      <c r="AC8" s="640">
        <v>2.5000000000000001E-2</v>
      </c>
      <c r="AD8" s="640">
        <v>2.5000000000000001E-2</v>
      </c>
      <c r="AE8" s="640">
        <v>2.5000000000000001E-2</v>
      </c>
      <c r="AF8" s="640">
        <v>2.5000000000000001E-2</v>
      </c>
      <c r="AG8" s="640">
        <v>2.5000000000000001E-2</v>
      </c>
      <c r="AH8" s="640">
        <v>2.5000000000000001E-2</v>
      </c>
      <c r="AI8" s="640">
        <v>2.5000000000000001E-2</v>
      </c>
      <c r="AJ8" s="640">
        <v>2.5000000000000001E-2</v>
      </c>
      <c r="AK8" s="640">
        <v>2.5000000000000001E-2</v>
      </c>
      <c r="AL8" s="640">
        <v>2.5000000000000001E-2</v>
      </c>
      <c r="AM8" s="640">
        <v>2.5000000000000001E-2</v>
      </c>
      <c r="AN8" s="640">
        <v>2.5000000000000001E-2</v>
      </c>
      <c r="AO8" s="640">
        <v>2.5000000000000001E-2</v>
      </c>
      <c r="AP8" s="640">
        <v>2.5000000000000001E-2</v>
      </c>
      <c r="AQ8" s="640">
        <v>2.5000000000000001E-2</v>
      </c>
      <c r="AR8" s="640">
        <v>2.5000000000000001E-2</v>
      </c>
      <c r="AS8" s="640">
        <v>2.5000000000000001E-2</v>
      </c>
      <c r="AT8" s="640">
        <v>2.5000000000000001E-2</v>
      </c>
      <c r="AU8" s="640">
        <v>2.5000000000000001E-2</v>
      </c>
      <c r="AV8" s="640">
        <v>2.5000000000000001E-2</v>
      </c>
      <c r="AW8" s="640">
        <v>2.5000000000000001E-2</v>
      </c>
      <c r="AX8" s="640">
        <v>2.5000000000000001E-2</v>
      </c>
      <c r="AY8" s="640">
        <v>2.5000000000000001E-2</v>
      </c>
      <c r="AZ8" s="640">
        <v>2.5000000000000001E-2</v>
      </c>
      <c r="BA8" s="640">
        <v>2.5000000000000001E-2</v>
      </c>
      <c r="BB8" s="640">
        <v>2.5000000000000001E-2</v>
      </c>
      <c r="BC8" s="640">
        <v>2.5000000000000001E-2</v>
      </c>
      <c r="BD8" s="640">
        <v>2.5000000000000001E-2</v>
      </c>
      <c r="BE8" s="640">
        <v>2.5000000000000001E-2</v>
      </c>
      <c r="BF8" s="640">
        <v>2.5000000000000001E-2</v>
      </c>
      <c r="BG8" s="640">
        <v>2.5000000000000001E-2</v>
      </c>
      <c r="BH8" s="640">
        <v>2.5000000000000001E-2</v>
      </c>
      <c r="BI8" s="640">
        <v>2.5000000000000001E-2</v>
      </c>
      <c r="BJ8" s="640">
        <v>2.5000000000000001E-2</v>
      </c>
      <c r="BK8" s="640">
        <v>2.5000000000000001E-2</v>
      </c>
      <c r="BL8" s="640">
        <v>2.5000000000000001E-2</v>
      </c>
      <c r="BM8" s="640">
        <v>2.5000000000000001E-2</v>
      </c>
      <c r="BN8" s="640">
        <v>2.5000000000000001E-2</v>
      </c>
      <c r="BO8" s="640">
        <v>2.5000000000000001E-2</v>
      </c>
      <c r="BP8" s="640">
        <v>2.5000000000000001E-2</v>
      </c>
      <c r="BQ8" s="640">
        <v>2.5000000000000001E-2</v>
      </c>
      <c r="BR8" s="640">
        <v>2.5000000000000001E-2</v>
      </c>
      <c r="BS8" s="640">
        <v>2.5000000000000001E-2</v>
      </c>
      <c r="BT8" s="640">
        <v>2.5000000000000001E-2</v>
      </c>
      <c r="BU8" s="640">
        <v>2.5000000000000001E-2</v>
      </c>
      <c r="BV8" s="640">
        <v>2.5000000000000001E-2</v>
      </c>
      <c r="BW8" s="640">
        <v>2.5000000000000001E-2</v>
      </c>
      <c r="BX8" s="640">
        <v>2.5000000000000001E-2</v>
      </c>
      <c r="BY8" s="640">
        <v>2.5000000000000001E-2</v>
      </c>
      <c r="BZ8" s="640">
        <v>2.5000000000000001E-2</v>
      </c>
      <c r="CA8" s="640">
        <v>2.5000000000000001E-2</v>
      </c>
      <c r="CB8" s="640">
        <v>2.5000000000000001E-2</v>
      </c>
      <c r="CC8" s="640">
        <v>2.5000000000000001E-2</v>
      </c>
      <c r="CD8" s="640">
        <v>2.5000000000000001E-2</v>
      </c>
      <c r="CE8" s="640">
        <v>2.5000000000000001E-2</v>
      </c>
      <c r="CF8" s="640">
        <v>2.5000000000000001E-2</v>
      </c>
      <c r="CG8" s="640">
        <v>2.5000000000000001E-2</v>
      </c>
      <c r="CH8" s="640">
        <v>2.5000000000000001E-2</v>
      </c>
      <c r="CI8" s="640">
        <v>2.5000000000000001E-2</v>
      </c>
      <c r="CJ8" s="640">
        <v>2.5000000000000001E-2</v>
      </c>
      <c r="CK8" s="640">
        <v>2.5000000000000001E-2</v>
      </c>
      <c r="CL8" s="640">
        <v>2.5000000000000001E-2</v>
      </c>
      <c r="CM8" s="640">
        <v>2.5000000000000001E-2</v>
      </c>
      <c r="CN8" s="640">
        <v>2.5000000000000001E-2</v>
      </c>
      <c r="CO8" s="640">
        <v>2.5000000000000001E-2</v>
      </c>
      <c r="CP8" s="640">
        <v>2.5000000000000001E-2</v>
      </c>
      <c r="CQ8" s="118" t="s">
        <v>77</v>
      </c>
    </row>
    <row r="9" spans="1:95" s="98" customFormat="1" outlineLevel="1" x14ac:dyDescent="0.2">
      <c r="B9" s="98" t="s">
        <v>307</v>
      </c>
      <c r="C9" s="25"/>
      <c r="K9" s="637">
        <v>2.5215448451963329E-2</v>
      </c>
      <c r="L9" s="637">
        <v>3.1755915317558836E-2</v>
      </c>
      <c r="M9" s="637">
        <v>3.3494266747133405E-2</v>
      </c>
      <c r="N9" s="637">
        <v>4.1167883211678857E-2</v>
      </c>
      <c r="O9" s="637">
        <v>3.7296690970274771E-2</v>
      </c>
      <c r="P9" s="637">
        <v>2.6763990267639759E-2</v>
      </c>
      <c r="Q9" s="637">
        <v>3.3438651922064411E-2</v>
      </c>
      <c r="R9" s="637">
        <v>1.9108280254777066E-2</v>
      </c>
      <c r="S9" s="637">
        <v>0.02</v>
      </c>
      <c r="T9" s="638">
        <v>3.2195121951219499E-2</v>
      </c>
      <c r="U9" s="639">
        <v>1.7999999999999999E-2</v>
      </c>
      <c r="V9" s="639">
        <v>1.4999999999999999E-2</v>
      </c>
      <c r="W9" s="639">
        <v>1.4999999999999999E-2</v>
      </c>
      <c r="X9" s="640">
        <v>2.5000000000000001E-2</v>
      </c>
      <c r="Y9" s="640">
        <v>2.5000000000000001E-2</v>
      </c>
      <c r="Z9" s="640">
        <v>2.5000000000000001E-2</v>
      </c>
      <c r="AA9" s="640">
        <v>2.5000000000000001E-2</v>
      </c>
      <c r="AB9" s="640">
        <v>2.5000000000000001E-2</v>
      </c>
      <c r="AC9" s="640">
        <v>2.5000000000000001E-2</v>
      </c>
      <c r="AD9" s="640">
        <v>2.5000000000000001E-2</v>
      </c>
      <c r="AE9" s="640">
        <v>2.5000000000000001E-2</v>
      </c>
      <c r="AF9" s="640">
        <v>2.5000000000000001E-2</v>
      </c>
      <c r="AG9" s="640">
        <v>2.5000000000000001E-2</v>
      </c>
      <c r="AH9" s="640">
        <v>2.5000000000000001E-2</v>
      </c>
      <c r="AI9" s="640">
        <v>2.5000000000000001E-2</v>
      </c>
      <c r="AJ9" s="640">
        <v>2.5000000000000001E-2</v>
      </c>
      <c r="AK9" s="640">
        <v>2.5000000000000001E-2</v>
      </c>
      <c r="AL9" s="640">
        <v>2.5000000000000001E-2</v>
      </c>
      <c r="AM9" s="640">
        <v>2.5000000000000001E-2</v>
      </c>
      <c r="AN9" s="640">
        <v>2.5000000000000001E-2</v>
      </c>
      <c r="AO9" s="640">
        <v>2.5000000000000001E-2</v>
      </c>
      <c r="AP9" s="640">
        <v>2.5000000000000001E-2</v>
      </c>
      <c r="AQ9" s="640">
        <v>2.5000000000000001E-2</v>
      </c>
      <c r="AR9" s="640">
        <v>2.5000000000000001E-2</v>
      </c>
      <c r="AS9" s="640">
        <v>2.5000000000000001E-2</v>
      </c>
      <c r="AT9" s="640">
        <v>2.5000000000000001E-2</v>
      </c>
      <c r="AU9" s="640">
        <v>2.5000000000000001E-2</v>
      </c>
      <c r="AV9" s="640">
        <v>2.5000000000000001E-2</v>
      </c>
      <c r="AW9" s="640">
        <v>2.5000000000000001E-2</v>
      </c>
      <c r="AX9" s="640">
        <v>2.5000000000000001E-2</v>
      </c>
      <c r="AY9" s="640">
        <v>2.5000000000000001E-2</v>
      </c>
      <c r="AZ9" s="640">
        <v>2.5000000000000001E-2</v>
      </c>
      <c r="BA9" s="640">
        <v>2.5000000000000001E-2</v>
      </c>
      <c r="BB9" s="640">
        <v>2.5000000000000001E-2</v>
      </c>
      <c r="BC9" s="640">
        <v>2.5000000000000001E-2</v>
      </c>
      <c r="BD9" s="640">
        <v>2.5000000000000001E-2</v>
      </c>
      <c r="BE9" s="640">
        <v>2.5000000000000001E-2</v>
      </c>
      <c r="BF9" s="640">
        <v>2.5000000000000001E-2</v>
      </c>
      <c r="BG9" s="640">
        <v>2.5000000000000001E-2</v>
      </c>
      <c r="BH9" s="640">
        <v>2.5000000000000001E-2</v>
      </c>
      <c r="BI9" s="640">
        <v>2.5000000000000001E-2</v>
      </c>
      <c r="BJ9" s="640">
        <v>2.5000000000000001E-2</v>
      </c>
      <c r="BK9" s="640">
        <v>2.5000000000000001E-2</v>
      </c>
      <c r="BL9" s="640">
        <v>2.5000000000000001E-2</v>
      </c>
      <c r="BM9" s="640">
        <v>2.5000000000000001E-2</v>
      </c>
      <c r="BN9" s="640">
        <v>2.5000000000000001E-2</v>
      </c>
      <c r="BO9" s="640">
        <v>2.5000000000000001E-2</v>
      </c>
      <c r="BP9" s="640">
        <v>2.5000000000000001E-2</v>
      </c>
      <c r="BQ9" s="640">
        <v>2.5000000000000001E-2</v>
      </c>
      <c r="BR9" s="640">
        <v>2.5000000000000001E-2</v>
      </c>
      <c r="BS9" s="640">
        <v>2.5000000000000001E-2</v>
      </c>
      <c r="BT9" s="640">
        <v>2.5000000000000001E-2</v>
      </c>
      <c r="BU9" s="640">
        <v>2.5000000000000001E-2</v>
      </c>
      <c r="BV9" s="640">
        <v>2.5000000000000001E-2</v>
      </c>
      <c r="BW9" s="640">
        <v>2.5000000000000001E-2</v>
      </c>
      <c r="BX9" s="640">
        <v>2.5000000000000001E-2</v>
      </c>
      <c r="BY9" s="640">
        <v>2.5000000000000001E-2</v>
      </c>
      <c r="BZ9" s="640">
        <v>2.5000000000000001E-2</v>
      </c>
      <c r="CA9" s="640">
        <v>2.5000000000000001E-2</v>
      </c>
      <c r="CB9" s="640">
        <v>2.5000000000000001E-2</v>
      </c>
      <c r="CC9" s="640">
        <v>2.5000000000000001E-2</v>
      </c>
      <c r="CD9" s="640">
        <v>2.5000000000000001E-2</v>
      </c>
      <c r="CE9" s="640">
        <v>2.5000000000000001E-2</v>
      </c>
      <c r="CF9" s="640">
        <v>2.5000000000000001E-2</v>
      </c>
      <c r="CG9" s="640">
        <v>2.5000000000000001E-2</v>
      </c>
      <c r="CH9" s="640">
        <v>2.5000000000000001E-2</v>
      </c>
      <c r="CI9" s="640">
        <v>2.5000000000000001E-2</v>
      </c>
      <c r="CJ9" s="640">
        <v>2.5000000000000001E-2</v>
      </c>
      <c r="CK9" s="640">
        <v>2.5000000000000001E-2</v>
      </c>
      <c r="CL9" s="640">
        <v>2.5000000000000001E-2</v>
      </c>
      <c r="CM9" s="640">
        <v>2.5000000000000001E-2</v>
      </c>
      <c r="CN9" s="640">
        <v>2.5000000000000001E-2</v>
      </c>
      <c r="CO9" s="640">
        <v>2.5000000000000001E-2</v>
      </c>
      <c r="CP9" s="640">
        <v>2.5000000000000001E-2</v>
      </c>
      <c r="CQ9" s="118" t="s">
        <v>77</v>
      </c>
    </row>
    <row r="10" spans="1:95" s="98" customFormat="1" outlineLevel="1" x14ac:dyDescent="0.2">
      <c r="B10" s="98" t="s">
        <v>308</v>
      </c>
      <c r="C10" s="25"/>
      <c r="K10" s="637">
        <v>2.405498281786933E-2</v>
      </c>
      <c r="L10" s="637">
        <v>3.1116534472239055E-2</v>
      </c>
      <c r="M10" s="637">
        <v>2.6331360946745708E-2</v>
      </c>
      <c r="N10" s="637">
        <v>3.2862496396655949E-2</v>
      </c>
      <c r="O10" s="637">
        <v>3.1537817471392504E-2</v>
      </c>
      <c r="P10" s="637">
        <v>2.1915584415584499E-2</v>
      </c>
      <c r="Q10" s="637">
        <v>3.2036007413290823E-2</v>
      </c>
      <c r="R10" s="637">
        <v>2.6423807080554251E-2</v>
      </c>
      <c r="S10" s="637">
        <v>2.0244938765308751E-2</v>
      </c>
      <c r="T10" s="641">
        <v>3.1280547409579598E-2</v>
      </c>
      <c r="U10" s="639">
        <v>1.4999999999999999E-2</v>
      </c>
      <c r="V10" s="639">
        <v>1.4999999999999999E-2</v>
      </c>
      <c r="W10" s="639">
        <v>1.4999999999999999E-2</v>
      </c>
      <c r="X10" s="640">
        <v>2.5000000000000001E-2</v>
      </c>
      <c r="Y10" s="640">
        <v>2.5000000000000001E-2</v>
      </c>
      <c r="Z10" s="640">
        <v>2.5000000000000001E-2</v>
      </c>
      <c r="AA10" s="640">
        <v>2.5000000000000001E-2</v>
      </c>
      <c r="AB10" s="640">
        <v>2.5000000000000001E-2</v>
      </c>
      <c r="AC10" s="640">
        <v>2.5000000000000001E-2</v>
      </c>
      <c r="AD10" s="640">
        <v>2.5000000000000001E-2</v>
      </c>
      <c r="AE10" s="640">
        <v>2.5000000000000001E-2</v>
      </c>
      <c r="AF10" s="640">
        <v>2.5000000000000001E-2</v>
      </c>
      <c r="AG10" s="640">
        <v>2.5000000000000001E-2</v>
      </c>
      <c r="AH10" s="640">
        <v>2.5000000000000001E-2</v>
      </c>
      <c r="AI10" s="640">
        <v>2.5000000000000001E-2</v>
      </c>
      <c r="AJ10" s="640">
        <v>2.5000000000000001E-2</v>
      </c>
      <c r="AK10" s="640">
        <v>2.5000000000000001E-2</v>
      </c>
      <c r="AL10" s="640">
        <v>2.5000000000000001E-2</v>
      </c>
      <c r="AM10" s="640">
        <v>2.5000000000000001E-2</v>
      </c>
      <c r="AN10" s="640">
        <v>2.5000000000000001E-2</v>
      </c>
      <c r="AO10" s="640">
        <v>2.5000000000000001E-2</v>
      </c>
      <c r="AP10" s="640">
        <v>2.5000000000000001E-2</v>
      </c>
      <c r="AQ10" s="640">
        <v>2.5000000000000001E-2</v>
      </c>
      <c r="AR10" s="640">
        <v>2.5000000000000001E-2</v>
      </c>
      <c r="AS10" s="640">
        <v>2.5000000000000001E-2</v>
      </c>
      <c r="AT10" s="640">
        <v>2.5000000000000001E-2</v>
      </c>
      <c r="AU10" s="640">
        <v>2.5000000000000001E-2</v>
      </c>
      <c r="AV10" s="640">
        <v>2.5000000000000001E-2</v>
      </c>
      <c r="AW10" s="640">
        <v>2.5000000000000001E-2</v>
      </c>
      <c r="AX10" s="640">
        <v>2.5000000000000001E-2</v>
      </c>
      <c r="AY10" s="640">
        <v>2.5000000000000001E-2</v>
      </c>
      <c r="AZ10" s="640">
        <v>2.5000000000000001E-2</v>
      </c>
      <c r="BA10" s="640">
        <v>2.5000000000000001E-2</v>
      </c>
      <c r="BB10" s="640">
        <v>2.5000000000000001E-2</v>
      </c>
      <c r="BC10" s="640">
        <v>2.5000000000000001E-2</v>
      </c>
      <c r="BD10" s="640">
        <v>2.5000000000000001E-2</v>
      </c>
      <c r="BE10" s="640">
        <v>2.5000000000000001E-2</v>
      </c>
      <c r="BF10" s="640">
        <v>2.5000000000000001E-2</v>
      </c>
      <c r="BG10" s="640">
        <v>2.5000000000000001E-2</v>
      </c>
      <c r="BH10" s="640">
        <v>2.5000000000000001E-2</v>
      </c>
      <c r="BI10" s="640">
        <v>2.5000000000000001E-2</v>
      </c>
      <c r="BJ10" s="640">
        <v>2.5000000000000001E-2</v>
      </c>
      <c r="BK10" s="640">
        <v>2.5000000000000001E-2</v>
      </c>
      <c r="BL10" s="640">
        <v>2.5000000000000001E-2</v>
      </c>
      <c r="BM10" s="640">
        <v>2.5000000000000001E-2</v>
      </c>
      <c r="BN10" s="640">
        <v>2.5000000000000001E-2</v>
      </c>
      <c r="BO10" s="640">
        <v>2.5000000000000001E-2</v>
      </c>
      <c r="BP10" s="640">
        <v>2.5000000000000001E-2</v>
      </c>
      <c r="BQ10" s="640">
        <v>2.5000000000000001E-2</v>
      </c>
      <c r="BR10" s="640">
        <v>2.5000000000000001E-2</v>
      </c>
      <c r="BS10" s="640">
        <v>2.5000000000000001E-2</v>
      </c>
      <c r="BT10" s="640">
        <v>2.5000000000000001E-2</v>
      </c>
      <c r="BU10" s="640">
        <v>2.5000000000000001E-2</v>
      </c>
      <c r="BV10" s="640">
        <v>2.5000000000000001E-2</v>
      </c>
      <c r="BW10" s="640">
        <v>2.5000000000000001E-2</v>
      </c>
      <c r="BX10" s="640">
        <v>2.5000000000000001E-2</v>
      </c>
      <c r="BY10" s="640">
        <v>2.5000000000000001E-2</v>
      </c>
      <c r="BZ10" s="640">
        <v>2.5000000000000001E-2</v>
      </c>
      <c r="CA10" s="640">
        <v>2.5000000000000001E-2</v>
      </c>
      <c r="CB10" s="640">
        <v>2.5000000000000001E-2</v>
      </c>
      <c r="CC10" s="640">
        <v>2.5000000000000001E-2</v>
      </c>
      <c r="CD10" s="640">
        <v>2.5000000000000001E-2</v>
      </c>
      <c r="CE10" s="640">
        <v>2.5000000000000001E-2</v>
      </c>
      <c r="CF10" s="640">
        <v>2.5000000000000001E-2</v>
      </c>
      <c r="CG10" s="640">
        <v>2.5000000000000001E-2</v>
      </c>
      <c r="CH10" s="640">
        <v>2.5000000000000001E-2</v>
      </c>
      <c r="CI10" s="640">
        <v>2.5000000000000001E-2</v>
      </c>
      <c r="CJ10" s="640">
        <v>2.5000000000000001E-2</v>
      </c>
      <c r="CK10" s="640">
        <v>2.5000000000000001E-2</v>
      </c>
      <c r="CL10" s="640">
        <v>2.5000000000000001E-2</v>
      </c>
      <c r="CM10" s="640">
        <v>2.5000000000000001E-2</v>
      </c>
      <c r="CN10" s="640">
        <v>2.5000000000000001E-2</v>
      </c>
      <c r="CO10" s="640">
        <v>2.5000000000000001E-2</v>
      </c>
      <c r="CP10" s="640">
        <v>2.5000000000000001E-2</v>
      </c>
      <c r="CQ10" s="118" t="s">
        <v>77</v>
      </c>
    </row>
    <row r="11" spans="1:95" s="98" customFormat="1" outlineLevel="1" x14ac:dyDescent="0.2">
      <c r="B11" s="98" t="s">
        <v>309</v>
      </c>
      <c r="C11" s="25"/>
      <c r="K11" s="637">
        <v>3.1179684988749345E-2</v>
      </c>
      <c r="L11" s="637">
        <v>4.3017456359102368E-2</v>
      </c>
      <c r="M11" s="637">
        <v>3.9151225343693863E-2</v>
      </c>
      <c r="N11" s="637">
        <v>3.6525740580960475E-2</v>
      </c>
      <c r="O11" s="637">
        <v>3.0244173140954622E-2</v>
      </c>
      <c r="P11" s="637">
        <v>2.5047131699434511E-2</v>
      </c>
      <c r="Q11" s="637">
        <v>2.8376248029427176E-2</v>
      </c>
      <c r="R11" s="637">
        <v>2.1716913643331726E-2</v>
      </c>
      <c r="S11" s="637">
        <v>2.2505626406601698E-2</v>
      </c>
      <c r="T11" s="641">
        <v>3.3009708737864199E-2</v>
      </c>
      <c r="U11" s="639">
        <v>1.7999999999999999E-2</v>
      </c>
      <c r="V11" s="639">
        <v>1.4999999999999999E-2</v>
      </c>
      <c r="W11" s="639">
        <v>1.4999999999999999E-2</v>
      </c>
      <c r="X11" s="640">
        <v>2.5000000000000001E-2</v>
      </c>
      <c r="Y11" s="640">
        <v>2.5000000000000001E-2</v>
      </c>
      <c r="Z11" s="640">
        <v>2.5000000000000001E-2</v>
      </c>
      <c r="AA11" s="640">
        <v>2.5000000000000001E-2</v>
      </c>
      <c r="AB11" s="640">
        <v>2.5000000000000001E-2</v>
      </c>
      <c r="AC11" s="640">
        <v>2.5000000000000001E-2</v>
      </c>
      <c r="AD11" s="640">
        <v>2.5000000000000001E-2</v>
      </c>
      <c r="AE11" s="640">
        <v>2.5000000000000001E-2</v>
      </c>
      <c r="AF11" s="640">
        <v>2.5000000000000001E-2</v>
      </c>
      <c r="AG11" s="640">
        <v>2.5000000000000001E-2</v>
      </c>
      <c r="AH11" s="640">
        <v>2.5000000000000001E-2</v>
      </c>
      <c r="AI11" s="640">
        <v>2.5000000000000001E-2</v>
      </c>
      <c r="AJ11" s="640">
        <v>2.5000000000000001E-2</v>
      </c>
      <c r="AK11" s="640">
        <v>2.5000000000000001E-2</v>
      </c>
      <c r="AL11" s="640">
        <v>2.5000000000000001E-2</v>
      </c>
      <c r="AM11" s="640">
        <v>2.5000000000000001E-2</v>
      </c>
      <c r="AN11" s="640">
        <v>2.5000000000000001E-2</v>
      </c>
      <c r="AO11" s="640">
        <v>2.5000000000000001E-2</v>
      </c>
      <c r="AP11" s="640">
        <v>2.5000000000000001E-2</v>
      </c>
      <c r="AQ11" s="640">
        <v>2.5000000000000001E-2</v>
      </c>
      <c r="AR11" s="640">
        <v>2.5000000000000001E-2</v>
      </c>
      <c r="AS11" s="640">
        <v>2.5000000000000001E-2</v>
      </c>
      <c r="AT11" s="640">
        <v>2.5000000000000001E-2</v>
      </c>
      <c r="AU11" s="640">
        <v>2.5000000000000001E-2</v>
      </c>
      <c r="AV11" s="640">
        <v>2.5000000000000001E-2</v>
      </c>
      <c r="AW11" s="640">
        <v>2.5000000000000001E-2</v>
      </c>
      <c r="AX11" s="640">
        <v>2.5000000000000001E-2</v>
      </c>
      <c r="AY11" s="640">
        <v>2.5000000000000001E-2</v>
      </c>
      <c r="AZ11" s="640">
        <v>2.5000000000000001E-2</v>
      </c>
      <c r="BA11" s="640">
        <v>2.5000000000000001E-2</v>
      </c>
      <c r="BB11" s="640">
        <v>2.5000000000000001E-2</v>
      </c>
      <c r="BC11" s="640">
        <v>2.5000000000000001E-2</v>
      </c>
      <c r="BD11" s="640">
        <v>2.5000000000000001E-2</v>
      </c>
      <c r="BE11" s="640">
        <v>2.5000000000000001E-2</v>
      </c>
      <c r="BF11" s="640">
        <v>2.5000000000000001E-2</v>
      </c>
      <c r="BG11" s="640">
        <v>2.5000000000000001E-2</v>
      </c>
      <c r="BH11" s="640">
        <v>2.5000000000000001E-2</v>
      </c>
      <c r="BI11" s="640">
        <v>2.5000000000000001E-2</v>
      </c>
      <c r="BJ11" s="640">
        <v>2.5000000000000001E-2</v>
      </c>
      <c r="BK11" s="640">
        <v>2.5000000000000001E-2</v>
      </c>
      <c r="BL11" s="640">
        <v>2.5000000000000001E-2</v>
      </c>
      <c r="BM11" s="640">
        <v>2.5000000000000001E-2</v>
      </c>
      <c r="BN11" s="640">
        <v>2.5000000000000001E-2</v>
      </c>
      <c r="BO11" s="640">
        <v>2.5000000000000001E-2</v>
      </c>
      <c r="BP11" s="640">
        <v>2.5000000000000001E-2</v>
      </c>
      <c r="BQ11" s="640">
        <v>2.5000000000000001E-2</v>
      </c>
      <c r="BR11" s="640">
        <v>2.5000000000000001E-2</v>
      </c>
      <c r="BS11" s="640">
        <v>2.5000000000000001E-2</v>
      </c>
      <c r="BT11" s="640">
        <v>2.5000000000000001E-2</v>
      </c>
      <c r="BU11" s="640">
        <v>2.5000000000000001E-2</v>
      </c>
      <c r="BV11" s="640">
        <v>2.5000000000000001E-2</v>
      </c>
      <c r="BW11" s="640">
        <v>2.5000000000000001E-2</v>
      </c>
      <c r="BX11" s="640">
        <v>2.5000000000000001E-2</v>
      </c>
      <c r="BY11" s="640">
        <v>2.5000000000000001E-2</v>
      </c>
      <c r="BZ11" s="640">
        <v>2.5000000000000001E-2</v>
      </c>
      <c r="CA11" s="640">
        <v>2.5000000000000001E-2</v>
      </c>
      <c r="CB11" s="640">
        <v>2.5000000000000001E-2</v>
      </c>
      <c r="CC11" s="640">
        <v>2.5000000000000001E-2</v>
      </c>
      <c r="CD11" s="640">
        <v>2.5000000000000001E-2</v>
      </c>
      <c r="CE11" s="640">
        <v>2.5000000000000001E-2</v>
      </c>
      <c r="CF11" s="640">
        <v>2.5000000000000001E-2</v>
      </c>
      <c r="CG11" s="640">
        <v>2.5000000000000001E-2</v>
      </c>
      <c r="CH11" s="640">
        <v>2.5000000000000001E-2</v>
      </c>
      <c r="CI11" s="640">
        <v>2.5000000000000001E-2</v>
      </c>
      <c r="CJ11" s="640">
        <v>2.5000000000000001E-2</v>
      </c>
      <c r="CK11" s="640">
        <v>2.5000000000000001E-2</v>
      </c>
      <c r="CL11" s="640">
        <v>2.5000000000000001E-2</v>
      </c>
      <c r="CM11" s="640">
        <v>2.5000000000000001E-2</v>
      </c>
      <c r="CN11" s="640">
        <v>2.5000000000000001E-2</v>
      </c>
      <c r="CO11" s="640">
        <v>2.5000000000000001E-2</v>
      </c>
      <c r="CP11" s="640">
        <v>2.5000000000000001E-2</v>
      </c>
      <c r="CQ11" s="118" t="s">
        <v>77</v>
      </c>
    </row>
    <row r="12" spans="1:95" s="98" customFormat="1" outlineLevel="1" x14ac:dyDescent="0.2">
      <c r="B12" s="98" t="s">
        <v>310</v>
      </c>
      <c r="C12" s="25"/>
      <c r="K12" s="637">
        <v>3.1855090568394751E-2</v>
      </c>
      <c r="L12" s="637">
        <v>3.1779661016949179E-2</v>
      </c>
      <c r="M12" s="637">
        <v>2.55206805514816E-2</v>
      </c>
      <c r="N12" s="637">
        <v>2.9748283752860427E-2</v>
      </c>
      <c r="O12" s="637">
        <v>2.8611111111111143E-2</v>
      </c>
      <c r="P12" s="637">
        <v>2.619497704563889E-2</v>
      </c>
      <c r="Q12" s="637">
        <v>2.8947368421052388E-2</v>
      </c>
      <c r="R12" s="637">
        <v>2.3273657289002658E-2</v>
      </c>
      <c r="S12" s="637">
        <v>1.124718820294901E-2</v>
      </c>
      <c r="T12" s="641">
        <v>2.7531956735496601E-2</v>
      </c>
      <c r="U12" s="639">
        <v>1.2E-2</v>
      </c>
      <c r="V12" s="639">
        <v>1.4999999999999999E-2</v>
      </c>
      <c r="W12" s="639">
        <v>1.4999999999999999E-2</v>
      </c>
      <c r="X12" s="640">
        <v>2.5000000000000001E-2</v>
      </c>
      <c r="Y12" s="640">
        <v>2.5000000000000001E-2</v>
      </c>
      <c r="Z12" s="640">
        <v>2.5000000000000001E-2</v>
      </c>
      <c r="AA12" s="640">
        <v>2.5000000000000001E-2</v>
      </c>
      <c r="AB12" s="640">
        <v>2.5000000000000001E-2</v>
      </c>
      <c r="AC12" s="640">
        <v>2.5000000000000001E-2</v>
      </c>
      <c r="AD12" s="640">
        <v>2.5000000000000001E-2</v>
      </c>
      <c r="AE12" s="640">
        <v>2.5000000000000001E-2</v>
      </c>
      <c r="AF12" s="640">
        <v>2.5000000000000001E-2</v>
      </c>
      <c r="AG12" s="640">
        <v>2.5000000000000001E-2</v>
      </c>
      <c r="AH12" s="640">
        <v>2.5000000000000001E-2</v>
      </c>
      <c r="AI12" s="640">
        <v>2.5000000000000001E-2</v>
      </c>
      <c r="AJ12" s="640">
        <v>2.5000000000000001E-2</v>
      </c>
      <c r="AK12" s="640">
        <v>2.5000000000000001E-2</v>
      </c>
      <c r="AL12" s="640">
        <v>2.5000000000000001E-2</v>
      </c>
      <c r="AM12" s="640">
        <v>2.5000000000000001E-2</v>
      </c>
      <c r="AN12" s="640">
        <v>2.5000000000000001E-2</v>
      </c>
      <c r="AO12" s="640">
        <v>2.5000000000000001E-2</v>
      </c>
      <c r="AP12" s="640">
        <v>2.5000000000000001E-2</v>
      </c>
      <c r="AQ12" s="640">
        <v>2.5000000000000001E-2</v>
      </c>
      <c r="AR12" s="640">
        <v>2.5000000000000001E-2</v>
      </c>
      <c r="AS12" s="640">
        <v>2.5000000000000001E-2</v>
      </c>
      <c r="AT12" s="640">
        <v>2.5000000000000001E-2</v>
      </c>
      <c r="AU12" s="640">
        <v>2.5000000000000001E-2</v>
      </c>
      <c r="AV12" s="640">
        <v>2.5000000000000001E-2</v>
      </c>
      <c r="AW12" s="640">
        <v>2.5000000000000001E-2</v>
      </c>
      <c r="AX12" s="640">
        <v>2.5000000000000001E-2</v>
      </c>
      <c r="AY12" s="640">
        <v>2.5000000000000001E-2</v>
      </c>
      <c r="AZ12" s="640">
        <v>2.5000000000000001E-2</v>
      </c>
      <c r="BA12" s="640">
        <v>2.5000000000000001E-2</v>
      </c>
      <c r="BB12" s="640">
        <v>2.5000000000000001E-2</v>
      </c>
      <c r="BC12" s="640">
        <v>2.5000000000000001E-2</v>
      </c>
      <c r="BD12" s="640">
        <v>2.5000000000000001E-2</v>
      </c>
      <c r="BE12" s="640">
        <v>2.5000000000000001E-2</v>
      </c>
      <c r="BF12" s="640">
        <v>2.5000000000000001E-2</v>
      </c>
      <c r="BG12" s="640">
        <v>2.5000000000000001E-2</v>
      </c>
      <c r="BH12" s="640">
        <v>2.5000000000000001E-2</v>
      </c>
      <c r="BI12" s="640">
        <v>2.5000000000000001E-2</v>
      </c>
      <c r="BJ12" s="640">
        <v>2.5000000000000001E-2</v>
      </c>
      <c r="BK12" s="640">
        <v>2.5000000000000001E-2</v>
      </c>
      <c r="BL12" s="640">
        <v>2.5000000000000001E-2</v>
      </c>
      <c r="BM12" s="640">
        <v>2.5000000000000001E-2</v>
      </c>
      <c r="BN12" s="640">
        <v>2.5000000000000001E-2</v>
      </c>
      <c r="BO12" s="640">
        <v>2.5000000000000001E-2</v>
      </c>
      <c r="BP12" s="640">
        <v>2.5000000000000001E-2</v>
      </c>
      <c r="BQ12" s="640">
        <v>2.5000000000000001E-2</v>
      </c>
      <c r="BR12" s="640">
        <v>2.5000000000000001E-2</v>
      </c>
      <c r="BS12" s="640">
        <v>2.5000000000000001E-2</v>
      </c>
      <c r="BT12" s="640">
        <v>2.5000000000000001E-2</v>
      </c>
      <c r="BU12" s="640">
        <v>2.5000000000000001E-2</v>
      </c>
      <c r="BV12" s="640">
        <v>2.5000000000000001E-2</v>
      </c>
      <c r="BW12" s="640">
        <v>2.5000000000000001E-2</v>
      </c>
      <c r="BX12" s="640">
        <v>2.5000000000000001E-2</v>
      </c>
      <c r="BY12" s="640">
        <v>2.5000000000000001E-2</v>
      </c>
      <c r="BZ12" s="640">
        <v>2.5000000000000001E-2</v>
      </c>
      <c r="CA12" s="640">
        <v>2.5000000000000001E-2</v>
      </c>
      <c r="CB12" s="640">
        <v>2.5000000000000001E-2</v>
      </c>
      <c r="CC12" s="640">
        <v>2.5000000000000001E-2</v>
      </c>
      <c r="CD12" s="640">
        <v>2.5000000000000001E-2</v>
      </c>
      <c r="CE12" s="640">
        <v>2.5000000000000001E-2</v>
      </c>
      <c r="CF12" s="640">
        <v>2.5000000000000001E-2</v>
      </c>
      <c r="CG12" s="640">
        <v>2.5000000000000001E-2</v>
      </c>
      <c r="CH12" s="640">
        <v>2.5000000000000001E-2</v>
      </c>
      <c r="CI12" s="640">
        <v>2.5000000000000001E-2</v>
      </c>
      <c r="CJ12" s="640">
        <v>2.5000000000000001E-2</v>
      </c>
      <c r="CK12" s="640">
        <v>2.5000000000000001E-2</v>
      </c>
      <c r="CL12" s="640">
        <v>2.5000000000000001E-2</v>
      </c>
      <c r="CM12" s="640">
        <v>2.5000000000000001E-2</v>
      </c>
      <c r="CN12" s="640">
        <v>2.5000000000000001E-2</v>
      </c>
      <c r="CO12" s="640">
        <v>2.5000000000000001E-2</v>
      </c>
      <c r="CP12" s="640">
        <v>2.5000000000000001E-2</v>
      </c>
      <c r="CQ12" s="118" t="s">
        <v>77</v>
      </c>
    </row>
    <row r="13" spans="1:95" s="98" customFormat="1" outlineLevel="1" x14ac:dyDescent="0.2">
      <c r="B13" s="98" t="s">
        <v>311</v>
      </c>
      <c r="C13" s="25"/>
      <c r="K13" s="637">
        <v>2.1676761236850473E-2</v>
      </c>
      <c r="L13" s="637">
        <v>3.3697347893915763E-2</v>
      </c>
      <c r="M13" s="637">
        <v>4.4068819800784587E-2</v>
      </c>
      <c r="N13" s="637">
        <v>3.4403006649320611E-2</v>
      </c>
      <c r="O13" s="637">
        <v>3.4097261039687021E-2</v>
      </c>
      <c r="P13" s="637">
        <v>3.1081081081081097E-2</v>
      </c>
      <c r="Q13" s="637">
        <v>2.6736566186107424E-2</v>
      </c>
      <c r="R13" s="637">
        <v>2.1189685984171591E-2</v>
      </c>
      <c r="S13" s="637">
        <v>3.0749999999999833E-2</v>
      </c>
      <c r="T13" s="641">
        <v>3.3460803059273299E-2</v>
      </c>
      <c r="U13" s="639">
        <v>1.4E-2</v>
      </c>
      <c r="V13" s="639">
        <v>1.4999999999999999E-2</v>
      </c>
      <c r="W13" s="639">
        <v>1.4999999999999999E-2</v>
      </c>
      <c r="X13" s="640">
        <v>2.5000000000000001E-2</v>
      </c>
      <c r="Y13" s="640">
        <v>2.5000000000000001E-2</v>
      </c>
      <c r="Z13" s="640">
        <v>2.5000000000000001E-2</v>
      </c>
      <c r="AA13" s="640">
        <v>2.5000000000000001E-2</v>
      </c>
      <c r="AB13" s="640">
        <v>2.5000000000000001E-2</v>
      </c>
      <c r="AC13" s="640">
        <v>2.5000000000000001E-2</v>
      </c>
      <c r="AD13" s="640">
        <v>2.5000000000000001E-2</v>
      </c>
      <c r="AE13" s="640">
        <v>2.5000000000000001E-2</v>
      </c>
      <c r="AF13" s="640">
        <v>2.5000000000000001E-2</v>
      </c>
      <c r="AG13" s="640">
        <v>2.5000000000000001E-2</v>
      </c>
      <c r="AH13" s="640">
        <v>2.5000000000000001E-2</v>
      </c>
      <c r="AI13" s="640">
        <v>2.5000000000000001E-2</v>
      </c>
      <c r="AJ13" s="640">
        <v>2.5000000000000001E-2</v>
      </c>
      <c r="AK13" s="640">
        <v>2.5000000000000001E-2</v>
      </c>
      <c r="AL13" s="640">
        <v>2.5000000000000001E-2</v>
      </c>
      <c r="AM13" s="640">
        <v>2.5000000000000001E-2</v>
      </c>
      <c r="AN13" s="640">
        <v>2.5000000000000001E-2</v>
      </c>
      <c r="AO13" s="640">
        <v>2.5000000000000001E-2</v>
      </c>
      <c r="AP13" s="640">
        <v>2.5000000000000001E-2</v>
      </c>
      <c r="AQ13" s="640">
        <v>2.5000000000000001E-2</v>
      </c>
      <c r="AR13" s="640">
        <v>2.5000000000000001E-2</v>
      </c>
      <c r="AS13" s="640">
        <v>2.5000000000000001E-2</v>
      </c>
      <c r="AT13" s="640">
        <v>2.5000000000000001E-2</v>
      </c>
      <c r="AU13" s="640">
        <v>2.5000000000000001E-2</v>
      </c>
      <c r="AV13" s="640">
        <v>2.5000000000000001E-2</v>
      </c>
      <c r="AW13" s="640">
        <v>2.5000000000000001E-2</v>
      </c>
      <c r="AX13" s="640">
        <v>2.5000000000000001E-2</v>
      </c>
      <c r="AY13" s="640">
        <v>2.5000000000000001E-2</v>
      </c>
      <c r="AZ13" s="640">
        <v>2.5000000000000001E-2</v>
      </c>
      <c r="BA13" s="640">
        <v>2.5000000000000001E-2</v>
      </c>
      <c r="BB13" s="640">
        <v>2.5000000000000001E-2</v>
      </c>
      <c r="BC13" s="640">
        <v>2.5000000000000001E-2</v>
      </c>
      <c r="BD13" s="640">
        <v>2.5000000000000001E-2</v>
      </c>
      <c r="BE13" s="640">
        <v>2.5000000000000001E-2</v>
      </c>
      <c r="BF13" s="640">
        <v>2.5000000000000001E-2</v>
      </c>
      <c r="BG13" s="640">
        <v>2.5000000000000001E-2</v>
      </c>
      <c r="BH13" s="640">
        <v>2.5000000000000001E-2</v>
      </c>
      <c r="BI13" s="640">
        <v>2.5000000000000001E-2</v>
      </c>
      <c r="BJ13" s="640">
        <v>2.5000000000000001E-2</v>
      </c>
      <c r="BK13" s="640">
        <v>2.5000000000000001E-2</v>
      </c>
      <c r="BL13" s="640">
        <v>2.5000000000000001E-2</v>
      </c>
      <c r="BM13" s="640">
        <v>2.5000000000000001E-2</v>
      </c>
      <c r="BN13" s="640">
        <v>2.5000000000000001E-2</v>
      </c>
      <c r="BO13" s="640">
        <v>2.5000000000000001E-2</v>
      </c>
      <c r="BP13" s="640">
        <v>2.5000000000000001E-2</v>
      </c>
      <c r="BQ13" s="640">
        <v>2.5000000000000001E-2</v>
      </c>
      <c r="BR13" s="640">
        <v>2.5000000000000001E-2</v>
      </c>
      <c r="BS13" s="640">
        <v>2.5000000000000001E-2</v>
      </c>
      <c r="BT13" s="640">
        <v>2.5000000000000001E-2</v>
      </c>
      <c r="BU13" s="640">
        <v>2.5000000000000001E-2</v>
      </c>
      <c r="BV13" s="640">
        <v>2.5000000000000001E-2</v>
      </c>
      <c r="BW13" s="640">
        <v>2.5000000000000001E-2</v>
      </c>
      <c r="BX13" s="640">
        <v>2.5000000000000001E-2</v>
      </c>
      <c r="BY13" s="640">
        <v>2.5000000000000001E-2</v>
      </c>
      <c r="BZ13" s="640">
        <v>2.5000000000000001E-2</v>
      </c>
      <c r="CA13" s="640">
        <v>2.5000000000000001E-2</v>
      </c>
      <c r="CB13" s="640">
        <v>2.5000000000000001E-2</v>
      </c>
      <c r="CC13" s="640">
        <v>2.5000000000000001E-2</v>
      </c>
      <c r="CD13" s="640">
        <v>2.5000000000000001E-2</v>
      </c>
      <c r="CE13" s="640">
        <v>2.5000000000000001E-2</v>
      </c>
      <c r="CF13" s="640">
        <v>2.5000000000000001E-2</v>
      </c>
      <c r="CG13" s="640">
        <v>2.5000000000000001E-2</v>
      </c>
      <c r="CH13" s="640">
        <v>2.5000000000000001E-2</v>
      </c>
      <c r="CI13" s="640">
        <v>2.5000000000000001E-2</v>
      </c>
      <c r="CJ13" s="640">
        <v>2.5000000000000001E-2</v>
      </c>
      <c r="CK13" s="640">
        <v>2.5000000000000001E-2</v>
      </c>
      <c r="CL13" s="640">
        <v>2.5000000000000001E-2</v>
      </c>
      <c r="CM13" s="640">
        <v>2.5000000000000001E-2</v>
      </c>
      <c r="CN13" s="640">
        <v>2.5000000000000001E-2</v>
      </c>
      <c r="CO13" s="640">
        <v>2.5000000000000001E-2</v>
      </c>
      <c r="CP13" s="640">
        <v>2.5000000000000001E-2</v>
      </c>
      <c r="CQ13" s="118" t="s">
        <v>77</v>
      </c>
    </row>
    <row r="14" spans="1:95" s="98" customFormat="1" outlineLevel="1" x14ac:dyDescent="0.2">
      <c r="B14" s="98" t="s">
        <v>312</v>
      </c>
      <c r="C14" s="25"/>
      <c r="K14" s="637">
        <v>2.2927135678391997E-2</v>
      </c>
      <c r="L14" s="637">
        <v>3.5615597175314706E-2</v>
      </c>
      <c r="M14" s="637">
        <v>2.9350726356359269E-2</v>
      </c>
      <c r="N14" s="637">
        <v>3.6002304147465525E-2</v>
      </c>
      <c r="O14" s="637">
        <v>3.4195162635529464E-2</v>
      </c>
      <c r="P14" s="637">
        <v>2.123655913978495E-2</v>
      </c>
      <c r="Q14" s="637">
        <v>2.737562516451697E-2</v>
      </c>
      <c r="R14" s="637">
        <v>2.4596464258262785E-2</v>
      </c>
      <c r="S14" s="637">
        <v>1.9254813703426077E-2</v>
      </c>
      <c r="T14" s="641">
        <v>2.2439024390243902E-2</v>
      </c>
      <c r="U14" s="639">
        <v>1.0999999999999999E-2</v>
      </c>
      <c r="V14" s="639">
        <v>1.4999999999999999E-2</v>
      </c>
      <c r="W14" s="639">
        <v>1.4999999999999999E-2</v>
      </c>
      <c r="X14" s="640">
        <v>2.5000000000000001E-2</v>
      </c>
      <c r="Y14" s="640">
        <v>2.5000000000000001E-2</v>
      </c>
      <c r="Z14" s="640">
        <v>2.5000000000000001E-2</v>
      </c>
      <c r="AA14" s="640">
        <v>2.5000000000000001E-2</v>
      </c>
      <c r="AB14" s="640">
        <v>2.5000000000000001E-2</v>
      </c>
      <c r="AC14" s="640">
        <v>2.5000000000000001E-2</v>
      </c>
      <c r="AD14" s="640">
        <v>2.5000000000000001E-2</v>
      </c>
      <c r="AE14" s="640">
        <v>2.5000000000000001E-2</v>
      </c>
      <c r="AF14" s="640">
        <v>2.5000000000000001E-2</v>
      </c>
      <c r="AG14" s="640">
        <v>2.5000000000000001E-2</v>
      </c>
      <c r="AH14" s="640">
        <v>2.5000000000000001E-2</v>
      </c>
      <c r="AI14" s="640">
        <v>2.5000000000000001E-2</v>
      </c>
      <c r="AJ14" s="640">
        <v>2.5000000000000001E-2</v>
      </c>
      <c r="AK14" s="640">
        <v>2.5000000000000001E-2</v>
      </c>
      <c r="AL14" s="640">
        <v>2.5000000000000001E-2</v>
      </c>
      <c r="AM14" s="640">
        <v>2.5000000000000001E-2</v>
      </c>
      <c r="AN14" s="640">
        <v>2.5000000000000001E-2</v>
      </c>
      <c r="AO14" s="640">
        <v>2.5000000000000001E-2</v>
      </c>
      <c r="AP14" s="640">
        <v>2.5000000000000001E-2</v>
      </c>
      <c r="AQ14" s="640">
        <v>2.5000000000000001E-2</v>
      </c>
      <c r="AR14" s="640">
        <v>2.5000000000000001E-2</v>
      </c>
      <c r="AS14" s="640">
        <v>2.5000000000000001E-2</v>
      </c>
      <c r="AT14" s="640">
        <v>2.5000000000000001E-2</v>
      </c>
      <c r="AU14" s="640">
        <v>2.5000000000000001E-2</v>
      </c>
      <c r="AV14" s="640">
        <v>2.5000000000000001E-2</v>
      </c>
      <c r="AW14" s="640">
        <v>2.5000000000000001E-2</v>
      </c>
      <c r="AX14" s="640">
        <v>2.5000000000000001E-2</v>
      </c>
      <c r="AY14" s="640">
        <v>2.5000000000000001E-2</v>
      </c>
      <c r="AZ14" s="640">
        <v>2.5000000000000001E-2</v>
      </c>
      <c r="BA14" s="640">
        <v>2.5000000000000001E-2</v>
      </c>
      <c r="BB14" s="640">
        <v>2.5000000000000001E-2</v>
      </c>
      <c r="BC14" s="640">
        <v>2.5000000000000001E-2</v>
      </c>
      <c r="BD14" s="640">
        <v>2.5000000000000001E-2</v>
      </c>
      <c r="BE14" s="640">
        <v>2.5000000000000001E-2</v>
      </c>
      <c r="BF14" s="640">
        <v>2.5000000000000001E-2</v>
      </c>
      <c r="BG14" s="640">
        <v>2.5000000000000001E-2</v>
      </c>
      <c r="BH14" s="640">
        <v>2.5000000000000001E-2</v>
      </c>
      <c r="BI14" s="640">
        <v>2.5000000000000001E-2</v>
      </c>
      <c r="BJ14" s="640">
        <v>2.5000000000000001E-2</v>
      </c>
      <c r="BK14" s="640">
        <v>2.5000000000000001E-2</v>
      </c>
      <c r="BL14" s="640">
        <v>2.5000000000000001E-2</v>
      </c>
      <c r="BM14" s="640">
        <v>2.5000000000000001E-2</v>
      </c>
      <c r="BN14" s="640">
        <v>2.5000000000000001E-2</v>
      </c>
      <c r="BO14" s="640">
        <v>2.5000000000000001E-2</v>
      </c>
      <c r="BP14" s="640">
        <v>2.5000000000000001E-2</v>
      </c>
      <c r="BQ14" s="640">
        <v>2.5000000000000001E-2</v>
      </c>
      <c r="BR14" s="640">
        <v>2.5000000000000001E-2</v>
      </c>
      <c r="BS14" s="640">
        <v>2.5000000000000001E-2</v>
      </c>
      <c r="BT14" s="640">
        <v>2.5000000000000001E-2</v>
      </c>
      <c r="BU14" s="640">
        <v>2.5000000000000001E-2</v>
      </c>
      <c r="BV14" s="640">
        <v>2.5000000000000001E-2</v>
      </c>
      <c r="BW14" s="640">
        <v>2.5000000000000001E-2</v>
      </c>
      <c r="BX14" s="640">
        <v>2.5000000000000001E-2</v>
      </c>
      <c r="BY14" s="640">
        <v>2.5000000000000001E-2</v>
      </c>
      <c r="BZ14" s="640">
        <v>2.5000000000000001E-2</v>
      </c>
      <c r="CA14" s="640">
        <v>2.5000000000000001E-2</v>
      </c>
      <c r="CB14" s="640">
        <v>2.5000000000000001E-2</v>
      </c>
      <c r="CC14" s="640">
        <v>2.5000000000000001E-2</v>
      </c>
      <c r="CD14" s="640">
        <v>2.5000000000000001E-2</v>
      </c>
      <c r="CE14" s="640">
        <v>2.5000000000000001E-2</v>
      </c>
      <c r="CF14" s="640">
        <v>2.5000000000000001E-2</v>
      </c>
      <c r="CG14" s="640">
        <v>2.5000000000000001E-2</v>
      </c>
      <c r="CH14" s="640">
        <v>2.5000000000000001E-2</v>
      </c>
      <c r="CI14" s="640">
        <v>2.5000000000000001E-2</v>
      </c>
      <c r="CJ14" s="640">
        <v>2.5000000000000001E-2</v>
      </c>
      <c r="CK14" s="640">
        <v>2.5000000000000001E-2</v>
      </c>
      <c r="CL14" s="640">
        <v>2.5000000000000001E-2</v>
      </c>
      <c r="CM14" s="640">
        <v>2.5000000000000001E-2</v>
      </c>
      <c r="CN14" s="640">
        <v>2.5000000000000001E-2</v>
      </c>
      <c r="CO14" s="640">
        <v>2.5000000000000001E-2</v>
      </c>
      <c r="CP14" s="640">
        <v>2.5000000000000001E-2</v>
      </c>
      <c r="CQ14" s="118" t="s">
        <v>77</v>
      </c>
    </row>
    <row r="15" spans="1:95" s="98" customFormat="1" outlineLevel="1" x14ac:dyDescent="0.2">
      <c r="B15" s="532" t="s">
        <v>313</v>
      </c>
      <c r="C15" s="25"/>
      <c r="D15" s="532"/>
      <c r="E15" s="532"/>
      <c r="F15" s="532"/>
      <c r="G15" s="532"/>
      <c r="H15" s="532"/>
      <c r="I15" s="532"/>
      <c r="J15" s="532"/>
      <c r="K15" s="642">
        <v>2.4107701941139759E-2</v>
      </c>
      <c r="L15" s="642">
        <v>3.2100275145215518E-2</v>
      </c>
      <c r="M15" s="642">
        <v>2.962085308056861E-2</v>
      </c>
      <c r="N15" s="642">
        <v>3.3659378596087475E-2</v>
      </c>
      <c r="O15" s="642">
        <v>3.1171722794322454E-2</v>
      </c>
      <c r="P15" s="642">
        <v>2.3211875843454743E-2</v>
      </c>
      <c r="Q15" s="642">
        <v>3.1126351886045844E-2</v>
      </c>
      <c r="R15" s="642">
        <v>2.3023791250959436E-2</v>
      </c>
      <c r="S15" s="642">
        <v>2.2755688922230677E-2</v>
      </c>
      <c r="T15" s="643">
        <v>3.0155642023346401E-2</v>
      </c>
      <c r="U15" s="644">
        <v>2.5000000000000001E-2</v>
      </c>
      <c r="V15" s="644">
        <v>1.4999999999999999E-2</v>
      </c>
      <c r="W15" s="644">
        <v>1.4999999999999999E-2</v>
      </c>
      <c r="X15" s="645">
        <v>2.5000000000000001E-2</v>
      </c>
      <c r="Y15" s="645">
        <v>2.5000000000000001E-2</v>
      </c>
      <c r="Z15" s="645">
        <v>2.5000000000000001E-2</v>
      </c>
      <c r="AA15" s="645">
        <v>2.5000000000000001E-2</v>
      </c>
      <c r="AB15" s="645">
        <v>2.5000000000000001E-2</v>
      </c>
      <c r="AC15" s="645">
        <v>2.5000000000000001E-2</v>
      </c>
      <c r="AD15" s="645">
        <v>2.5000000000000001E-2</v>
      </c>
      <c r="AE15" s="645">
        <v>2.5000000000000001E-2</v>
      </c>
      <c r="AF15" s="645">
        <v>2.5000000000000001E-2</v>
      </c>
      <c r="AG15" s="645">
        <v>2.5000000000000001E-2</v>
      </c>
      <c r="AH15" s="645">
        <v>2.5000000000000001E-2</v>
      </c>
      <c r="AI15" s="645">
        <v>2.5000000000000001E-2</v>
      </c>
      <c r="AJ15" s="645">
        <v>2.5000000000000001E-2</v>
      </c>
      <c r="AK15" s="645">
        <v>2.5000000000000001E-2</v>
      </c>
      <c r="AL15" s="645">
        <v>2.5000000000000001E-2</v>
      </c>
      <c r="AM15" s="645">
        <v>2.5000000000000001E-2</v>
      </c>
      <c r="AN15" s="645">
        <v>2.5000000000000001E-2</v>
      </c>
      <c r="AO15" s="645">
        <v>2.5000000000000001E-2</v>
      </c>
      <c r="AP15" s="645">
        <v>2.5000000000000001E-2</v>
      </c>
      <c r="AQ15" s="645">
        <v>2.5000000000000001E-2</v>
      </c>
      <c r="AR15" s="645">
        <v>2.5000000000000001E-2</v>
      </c>
      <c r="AS15" s="645">
        <v>2.5000000000000001E-2</v>
      </c>
      <c r="AT15" s="645">
        <v>2.5000000000000001E-2</v>
      </c>
      <c r="AU15" s="645">
        <v>2.5000000000000001E-2</v>
      </c>
      <c r="AV15" s="645">
        <v>2.5000000000000001E-2</v>
      </c>
      <c r="AW15" s="645">
        <v>2.5000000000000001E-2</v>
      </c>
      <c r="AX15" s="645">
        <v>2.5000000000000001E-2</v>
      </c>
      <c r="AY15" s="645">
        <v>2.5000000000000001E-2</v>
      </c>
      <c r="AZ15" s="645">
        <v>2.5000000000000001E-2</v>
      </c>
      <c r="BA15" s="645">
        <v>2.5000000000000001E-2</v>
      </c>
      <c r="BB15" s="645">
        <v>2.5000000000000001E-2</v>
      </c>
      <c r="BC15" s="645">
        <v>2.5000000000000001E-2</v>
      </c>
      <c r="BD15" s="645">
        <v>2.5000000000000001E-2</v>
      </c>
      <c r="BE15" s="645">
        <v>2.5000000000000001E-2</v>
      </c>
      <c r="BF15" s="645">
        <v>2.5000000000000001E-2</v>
      </c>
      <c r="BG15" s="645">
        <v>2.5000000000000001E-2</v>
      </c>
      <c r="BH15" s="645">
        <v>2.5000000000000001E-2</v>
      </c>
      <c r="BI15" s="645">
        <v>2.5000000000000001E-2</v>
      </c>
      <c r="BJ15" s="645">
        <v>2.5000000000000001E-2</v>
      </c>
      <c r="BK15" s="645">
        <v>2.5000000000000001E-2</v>
      </c>
      <c r="BL15" s="645">
        <v>2.5000000000000001E-2</v>
      </c>
      <c r="BM15" s="645">
        <v>2.5000000000000001E-2</v>
      </c>
      <c r="BN15" s="645">
        <v>2.5000000000000001E-2</v>
      </c>
      <c r="BO15" s="645">
        <v>2.5000000000000001E-2</v>
      </c>
      <c r="BP15" s="645">
        <v>2.5000000000000001E-2</v>
      </c>
      <c r="BQ15" s="645">
        <v>2.5000000000000001E-2</v>
      </c>
      <c r="BR15" s="645">
        <v>2.5000000000000001E-2</v>
      </c>
      <c r="BS15" s="645">
        <v>2.5000000000000001E-2</v>
      </c>
      <c r="BT15" s="645">
        <v>2.5000000000000001E-2</v>
      </c>
      <c r="BU15" s="645">
        <v>2.5000000000000001E-2</v>
      </c>
      <c r="BV15" s="645">
        <v>2.5000000000000001E-2</v>
      </c>
      <c r="BW15" s="645">
        <v>2.5000000000000001E-2</v>
      </c>
      <c r="BX15" s="645">
        <v>2.5000000000000001E-2</v>
      </c>
      <c r="BY15" s="645">
        <v>2.5000000000000001E-2</v>
      </c>
      <c r="BZ15" s="645">
        <v>2.5000000000000001E-2</v>
      </c>
      <c r="CA15" s="645">
        <v>2.5000000000000001E-2</v>
      </c>
      <c r="CB15" s="645">
        <v>2.5000000000000001E-2</v>
      </c>
      <c r="CC15" s="645">
        <v>2.5000000000000001E-2</v>
      </c>
      <c r="CD15" s="645">
        <v>2.5000000000000001E-2</v>
      </c>
      <c r="CE15" s="645">
        <v>2.5000000000000001E-2</v>
      </c>
      <c r="CF15" s="645">
        <v>2.5000000000000001E-2</v>
      </c>
      <c r="CG15" s="645">
        <v>2.5000000000000001E-2</v>
      </c>
      <c r="CH15" s="645">
        <v>2.5000000000000001E-2</v>
      </c>
      <c r="CI15" s="645">
        <v>2.5000000000000001E-2</v>
      </c>
      <c r="CJ15" s="645">
        <v>2.5000000000000001E-2</v>
      </c>
      <c r="CK15" s="645">
        <v>2.5000000000000001E-2</v>
      </c>
      <c r="CL15" s="645">
        <v>2.5000000000000001E-2</v>
      </c>
      <c r="CM15" s="645">
        <v>2.5000000000000001E-2</v>
      </c>
      <c r="CN15" s="645">
        <v>2.5000000000000001E-2</v>
      </c>
      <c r="CO15" s="645">
        <v>2.5000000000000001E-2</v>
      </c>
      <c r="CP15" s="645">
        <v>2.5000000000000001E-2</v>
      </c>
      <c r="CQ15" s="118" t="s">
        <v>77</v>
      </c>
    </row>
    <row r="16" spans="1:95" s="98" customFormat="1" outlineLevel="1" x14ac:dyDescent="0.2">
      <c r="B16" s="25" t="s">
        <v>467</v>
      </c>
      <c r="C16" s="25"/>
      <c r="D16" s="25"/>
      <c r="E16" s="25"/>
      <c r="F16" s="25"/>
      <c r="G16" s="25"/>
      <c r="H16" s="25"/>
      <c r="I16" s="25"/>
      <c r="J16" s="25"/>
      <c r="K16" s="646"/>
      <c r="L16" s="646"/>
      <c r="M16" s="646"/>
      <c r="N16" s="646"/>
      <c r="O16" s="646"/>
      <c r="P16" s="646"/>
      <c r="Q16" s="646"/>
      <c r="R16" s="646"/>
      <c r="S16" s="646"/>
      <c r="T16" s="647">
        <v>2.1000000000000001E-2</v>
      </c>
      <c r="U16" s="648">
        <v>0.01</v>
      </c>
      <c r="V16" s="648">
        <v>1.6E-2</v>
      </c>
      <c r="W16" s="648">
        <v>1.6E-2</v>
      </c>
      <c r="X16" s="649">
        <v>0.02</v>
      </c>
      <c r="Y16" s="649">
        <f>X16</f>
        <v>0.02</v>
      </c>
      <c r="Z16" s="649">
        <f t="shared" ref="Z16:CK16" si="5">Y16</f>
        <v>0.02</v>
      </c>
      <c r="AA16" s="649">
        <f t="shared" si="5"/>
        <v>0.02</v>
      </c>
      <c r="AB16" s="649">
        <f t="shared" si="5"/>
        <v>0.02</v>
      </c>
      <c r="AC16" s="649">
        <f t="shared" si="5"/>
        <v>0.02</v>
      </c>
      <c r="AD16" s="649">
        <f t="shared" si="5"/>
        <v>0.02</v>
      </c>
      <c r="AE16" s="649">
        <f t="shared" si="5"/>
        <v>0.02</v>
      </c>
      <c r="AF16" s="649">
        <f t="shared" si="5"/>
        <v>0.02</v>
      </c>
      <c r="AG16" s="649">
        <f t="shared" si="5"/>
        <v>0.02</v>
      </c>
      <c r="AH16" s="649">
        <f t="shared" si="5"/>
        <v>0.02</v>
      </c>
      <c r="AI16" s="649">
        <f t="shared" si="5"/>
        <v>0.02</v>
      </c>
      <c r="AJ16" s="649">
        <f t="shared" si="5"/>
        <v>0.02</v>
      </c>
      <c r="AK16" s="649">
        <f t="shared" si="5"/>
        <v>0.02</v>
      </c>
      <c r="AL16" s="649">
        <f t="shared" si="5"/>
        <v>0.02</v>
      </c>
      <c r="AM16" s="649">
        <f t="shared" si="5"/>
        <v>0.02</v>
      </c>
      <c r="AN16" s="649">
        <f t="shared" si="5"/>
        <v>0.02</v>
      </c>
      <c r="AO16" s="649">
        <f t="shared" si="5"/>
        <v>0.02</v>
      </c>
      <c r="AP16" s="649">
        <f t="shared" si="5"/>
        <v>0.02</v>
      </c>
      <c r="AQ16" s="649">
        <f t="shared" si="5"/>
        <v>0.02</v>
      </c>
      <c r="AR16" s="649">
        <f t="shared" si="5"/>
        <v>0.02</v>
      </c>
      <c r="AS16" s="649">
        <f t="shared" si="5"/>
        <v>0.02</v>
      </c>
      <c r="AT16" s="649">
        <f t="shared" si="5"/>
        <v>0.02</v>
      </c>
      <c r="AU16" s="649">
        <f t="shared" si="5"/>
        <v>0.02</v>
      </c>
      <c r="AV16" s="649">
        <f t="shared" si="5"/>
        <v>0.02</v>
      </c>
      <c r="AW16" s="649">
        <f t="shared" si="5"/>
        <v>0.02</v>
      </c>
      <c r="AX16" s="649">
        <f t="shared" si="5"/>
        <v>0.02</v>
      </c>
      <c r="AY16" s="649">
        <f t="shared" si="5"/>
        <v>0.02</v>
      </c>
      <c r="AZ16" s="649">
        <f t="shared" si="5"/>
        <v>0.02</v>
      </c>
      <c r="BA16" s="649">
        <f t="shared" si="5"/>
        <v>0.02</v>
      </c>
      <c r="BB16" s="649">
        <f t="shared" si="5"/>
        <v>0.02</v>
      </c>
      <c r="BC16" s="649">
        <f t="shared" si="5"/>
        <v>0.02</v>
      </c>
      <c r="BD16" s="649">
        <f t="shared" si="5"/>
        <v>0.02</v>
      </c>
      <c r="BE16" s="649">
        <f t="shared" si="5"/>
        <v>0.02</v>
      </c>
      <c r="BF16" s="649">
        <f t="shared" si="5"/>
        <v>0.02</v>
      </c>
      <c r="BG16" s="649">
        <f t="shared" si="5"/>
        <v>0.02</v>
      </c>
      <c r="BH16" s="649">
        <f t="shared" si="5"/>
        <v>0.02</v>
      </c>
      <c r="BI16" s="649">
        <f t="shared" si="5"/>
        <v>0.02</v>
      </c>
      <c r="BJ16" s="649">
        <f t="shared" si="5"/>
        <v>0.02</v>
      </c>
      <c r="BK16" s="649">
        <f t="shared" si="5"/>
        <v>0.02</v>
      </c>
      <c r="BL16" s="649">
        <f t="shared" si="5"/>
        <v>0.02</v>
      </c>
      <c r="BM16" s="649">
        <f t="shared" si="5"/>
        <v>0.02</v>
      </c>
      <c r="BN16" s="649">
        <f t="shared" si="5"/>
        <v>0.02</v>
      </c>
      <c r="BO16" s="649">
        <f t="shared" si="5"/>
        <v>0.02</v>
      </c>
      <c r="BP16" s="649">
        <f t="shared" si="5"/>
        <v>0.02</v>
      </c>
      <c r="BQ16" s="649">
        <f t="shared" si="5"/>
        <v>0.02</v>
      </c>
      <c r="BR16" s="649">
        <f t="shared" si="5"/>
        <v>0.02</v>
      </c>
      <c r="BS16" s="649">
        <f t="shared" si="5"/>
        <v>0.02</v>
      </c>
      <c r="BT16" s="649">
        <f t="shared" si="5"/>
        <v>0.02</v>
      </c>
      <c r="BU16" s="649">
        <f t="shared" si="5"/>
        <v>0.02</v>
      </c>
      <c r="BV16" s="649">
        <f t="shared" si="5"/>
        <v>0.02</v>
      </c>
      <c r="BW16" s="649">
        <f t="shared" si="5"/>
        <v>0.02</v>
      </c>
      <c r="BX16" s="649">
        <f t="shared" si="5"/>
        <v>0.02</v>
      </c>
      <c r="BY16" s="649">
        <f t="shared" si="5"/>
        <v>0.02</v>
      </c>
      <c r="BZ16" s="649">
        <f t="shared" si="5"/>
        <v>0.02</v>
      </c>
      <c r="CA16" s="649">
        <f t="shared" si="5"/>
        <v>0.02</v>
      </c>
      <c r="CB16" s="649">
        <f t="shared" si="5"/>
        <v>0.02</v>
      </c>
      <c r="CC16" s="649">
        <f t="shared" si="5"/>
        <v>0.02</v>
      </c>
      <c r="CD16" s="649">
        <f t="shared" si="5"/>
        <v>0.02</v>
      </c>
      <c r="CE16" s="649">
        <f t="shared" si="5"/>
        <v>0.02</v>
      </c>
      <c r="CF16" s="649">
        <f t="shared" si="5"/>
        <v>0.02</v>
      </c>
      <c r="CG16" s="649">
        <f t="shared" si="5"/>
        <v>0.02</v>
      </c>
      <c r="CH16" s="649">
        <f t="shared" si="5"/>
        <v>0.02</v>
      </c>
      <c r="CI16" s="649">
        <f t="shared" si="5"/>
        <v>0.02</v>
      </c>
      <c r="CJ16" s="649">
        <f t="shared" si="5"/>
        <v>0.02</v>
      </c>
      <c r="CK16" s="649">
        <f t="shared" si="5"/>
        <v>0.02</v>
      </c>
      <c r="CL16" s="649">
        <f t="shared" ref="CL16:CP16" si="6">CK16</f>
        <v>0.02</v>
      </c>
      <c r="CM16" s="649">
        <f t="shared" si="6"/>
        <v>0.02</v>
      </c>
      <c r="CN16" s="649">
        <f t="shared" si="6"/>
        <v>0.02</v>
      </c>
      <c r="CO16" s="649">
        <f t="shared" si="6"/>
        <v>0.02</v>
      </c>
      <c r="CP16" s="649">
        <f t="shared" si="6"/>
        <v>0.02</v>
      </c>
      <c r="CQ16" s="118" t="s">
        <v>77</v>
      </c>
    </row>
    <row r="17" spans="2:95" outlineLevel="1" x14ac:dyDescent="0.2">
      <c r="B17" s="74" t="s">
        <v>468</v>
      </c>
      <c r="D17" s="485"/>
      <c r="E17" s="485"/>
      <c r="F17" s="485"/>
      <c r="G17" s="485"/>
      <c r="H17" s="485"/>
      <c r="I17" s="485"/>
      <c r="J17" s="485"/>
      <c r="K17" s="509"/>
      <c r="L17" s="509"/>
      <c r="M17" s="509"/>
      <c r="N17" s="509"/>
      <c r="O17" s="509"/>
      <c r="P17" s="509"/>
      <c r="Q17" s="509"/>
      <c r="R17" s="509"/>
      <c r="S17" s="509"/>
      <c r="T17" s="184">
        <v>0.84</v>
      </c>
      <c r="U17" s="185">
        <v>0.71</v>
      </c>
      <c r="V17" s="264">
        <v>0.75770000000000004</v>
      </c>
      <c r="W17" s="264">
        <v>0.73809999999999998</v>
      </c>
      <c r="X17" s="253">
        <v>0.72819999999999996</v>
      </c>
      <c r="Y17" s="253">
        <f>AVERAGE(0.6716,0.79-0.014)</f>
        <v>0.7238</v>
      </c>
      <c r="Z17" s="252">
        <v>0.74</v>
      </c>
      <c r="AA17" s="252">
        <f>0.78-0.004</f>
        <v>0.77600000000000002</v>
      </c>
      <c r="AB17" s="281">
        <f t="shared" ref="AB17:BD17" si="7">AA17</f>
        <v>0.77600000000000002</v>
      </c>
      <c r="AC17" s="281">
        <f t="shared" si="7"/>
        <v>0.77600000000000002</v>
      </c>
      <c r="AD17" s="281">
        <f t="shared" si="7"/>
        <v>0.77600000000000002</v>
      </c>
      <c r="AE17" s="281">
        <f t="shared" si="7"/>
        <v>0.77600000000000002</v>
      </c>
      <c r="AF17" s="281">
        <f t="shared" si="7"/>
        <v>0.77600000000000002</v>
      </c>
      <c r="AG17" s="281">
        <f t="shared" si="7"/>
        <v>0.77600000000000002</v>
      </c>
      <c r="AH17" s="281">
        <f t="shared" si="7"/>
        <v>0.77600000000000002</v>
      </c>
      <c r="AI17" s="281">
        <f t="shared" si="7"/>
        <v>0.77600000000000002</v>
      </c>
      <c r="AJ17" s="281">
        <f t="shared" si="7"/>
        <v>0.77600000000000002</v>
      </c>
      <c r="AK17" s="281">
        <f t="shared" si="7"/>
        <v>0.77600000000000002</v>
      </c>
      <c r="AL17" s="281">
        <f t="shared" si="7"/>
        <v>0.77600000000000002</v>
      </c>
      <c r="AM17" s="281">
        <f t="shared" si="7"/>
        <v>0.77600000000000002</v>
      </c>
      <c r="AN17" s="281">
        <f t="shared" si="7"/>
        <v>0.77600000000000002</v>
      </c>
      <c r="AO17" s="281">
        <f t="shared" si="7"/>
        <v>0.77600000000000002</v>
      </c>
      <c r="AP17" s="281">
        <f t="shared" si="7"/>
        <v>0.77600000000000002</v>
      </c>
      <c r="AQ17" s="281">
        <f t="shared" si="7"/>
        <v>0.77600000000000002</v>
      </c>
      <c r="AR17" s="281">
        <f t="shared" si="7"/>
        <v>0.77600000000000002</v>
      </c>
      <c r="AS17" s="281">
        <f t="shared" si="7"/>
        <v>0.77600000000000002</v>
      </c>
      <c r="AT17" s="281">
        <f t="shared" si="7"/>
        <v>0.77600000000000002</v>
      </c>
      <c r="AU17" s="281">
        <f t="shared" si="7"/>
        <v>0.77600000000000002</v>
      </c>
      <c r="AV17" s="281">
        <f t="shared" si="7"/>
        <v>0.77600000000000002</v>
      </c>
      <c r="AW17" s="281">
        <f t="shared" si="7"/>
        <v>0.77600000000000002</v>
      </c>
      <c r="AX17" s="281">
        <f t="shared" si="7"/>
        <v>0.77600000000000002</v>
      </c>
      <c r="AY17" s="281">
        <f t="shared" si="7"/>
        <v>0.77600000000000002</v>
      </c>
      <c r="AZ17" s="281">
        <f t="shared" si="7"/>
        <v>0.77600000000000002</v>
      </c>
      <c r="BA17" s="281">
        <f t="shared" si="7"/>
        <v>0.77600000000000002</v>
      </c>
      <c r="BB17" s="281">
        <f t="shared" si="7"/>
        <v>0.77600000000000002</v>
      </c>
      <c r="BC17" s="281">
        <f t="shared" si="7"/>
        <v>0.77600000000000002</v>
      </c>
      <c r="BD17" s="281">
        <f t="shared" si="7"/>
        <v>0.77600000000000002</v>
      </c>
      <c r="BE17" s="281">
        <f t="shared" ref="BE17:CP17" si="8">BD17</f>
        <v>0.77600000000000002</v>
      </c>
      <c r="BF17" s="281">
        <f t="shared" si="8"/>
        <v>0.77600000000000002</v>
      </c>
      <c r="BG17" s="281">
        <f t="shared" si="8"/>
        <v>0.77600000000000002</v>
      </c>
      <c r="BH17" s="281">
        <f t="shared" si="8"/>
        <v>0.77600000000000002</v>
      </c>
      <c r="BI17" s="281">
        <f t="shared" si="8"/>
        <v>0.77600000000000002</v>
      </c>
      <c r="BJ17" s="281">
        <f t="shared" si="8"/>
        <v>0.77600000000000002</v>
      </c>
      <c r="BK17" s="281">
        <f t="shared" si="8"/>
        <v>0.77600000000000002</v>
      </c>
      <c r="BL17" s="281">
        <f t="shared" si="8"/>
        <v>0.77600000000000002</v>
      </c>
      <c r="BM17" s="281">
        <f t="shared" si="8"/>
        <v>0.77600000000000002</v>
      </c>
      <c r="BN17" s="281">
        <f t="shared" si="8"/>
        <v>0.77600000000000002</v>
      </c>
      <c r="BO17" s="281">
        <f t="shared" si="8"/>
        <v>0.77600000000000002</v>
      </c>
      <c r="BP17" s="281">
        <f t="shared" si="8"/>
        <v>0.77600000000000002</v>
      </c>
      <c r="BQ17" s="281">
        <f t="shared" si="8"/>
        <v>0.77600000000000002</v>
      </c>
      <c r="BR17" s="281">
        <f t="shared" si="8"/>
        <v>0.77600000000000002</v>
      </c>
      <c r="BS17" s="281">
        <f t="shared" si="8"/>
        <v>0.77600000000000002</v>
      </c>
      <c r="BT17" s="281">
        <f t="shared" si="8"/>
        <v>0.77600000000000002</v>
      </c>
      <c r="BU17" s="281">
        <f t="shared" si="8"/>
        <v>0.77600000000000002</v>
      </c>
      <c r="BV17" s="281">
        <f t="shared" si="8"/>
        <v>0.77600000000000002</v>
      </c>
      <c r="BW17" s="281">
        <f t="shared" si="8"/>
        <v>0.77600000000000002</v>
      </c>
      <c r="BX17" s="281">
        <f t="shared" si="8"/>
        <v>0.77600000000000002</v>
      </c>
      <c r="BY17" s="281">
        <f t="shared" si="8"/>
        <v>0.77600000000000002</v>
      </c>
      <c r="BZ17" s="281">
        <f t="shared" si="8"/>
        <v>0.77600000000000002</v>
      </c>
      <c r="CA17" s="281">
        <f t="shared" si="8"/>
        <v>0.77600000000000002</v>
      </c>
      <c r="CB17" s="281">
        <f t="shared" si="8"/>
        <v>0.77600000000000002</v>
      </c>
      <c r="CC17" s="281">
        <f t="shared" si="8"/>
        <v>0.77600000000000002</v>
      </c>
      <c r="CD17" s="281">
        <f t="shared" si="8"/>
        <v>0.77600000000000002</v>
      </c>
      <c r="CE17" s="281">
        <f t="shared" si="8"/>
        <v>0.77600000000000002</v>
      </c>
      <c r="CF17" s="281">
        <f t="shared" si="8"/>
        <v>0.77600000000000002</v>
      </c>
      <c r="CG17" s="281">
        <f t="shared" si="8"/>
        <v>0.77600000000000002</v>
      </c>
      <c r="CH17" s="281">
        <f t="shared" si="8"/>
        <v>0.77600000000000002</v>
      </c>
      <c r="CI17" s="281">
        <f t="shared" si="8"/>
        <v>0.77600000000000002</v>
      </c>
      <c r="CJ17" s="281">
        <f t="shared" si="8"/>
        <v>0.77600000000000002</v>
      </c>
      <c r="CK17" s="281">
        <f t="shared" si="8"/>
        <v>0.77600000000000002</v>
      </c>
      <c r="CL17" s="281">
        <f t="shared" si="8"/>
        <v>0.77600000000000002</v>
      </c>
      <c r="CM17" s="281">
        <f t="shared" si="8"/>
        <v>0.77600000000000002</v>
      </c>
      <c r="CN17" s="281">
        <f t="shared" si="8"/>
        <v>0.77600000000000002</v>
      </c>
      <c r="CO17" s="281">
        <f t="shared" si="8"/>
        <v>0.77600000000000002</v>
      </c>
      <c r="CP17" s="281">
        <f t="shared" si="8"/>
        <v>0.77600000000000002</v>
      </c>
      <c r="CQ17" s="23" t="s">
        <v>77</v>
      </c>
    </row>
    <row r="18" spans="2:95" x14ac:dyDescent="0.2">
      <c r="CQ18" s="23" t="s">
        <v>77</v>
      </c>
    </row>
    <row r="19" spans="2:95" s="233" customFormat="1" x14ac:dyDescent="0.2">
      <c r="B19" s="728" t="s">
        <v>301</v>
      </c>
      <c r="C19" s="312"/>
      <c r="D19" s="312"/>
      <c r="E19" s="312"/>
      <c r="F19" s="312">
        <f t="shared" ref="F19:AK19" si="9">Fiscal_Year</f>
        <v>36707</v>
      </c>
      <c r="G19" s="312">
        <f t="shared" si="9"/>
        <v>37072</v>
      </c>
      <c r="H19" s="312">
        <f t="shared" si="9"/>
        <v>37437</v>
      </c>
      <c r="I19" s="312">
        <f t="shared" si="9"/>
        <v>37802</v>
      </c>
      <c r="J19" s="312">
        <f t="shared" si="9"/>
        <v>38168</v>
      </c>
      <c r="K19" s="312">
        <f t="shared" si="9"/>
        <v>38533</v>
      </c>
      <c r="L19" s="312">
        <f t="shared" si="9"/>
        <v>38898</v>
      </c>
      <c r="M19" s="312">
        <f t="shared" si="9"/>
        <v>39263</v>
      </c>
      <c r="N19" s="312">
        <f t="shared" si="9"/>
        <v>39629</v>
      </c>
      <c r="O19" s="312">
        <f t="shared" si="9"/>
        <v>39994</v>
      </c>
      <c r="P19" s="312">
        <f t="shared" si="9"/>
        <v>40359</v>
      </c>
      <c r="Q19" s="312">
        <f t="shared" si="9"/>
        <v>40724</v>
      </c>
      <c r="R19" s="312">
        <f t="shared" si="9"/>
        <v>41090</v>
      </c>
      <c r="S19" s="312">
        <f t="shared" si="9"/>
        <v>41455</v>
      </c>
      <c r="T19" s="312">
        <f t="shared" si="9"/>
        <v>41820</v>
      </c>
      <c r="U19" s="312">
        <f t="shared" si="9"/>
        <v>42185</v>
      </c>
      <c r="V19" s="312">
        <f t="shared" si="9"/>
        <v>42551</v>
      </c>
      <c r="W19" s="312">
        <f t="shared" si="9"/>
        <v>42916</v>
      </c>
      <c r="X19" s="312">
        <f t="shared" si="9"/>
        <v>43281</v>
      </c>
      <c r="Y19" s="312">
        <f t="shared" si="9"/>
        <v>43646</v>
      </c>
      <c r="Z19" s="312">
        <f t="shared" si="9"/>
        <v>44012</v>
      </c>
      <c r="AA19" s="312">
        <f t="shared" si="9"/>
        <v>44377</v>
      </c>
      <c r="AB19" s="312">
        <f t="shared" si="9"/>
        <v>44742</v>
      </c>
      <c r="AC19" s="312">
        <f t="shared" si="9"/>
        <v>45107</v>
      </c>
      <c r="AD19" s="312">
        <f t="shared" si="9"/>
        <v>45473</v>
      </c>
      <c r="AE19" s="312">
        <f t="shared" si="9"/>
        <v>45838</v>
      </c>
      <c r="AF19" s="312">
        <f t="shared" si="9"/>
        <v>46203</v>
      </c>
      <c r="AG19" s="312">
        <f t="shared" si="9"/>
        <v>46568</v>
      </c>
      <c r="AH19" s="312">
        <f t="shared" si="9"/>
        <v>46934</v>
      </c>
      <c r="AI19" s="312">
        <f t="shared" si="9"/>
        <v>47299</v>
      </c>
      <c r="AJ19" s="312">
        <f t="shared" si="9"/>
        <v>47664</v>
      </c>
      <c r="AK19" s="312">
        <f t="shared" si="9"/>
        <v>48029</v>
      </c>
      <c r="AL19" s="312">
        <f t="shared" ref="AL19:CP19" si="10">Fiscal_Year</f>
        <v>48395</v>
      </c>
      <c r="AM19" s="312">
        <f t="shared" si="10"/>
        <v>48760</v>
      </c>
      <c r="AN19" s="312">
        <f t="shared" si="10"/>
        <v>49125</v>
      </c>
      <c r="AO19" s="312">
        <f t="shared" si="10"/>
        <v>49490</v>
      </c>
      <c r="AP19" s="312">
        <f t="shared" si="10"/>
        <v>49856</v>
      </c>
      <c r="AQ19" s="312">
        <f t="shared" si="10"/>
        <v>50221</v>
      </c>
      <c r="AR19" s="312">
        <f t="shared" si="10"/>
        <v>50586</v>
      </c>
      <c r="AS19" s="312">
        <f t="shared" si="10"/>
        <v>50951</v>
      </c>
      <c r="AT19" s="312">
        <f t="shared" si="10"/>
        <v>51317</v>
      </c>
      <c r="AU19" s="312">
        <f t="shared" si="10"/>
        <v>51682</v>
      </c>
      <c r="AV19" s="312">
        <f t="shared" si="10"/>
        <v>52047</v>
      </c>
      <c r="AW19" s="312">
        <f t="shared" si="10"/>
        <v>52412</v>
      </c>
      <c r="AX19" s="312">
        <f t="shared" si="10"/>
        <v>52778</v>
      </c>
      <c r="AY19" s="312">
        <f t="shared" si="10"/>
        <v>53143</v>
      </c>
      <c r="AZ19" s="312">
        <f t="shared" si="10"/>
        <v>53508</v>
      </c>
      <c r="BA19" s="312">
        <f t="shared" si="10"/>
        <v>53873</v>
      </c>
      <c r="BB19" s="312">
        <f t="shared" si="10"/>
        <v>54239</v>
      </c>
      <c r="BC19" s="312">
        <f t="shared" si="10"/>
        <v>54604</v>
      </c>
      <c r="BD19" s="312">
        <f t="shared" si="10"/>
        <v>54969</v>
      </c>
      <c r="BE19" s="312">
        <f t="shared" si="10"/>
        <v>55334</v>
      </c>
      <c r="BF19" s="312">
        <f t="shared" si="10"/>
        <v>55700</v>
      </c>
      <c r="BG19" s="312">
        <f t="shared" si="10"/>
        <v>56065</v>
      </c>
      <c r="BH19" s="312">
        <f t="shared" si="10"/>
        <v>56430</v>
      </c>
      <c r="BI19" s="312">
        <f t="shared" si="10"/>
        <v>56795</v>
      </c>
      <c r="BJ19" s="312">
        <f t="shared" si="10"/>
        <v>57161</v>
      </c>
      <c r="BK19" s="312">
        <f t="shared" si="10"/>
        <v>57526</v>
      </c>
      <c r="BL19" s="312">
        <f t="shared" si="10"/>
        <v>57891</v>
      </c>
      <c r="BM19" s="312">
        <f t="shared" si="10"/>
        <v>58256</v>
      </c>
      <c r="BN19" s="312">
        <f t="shared" si="10"/>
        <v>58622</v>
      </c>
      <c r="BO19" s="312">
        <f t="shared" si="10"/>
        <v>58987</v>
      </c>
      <c r="BP19" s="312">
        <f t="shared" si="10"/>
        <v>59352</v>
      </c>
      <c r="BQ19" s="312">
        <f t="shared" si="10"/>
        <v>59717</v>
      </c>
      <c r="BR19" s="312">
        <f t="shared" si="10"/>
        <v>60083</v>
      </c>
      <c r="BS19" s="312">
        <f t="shared" si="10"/>
        <v>60448</v>
      </c>
      <c r="BT19" s="312">
        <f t="shared" si="10"/>
        <v>60813</v>
      </c>
      <c r="BU19" s="312">
        <f t="shared" si="10"/>
        <v>61178</v>
      </c>
      <c r="BV19" s="312">
        <f t="shared" si="10"/>
        <v>61544</v>
      </c>
      <c r="BW19" s="312">
        <f t="shared" si="10"/>
        <v>61909</v>
      </c>
      <c r="BX19" s="312">
        <f t="shared" si="10"/>
        <v>62274</v>
      </c>
      <c r="BY19" s="312">
        <f t="shared" si="10"/>
        <v>62639</v>
      </c>
      <c r="BZ19" s="312">
        <f t="shared" si="10"/>
        <v>63005</v>
      </c>
      <c r="CA19" s="312">
        <f t="shared" si="10"/>
        <v>63370</v>
      </c>
      <c r="CB19" s="312">
        <f t="shared" si="10"/>
        <v>63735</v>
      </c>
      <c r="CC19" s="312">
        <f t="shared" si="10"/>
        <v>64100</v>
      </c>
      <c r="CD19" s="312">
        <f t="shared" si="10"/>
        <v>64466</v>
      </c>
      <c r="CE19" s="312">
        <f t="shared" si="10"/>
        <v>64831</v>
      </c>
      <c r="CF19" s="312">
        <f t="shared" si="10"/>
        <v>65196</v>
      </c>
      <c r="CG19" s="312">
        <f t="shared" si="10"/>
        <v>65561</v>
      </c>
      <c r="CH19" s="312">
        <f t="shared" si="10"/>
        <v>65927</v>
      </c>
      <c r="CI19" s="312">
        <f t="shared" si="10"/>
        <v>66292</v>
      </c>
      <c r="CJ19" s="312">
        <f t="shared" si="10"/>
        <v>66657</v>
      </c>
      <c r="CK19" s="312">
        <f t="shared" si="10"/>
        <v>67022</v>
      </c>
      <c r="CL19" s="312">
        <f t="shared" si="10"/>
        <v>67388</v>
      </c>
      <c r="CM19" s="312">
        <f t="shared" si="10"/>
        <v>67753</v>
      </c>
      <c r="CN19" s="312">
        <f t="shared" si="10"/>
        <v>68118</v>
      </c>
      <c r="CO19" s="312">
        <f t="shared" si="10"/>
        <v>68483</v>
      </c>
      <c r="CP19" s="312">
        <f t="shared" si="10"/>
        <v>68849</v>
      </c>
      <c r="CQ19" s="23" t="s">
        <v>77</v>
      </c>
    </row>
    <row r="20" spans="2:95" ht="5.0999999999999996" customHeight="1" outlineLevel="1" x14ac:dyDescent="0.2">
      <c r="CQ20" s="23" t="s">
        <v>77</v>
      </c>
    </row>
    <row r="21" spans="2:95" outlineLevel="1" x14ac:dyDescent="0.2">
      <c r="B21" s="233" t="s">
        <v>471</v>
      </c>
      <c r="K21" s="625" t="str">
        <f>+APA!K24</f>
        <v>n.a.</v>
      </c>
      <c r="L21" s="625" t="str">
        <f>+APA!L24</f>
        <v>n.a.</v>
      </c>
      <c r="M21" s="625">
        <f>+APA!M24</f>
        <v>108.19</v>
      </c>
      <c r="N21" s="625">
        <f>+APA!N24</f>
        <v>137.38499999999999</v>
      </c>
      <c r="O21" s="625">
        <f>+APA!O24</f>
        <v>143.94200000000001</v>
      </c>
      <c r="P21" s="625">
        <f>+APA!P24</f>
        <v>151.20400000000001</v>
      </c>
      <c r="Q21" s="625">
        <f>+APA!Q24</f>
        <v>107.708</v>
      </c>
      <c r="R21" s="625">
        <f>+APA!R24</f>
        <v>112.22499999999999</v>
      </c>
      <c r="S21" s="625">
        <f>+APA!S24</f>
        <v>217.53</v>
      </c>
      <c r="T21" s="625">
        <f>+APA!T24</f>
        <v>271.74700000000001</v>
      </c>
      <c r="U21" s="625">
        <f>+APA!U24</f>
        <v>388.916</v>
      </c>
      <c r="V21" s="625">
        <f>+APA!V24</f>
        <v>939.96299999999997</v>
      </c>
      <c r="W21" s="625">
        <f>+APA!W24</f>
        <v>1114.4280000000001</v>
      </c>
      <c r="X21" s="51">
        <f t="shared" ref="X21:BD21" si="11">+X54</f>
        <v>1138.6286348863459</v>
      </c>
      <c r="Y21" s="51">
        <f t="shared" si="11"/>
        <v>1189.1864014760126</v>
      </c>
      <c r="Z21" s="51">
        <f t="shared" si="11"/>
        <v>1216.3136903535533</v>
      </c>
      <c r="AA21" s="51">
        <f t="shared" si="11"/>
        <v>1212.2318824470087</v>
      </c>
      <c r="AB21" s="51">
        <f t="shared" si="11"/>
        <v>1234.2903350076863</v>
      </c>
      <c r="AC21" s="51">
        <f t="shared" si="11"/>
        <v>1260.4758148693513</v>
      </c>
      <c r="AD21" s="51">
        <f t="shared" si="11"/>
        <v>1288.0693771314659</v>
      </c>
      <c r="AE21" s="51">
        <f t="shared" si="11"/>
        <v>1316.2729344533527</v>
      </c>
      <c r="AF21" s="51">
        <f t="shared" si="11"/>
        <v>1345.1002285194259</v>
      </c>
      <c r="AG21" s="51">
        <f t="shared" si="11"/>
        <v>1377.5358369359394</v>
      </c>
      <c r="AH21" s="51">
        <f t="shared" si="11"/>
        <v>1407.1918859496452</v>
      </c>
      <c r="AI21" s="51">
        <f t="shared" si="11"/>
        <v>1277.1120316135962</v>
      </c>
      <c r="AJ21" s="51">
        <f t="shared" si="11"/>
        <v>1150.6554898949526</v>
      </c>
      <c r="AK21" s="51">
        <f t="shared" si="11"/>
        <v>1159.3435905257047</v>
      </c>
      <c r="AL21" s="51">
        <f t="shared" si="11"/>
        <v>1183.5773453664744</v>
      </c>
      <c r="AM21" s="51">
        <f t="shared" si="11"/>
        <v>1208.323957799149</v>
      </c>
      <c r="AN21" s="51">
        <f t="shared" si="11"/>
        <v>1233.5929875726247</v>
      </c>
      <c r="AO21" s="51">
        <f t="shared" si="11"/>
        <v>1198.9978790422458</v>
      </c>
      <c r="AP21" s="51">
        <f t="shared" si="11"/>
        <v>643.34886110808498</v>
      </c>
      <c r="AQ21" s="51">
        <f t="shared" si="11"/>
        <v>658.0522205363543</v>
      </c>
      <c r="AR21" s="51">
        <f t="shared" si="11"/>
        <v>523.20982508664008</v>
      </c>
      <c r="AS21" s="51">
        <f t="shared" si="11"/>
        <v>535.16169979536767</v>
      </c>
      <c r="AT21" s="51">
        <f t="shared" si="11"/>
        <v>547.38841871432328</v>
      </c>
      <c r="AU21" s="51">
        <f t="shared" si="11"/>
        <v>559.89633815003151</v>
      </c>
      <c r="AV21" s="51">
        <f t="shared" si="11"/>
        <v>572.69196211767132</v>
      </c>
      <c r="AW21" s="51">
        <f t="shared" si="11"/>
        <v>569.42747998229163</v>
      </c>
      <c r="AX21" s="51">
        <f t="shared" si="11"/>
        <v>582.43021464306071</v>
      </c>
      <c r="AY21" s="51">
        <f t="shared" si="11"/>
        <v>595.73186206023558</v>
      </c>
      <c r="AZ21" s="51">
        <f t="shared" si="11"/>
        <v>609.3393332701371</v>
      </c>
      <c r="BA21" s="51">
        <f t="shared" si="11"/>
        <v>516.68321755477893</v>
      </c>
      <c r="BB21" s="51">
        <f t="shared" si="11"/>
        <v>528.39252399919724</v>
      </c>
      <c r="BC21" s="51">
        <f t="shared" si="11"/>
        <v>540.36924999219275</v>
      </c>
      <c r="BD21" s="51">
        <f t="shared" si="11"/>
        <v>552.61954389493417</v>
      </c>
      <c r="BE21" s="51">
        <f t="shared" ref="BE21:CP21" si="12">+BE54</f>
        <v>565.14969623795878</v>
      </c>
      <c r="BF21" s="51">
        <f t="shared" si="12"/>
        <v>577.96614302446505</v>
      </c>
      <c r="BG21" s="51">
        <f t="shared" si="12"/>
        <v>591.07546911066709</v>
      </c>
      <c r="BH21" s="51">
        <f t="shared" si="12"/>
        <v>604.4844116650147</v>
      </c>
      <c r="BI21" s="51">
        <f t="shared" si="12"/>
        <v>618.19986370812433</v>
      </c>
      <c r="BJ21" s="51">
        <f t="shared" si="12"/>
        <v>632.22887773531306</v>
      </c>
      <c r="BK21" s="51">
        <f t="shared" si="12"/>
        <v>646.5786694236657</v>
      </c>
      <c r="BL21" s="51">
        <f t="shared" si="12"/>
        <v>661.25662142561748</v>
      </c>
      <c r="BM21" s="51">
        <f t="shared" si="12"/>
        <v>676.27028725107539</v>
      </c>
      <c r="BN21" s="51">
        <f t="shared" si="12"/>
        <v>691.62739524015319</v>
      </c>
      <c r="BO21" s="51">
        <f t="shared" si="12"/>
        <v>707.33585262864187</v>
      </c>
      <c r="BP21" s="51">
        <f t="shared" si="12"/>
        <v>723.4037497083865</v>
      </c>
      <c r="BQ21" s="51">
        <f t="shared" si="12"/>
        <v>739.83936408479144</v>
      </c>
      <c r="BR21" s="51">
        <f t="shared" si="12"/>
        <v>756.65116503373201</v>
      </c>
      <c r="BS21" s="51">
        <f t="shared" si="12"/>
        <v>773.84781796019615</v>
      </c>
      <c r="BT21" s="51">
        <f t="shared" si="12"/>
        <v>791.43818896104563</v>
      </c>
      <c r="BU21" s="51">
        <f t="shared" si="12"/>
        <v>809.43134949432658</v>
      </c>
      <c r="BV21" s="51">
        <f t="shared" si="12"/>
        <v>827.83658115763672</v>
      </c>
      <c r="BW21" s="51">
        <f t="shared" si="12"/>
        <v>846.66338057809389</v>
      </c>
      <c r="BX21" s="51">
        <f t="shared" si="12"/>
        <v>865.92146441652835</v>
      </c>
      <c r="BY21" s="51">
        <f t="shared" si="12"/>
        <v>885.62077448856996</v>
      </c>
      <c r="BZ21" s="51">
        <f t="shared" si="12"/>
        <v>905.77148300537351</v>
      </c>
      <c r="CA21" s="51">
        <f t="shared" si="12"/>
        <v>926.38399793678229</v>
      </c>
      <c r="CB21" s="51">
        <f t="shared" si="12"/>
        <v>947.46896849980283</v>
      </c>
      <c r="CC21" s="51">
        <f t="shared" si="12"/>
        <v>969.03729077532341</v>
      </c>
      <c r="CD21" s="51">
        <f t="shared" si="12"/>
        <v>991.100113456087</v>
      </c>
      <c r="CE21" s="51">
        <f t="shared" si="12"/>
        <v>1013.6688437289906</v>
      </c>
      <c r="CF21" s="51">
        <f t="shared" si="12"/>
        <v>1036.7551532948642</v>
      </c>
      <c r="CG21" s="51">
        <f t="shared" si="12"/>
        <v>1060.3709845289459</v>
      </c>
      <c r="CH21" s="51">
        <f t="shared" si="12"/>
        <v>261.23083445779082</v>
      </c>
      <c r="CI21" s="51">
        <f t="shared" si="12"/>
        <v>266.38932961611857</v>
      </c>
      <c r="CJ21" s="51">
        <f t="shared" si="12"/>
        <v>271.65047002841573</v>
      </c>
      <c r="CK21" s="51">
        <f t="shared" si="12"/>
        <v>277.01631600834935</v>
      </c>
      <c r="CL21" s="51">
        <f t="shared" si="12"/>
        <v>282.48896962932486</v>
      </c>
      <c r="CM21" s="51">
        <f t="shared" si="12"/>
        <v>288.07057557999826</v>
      </c>
      <c r="CN21" s="51">
        <f t="shared" si="12"/>
        <v>293.7633220375177</v>
      </c>
      <c r="CO21" s="51">
        <f t="shared" si="12"/>
        <v>299.56944155886561</v>
      </c>
      <c r="CP21" s="51">
        <f t="shared" si="12"/>
        <v>255.93071105385837</v>
      </c>
      <c r="CQ21" s="23" t="s">
        <v>77</v>
      </c>
    </row>
    <row r="22" spans="2:95" outlineLevel="1" x14ac:dyDescent="0.2">
      <c r="B22" s="8" t="s">
        <v>248</v>
      </c>
      <c r="K22" s="625" t="str">
        <f>+APA!K44</f>
        <v>n.a.</v>
      </c>
      <c r="L22" s="625" t="str">
        <f>+APA!L44</f>
        <v>n.a.</v>
      </c>
      <c r="M22" s="625">
        <f>+APA!M44</f>
        <v>73.831000000000003</v>
      </c>
      <c r="N22" s="625">
        <f>+APA!N44</f>
        <v>96.777000000000001</v>
      </c>
      <c r="O22" s="625">
        <f>+APA!O44</f>
        <v>97.271000000000001</v>
      </c>
      <c r="P22" s="625">
        <f>+APA!P44</f>
        <v>103.30200000000001</v>
      </c>
      <c r="Q22" s="625">
        <f>+APA!Q44</f>
        <v>71.685000000000002</v>
      </c>
      <c r="R22" s="625">
        <f>+APA!R44</f>
        <v>79.566000000000003</v>
      </c>
      <c r="S22" s="625">
        <f>+APA!S44</f>
        <v>163.74799999999999</v>
      </c>
      <c r="T22" s="625">
        <f>+APA!T44</f>
        <v>234.459</v>
      </c>
      <c r="U22" s="625">
        <f>+APA!U44</f>
        <v>340.13099999999997</v>
      </c>
      <c r="V22" s="625">
        <f>+APA!V44</f>
        <v>855.75300000000004</v>
      </c>
      <c r="W22" s="625">
        <f>+APA!W44</f>
        <v>925.36599999999999</v>
      </c>
      <c r="X22" s="51">
        <f t="shared" ref="X22:BD22" si="13">+X80</f>
        <v>947.24074016647421</v>
      </c>
      <c r="Y22" s="51">
        <f t="shared" si="13"/>
        <v>988.37103893092797</v>
      </c>
      <c r="Z22" s="51">
        <f t="shared" si="13"/>
        <v>1007.250983787222</v>
      </c>
      <c r="AA22" s="51">
        <f t="shared" si="13"/>
        <v>999.41976653501831</v>
      </c>
      <c r="AB22" s="51">
        <f t="shared" si="13"/>
        <v>1017.8218101825956</v>
      </c>
      <c r="AC22" s="51">
        <f t="shared" si="13"/>
        <v>1039.5287990784118</v>
      </c>
      <c r="AD22" s="51">
        <f t="shared" si="13"/>
        <v>1062.1779006978691</v>
      </c>
      <c r="AE22" s="51">
        <f t="shared" si="13"/>
        <v>1085.3134057341501</v>
      </c>
      <c r="AF22" s="51">
        <f t="shared" si="13"/>
        <v>1108.9459515586257</v>
      </c>
      <c r="AG22" s="51">
        <f t="shared" si="13"/>
        <v>1134.4347394633198</v>
      </c>
      <c r="AH22" s="51">
        <f t="shared" si="13"/>
        <v>1158.7008455939858</v>
      </c>
      <c r="AI22" s="51">
        <f t="shared" si="13"/>
        <v>1023.0982002860235</v>
      </c>
      <c r="AJ22" s="51">
        <f t="shared" si="13"/>
        <v>935.20782515608528</v>
      </c>
      <c r="AK22" s="51">
        <f t="shared" si="13"/>
        <v>938.40527334166291</v>
      </c>
      <c r="AL22" s="51">
        <f t="shared" si="13"/>
        <v>957.0123552643829</v>
      </c>
      <c r="AM22" s="51">
        <f t="shared" si="13"/>
        <v>975.99274833462539</v>
      </c>
      <c r="AN22" s="51">
        <f t="shared" si="13"/>
        <v>995.35290457026269</v>
      </c>
      <c r="AO22" s="51">
        <f t="shared" si="13"/>
        <v>954.70207679547786</v>
      </c>
      <c r="AP22" s="51">
        <f t="shared" si="13"/>
        <v>392.84746648749683</v>
      </c>
      <c r="AQ22" s="51">
        <f t="shared" si="13"/>
        <v>401.19124495423841</v>
      </c>
      <c r="AR22" s="51">
        <f t="shared" si="13"/>
        <v>291.15497581076585</v>
      </c>
      <c r="AS22" s="51">
        <f t="shared" si="13"/>
        <v>297.30547928759665</v>
      </c>
      <c r="AT22" s="51">
        <f t="shared" si="13"/>
        <v>303.58579269385791</v>
      </c>
      <c r="AU22" s="51">
        <f t="shared" si="13"/>
        <v>309.99864647905451</v>
      </c>
      <c r="AV22" s="51">
        <f t="shared" si="13"/>
        <v>316.54682815491992</v>
      </c>
      <c r="AW22" s="51">
        <f t="shared" si="13"/>
        <v>318.08505965029167</v>
      </c>
      <c r="AX22" s="51">
        <f t="shared" si="13"/>
        <v>324.80423380276079</v>
      </c>
      <c r="AY22" s="51">
        <f t="shared" si="13"/>
        <v>331.66523169892821</v>
      </c>
      <c r="AZ22" s="51">
        <f t="shared" si="13"/>
        <v>338.67103714979697</v>
      </c>
      <c r="BA22" s="51">
        <f t="shared" si="13"/>
        <v>276.8187101654762</v>
      </c>
      <c r="BB22" s="51">
        <f t="shared" si="13"/>
        <v>282.53140392516195</v>
      </c>
      <c r="BC22" s="51">
        <f t="shared" si="13"/>
        <v>288.36160191630654</v>
      </c>
      <c r="BD22" s="51">
        <f t="shared" si="13"/>
        <v>294.31170461715078</v>
      </c>
      <c r="BE22" s="51">
        <f t="shared" ref="BE22:CP22" si="14">+BE80</f>
        <v>300.38416097823091</v>
      </c>
      <c r="BF22" s="51">
        <f t="shared" si="14"/>
        <v>306.5814693832441</v>
      </c>
      <c r="BG22" s="51">
        <f t="shared" si="14"/>
        <v>312.90617862841566</v>
      </c>
      <c r="BH22" s="51">
        <f t="shared" si="14"/>
        <v>319.36088892070688</v>
      </c>
      <c r="BI22" s="51">
        <f t="shared" si="14"/>
        <v>325.94825289520878</v>
      </c>
      <c r="BJ22" s="51">
        <f t="shared" si="14"/>
        <v>332.67097665207461</v>
      </c>
      <c r="BK22" s="51">
        <f t="shared" si="14"/>
        <v>339.53182081334649</v>
      </c>
      <c r="BL22" s="51">
        <f t="shared" si="14"/>
        <v>346.5336016000403</v>
      </c>
      <c r="BM22" s="51">
        <f t="shared" si="14"/>
        <v>353.67919192985875</v>
      </c>
      <c r="BN22" s="51">
        <f t="shared" si="14"/>
        <v>360.9715225359061</v>
      </c>
      <c r="BO22" s="51">
        <f t="shared" si="14"/>
        <v>368.41358310678879</v>
      </c>
      <c r="BP22" s="51">
        <f t="shared" si="14"/>
        <v>376.00842344848706</v>
      </c>
      <c r="BQ22" s="51">
        <f t="shared" si="14"/>
        <v>383.75915466839456</v>
      </c>
      <c r="BR22" s="51">
        <f t="shared" si="14"/>
        <v>391.66895038192519</v>
      </c>
      <c r="BS22" s="51">
        <f t="shared" si="14"/>
        <v>399.74104794209433</v>
      </c>
      <c r="BT22" s="51">
        <f t="shared" si="14"/>
        <v>407.97874969249102</v>
      </c>
      <c r="BU22" s="51">
        <f t="shared" si="14"/>
        <v>416.3854242440583</v>
      </c>
      <c r="BV22" s="51">
        <f t="shared" si="14"/>
        <v>424.9645077761117</v>
      </c>
      <c r="BW22" s="51">
        <f t="shared" si="14"/>
        <v>433.71950536203087</v>
      </c>
      <c r="BX22" s="51">
        <f t="shared" si="14"/>
        <v>442.65399232006376</v>
      </c>
      <c r="BY22" s="51">
        <f t="shared" si="14"/>
        <v>451.77161558969385</v>
      </c>
      <c r="BZ22" s="51">
        <f t="shared" si="14"/>
        <v>461.07609513402537</v>
      </c>
      <c r="CA22" s="51">
        <f t="shared" si="14"/>
        <v>470.57122536865063</v>
      </c>
      <c r="CB22" s="51">
        <f t="shared" si="14"/>
        <v>480.26087661746789</v>
      </c>
      <c r="CC22" s="51">
        <f t="shared" si="14"/>
        <v>490.14899659593016</v>
      </c>
      <c r="CD22" s="51">
        <f t="shared" si="14"/>
        <v>500.23961192220884</v>
      </c>
      <c r="CE22" s="51">
        <f t="shared" si="14"/>
        <v>510.53682965676575</v>
      </c>
      <c r="CF22" s="51">
        <f t="shared" si="14"/>
        <v>521.04483887083347</v>
      </c>
      <c r="CG22" s="51">
        <f t="shared" si="14"/>
        <v>531.76791224431463</v>
      </c>
      <c r="CH22" s="51">
        <f t="shared" si="14"/>
        <v>-9.1868025873116039</v>
      </c>
      <c r="CI22" s="51">
        <f t="shared" si="14"/>
        <v>-10.788748355111387</v>
      </c>
      <c r="CJ22" s="51">
        <f t="shared" si="14"/>
        <v>-12.457059892094925</v>
      </c>
      <c r="CK22" s="51">
        <f t="shared" si="14"/>
        <v>-14.193902160174041</v>
      </c>
      <c r="CL22" s="51">
        <f t="shared" si="14"/>
        <v>-16.001503993411607</v>
      </c>
      <c r="CM22" s="51">
        <f t="shared" si="14"/>
        <v>-17.88215988330662</v>
      </c>
      <c r="CN22" s="51">
        <f t="shared" si="14"/>
        <v>-19.838231812369727</v>
      </c>
      <c r="CO22" s="51">
        <f t="shared" si="14"/>
        <v>-21.872151137268983</v>
      </c>
      <c r="CP22" s="51">
        <f t="shared" si="14"/>
        <v>-56.640046097062907</v>
      </c>
      <c r="CQ22" s="23" t="s">
        <v>77</v>
      </c>
    </row>
    <row r="23" spans="2:95" outlineLevel="1" x14ac:dyDescent="0.2">
      <c r="B23" s="731" t="s">
        <v>582</v>
      </c>
      <c r="E23" s="511" t="s">
        <v>585</v>
      </c>
      <c r="K23" s="625"/>
      <c r="L23" s="625"/>
      <c r="M23" s="23">
        <f t="shared" ref="M23:N27" si="15">SUMIF($E$45:$E$53,$E23,M$71:M$79)</f>
        <v>0</v>
      </c>
      <c r="N23" s="23">
        <f t="shared" si="15"/>
        <v>30</v>
      </c>
      <c r="O23" s="23">
        <f t="shared" ref="O23:BE27" si="16">SUMIF($E$45:$E$53,$E23,O$71:O$79)</f>
        <v>29</v>
      </c>
      <c r="P23" s="23">
        <f t="shared" si="16"/>
        <v>29.5</v>
      </c>
      <c r="Q23" s="23">
        <f t="shared" si="16"/>
        <v>28</v>
      </c>
      <c r="R23" s="23">
        <f t="shared" si="16"/>
        <v>31.5</v>
      </c>
      <c r="S23" s="23">
        <f t="shared" si="16"/>
        <v>41.5</v>
      </c>
      <c r="T23" s="23">
        <f t="shared" si="16"/>
        <v>47.038750000000206</v>
      </c>
      <c r="U23" s="23">
        <f t="shared" si="16"/>
        <v>48.3</v>
      </c>
      <c r="V23" s="23">
        <f t="shared" si="16"/>
        <v>61</v>
      </c>
      <c r="W23" s="23">
        <f t="shared" si="16"/>
        <v>60.2</v>
      </c>
      <c r="X23" s="23">
        <f t="shared" si="16"/>
        <v>54.524114220751571</v>
      </c>
      <c r="Y23" s="23">
        <f t="shared" si="16"/>
        <v>54.95055382194721</v>
      </c>
      <c r="Z23" s="23">
        <f t="shared" si="16"/>
        <v>55.465654413172743</v>
      </c>
      <c r="AA23" s="23">
        <f t="shared" si="16"/>
        <v>54.211433613878597</v>
      </c>
      <c r="AB23" s="23">
        <f t="shared" si="16"/>
        <v>52.181425070601215</v>
      </c>
      <c r="AC23" s="23">
        <f t="shared" si="16"/>
        <v>53.025923697199467</v>
      </c>
      <c r="AD23" s="23">
        <f t="shared" si="16"/>
        <v>54.56039356379069</v>
      </c>
      <c r="AE23" s="23">
        <f t="shared" si="16"/>
        <v>56.136776528471849</v>
      </c>
      <c r="AF23" s="23">
        <f t="shared" si="16"/>
        <v>57.756264739123282</v>
      </c>
      <c r="AG23" s="23">
        <f t="shared" si="16"/>
        <v>65.90885976877513</v>
      </c>
      <c r="AH23" s="23">
        <f t="shared" si="16"/>
        <v>67.346972842106581</v>
      </c>
      <c r="AI23" s="23">
        <f t="shared" si="16"/>
        <v>68.817425067387646</v>
      </c>
      <c r="AJ23" s="23">
        <f t="shared" si="16"/>
        <v>70.320647673994259</v>
      </c>
      <c r="AK23" s="23">
        <f t="shared" si="16"/>
        <v>71.762555094278156</v>
      </c>
      <c r="AL23" s="23">
        <f t="shared" si="16"/>
        <v>73.23677268530723</v>
      </c>
      <c r="AM23" s="23">
        <f t="shared" si="16"/>
        <v>74.744484580404503</v>
      </c>
      <c r="AN23" s="23">
        <f t="shared" si="16"/>
        <v>76.285385346917039</v>
      </c>
      <c r="AO23" s="23">
        <f t="shared" si="16"/>
        <v>77.862180236955538</v>
      </c>
      <c r="AP23" s="23">
        <f t="shared" si="16"/>
        <v>79.473835444158766</v>
      </c>
      <c r="AQ23" s="23">
        <f t="shared" si="16"/>
        <v>81.12232836662767</v>
      </c>
      <c r="AR23" s="23">
        <f t="shared" si="16"/>
        <v>0</v>
      </c>
      <c r="AS23" s="23">
        <f t="shared" si="16"/>
        <v>0</v>
      </c>
      <c r="AT23" s="23">
        <f t="shared" si="16"/>
        <v>0</v>
      </c>
      <c r="AU23" s="23">
        <f t="shared" si="16"/>
        <v>0</v>
      </c>
      <c r="AV23" s="23">
        <f t="shared" si="16"/>
        <v>0</v>
      </c>
      <c r="AW23" s="23">
        <f t="shared" si="16"/>
        <v>0</v>
      </c>
      <c r="AX23" s="23">
        <f t="shared" si="16"/>
        <v>0</v>
      </c>
      <c r="AY23" s="23">
        <f t="shared" si="16"/>
        <v>0</v>
      </c>
      <c r="AZ23" s="23">
        <f t="shared" si="16"/>
        <v>0</v>
      </c>
      <c r="BA23" s="23">
        <f t="shared" si="16"/>
        <v>0</v>
      </c>
      <c r="BB23" s="23">
        <f t="shared" si="16"/>
        <v>0</v>
      </c>
      <c r="BC23" s="23">
        <f t="shared" si="16"/>
        <v>0</v>
      </c>
      <c r="BD23" s="23">
        <f t="shared" si="16"/>
        <v>0</v>
      </c>
      <c r="BE23" s="23">
        <f t="shared" si="16"/>
        <v>0</v>
      </c>
      <c r="BF23" s="23">
        <f t="shared" ref="BE23:BW27" si="17">SUMIF($E$45:$E$53,$E23,BF$71:BF$79)</f>
        <v>0</v>
      </c>
      <c r="BG23" s="23">
        <f t="shared" si="17"/>
        <v>0</v>
      </c>
      <c r="BH23" s="23">
        <f t="shared" si="17"/>
        <v>0</v>
      </c>
      <c r="BI23" s="23">
        <f t="shared" si="17"/>
        <v>0</v>
      </c>
      <c r="BJ23" s="23">
        <f t="shared" si="17"/>
        <v>0</v>
      </c>
      <c r="BK23" s="23">
        <f t="shared" si="17"/>
        <v>0</v>
      </c>
      <c r="BL23" s="23">
        <f t="shared" si="17"/>
        <v>0</v>
      </c>
      <c r="BM23" s="23">
        <f t="shared" si="17"/>
        <v>0</v>
      </c>
      <c r="BN23" s="23">
        <f t="shared" si="17"/>
        <v>0</v>
      </c>
      <c r="BO23" s="23">
        <f t="shared" si="17"/>
        <v>0</v>
      </c>
      <c r="BP23" s="23">
        <f t="shared" si="17"/>
        <v>0</v>
      </c>
      <c r="BQ23" s="23">
        <f t="shared" si="17"/>
        <v>0</v>
      </c>
      <c r="BR23" s="23">
        <f t="shared" si="17"/>
        <v>0</v>
      </c>
      <c r="BS23" s="23">
        <f t="shared" si="17"/>
        <v>0</v>
      </c>
      <c r="BT23" s="23">
        <f t="shared" si="17"/>
        <v>0</v>
      </c>
      <c r="BU23" s="23">
        <f t="shared" si="17"/>
        <v>0</v>
      </c>
      <c r="BV23" s="23">
        <f t="shared" si="17"/>
        <v>0</v>
      </c>
      <c r="BW23" s="23">
        <f t="shared" si="17"/>
        <v>0</v>
      </c>
      <c r="BX23" s="23">
        <f t="shared" ref="BX23:CP27" si="18">SUMIF($E$45:$E$53,$E23,BX$71:BX$79)</f>
        <v>0</v>
      </c>
      <c r="BY23" s="23">
        <f t="shared" si="18"/>
        <v>0</v>
      </c>
      <c r="BZ23" s="23">
        <f t="shared" si="18"/>
        <v>0</v>
      </c>
      <c r="CA23" s="23">
        <f t="shared" si="18"/>
        <v>0</v>
      </c>
      <c r="CB23" s="23">
        <f t="shared" si="18"/>
        <v>0</v>
      </c>
      <c r="CC23" s="23">
        <f t="shared" si="18"/>
        <v>0</v>
      </c>
      <c r="CD23" s="23">
        <f t="shared" si="18"/>
        <v>0</v>
      </c>
      <c r="CE23" s="23">
        <f t="shared" si="18"/>
        <v>0</v>
      </c>
      <c r="CF23" s="23">
        <f t="shared" si="18"/>
        <v>0</v>
      </c>
      <c r="CG23" s="23">
        <f t="shared" si="18"/>
        <v>0</v>
      </c>
      <c r="CH23" s="23">
        <f t="shared" si="18"/>
        <v>0</v>
      </c>
      <c r="CI23" s="23">
        <f t="shared" si="18"/>
        <v>0</v>
      </c>
      <c r="CJ23" s="23">
        <f t="shared" si="18"/>
        <v>0</v>
      </c>
      <c r="CK23" s="23">
        <f t="shared" si="18"/>
        <v>0</v>
      </c>
      <c r="CL23" s="23">
        <f t="shared" si="18"/>
        <v>0</v>
      </c>
      <c r="CM23" s="23">
        <f t="shared" si="18"/>
        <v>0</v>
      </c>
      <c r="CN23" s="23">
        <f t="shared" si="18"/>
        <v>0</v>
      </c>
      <c r="CO23" s="23">
        <f t="shared" si="18"/>
        <v>0</v>
      </c>
      <c r="CP23" s="23">
        <f t="shared" si="18"/>
        <v>0</v>
      </c>
      <c r="CQ23" s="23"/>
    </row>
    <row r="24" spans="2:95" outlineLevel="1" x14ac:dyDescent="0.2">
      <c r="B24" s="731" t="s">
        <v>581</v>
      </c>
      <c r="E24" s="511" t="s">
        <v>574</v>
      </c>
      <c r="K24" s="625"/>
      <c r="L24" s="625"/>
      <c r="M24" s="23">
        <f t="shared" si="15"/>
        <v>0</v>
      </c>
      <c r="N24" s="23">
        <f t="shared" si="15"/>
        <v>35</v>
      </c>
      <c r="O24" s="23">
        <f t="shared" si="16"/>
        <v>36.5</v>
      </c>
      <c r="P24" s="23">
        <f t="shared" si="16"/>
        <v>39</v>
      </c>
      <c r="Q24" s="23">
        <f t="shared" si="16"/>
        <v>43</v>
      </c>
      <c r="R24" s="23">
        <f t="shared" si="16"/>
        <v>42.5</v>
      </c>
      <c r="S24" s="23">
        <f t="shared" si="16"/>
        <v>42</v>
      </c>
      <c r="T24" s="23">
        <f t="shared" si="16"/>
        <v>44.900625000000005</v>
      </c>
      <c r="U24" s="23">
        <f t="shared" si="16"/>
        <v>52.3</v>
      </c>
      <c r="V24" s="23">
        <f t="shared" si="16"/>
        <v>41.3</v>
      </c>
      <c r="W24" s="23">
        <f t="shared" si="16"/>
        <v>34.6</v>
      </c>
      <c r="X24" s="23">
        <f t="shared" si="16"/>
        <v>35.465000000000003</v>
      </c>
      <c r="Y24" s="23">
        <f t="shared" si="16"/>
        <v>36.351624999999999</v>
      </c>
      <c r="Z24" s="23">
        <f t="shared" si="16"/>
        <v>37.260415624999993</v>
      </c>
      <c r="AA24" s="23">
        <f t="shared" si="16"/>
        <v>38.121239642963886</v>
      </c>
      <c r="AB24" s="23">
        <f t="shared" si="16"/>
        <v>39.00190546002618</v>
      </c>
      <c r="AC24" s="23">
        <f t="shared" si="16"/>
        <v>39.902869249632239</v>
      </c>
      <c r="AD24" s="23">
        <f t="shared" si="16"/>
        <v>40.824597642614705</v>
      </c>
      <c r="AE24" s="23">
        <f t="shared" si="16"/>
        <v>41.767567966138103</v>
      </c>
      <c r="AF24" s="23">
        <f t="shared" si="16"/>
        <v>42.732268488082966</v>
      </c>
      <c r="AG24" s="23">
        <f t="shared" si="16"/>
        <v>43.719198666992746</v>
      </c>
      <c r="AH24" s="23">
        <f t="shared" si="16"/>
        <v>44.728869407709574</v>
      </c>
      <c r="AI24" s="23">
        <f t="shared" si="16"/>
        <v>45.761803322827816</v>
      </c>
      <c r="AJ24" s="23">
        <f t="shared" si="16"/>
        <v>46.818535000097256</v>
      </c>
      <c r="AK24" s="23">
        <f t="shared" si="16"/>
        <v>47.899611275910644</v>
      </c>
      <c r="AL24" s="23">
        <f t="shared" si="16"/>
        <v>49.00559151501362</v>
      </c>
      <c r="AM24" s="23">
        <f t="shared" si="16"/>
        <v>50.137047896577798</v>
      </c>
      <c r="AN24" s="23">
        <f t="shared" si="16"/>
        <v>51.294565706781185</v>
      </c>
      <c r="AO24" s="23">
        <f t="shared" si="16"/>
        <v>52.478743638043397</v>
      </c>
      <c r="AP24" s="23">
        <f t="shared" si="16"/>
        <v>53.690194095066261</v>
      </c>
      <c r="AQ24" s="23">
        <f t="shared" si="16"/>
        <v>54.929543507833877</v>
      </c>
      <c r="AR24" s="23">
        <f t="shared" si="16"/>
        <v>56.197432651729976</v>
      </c>
      <c r="AS24" s="23">
        <f t="shared" si="16"/>
        <v>57.494516974933241</v>
      </c>
      <c r="AT24" s="23">
        <f t="shared" si="16"/>
        <v>58.821466933255692</v>
      </c>
      <c r="AU24" s="23">
        <f t="shared" si="16"/>
        <v>60.178968332592504</v>
      </c>
      <c r="AV24" s="23">
        <f t="shared" si="16"/>
        <v>61.567722679155366</v>
      </c>
      <c r="AW24" s="23">
        <f t="shared" si="16"/>
        <v>62.988447537665692</v>
      </c>
      <c r="AX24" s="23">
        <f t="shared" si="16"/>
        <v>64.441876897687649</v>
      </c>
      <c r="AY24" s="23">
        <f t="shared" si="16"/>
        <v>65.928761548285181</v>
      </c>
      <c r="AZ24" s="23">
        <f t="shared" si="16"/>
        <v>67.449869461191341</v>
      </c>
      <c r="BA24" s="23">
        <f t="shared" si="16"/>
        <v>0</v>
      </c>
      <c r="BB24" s="23">
        <f t="shared" si="16"/>
        <v>0</v>
      </c>
      <c r="BC24" s="23">
        <f t="shared" si="16"/>
        <v>0</v>
      </c>
      <c r="BD24" s="23">
        <f t="shared" si="16"/>
        <v>0</v>
      </c>
      <c r="BE24" s="23">
        <f t="shared" si="17"/>
        <v>0</v>
      </c>
      <c r="BF24" s="23">
        <f t="shared" si="17"/>
        <v>0</v>
      </c>
      <c r="BG24" s="23">
        <f t="shared" si="17"/>
        <v>0</v>
      </c>
      <c r="BH24" s="23">
        <f t="shared" si="17"/>
        <v>0</v>
      </c>
      <c r="BI24" s="23">
        <f t="shared" si="17"/>
        <v>0</v>
      </c>
      <c r="BJ24" s="23">
        <f t="shared" si="17"/>
        <v>0</v>
      </c>
      <c r="BK24" s="23">
        <f t="shared" si="17"/>
        <v>0</v>
      </c>
      <c r="BL24" s="23">
        <f t="shared" si="17"/>
        <v>0</v>
      </c>
      <c r="BM24" s="23">
        <f t="shared" si="17"/>
        <v>0</v>
      </c>
      <c r="BN24" s="23">
        <f t="shared" si="17"/>
        <v>0</v>
      </c>
      <c r="BO24" s="23">
        <f t="shared" si="17"/>
        <v>0</v>
      </c>
      <c r="BP24" s="23">
        <f t="shared" si="17"/>
        <v>0</v>
      </c>
      <c r="BQ24" s="23">
        <f t="shared" si="17"/>
        <v>0</v>
      </c>
      <c r="BR24" s="23">
        <f t="shared" si="17"/>
        <v>0</v>
      </c>
      <c r="BS24" s="23">
        <f t="shared" si="17"/>
        <v>0</v>
      </c>
      <c r="BT24" s="23">
        <f t="shared" si="17"/>
        <v>0</v>
      </c>
      <c r="BU24" s="23">
        <f t="shared" si="17"/>
        <v>0</v>
      </c>
      <c r="BV24" s="23">
        <f t="shared" si="17"/>
        <v>0</v>
      </c>
      <c r="BW24" s="23">
        <f t="shared" si="17"/>
        <v>0</v>
      </c>
      <c r="BX24" s="23">
        <f t="shared" si="18"/>
        <v>0</v>
      </c>
      <c r="BY24" s="23">
        <f t="shared" si="18"/>
        <v>0</v>
      </c>
      <c r="BZ24" s="23">
        <f t="shared" si="18"/>
        <v>0</v>
      </c>
      <c r="CA24" s="23">
        <f t="shared" si="18"/>
        <v>0</v>
      </c>
      <c r="CB24" s="23">
        <f t="shared" si="18"/>
        <v>0</v>
      </c>
      <c r="CC24" s="23">
        <f t="shared" si="18"/>
        <v>0</v>
      </c>
      <c r="CD24" s="23">
        <f t="shared" si="18"/>
        <v>0</v>
      </c>
      <c r="CE24" s="23">
        <f t="shared" si="18"/>
        <v>0</v>
      </c>
      <c r="CF24" s="23">
        <f t="shared" si="18"/>
        <v>0</v>
      </c>
      <c r="CG24" s="23">
        <f t="shared" si="18"/>
        <v>0</v>
      </c>
      <c r="CH24" s="23">
        <f t="shared" si="18"/>
        <v>0</v>
      </c>
      <c r="CI24" s="23">
        <f t="shared" si="18"/>
        <v>0</v>
      </c>
      <c r="CJ24" s="23">
        <f t="shared" si="18"/>
        <v>0</v>
      </c>
      <c r="CK24" s="23">
        <f t="shared" si="18"/>
        <v>0</v>
      </c>
      <c r="CL24" s="23">
        <f t="shared" si="18"/>
        <v>0</v>
      </c>
      <c r="CM24" s="23">
        <f t="shared" si="18"/>
        <v>0</v>
      </c>
      <c r="CN24" s="23">
        <f t="shared" si="18"/>
        <v>0</v>
      </c>
      <c r="CO24" s="23">
        <f t="shared" si="18"/>
        <v>0</v>
      </c>
      <c r="CP24" s="23">
        <f t="shared" si="18"/>
        <v>0</v>
      </c>
      <c r="CQ24" s="23"/>
    </row>
    <row r="25" spans="2:95" outlineLevel="1" x14ac:dyDescent="0.2">
      <c r="B25" s="510" t="s">
        <v>587</v>
      </c>
      <c r="E25" s="512">
        <f>E48</f>
        <v>0.1</v>
      </c>
      <c r="K25" s="625"/>
      <c r="L25" s="625"/>
      <c r="M25" s="23">
        <f t="shared" si="15"/>
        <v>0</v>
      </c>
      <c r="N25" s="23">
        <f t="shared" si="15"/>
        <v>0</v>
      </c>
      <c r="O25" s="23">
        <f t="shared" si="16"/>
        <v>0</v>
      </c>
      <c r="P25" s="23">
        <f t="shared" si="16"/>
        <v>1.8</v>
      </c>
      <c r="Q25" s="23">
        <f t="shared" si="16"/>
        <v>0.68500000000000005</v>
      </c>
      <c r="R25" s="23">
        <f t="shared" si="16"/>
        <v>5.5660000000000025</v>
      </c>
      <c r="S25" s="23">
        <f t="shared" si="16"/>
        <v>80.248000000000005</v>
      </c>
      <c r="T25" s="23">
        <f t="shared" si="16"/>
        <v>142.56062499999982</v>
      </c>
      <c r="U25" s="23">
        <f t="shared" si="16"/>
        <v>232.5</v>
      </c>
      <c r="V25" s="23">
        <f t="shared" si="16"/>
        <v>739.4478264106699</v>
      </c>
      <c r="W25" s="23">
        <f t="shared" si="16"/>
        <v>741.6</v>
      </c>
      <c r="X25" s="23">
        <f t="shared" si="16"/>
        <v>765.37777979187649</v>
      </c>
      <c r="Y25" s="23">
        <f t="shared" si="16"/>
        <v>797.0443216474423</v>
      </c>
      <c r="Z25" s="23">
        <f t="shared" si="16"/>
        <v>801.27091567212631</v>
      </c>
      <c r="AA25" s="23">
        <f t="shared" si="16"/>
        <v>790.33215890077201</v>
      </c>
      <c r="AB25" s="23">
        <f t="shared" si="16"/>
        <v>806.29946173694725</v>
      </c>
      <c r="AC25" s="23">
        <f t="shared" si="16"/>
        <v>822.5917826949235</v>
      </c>
      <c r="AD25" s="23">
        <f t="shared" si="16"/>
        <v>839.21578738680932</v>
      </c>
      <c r="AE25" s="23">
        <f t="shared" si="16"/>
        <v>856.17827912352311</v>
      </c>
      <c r="AF25" s="23">
        <f t="shared" si="16"/>
        <v>873.48620177876978</v>
      </c>
      <c r="AG25" s="23">
        <f t="shared" si="16"/>
        <v>886.00619472039978</v>
      </c>
      <c r="AH25" s="23">
        <f t="shared" si="16"/>
        <v>903.90430212584522</v>
      </c>
      <c r="AI25" s="23">
        <f t="shared" si="16"/>
        <v>761.78495066217158</v>
      </c>
      <c r="AJ25" s="23">
        <f t="shared" si="16"/>
        <v>776.609931791809</v>
      </c>
      <c r="AK25" s="23">
        <f t="shared" si="16"/>
        <v>791.72377195866488</v>
      </c>
      <c r="AL25" s="23">
        <f t="shared" si="16"/>
        <v>807.13210127766797</v>
      </c>
      <c r="AM25" s="23">
        <f t="shared" si="16"/>
        <v>822.84065948261582</v>
      </c>
      <c r="AN25" s="23">
        <f t="shared" si="16"/>
        <v>838.85529805376882</v>
      </c>
      <c r="AO25" s="23">
        <f t="shared" si="16"/>
        <v>794.78163793223405</v>
      </c>
      <c r="AP25" s="23">
        <f t="shared" si="16"/>
        <v>229.42696664064275</v>
      </c>
      <c r="AQ25" s="23">
        <f t="shared" si="16"/>
        <v>234.1905087179681</v>
      </c>
      <c r="AR25" s="23">
        <f t="shared" si="16"/>
        <v>230.31888843082231</v>
      </c>
      <c r="AS25" s="23">
        <f t="shared" si="16"/>
        <v>235.07452050141396</v>
      </c>
      <c r="AT25" s="23">
        <f t="shared" si="16"/>
        <v>239.9280839472637</v>
      </c>
      <c r="AU25" s="23">
        <f t="shared" si="16"/>
        <v>244.88158334325794</v>
      </c>
      <c r="AV25" s="23">
        <f t="shared" si="16"/>
        <v>249.93706386801577</v>
      </c>
      <c r="AW25" s="23">
        <f t="shared" si="16"/>
        <v>255.09661211262599</v>
      </c>
      <c r="AX25" s="23">
        <f t="shared" si="16"/>
        <v>260.36235690507311</v>
      </c>
      <c r="AY25" s="23">
        <f t="shared" si="16"/>
        <v>265.73647015064307</v>
      </c>
      <c r="AZ25" s="23">
        <f t="shared" si="16"/>
        <v>271.22116768860565</v>
      </c>
      <c r="BA25" s="23">
        <f t="shared" si="16"/>
        <v>276.8187101654762</v>
      </c>
      <c r="BB25" s="23">
        <f t="shared" si="16"/>
        <v>282.53140392516195</v>
      </c>
      <c r="BC25" s="23">
        <f t="shared" si="16"/>
        <v>288.36160191630654</v>
      </c>
      <c r="BD25" s="23">
        <f t="shared" si="16"/>
        <v>294.31170461715078</v>
      </c>
      <c r="BE25" s="23">
        <f t="shared" si="17"/>
        <v>300.38416097823091</v>
      </c>
      <c r="BF25" s="23">
        <f t="shared" si="17"/>
        <v>306.5814693832441</v>
      </c>
      <c r="BG25" s="23">
        <f t="shared" si="17"/>
        <v>312.90617862841566</v>
      </c>
      <c r="BH25" s="23">
        <f t="shared" si="17"/>
        <v>319.36088892070688</v>
      </c>
      <c r="BI25" s="23">
        <f t="shared" si="17"/>
        <v>325.94825289520878</v>
      </c>
      <c r="BJ25" s="23">
        <f t="shared" si="17"/>
        <v>332.67097665207461</v>
      </c>
      <c r="BK25" s="23">
        <f t="shared" si="17"/>
        <v>339.53182081334649</v>
      </c>
      <c r="BL25" s="23">
        <f t="shared" si="17"/>
        <v>346.5336016000403</v>
      </c>
      <c r="BM25" s="23">
        <f t="shared" si="17"/>
        <v>353.67919192985875</v>
      </c>
      <c r="BN25" s="23">
        <f t="shared" si="17"/>
        <v>360.9715225359061</v>
      </c>
      <c r="BO25" s="23">
        <f t="shared" si="17"/>
        <v>368.41358310678879</v>
      </c>
      <c r="BP25" s="23">
        <f t="shared" si="17"/>
        <v>376.00842344848706</v>
      </c>
      <c r="BQ25" s="23">
        <f t="shared" si="17"/>
        <v>383.75915466839456</v>
      </c>
      <c r="BR25" s="23">
        <f t="shared" si="17"/>
        <v>391.66895038192519</v>
      </c>
      <c r="BS25" s="23">
        <f t="shared" si="17"/>
        <v>399.74104794209433</v>
      </c>
      <c r="BT25" s="23">
        <f t="shared" si="17"/>
        <v>407.97874969249102</v>
      </c>
      <c r="BU25" s="23">
        <f t="shared" si="17"/>
        <v>416.3854242440583</v>
      </c>
      <c r="BV25" s="23">
        <f t="shared" si="17"/>
        <v>424.9645077761117</v>
      </c>
      <c r="BW25" s="23">
        <f t="shared" si="17"/>
        <v>433.71950536203087</v>
      </c>
      <c r="BX25" s="23">
        <f t="shared" si="18"/>
        <v>442.65399232006376</v>
      </c>
      <c r="BY25" s="23">
        <f t="shared" si="18"/>
        <v>451.77161558969385</v>
      </c>
      <c r="BZ25" s="23">
        <f t="shared" si="18"/>
        <v>461.07609513402537</v>
      </c>
      <c r="CA25" s="23">
        <f t="shared" si="18"/>
        <v>470.57122536865063</v>
      </c>
      <c r="CB25" s="23">
        <f t="shared" si="18"/>
        <v>480.26087661746789</v>
      </c>
      <c r="CC25" s="23">
        <f t="shared" si="18"/>
        <v>490.14899659593016</v>
      </c>
      <c r="CD25" s="23">
        <f t="shared" si="18"/>
        <v>500.23961192220884</v>
      </c>
      <c r="CE25" s="23">
        <f t="shared" si="18"/>
        <v>510.53682965676575</v>
      </c>
      <c r="CF25" s="23">
        <f t="shared" si="18"/>
        <v>521.04483887083347</v>
      </c>
      <c r="CG25" s="23">
        <f t="shared" si="18"/>
        <v>531.76791224431463</v>
      </c>
      <c r="CH25" s="23">
        <f t="shared" si="18"/>
        <v>-9.1868025873116039</v>
      </c>
      <c r="CI25" s="23">
        <f t="shared" si="18"/>
        <v>-10.788748355111387</v>
      </c>
      <c r="CJ25" s="23">
        <f t="shared" si="18"/>
        <v>-12.457059892094925</v>
      </c>
      <c r="CK25" s="23">
        <f t="shared" si="18"/>
        <v>-14.193902160174041</v>
      </c>
      <c r="CL25" s="23">
        <f t="shared" si="18"/>
        <v>-16.001503993411607</v>
      </c>
      <c r="CM25" s="23">
        <f t="shared" si="18"/>
        <v>-17.88215988330662</v>
      </c>
      <c r="CN25" s="23">
        <f t="shared" si="18"/>
        <v>-19.838231812369727</v>
      </c>
      <c r="CO25" s="23">
        <f t="shared" si="18"/>
        <v>-21.872151137268983</v>
      </c>
      <c r="CP25" s="23">
        <f t="shared" si="18"/>
        <v>-56.640046097062907</v>
      </c>
      <c r="CQ25" s="23"/>
    </row>
    <row r="26" spans="2:95" outlineLevel="1" x14ac:dyDescent="0.2">
      <c r="B26" s="510" t="s">
        <v>583</v>
      </c>
      <c r="E26" s="511" t="s">
        <v>586</v>
      </c>
      <c r="K26" s="625"/>
      <c r="L26" s="625"/>
      <c r="M26" s="23">
        <f t="shared" si="15"/>
        <v>0</v>
      </c>
      <c r="N26" s="23">
        <f t="shared" si="15"/>
        <v>31.8</v>
      </c>
      <c r="O26" s="23">
        <f t="shared" si="16"/>
        <v>31.8</v>
      </c>
      <c r="P26" s="23">
        <f t="shared" si="16"/>
        <v>33</v>
      </c>
      <c r="Q26" s="23">
        <f t="shared" si="16"/>
        <v>0</v>
      </c>
      <c r="R26" s="23">
        <f t="shared" si="16"/>
        <v>0</v>
      </c>
      <c r="S26" s="23">
        <f t="shared" si="16"/>
        <v>0</v>
      </c>
      <c r="T26" s="23">
        <f t="shared" si="16"/>
        <v>0</v>
      </c>
      <c r="U26" s="23">
        <f t="shared" si="16"/>
        <v>0</v>
      </c>
      <c r="V26" s="23">
        <f t="shared" si="16"/>
        <v>0</v>
      </c>
      <c r="W26" s="23">
        <f t="shared" si="16"/>
        <v>0.2</v>
      </c>
      <c r="X26" s="23">
        <f t="shared" si="16"/>
        <v>0</v>
      </c>
      <c r="Y26" s="23">
        <f t="shared" si="16"/>
        <v>0</v>
      </c>
      <c r="Z26" s="23">
        <f t="shared" si="16"/>
        <v>0</v>
      </c>
      <c r="AA26" s="23">
        <f t="shared" si="16"/>
        <v>0</v>
      </c>
      <c r="AB26" s="23">
        <f t="shared" si="16"/>
        <v>0</v>
      </c>
      <c r="AC26" s="23">
        <f t="shared" si="16"/>
        <v>0</v>
      </c>
      <c r="AD26" s="23">
        <f t="shared" si="16"/>
        <v>0</v>
      </c>
      <c r="AE26" s="23">
        <f t="shared" si="16"/>
        <v>0</v>
      </c>
      <c r="AF26" s="23">
        <f t="shared" si="16"/>
        <v>0</v>
      </c>
      <c r="AG26" s="23">
        <f t="shared" si="16"/>
        <v>0</v>
      </c>
      <c r="AH26" s="23">
        <f t="shared" si="16"/>
        <v>0</v>
      </c>
      <c r="AI26" s="23">
        <f t="shared" si="16"/>
        <v>0</v>
      </c>
      <c r="AJ26" s="23">
        <f t="shared" si="16"/>
        <v>0</v>
      </c>
      <c r="AK26" s="23">
        <f t="shared" si="16"/>
        <v>0</v>
      </c>
      <c r="AL26" s="23">
        <f t="shared" si="16"/>
        <v>0</v>
      </c>
      <c r="AM26" s="23">
        <f t="shared" si="16"/>
        <v>0</v>
      </c>
      <c r="AN26" s="23">
        <f t="shared" si="16"/>
        <v>0</v>
      </c>
      <c r="AO26" s="23">
        <f t="shared" si="16"/>
        <v>0</v>
      </c>
      <c r="AP26" s="23">
        <f t="shared" si="16"/>
        <v>0</v>
      </c>
      <c r="AQ26" s="23">
        <f t="shared" si="16"/>
        <v>0</v>
      </c>
      <c r="AR26" s="23">
        <f t="shared" si="16"/>
        <v>0</v>
      </c>
      <c r="AS26" s="23">
        <f t="shared" si="16"/>
        <v>0</v>
      </c>
      <c r="AT26" s="23">
        <f t="shared" si="16"/>
        <v>0</v>
      </c>
      <c r="AU26" s="23">
        <f t="shared" si="16"/>
        <v>0</v>
      </c>
      <c r="AV26" s="23">
        <f t="shared" si="16"/>
        <v>0</v>
      </c>
      <c r="AW26" s="23">
        <f t="shared" si="16"/>
        <v>0</v>
      </c>
      <c r="AX26" s="23">
        <f t="shared" si="16"/>
        <v>0</v>
      </c>
      <c r="AY26" s="23">
        <f t="shared" si="16"/>
        <v>0</v>
      </c>
      <c r="AZ26" s="23">
        <f t="shared" si="16"/>
        <v>0</v>
      </c>
      <c r="BA26" s="23">
        <f t="shared" si="16"/>
        <v>0</v>
      </c>
      <c r="BB26" s="23">
        <f t="shared" si="16"/>
        <v>0</v>
      </c>
      <c r="BC26" s="23">
        <f t="shared" si="16"/>
        <v>0</v>
      </c>
      <c r="BD26" s="23">
        <f t="shared" si="16"/>
        <v>0</v>
      </c>
      <c r="BE26" s="23">
        <f t="shared" si="17"/>
        <v>0</v>
      </c>
      <c r="BF26" s="23">
        <f t="shared" si="17"/>
        <v>0</v>
      </c>
      <c r="BG26" s="23">
        <f t="shared" si="17"/>
        <v>0</v>
      </c>
      <c r="BH26" s="23">
        <f t="shared" si="17"/>
        <v>0</v>
      </c>
      <c r="BI26" s="23">
        <f t="shared" si="17"/>
        <v>0</v>
      </c>
      <c r="BJ26" s="23">
        <f t="shared" si="17"/>
        <v>0</v>
      </c>
      <c r="BK26" s="23">
        <f t="shared" si="17"/>
        <v>0</v>
      </c>
      <c r="BL26" s="23">
        <f t="shared" si="17"/>
        <v>0</v>
      </c>
      <c r="BM26" s="23">
        <f t="shared" si="17"/>
        <v>0</v>
      </c>
      <c r="BN26" s="23">
        <f t="shared" si="17"/>
        <v>0</v>
      </c>
      <c r="BO26" s="23">
        <f t="shared" si="17"/>
        <v>0</v>
      </c>
      <c r="BP26" s="23">
        <f t="shared" si="17"/>
        <v>0</v>
      </c>
      <c r="BQ26" s="23">
        <f t="shared" si="17"/>
        <v>0</v>
      </c>
      <c r="BR26" s="23">
        <f t="shared" si="17"/>
        <v>0</v>
      </c>
      <c r="BS26" s="23">
        <f t="shared" si="17"/>
        <v>0</v>
      </c>
      <c r="BT26" s="23">
        <f t="shared" si="17"/>
        <v>0</v>
      </c>
      <c r="BU26" s="23">
        <f t="shared" si="17"/>
        <v>0</v>
      </c>
      <c r="BV26" s="23">
        <f t="shared" si="17"/>
        <v>0</v>
      </c>
      <c r="BW26" s="23">
        <f t="shared" si="17"/>
        <v>0</v>
      </c>
      <c r="BX26" s="23">
        <f t="shared" si="18"/>
        <v>0</v>
      </c>
      <c r="BY26" s="23">
        <f t="shared" si="18"/>
        <v>0</v>
      </c>
      <c r="BZ26" s="23">
        <f t="shared" si="18"/>
        <v>0</v>
      </c>
      <c r="CA26" s="23">
        <f t="shared" si="18"/>
        <v>0</v>
      </c>
      <c r="CB26" s="23">
        <f t="shared" si="18"/>
        <v>0</v>
      </c>
      <c r="CC26" s="23">
        <f t="shared" si="18"/>
        <v>0</v>
      </c>
      <c r="CD26" s="23">
        <f t="shared" si="18"/>
        <v>0</v>
      </c>
      <c r="CE26" s="23">
        <f t="shared" si="18"/>
        <v>0</v>
      </c>
      <c r="CF26" s="23">
        <f t="shared" si="18"/>
        <v>0</v>
      </c>
      <c r="CG26" s="23">
        <f t="shared" si="18"/>
        <v>0</v>
      </c>
      <c r="CH26" s="23">
        <f t="shared" si="18"/>
        <v>0</v>
      </c>
      <c r="CI26" s="23">
        <f t="shared" si="18"/>
        <v>0</v>
      </c>
      <c r="CJ26" s="23">
        <f t="shared" si="18"/>
        <v>0</v>
      </c>
      <c r="CK26" s="23">
        <f t="shared" si="18"/>
        <v>0</v>
      </c>
      <c r="CL26" s="23">
        <f t="shared" si="18"/>
        <v>0</v>
      </c>
      <c r="CM26" s="23">
        <f t="shared" si="18"/>
        <v>0</v>
      </c>
      <c r="CN26" s="23">
        <f t="shared" si="18"/>
        <v>0</v>
      </c>
      <c r="CO26" s="23">
        <f t="shared" si="18"/>
        <v>0</v>
      </c>
      <c r="CP26" s="23">
        <f t="shared" si="18"/>
        <v>0</v>
      </c>
      <c r="CQ26" s="23"/>
    </row>
    <row r="27" spans="2:95" outlineLevel="1" x14ac:dyDescent="0.2">
      <c r="B27" s="510" t="s">
        <v>584</v>
      </c>
      <c r="E27" s="511" t="s">
        <v>579</v>
      </c>
      <c r="K27" s="625"/>
      <c r="L27" s="625"/>
      <c r="M27" s="23">
        <f t="shared" si="15"/>
        <v>0</v>
      </c>
      <c r="N27" s="23">
        <f t="shared" si="15"/>
        <v>0</v>
      </c>
      <c r="O27" s="23">
        <f t="shared" si="16"/>
        <v>0</v>
      </c>
      <c r="P27" s="23">
        <f t="shared" si="16"/>
        <v>0</v>
      </c>
      <c r="Q27" s="23">
        <f t="shared" si="16"/>
        <v>0</v>
      </c>
      <c r="R27" s="23">
        <f t="shared" si="16"/>
        <v>0</v>
      </c>
      <c r="S27" s="23">
        <f t="shared" si="16"/>
        <v>0</v>
      </c>
      <c r="T27" s="23">
        <f t="shared" si="16"/>
        <v>0</v>
      </c>
      <c r="U27" s="23">
        <f>SUMIF($E$45:$E$53,$E27,U$71:U$79)</f>
        <v>7</v>
      </c>
      <c r="V27" s="23">
        <f t="shared" si="16"/>
        <v>14.052173589330108</v>
      </c>
      <c r="W27" s="23">
        <f t="shared" si="16"/>
        <v>88.8</v>
      </c>
      <c r="X27" s="23">
        <f t="shared" si="16"/>
        <v>91.873846153846131</v>
      </c>
      <c r="Y27" s="23">
        <f t="shared" si="16"/>
        <v>100.02453846153841</v>
      </c>
      <c r="Z27" s="23">
        <f t="shared" si="16"/>
        <v>113.25399807692301</v>
      </c>
      <c r="AA27" s="23">
        <f t="shared" si="16"/>
        <v>116.75493437740379</v>
      </c>
      <c r="AB27" s="23">
        <f t="shared" si="16"/>
        <v>120.33901791502095</v>
      </c>
      <c r="AC27" s="23">
        <f t="shared" si="16"/>
        <v>124.00822343665652</v>
      </c>
      <c r="AD27" s="23">
        <f t="shared" si="16"/>
        <v>127.57712210465428</v>
      </c>
      <c r="AE27" s="23">
        <f t="shared" si="16"/>
        <v>131.23078211601697</v>
      </c>
      <c r="AF27" s="23">
        <f t="shared" si="16"/>
        <v>134.97121655264954</v>
      </c>
      <c r="AG27" s="23">
        <f t="shared" si="16"/>
        <v>138.80048630715214</v>
      </c>
      <c r="AH27" s="23">
        <f t="shared" si="16"/>
        <v>142.72070121832414</v>
      </c>
      <c r="AI27" s="23">
        <f t="shared" si="16"/>
        <v>146.73402123363653</v>
      </c>
      <c r="AJ27" s="23">
        <f t="shared" si="16"/>
        <v>41.458710690184759</v>
      </c>
      <c r="AK27" s="23">
        <f t="shared" si="16"/>
        <v>27.019335012809265</v>
      </c>
      <c r="AL27" s="23">
        <f t="shared" si="16"/>
        <v>27.637889786394041</v>
      </c>
      <c r="AM27" s="23">
        <f t="shared" si="16"/>
        <v>28.270556375027223</v>
      </c>
      <c r="AN27" s="23">
        <f t="shared" si="16"/>
        <v>28.917655462795601</v>
      </c>
      <c r="AO27" s="23">
        <f t="shared" si="16"/>
        <v>29.579514988245016</v>
      </c>
      <c r="AP27" s="23">
        <f t="shared" si="16"/>
        <v>30.256470307629055</v>
      </c>
      <c r="AQ27" s="23">
        <f t="shared" si="16"/>
        <v>30.948864361808795</v>
      </c>
      <c r="AR27" s="23">
        <f t="shared" si="16"/>
        <v>4.6386547282135062</v>
      </c>
      <c r="AS27" s="23">
        <f t="shared" si="16"/>
        <v>4.7364418112494739</v>
      </c>
      <c r="AT27" s="23">
        <f t="shared" si="16"/>
        <v>4.8362418133385692</v>
      </c>
      <c r="AU27" s="23">
        <f t="shared" si="16"/>
        <v>4.9380948032040788</v>
      </c>
      <c r="AV27" s="23">
        <f t="shared" si="16"/>
        <v>5.0420416077488621</v>
      </c>
      <c r="AW27" s="23">
        <f t="shared" si="16"/>
        <v>0</v>
      </c>
      <c r="AX27" s="23">
        <f t="shared" si="16"/>
        <v>0</v>
      </c>
      <c r="AY27" s="23">
        <f t="shared" si="16"/>
        <v>0</v>
      </c>
      <c r="AZ27" s="23">
        <f t="shared" si="16"/>
        <v>0</v>
      </c>
      <c r="BA27" s="23">
        <f t="shared" si="16"/>
        <v>0</v>
      </c>
      <c r="BB27" s="23">
        <f t="shared" si="16"/>
        <v>0</v>
      </c>
      <c r="BC27" s="23">
        <f t="shared" si="16"/>
        <v>0</v>
      </c>
      <c r="BD27" s="23">
        <f t="shared" si="16"/>
        <v>0</v>
      </c>
      <c r="BE27" s="23">
        <f t="shared" si="17"/>
        <v>0</v>
      </c>
      <c r="BF27" s="23">
        <f t="shared" si="17"/>
        <v>0</v>
      </c>
      <c r="BG27" s="23">
        <f t="shared" si="17"/>
        <v>0</v>
      </c>
      <c r="BH27" s="23">
        <f t="shared" si="17"/>
        <v>0</v>
      </c>
      <c r="BI27" s="23">
        <f t="shared" si="17"/>
        <v>0</v>
      </c>
      <c r="BJ27" s="23">
        <f t="shared" si="17"/>
        <v>0</v>
      </c>
      <c r="BK27" s="23">
        <f t="shared" si="17"/>
        <v>0</v>
      </c>
      <c r="BL27" s="23">
        <f t="shared" si="17"/>
        <v>0</v>
      </c>
      <c r="BM27" s="23">
        <f t="shared" si="17"/>
        <v>0</v>
      </c>
      <c r="BN27" s="23">
        <f t="shared" si="17"/>
        <v>0</v>
      </c>
      <c r="BO27" s="23">
        <f t="shared" si="17"/>
        <v>0</v>
      </c>
      <c r="BP27" s="23">
        <f t="shared" si="17"/>
        <v>0</v>
      </c>
      <c r="BQ27" s="23">
        <f t="shared" si="17"/>
        <v>0</v>
      </c>
      <c r="BR27" s="23">
        <f t="shared" si="17"/>
        <v>0</v>
      </c>
      <c r="BS27" s="23">
        <f t="shared" si="17"/>
        <v>0</v>
      </c>
      <c r="BT27" s="23">
        <f t="shared" si="17"/>
        <v>0</v>
      </c>
      <c r="BU27" s="23">
        <f t="shared" si="17"/>
        <v>0</v>
      </c>
      <c r="BV27" s="23">
        <f t="shared" si="17"/>
        <v>0</v>
      </c>
      <c r="BW27" s="23">
        <f t="shared" si="17"/>
        <v>0</v>
      </c>
      <c r="BX27" s="23">
        <f t="shared" si="18"/>
        <v>0</v>
      </c>
      <c r="BY27" s="23">
        <f t="shared" si="18"/>
        <v>0</v>
      </c>
      <c r="BZ27" s="23">
        <f t="shared" si="18"/>
        <v>0</v>
      </c>
      <c r="CA27" s="23">
        <f t="shared" si="18"/>
        <v>0</v>
      </c>
      <c r="CB27" s="23">
        <f t="shared" si="18"/>
        <v>0</v>
      </c>
      <c r="CC27" s="23">
        <f t="shared" si="18"/>
        <v>0</v>
      </c>
      <c r="CD27" s="23">
        <f t="shared" si="18"/>
        <v>0</v>
      </c>
      <c r="CE27" s="23">
        <f t="shared" si="18"/>
        <v>0</v>
      </c>
      <c r="CF27" s="23">
        <f t="shared" si="18"/>
        <v>0</v>
      </c>
      <c r="CG27" s="23">
        <f t="shared" si="18"/>
        <v>0</v>
      </c>
      <c r="CH27" s="23">
        <f t="shared" si="18"/>
        <v>0</v>
      </c>
      <c r="CI27" s="23">
        <f t="shared" si="18"/>
        <v>0</v>
      </c>
      <c r="CJ27" s="23">
        <f t="shared" si="18"/>
        <v>0</v>
      </c>
      <c r="CK27" s="23">
        <f t="shared" si="18"/>
        <v>0</v>
      </c>
      <c r="CL27" s="23">
        <f t="shared" si="18"/>
        <v>0</v>
      </c>
      <c r="CM27" s="23">
        <f t="shared" si="18"/>
        <v>0</v>
      </c>
      <c r="CN27" s="23">
        <f t="shared" si="18"/>
        <v>0</v>
      </c>
      <c r="CO27" s="23">
        <f t="shared" si="18"/>
        <v>0</v>
      </c>
      <c r="CP27" s="23">
        <f t="shared" si="18"/>
        <v>0</v>
      </c>
      <c r="CQ27" s="23"/>
    </row>
    <row r="28" spans="2:95" s="514" customFormat="1" outlineLevel="1" x14ac:dyDescent="0.2">
      <c r="B28" s="311" t="s">
        <v>46</v>
      </c>
      <c r="C28" s="513"/>
      <c r="K28" s="245"/>
      <c r="L28" s="245"/>
      <c r="M28" s="742" t="b">
        <f>SUM(M23:M27)=M22</f>
        <v>0</v>
      </c>
      <c r="N28" s="245" t="b">
        <f>IF(ABS(N22-SUM(N23:N27)&lt;0.1),TRUE,N22-SUM(N23:N27))</f>
        <v>1</v>
      </c>
      <c r="O28" s="245" t="b">
        <f t="shared" ref="O28:BD28" si="19">IF(ABS(O22-SUM(O23:O27)&lt;0.1),TRUE,O22-SUM(O23:O27))</f>
        <v>1</v>
      </c>
      <c r="P28" s="245" t="b">
        <f t="shared" si="19"/>
        <v>1</v>
      </c>
      <c r="Q28" s="245" t="b">
        <f t="shared" si="19"/>
        <v>1</v>
      </c>
      <c r="R28" s="245" t="b">
        <f t="shared" si="19"/>
        <v>1</v>
      </c>
      <c r="S28" s="245" t="b">
        <f t="shared" si="19"/>
        <v>1</v>
      </c>
      <c r="T28" s="245" t="b">
        <f t="shared" si="19"/>
        <v>1</v>
      </c>
      <c r="U28" s="245" t="b">
        <f t="shared" si="19"/>
        <v>1</v>
      </c>
      <c r="V28" s="245" t="b">
        <f t="shared" si="19"/>
        <v>1</v>
      </c>
      <c r="W28" s="245" t="b">
        <f t="shared" si="19"/>
        <v>1</v>
      </c>
      <c r="X28" s="245" t="b">
        <f t="shared" si="19"/>
        <v>1</v>
      </c>
      <c r="Y28" s="245" t="b">
        <f t="shared" si="19"/>
        <v>1</v>
      </c>
      <c r="Z28" s="245" t="b">
        <f t="shared" si="19"/>
        <v>1</v>
      </c>
      <c r="AA28" s="245" t="b">
        <f t="shared" si="19"/>
        <v>1</v>
      </c>
      <c r="AB28" s="245" t="b">
        <f t="shared" si="19"/>
        <v>1</v>
      </c>
      <c r="AC28" s="245" t="b">
        <f t="shared" si="19"/>
        <v>1</v>
      </c>
      <c r="AD28" s="245" t="b">
        <f t="shared" si="19"/>
        <v>1</v>
      </c>
      <c r="AE28" s="245" t="b">
        <f t="shared" si="19"/>
        <v>1</v>
      </c>
      <c r="AF28" s="245" t="b">
        <f t="shared" si="19"/>
        <v>1</v>
      </c>
      <c r="AG28" s="245" t="b">
        <f t="shared" si="19"/>
        <v>1</v>
      </c>
      <c r="AH28" s="245" t="b">
        <f t="shared" si="19"/>
        <v>1</v>
      </c>
      <c r="AI28" s="245" t="b">
        <f t="shared" si="19"/>
        <v>1</v>
      </c>
      <c r="AJ28" s="245" t="b">
        <f t="shared" si="19"/>
        <v>1</v>
      </c>
      <c r="AK28" s="245" t="b">
        <f t="shared" si="19"/>
        <v>1</v>
      </c>
      <c r="AL28" s="245" t="b">
        <f t="shared" si="19"/>
        <v>1</v>
      </c>
      <c r="AM28" s="245" t="b">
        <f t="shared" si="19"/>
        <v>1</v>
      </c>
      <c r="AN28" s="245" t="b">
        <f t="shared" si="19"/>
        <v>1</v>
      </c>
      <c r="AO28" s="245" t="b">
        <f t="shared" si="19"/>
        <v>1</v>
      </c>
      <c r="AP28" s="245" t="b">
        <f t="shared" si="19"/>
        <v>1</v>
      </c>
      <c r="AQ28" s="245" t="b">
        <f t="shared" si="19"/>
        <v>1</v>
      </c>
      <c r="AR28" s="245" t="b">
        <f t="shared" si="19"/>
        <v>1</v>
      </c>
      <c r="AS28" s="245" t="b">
        <f t="shared" si="19"/>
        <v>1</v>
      </c>
      <c r="AT28" s="245" t="b">
        <f t="shared" si="19"/>
        <v>1</v>
      </c>
      <c r="AU28" s="245" t="b">
        <f t="shared" si="19"/>
        <v>1</v>
      </c>
      <c r="AV28" s="245" t="b">
        <f t="shared" si="19"/>
        <v>1</v>
      </c>
      <c r="AW28" s="245" t="b">
        <f t="shared" si="19"/>
        <v>1</v>
      </c>
      <c r="AX28" s="245" t="b">
        <f t="shared" si="19"/>
        <v>1</v>
      </c>
      <c r="AY28" s="245" t="b">
        <f t="shared" si="19"/>
        <v>1</v>
      </c>
      <c r="AZ28" s="245" t="b">
        <f t="shared" si="19"/>
        <v>1</v>
      </c>
      <c r="BA28" s="245" t="b">
        <f t="shared" si="19"/>
        <v>1</v>
      </c>
      <c r="BB28" s="245" t="b">
        <f t="shared" si="19"/>
        <v>1</v>
      </c>
      <c r="BC28" s="245" t="b">
        <f t="shared" si="19"/>
        <v>1</v>
      </c>
      <c r="BD28" s="245" t="b">
        <f t="shared" si="19"/>
        <v>1</v>
      </c>
      <c r="BE28" s="245" t="b">
        <f t="shared" ref="BE28:CP28" si="20">IF(ABS(BE22-SUM(BE23:BE27)&lt;0.1),TRUE,BE22-SUM(BE23:BE27))</f>
        <v>1</v>
      </c>
      <c r="BF28" s="245" t="b">
        <f t="shared" si="20"/>
        <v>1</v>
      </c>
      <c r="BG28" s="245" t="b">
        <f t="shared" si="20"/>
        <v>1</v>
      </c>
      <c r="BH28" s="245" t="b">
        <f t="shared" si="20"/>
        <v>1</v>
      </c>
      <c r="BI28" s="245" t="b">
        <f t="shared" si="20"/>
        <v>1</v>
      </c>
      <c r="BJ28" s="245" t="b">
        <f t="shared" si="20"/>
        <v>1</v>
      </c>
      <c r="BK28" s="245" t="b">
        <f t="shared" si="20"/>
        <v>1</v>
      </c>
      <c r="BL28" s="245" t="b">
        <f t="shared" si="20"/>
        <v>1</v>
      </c>
      <c r="BM28" s="245" t="b">
        <f t="shared" si="20"/>
        <v>1</v>
      </c>
      <c r="BN28" s="245" t="b">
        <f t="shared" si="20"/>
        <v>1</v>
      </c>
      <c r="BO28" s="245" t="b">
        <f t="shared" si="20"/>
        <v>1</v>
      </c>
      <c r="BP28" s="245" t="b">
        <f t="shared" si="20"/>
        <v>1</v>
      </c>
      <c r="BQ28" s="245" t="b">
        <f t="shared" si="20"/>
        <v>1</v>
      </c>
      <c r="BR28" s="245" t="b">
        <f t="shared" si="20"/>
        <v>1</v>
      </c>
      <c r="BS28" s="245" t="b">
        <f t="shared" si="20"/>
        <v>1</v>
      </c>
      <c r="BT28" s="245" t="b">
        <f t="shared" si="20"/>
        <v>1</v>
      </c>
      <c r="BU28" s="245" t="b">
        <f t="shared" si="20"/>
        <v>1</v>
      </c>
      <c r="BV28" s="245" t="b">
        <f t="shared" si="20"/>
        <v>1</v>
      </c>
      <c r="BW28" s="245" t="b">
        <f t="shared" si="20"/>
        <v>1</v>
      </c>
      <c r="BX28" s="245" t="b">
        <f t="shared" si="20"/>
        <v>1</v>
      </c>
      <c r="BY28" s="245" t="b">
        <f t="shared" si="20"/>
        <v>1</v>
      </c>
      <c r="BZ28" s="245" t="b">
        <f t="shared" si="20"/>
        <v>1</v>
      </c>
      <c r="CA28" s="245" t="b">
        <f t="shared" si="20"/>
        <v>1</v>
      </c>
      <c r="CB28" s="245" t="b">
        <f t="shared" si="20"/>
        <v>1</v>
      </c>
      <c r="CC28" s="245" t="b">
        <f t="shared" si="20"/>
        <v>1</v>
      </c>
      <c r="CD28" s="245" t="b">
        <f t="shared" si="20"/>
        <v>1</v>
      </c>
      <c r="CE28" s="245" t="b">
        <f t="shared" si="20"/>
        <v>1</v>
      </c>
      <c r="CF28" s="245" t="b">
        <f t="shared" si="20"/>
        <v>1</v>
      </c>
      <c r="CG28" s="245" t="b">
        <f t="shared" si="20"/>
        <v>1</v>
      </c>
      <c r="CH28" s="245" t="b">
        <f t="shared" si="20"/>
        <v>1</v>
      </c>
      <c r="CI28" s="245" t="b">
        <f t="shared" si="20"/>
        <v>1</v>
      </c>
      <c r="CJ28" s="245" t="b">
        <f t="shared" si="20"/>
        <v>1</v>
      </c>
      <c r="CK28" s="245" t="b">
        <f t="shared" si="20"/>
        <v>1</v>
      </c>
      <c r="CL28" s="245" t="b">
        <f t="shared" si="20"/>
        <v>1</v>
      </c>
      <c r="CM28" s="245" t="b">
        <f t="shared" si="20"/>
        <v>1</v>
      </c>
      <c r="CN28" s="245" t="b">
        <f t="shared" si="20"/>
        <v>1</v>
      </c>
      <c r="CO28" s="245" t="b">
        <f t="shared" si="20"/>
        <v>1</v>
      </c>
      <c r="CP28" s="245" t="b">
        <f t="shared" si="20"/>
        <v>1</v>
      </c>
      <c r="CQ28" s="515"/>
    </row>
    <row r="29" spans="2:95" s="98" customFormat="1" outlineLevel="1" x14ac:dyDescent="0.2">
      <c r="B29" s="98" t="s">
        <v>303</v>
      </c>
      <c r="C29" s="13"/>
      <c r="K29" s="93" t="str">
        <f t="shared" ref="K29:BD29" si="21">IF(ISERROR(+K22/K21),"n.a.",+K22/K21)</f>
        <v>n.a.</v>
      </c>
      <c r="L29" s="93" t="str">
        <f t="shared" si="21"/>
        <v>n.a.</v>
      </c>
      <c r="M29" s="93">
        <f t="shared" si="21"/>
        <v>0.68241981698863119</v>
      </c>
      <c r="N29" s="93">
        <f t="shared" si="21"/>
        <v>0.70442188011791684</v>
      </c>
      <c r="O29" s="93">
        <f t="shared" si="21"/>
        <v>0.67576523877672945</v>
      </c>
      <c r="P29" s="93">
        <f t="shared" si="21"/>
        <v>0.6831962117404301</v>
      </c>
      <c r="Q29" s="93">
        <f t="shared" si="21"/>
        <v>0.66554944850893161</v>
      </c>
      <c r="R29" s="93">
        <f t="shared" si="21"/>
        <v>0.70898641122744488</v>
      </c>
      <c r="S29" s="93">
        <f t="shared" si="21"/>
        <v>0.7527605387762607</v>
      </c>
      <c r="T29" s="93">
        <f t="shared" si="21"/>
        <v>0.86278413377148599</v>
      </c>
      <c r="U29" s="93">
        <f t="shared" si="21"/>
        <v>0.87456160199117539</v>
      </c>
      <c r="V29" s="93">
        <f t="shared" si="21"/>
        <v>0.91041136725594529</v>
      </c>
      <c r="W29" s="93">
        <f t="shared" si="21"/>
        <v>0.83035063727759884</v>
      </c>
      <c r="X29" s="93">
        <f t="shared" si="21"/>
        <v>0.83191368207688243</v>
      </c>
      <c r="Y29" s="93">
        <f t="shared" si="21"/>
        <v>0.83113214017934145</v>
      </c>
      <c r="Z29" s="93">
        <f t="shared" si="21"/>
        <v>0.82811777239343431</v>
      </c>
      <c r="AA29" s="93">
        <f t="shared" si="21"/>
        <v>0.82444603297975605</v>
      </c>
      <c r="AB29" s="93">
        <f t="shared" si="21"/>
        <v>0.82462106468350282</v>
      </c>
      <c r="AC29" s="93">
        <f t="shared" si="21"/>
        <v>0.82471141993800112</v>
      </c>
      <c r="AD29" s="93">
        <f t="shared" si="21"/>
        <v>0.82462786520345843</v>
      </c>
      <c r="AE29" s="93">
        <f t="shared" si="21"/>
        <v>0.82453522922651301</v>
      </c>
      <c r="AF29" s="93">
        <f t="shared" si="21"/>
        <v>0.82443369501115982</v>
      </c>
      <c r="AG29" s="93">
        <f t="shared" si="21"/>
        <v>0.8235246655990085</v>
      </c>
      <c r="AH29" s="93">
        <f t="shared" si="21"/>
        <v>0.82341353525644811</v>
      </c>
      <c r="AI29" s="93">
        <f t="shared" si="21"/>
        <v>0.80110293769088281</v>
      </c>
      <c r="AJ29" s="93">
        <f t="shared" si="21"/>
        <v>0.81276092919998477</v>
      </c>
      <c r="AK29" s="93">
        <f t="shared" si="21"/>
        <v>0.80942809449280062</v>
      </c>
      <c r="AL29" s="93">
        <f t="shared" si="21"/>
        <v>0.80857610109803213</v>
      </c>
      <c r="AM29" s="93">
        <f t="shared" si="21"/>
        <v>0.80772440373714549</v>
      </c>
      <c r="AN29" s="93">
        <f t="shared" si="21"/>
        <v>0.80687302424509266</v>
      </c>
      <c r="AO29" s="93">
        <f t="shared" si="21"/>
        <v>0.79625001301761233</v>
      </c>
      <c r="AP29" s="93">
        <f t="shared" si="21"/>
        <v>0.61062899188298558</v>
      </c>
      <c r="AQ29" s="93">
        <f t="shared" si="21"/>
        <v>0.60966475369879025</v>
      </c>
      <c r="AR29" s="93">
        <f t="shared" si="21"/>
        <v>0.55647841812326926</v>
      </c>
      <c r="AS29" s="93">
        <f t="shared" si="21"/>
        <v>0.55554326739241389</v>
      </c>
      <c r="AT29" s="93">
        <f t="shared" si="21"/>
        <v>0.55460762835813004</v>
      </c>
      <c r="AU29" s="93">
        <f t="shared" si="21"/>
        <v>0.55367150194860948</v>
      </c>
      <c r="AV29" s="93">
        <f t="shared" si="21"/>
        <v>0.55273488907441459</v>
      </c>
      <c r="AW29" s="93">
        <f t="shared" si="21"/>
        <v>0.55860503897736657</v>
      </c>
      <c r="AX29" s="93">
        <f t="shared" si="21"/>
        <v>0.55767064557565127</v>
      </c>
      <c r="AY29" s="93">
        <f t="shared" si="21"/>
        <v>0.55673576120626045</v>
      </c>
      <c r="AZ29" s="93">
        <f t="shared" si="21"/>
        <v>0.55580038684234201</v>
      </c>
      <c r="BA29" s="93">
        <f t="shared" si="21"/>
        <v>0.53576098615226997</v>
      </c>
      <c r="BB29" s="93">
        <f t="shared" si="21"/>
        <v>0.53469985113867957</v>
      </c>
      <c r="BC29" s="93">
        <f t="shared" si="21"/>
        <v>0.5336380667857632</v>
      </c>
      <c r="BD29" s="93">
        <f t="shared" si="21"/>
        <v>0.53257563520610174</v>
      </c>
      <c r="BE29" s="93">
        <f t="shared" ref="BE29:CP29" si="22">IF(ISERROR(+BE22/BE21),"n.a.",+BE22/BE21)</f>
        <v>0.53151255849167589</v>
      </c>
      <c r="BF29" s="93">
        <f t="shared" si="22"/>
        <v>0.53044883871383908</v>
      </c>
      <c r="BG29" s="93">
        <f t="shared" si="22"/>
        <v>0.52938447792329246</v>
      </c>
      <c r="BH29" s="93">
        <f t="shared" si="22"/>
        <v>0.52831947815006042</v>
      </c>
      <c r="BI29" s="93">
        <f t="shared" si="22"/>
        <v>0.52725384140346776</v>
      </c>
      <c r="BJ29" s="93">
        <f t="shared" si="22"/>
        <v>0.52618756967211733</v>
      </c>
      <c r="BK29" s="93">
        <f t="shared" si="22"/>
        <v>0.52512066492387</v>
      </c>
      <c r="BL29" s="93">
        <f t="shared" si="22"/>
        <v>0.52405312910582424</v>
      </c>
      <c r="BM29" s="93">
        <f t="shared" si="22"/>
        <v>0.5229849641442994</v>
      </c>
      <c r="BN29" s="93">
        <f t="shared" si="22"/>
        <v>0.52191617194481754</v>
      </c>
      <c r="BO29" s="93">
        <f t="shared" si="22"/>
        <v>0.52084675439208861</v>
      </c>
      <c r="BP29" s="93">
        <f t="shared" si="22"/>
        <v>0.51977671334999431</v>
      </c>
      <c r="BQ29" s="93">
        <f t="shared" si="22"/>
        <v>0.51870605066157671</v>
      </c>
      <c r="BR29" s="93">
        <f t="shared" si="22"/>
        <v>0.51763476814902454</v>
      </c>
      <c r="BS29" s="93">
        <f t="shared" si="22"/>
        <v>0.51656286761366244</v>
      </c>
      <c r="BT29" s="93">
        <f t="shared" si="22"/>
        <v>0.51549035083594086</v>
      </c>
      <c r="BU29" s="93">
        <f t="shared" si="22"/>
        <v>0.51441721957542841</v>
      </c>
      <c r="BV29" s="93">
        <f t="shared" si="22"/>
        <v>0.51334347557080218</v>
      </c>
      <c r="BW29" s="93">
        <f t="shared" si="22"/>
        <v>0.51226912053984341</v>
      </c>
      <c r="BX29" s="93">
        <f t="shared" si="22"/>
        <v>0.51119415617943031</v>
      </c>
      <c r="BY29" s="93">
        <f t="shared" si="22"/>
        <v>0.51011858416553502</v>
      </c>
      <c r="BZ29" s="93">
        <f t="shared" si="22"/>
        <v>0.50904240615321961</v>
      </c>
      <c r="CA29" s="93">
        <f t="shared" si="22"/>
        <v>0.50796562377663501</v>
      </c>
      <c r="CB29" s="93">
        <f t="shared" si="22"/>
        <v>0.506888238649019</v>
      </c>
      <c r="CC29" s="93">
        <f t="shared" si="22"/>
        <v>0.50581025236269661</v>
      </c>
      <c r="CD29" s="93">
        <f t="shared" si="22"/>
        <v>0.50473166648908185</v>
      </c>
      <c r="CE29" s="93">
        <f t="shared" si="22"/>
        <v>0.50365248257867956</v>
      </c>
      <c r="CF29" s="93">
        <f t="shared" si="22"/>
        <v>0.50257270216108851</v>
      </c>
      <c r="CG29" s="93">
        <f t="shared" si="22"/>
        <v>0.50149232674500677</v>
      </c>
      <c r="CH29" s="93">
        <f t="shared" si="22"/>
        <v>-3.5167374503778152E-2</v>
      </c>
      <c r="CI29" s="93">
        <f t="shared" si="22"/>
        <v>-4.0499926820111588E-2</v>
      </c>
      <c r="CJ29" s="93">
        <f t="shared" si="22"/>
        <v>-4.585694216097571E-2</v>
      </c>
      <c r="CK29" s="93">
        <f t="shared" si="22"/>
        <v>-5.1238505964920252E-2</v>
      </c>
      <c r="CL29" s="93">
        <f t="shared" si="22"/>
        <v>-5.6644703736249913E-2</v>
      </c>
      <c r="CM29" s="93">
        <f t="shared" si="22"/>
        <v>-6.2075621042874195E-2</v>
      </c>
      <c r="CN29" s="93">
        <f t="shared" si="22"/>
        <v>-6.7531343514137226E-2</v>
      </c>
      <c r="CO29" s="93">
        <f t="shared" si="22"/>
        <v>-7.3011956838631986E-2</v>
      </c>
      <c r="CP29" s="93">
        <f t="shared" si="22"/>
        <v>-0.22131007984088125</v>
      </c>
      <c r="CQ29" s="23" t="s">
        <v>77</v>
      </c>
    </row>
    <row r="30" spans="2:95" outlineLevel="1" x14ac:dyDescent="0.2">
      <c r="B30" s="485" t="s">
        <v>316</v>
      </c>
      <c r="D30" s="485"/>
      <c r="E30" s="485"/>
      <c r="F30" s="485"/>
      <c r="G30" s="485"/>
      <c r="H30" s="485"/>
      <c r="I30" s="485"/>
      <c r="J30" s="485"/>
      <c r="K30" s="516"/>
      <c r="L30" s="516"/>
      <c r="M30" s="516"/>
      <c r="N30" s="517"/>
      <c r="O30" s="517"/>
      <c r="P30" s="517"/>
      <c r="Q30" s="517"/>
      <c r="R30" s="517"/>
      <c r="S30" s="517"/>
      <c r="T30" s="517"/>
      <c r="U30" s="227">
        <v>0.8</v>
      </c>
      <c r="V30" s="227">
        <v>0.95</v>
      </c>
      <c r="W30" s="282">
        <f>V30</f>
        <v>0.95</v>
      </c>
      <c r="X30" s="671">
        <v>1</v>
      </c>
      <c r="Y30" s="861">
        <f>X30</f>
        <v>1</v>
      </c>
      <c r="Z30" s="861">
        <f>Y30</f>
        <v>1</v>
      </c>
      <c r="AA30" s="671">
        <v>0.95</v>
      </c>
      <c r="AB30" s="861">
        <f t="shared" ref="AB30" si="23">AA30</f>
        <v>0.95</v>
      </c>
      <c r="AC30" s="861">
        <f t="shared" ref="AC30" si="24">AB30</f>
        <v>0.95</v>
      </c>
      <c r="AD30" s="861">
        <f t="shared" ref="AD30" si="25">AC30</f>
        <v>0.95</v>
      </c>
      <c r="AE30" s="861">
        <f t="shared" ref="AE30:BD30" si="26">AD30</f>
        <v>0.95</v>
      </c>
      <c r="AF30" s="861">
        <f t="shared" si="26"/>
        <v>0.95</v>
      </c>
      <c r="AG30" s="861">
        <f t="shared" si="26"/>
        <v>0.95</v>
      </c>
      <c r="AH30" s="861">
        <f t="shared" si="26"/>
        <v>0.95</v>
      </c>
      <c r="AI30" s="861">
        <f t="shared" si="26"/>
        <v>0.95</v>
      </c>
      <c r="AJ30" s="861">
        <f t="shared" si="26"/>
        <v>0.95</v>
      </c>
      <c r="AK30" s="861">
        <f t="shared" si="26"/>
        <v>0.95</v>
      </c>
      <c r="AL30" s="861">
        <f t="shared" si="26"/>
        <v>0.95</v>
      </c>
      <c r="AM30" s="861">
        <f t="shared" si="26"/>
        <v>0.95</v>
      </c>
      <c r="AN30" s="861">
        <f t="shared" si="26"/>
        <v>0.95</v>
      </c>
      <c r="AO30" s="861">
        <f t="shared" si="26"/>
        <v>0.95</v>
      </c>
      <c r="AP30" s="861">
        <f t="shared" si="26"/>
        <v>0.95</v>
      </c>
      <c r="AQ30" s="861">
        <f t="shared" si="26"/>
        <v>0.95</v>
      </c>
      <c r="AR30" s="861">
        <f t="shared" si="26"/>
        <v>0.95</v>
      </c>
      <c r="AS30" s="861">
        <f t="shared" si="26"/>
        <v>0.95</v>
      </c>
      <c r="AT30" s="861">
        <f t="shared" si="26"/>
        <v>0.95</v>
      </c>
      <c r="AU30" s="861">
        <f t="shared" si="26"/>
        <v>0.95</v>
      </c>
      <c r="AV30" s="861">
        <f t="shared" si="26"/>
        <v>0.95</v>
      </c>
      <c r="AW30" s="861">
        <f t="shared" si="26"/>
        <v>0.95</v>
      </c>
      <c r="AX30" s="861">
        <f t="shared" si="26"/>
        <v>0.95</v>
      </c>
      <c r="AY30" s="861">
        <f t="shared" si="26"/>
        <v>0.95</v>
      </c>
      <c r="AZ30" s="861">
        <f t="shared" si="26"/>
        <v>0.95</v>
      </c>
      <c r="BA30" s="861">
        <f t="shared" si="26"/>
        <v>0.95</v>
      </c>
      <c r="BB30" s="861">
        <f t="shared" si="26"/>
        <v>0.95</v>
      </c>
      <c r="BC30" s="861">
        <f t="shared" si="26"/>
        <v>0.95</v>
      </c>
      <c r="BD30" s="861">
        <f t="shared" si="26"/>
        <v>0.95</v>
      </c>
      <c r="BE30" s="861">
        <f t="shared" ref="BE30:CP30" si="27">BD30</f>
        <v>0.95</v>
      </c>
      <c r="BF30" s="861">
        <f t="shared" si="27"/>
        <v>0.95</v>
      </c>
      <c r="BG30" s="861">
        <f t="shared" si="27"/>
        <v>0.95</v>
      </c>
      <c r="BH30" s="861">
        <f t="shared" si="27"/>
        <v>0.95</v>
      </c>
      <c r="BI30" s="861">
        <f t="shared" si="27"/>
        <v>0.95</v>
      </c>
      <c r="BJ30" s="861">
        <f t="shared" si="27"/>
        <v>0.95</v>
      </c>
      <c r="BK30" s="861">
        <f t="shared" si="27"/>
        <v>0.95</v>
      </c>
      <c r="BL30" s="861">
        <f t="shared" si="27"/>
        <v>0.95</v>
      </c>
      <c r="BM30" s="861">
        <f t="shared" si="27"/>
        <v>0.95</v>
      </c>
      <c r="BN30" s="861">
        <f t="shared" si="27"/>
        <v>0.95</v>
      </c>
      <c r="BO30" s="861">
        <f t="shared" si="27"/>
        <v>0.95</v>
      </c>
      <c r="BP30" s="861">
        <f t="shared" si="27"/>
        <v>0.95</v>
      </c>
      <c r="BQ30" s="861">
        <f t="shared" si="27"/>
        <v>0.95</v>
      </c>
      <c r="BR30" s="861">
        <f t="shared" si="27"/>
        <v>0.95</v>
      </c>
      <c r="BS30" s="861">
        <f t="shared" si="27"/>
        <v>0.95</v>
      </c>
      <c r="BT30" s="861">
        <f t="shared" si="27"/>
        <v>0.95</v>
      </c>
      <c r="BU30" s="861">
        <f t="shared" si="27"/>
        <v>0.95</v>
      </c>
      <c r="BV30" s="861">
        <f t="shared" si="27"/>
        <v>0.95</v>
      </c>
      <c r="BW30" s="861">
        <f t="shared" si="27"/>
        <v>0.95</v>
      </c>
      <c r="BX30" s="861">
        <f t="shared" si="27"/>
        <v>0.95</v>
      </c>
      <c r="BY30" s="861">
        <f t="shared" si="27"/>
        <v>0.95</v>
      </c>
      <c r="BZ30" s="861">
        <f t="shared" si="27"/>
        <v>0.95</v>
      </c>
      <c r="CA30" s="861">
        <f t="shared" si="27"/>
        <v>0.95</v>
      </c>
      <c r="CB30" s="861">
        <f t="shared" si="27"/>
        <v>0.95</v>
      </c>
      <c r="CC30" s="861">
        <f t="shared" si="27"/>
        <v>0.95</v>
      </c>
      <c r="CD30" s="861">
        <f t="shared" si="27"/>
        <v>0.95</v>
      </c>
      <c r="CE30" s="861">
        <f t="shared" si="27"/>
        <v>0.95</v>
      </c>
      <c r="CF30" s="861">
        <f t="shared" si="27"/>
        <v>0.95</v>
      </c>
      <c r="CG30" s="861">
        <f t="shared" si="27"/>
        <v>0.95</v>
      </c>
      <c r="CH30" s="861">
        <f t="shared" si="27"/>
        <v>0.95</v>
      </c>
      <c r="CI30" s="861">
        <f t="shared" si="27"/>
        <v>0.95</v>
      </c>
      <c r="CJ30" s="861">
        <f t="shared" si="27"/>
        <v>0.95</v>
      </c>
      <c r="CK30" s="861">
        <f t="shared" si="27"/>
        <v>0.95</v>
      </c>
      <c r="CL30" s="861">
        <f t="shared" si="27"/>
        <v>0.95</v>
      </c>
      <c r="CM30" s="861">
        <f t="shared" si="27"/>
        <v>0.95</v>
      </c>
      <c r="CN30" s="861">
        <f t="shared" si="27"/>
        <v>0.95</v>
      </c>
      <c r="CO30" s="861">
        <f t="shared" si="27"/>
        <v>0.95</v>
      </c>
      <c r="CP30" s="861">
        <f t="shared" si="27"/>
        <v>0.95</v>
      </c>
      <c r="CQ30" s="23" t="s">
        <v>77</v>
      </c>
    </row>
    <row r="31" spans="2:95" ht="5.0999999999999996" customHeight="1" outlineLevel="1" x14ac:dyDescent="0.2">
      <c r="CQ31" s="23" t="s">
        <v>77</v>
      </c>
    </row>
    <row r="32" spans="2:95" outlineLevel="1" x14ac:dyDescent="0.2">
      <c r="B32" s="358" t="s">
        <v>578</v>
      </c>
      <c r="D32" s="218"/>
      <c r="E32" s="218"/>
      <c r="F32" s="218"/>
      <c r="G32" s="218"/>
      <c r="H32" s="218"/>
      <c r="I32" s="218"/>
      <c r="J32" s="218"/>
      <c r="K32" s="248"/>
      <c r="L32" s="248"/>
      <c r="M32" s="248"/>
      <c r="N32" s="248"/>
      <c r="O32" s="248"/>
      <c r="P32" s="248"/>
      <c r="Q32" s="248"/>
      <c r="R32" s="248"/>
      <c r="S32" s="248"/>
      <c r="T32" s="248"/>
      <c r="U32" s="248"/>
      <c r="V32" s="248"/>
      <c r="W32" s="248"/>
      <c r="X32" s="248"/>
      <c r="Y32" s="248"/>
      <c r="Z32" s="248"/>
      <c r="AA32" s="248"/>
      <c r="AB32" s="248"/>
      <c r="AC32" s="248"/>
      <c r="AD32" s="248"/>
      <c r="AE32" s="248"/>
      <c r="AF32" s="248"/>
      <c r="AG32" s="248"/>
      <c r="AH32" s="248"/>
      <c r="AI32" s="248"/>
      <c r="AJ32" s="248"/>
      <c r="AK32" s="248"/>
      <c r="AL32" s="248"/>
      <c r="AM32" s="248"/>
      <c r="AN32" s="248"/>
      <c r="AO32" s="248"/>
      <c r="AP32" s="248"/>
      <c r="AQ32" s="248"/>
      <c r="AR32" s="248"/>
      <c r="AS32" s="248"/>
      <c r="AT32" s="248"/>
      <c r="AU32" s="248"/>
      <c r="AV32" s="248"/>
      <c r="AW32" s="248"/>
      <c r="AX32" s="248"/>
      <c r="AY32" s="248"/>
      <c r="AZ32" s="248"/>
      <c r="BA32" s="248"/>
      <c r="BB32" s="248"/>
      <c r="BC32" s="248"/>
      <c r="BD32" s="248"/>
      <c r="BE32" s="248"/>
      <c r="BF32" s="248"/>
      <c r="BG32" s="248"/>
      <c r="BH32" s="248"/>
      <c r="BI32" s="248"/>
      <c r="BJ32" s="248"/>
      <c r="BK32" s="248"/>
      <c r="BL32" s="248"/>
      <c r="BM32" s="248"/>
      <c r="BN32" s="248"/>
      <c r="BO32" s="248"/>
      <c r="BP32" s="248"/>
      <c r="BQ32" s="248"/>
      <c r="BR32" s="248"/>
      <c r="BS32" s="248"/>
      <c r="BT32" s="248"/>
      <c r="BU32" s="248"/>
      <c r="BV32" s="248"/>
      <c r="BW32" s="248"/>
      <c r="BX32" s="248"/>
      <c r="BY32" s="248"/>
      <c r="BZ32" s="248"/>
      <c r="CA32" s="248"/>
      <c r="CB32" s="248"/>
      <c r="CC32" s="248"/>
      <c r="CD32" s="248"/>
      <c r="CE32" s="248"/>
      <c r="CF32" s="248"/>
      <c r="CG32" s="248"/>
      <c r="CH32" s="248"/>
      <c r="CI32" s="248"/>
      <c r="CJ32" s="248"/>
      <c r="CK32" s="248"/>
      <c r="CL32" s="248"/>
      <c r="CM32" s="248"/>
      <c r="CN32" s="248"/>
      <c r="CO32" s="248"/>
      <c r="CP32" s="248"/>
      <c r="CQ32" s="23" t="s">
        <v>77</v>
      </c>
    </row>
    <row r="33" spans="2:95" outlineLevel="1" x14ac:dyDescent="0.2">
      <c r="B33" s="518" t="s">
        <v>580</v>
      </c>
      <c r="D33" s="617">
        <f>Valuation!$D$14</f>
        <v>0.8322059038275248</v>
      </c>
      <c r="E33" s="485"/>
      <c r="F33" s="485"/>
      <c r="G33" s="485"/>
      <c r="H33" s="485"/>
      <c r="I33" s="485"/>
      <c r="J33" s="485"/>
      <c r="K33" s="516"/>
      <c r="L33" s="516"/>
      <c r="M33" s="516"/>
      <c r="N33" s="517"/>
      <c r="O33" s="517"/>
      <c r="P33" s="517"/>
      <c r="Q33" s="517"/>
      <c r="R33" s="517"/>
      <c r="S33" s="517"/>
      <c r="T33" s="517"/>
      <c r="U33" s="227"/>
      <c r="V33" s="227"/>
      <c r="W33" s="227"/>
      <c r="X33" s="227"/>
      <c r="Y33" s="227"/>
      <c r="Z33" s="227"/>
      <c r="AA33" s="227"/>
      <c r="AB33" s="227"/>
      <c r="AC33" s="227"/>
      <c r="AD33" s="227"/>
      <c r="AE33" s="227"/>
      <c r="AF33" s="227"/>
      <c r="AG33" s="227"/>
      <c r="AH33" s="227"/>
      <c r="AI33" s="227"/>
      <c r="AJ33" s="227"/>
      <c r="AK33" s="227"/>
      <c r="AL33" s="227"/>
      <c r="AM33" s="227"/>
      <c r="AN33" s="227"/>
      <c r="AO33" s="227"/>
      <c r="AP33" s="227"/>
      <c r="AQ33" s="227"/>
      <c r="AR33" s="227"/>
      <c r="AS33" s="227"/>
      <c r="AT33" s="227"/>
      <c r="AU33" s="227"/>
      <c r="AV33" s="227"/>
      <c r="AW33" s="227"/>
      <c r="AX33" s="227"/>
      <c r="AY33" s="227"/>
      <c r="AZ33" s="227"/>
      <c r="BA33" s="227"/>
      <c r="BB33" s="227"/>
      <c r="BC33" s="227"/>
      <c r="BD33" s="227"/>
      <c r="BE33" s="227"/>
      <c r="BF33" s="227"/>
      <c r="BG33" s="227"/>
      <c r="BH33" s="227"/>
      <c r="BI33" s="227"/>
      <c r="BJ33" s="227"/>
      <c r="BK33" s="227"/>
      <c r="BL33" s="227"/>
      <c r="BM33" s="227"/>
      <c r="BN33" s="227"/>
      <c r="BO33" s="227"/>
      <c r="BP33" s="227"/>
      <c r="BQ33" s="227"/>
      <c r="BR33" s="227"/>
      <c r="BS33" s="227"/>
      <c r="BT33" s="227"/>
      <c r="BU33" s="227"/>
      <c r="BV33" s="227"/>
      <c r="BW33" s="227"/>
      <c r="BX33" s="227"/>
      <c r="BY33" s="227"/>
      <c r="BZ33" s="227"/>
      <c r="CA33" s="227"/>
      <c r="CB33" s="227"/>
      <c r="CC33" s="227"/>
      <c r="CD33" s="227"/>
      <c r="CE33" s="227"/>
      <c r="CF33" s="227"/>
      <c r="CG33" s="227"/>
      <c r="CH33" s="227"/>
      <c r="CI33" s="227"/>
      <c r="CJ33" s="227"/>
      <c r="CK33" s="227"/>
      <c r="CL33" s="227"/>
      <c r="CM33" s="227"/>
      <c r="CN33" s="227"/>
      <c r="CO33" s="227"/>
      <c r="CP33" s="227"/>
      <c r="CQ33" s="23" t="s">
        <v>77</v>
      </c>
    </row>
    <row r="34" spans="2:95" outlineLevel="1" x14ac:dyDescent="0.2">
      <c r="B34" s="310" t="str">
        <f>B45</f>
        <v>Roma Brisbane</v>
      </c>
      <c r="K34" s="52"/>
      <c r="L34" s="52"/>
      <c r="M34" s="52"/>
      <c r="N34" s="52"/>
      <c r="O34" s="52"/>
      <c r="P34" s="52"/>
      <c r="Q34" s="52"/>
      <c r="R34" s="52"/>
      <c r="S34" s="52"/>
      <c r="T34" s="186"/>
      <c r="U34" s="39"/>
      <c r="V34" s="39"/>
      <c r="W34" s="39"/>
      <c r="X34" s="665"/>
      <c r="Y34" s="665"/>
      <c r="Z34" s="665"/>
      <c r="AA34" s="665"/>
      <c r="AB34" s="665"/>
      <c r="AC34" s="665"/>
      <c r="AD34" s="665"/>
      <c r="AE34" s="665"/>
      <c r="AF34" s="665"/>
      <c r="AG34" s="665"/>
      <c r="AH34" s="665"/>
      <c r="AI34" s="665"/>
      <c r="AJ34" s="665"/>
      <c r="AK34" s="665"/>
      <c r="AL34" s="665"/>
      <c r="AM34" s="665"/>
      <c r="AN34" s="665"/>
      <c r="AO34" s="665"/>
      <c r="AP34" s="665"/>
      <c r="AQ34" s="665"/>
      <c r="AR34" s="666">
        <v>2</v>
      </c>
      <c r="AS34" s="665"/>
      <c r="AT34" s="665"/>
      <c r="AU34" s="665"/>
      <c r="AV34" s="665"/>
      <c r="AW34" s="665"/>
      <c r="AX34" s="665"/>
      <c r="AY34" s="665"/>
      <c r="AZ34" s="665"/>
      <c r="BA34" s="665"/>
      <c r="BB34" s="665"/>
      <c r="BC34" s="665"/>
      <c r="BD34" s="665"/>
      <c r="BE34" s="665"/>
      <c r="BF34" s="665"/>
      <c r="BG34" s="665"/>
      <c r="BH34" s="665"/>
      <c r="BI34" s="665"/>
      <c r="BJ34" s="665"/>
      <c r="BK34" s="665"/>
      <c r="BL34" s="665"/>
      <c r="BM34" s="665"/>
      <c r="BN34" s="665"/>
      <c r="BO34" s="665"/>
      <c r="BP34" s="665"/>
      <c r="BQ34" s="665"/>
      <c r="BR34" s="665"/>
      <c r="BS34" s="665"/>
      <c r="BT34" s="665"/>
      <c r="BU34" s="665"/>
      <c r="BV34" s="665"/>
      <c r="BW34" s="665"/>
      <c r="BX34" s="665"/>
      <c r="BY34" s="665"/>
      <c r="BZ34" s="665"/>
      <c r="CA34" s="665"/>
      <c r="CB34" s="665"/>
      <c r="CC34" s="665"/>
      <c r="CD34" s="665"/>
      <c r="CE34" s="665"/>
      <c r="CF34" s="665"/>
      <c r="CG34" s="665"/>
      <c r="CH34" s="665"/>
      <c r="CI34" s="665"/>
      <c r="CJ34" s="665"/>
      <c r="CK34" s="665"/>
      <c r="CL34" s="665"/>
      <c r="CM34" s="665"/>
      <c r="CN34" s="665"/>
      <c r="CO34" s="665"/>
      <c r="CP34" s="665"/>
      <c r="CQ34" s="23" t="s">
        <v>77</v>
      </c>
    </row>
    <row r="35" spans="2:95" outlineLevel="1" x14ac:dyDescent="0.2">
      <c r="B35" s="12" t="s">
        <v>296</v>
      </c>
      <c r="K35" s="52"/>
      <c r="L35" s="52"/>
      <c r="M35" s="52"/>
      <c r="N35" s="52"/>
      <c r="O35" s="52"/>
      <c r="P35" s="52"/>
      <c r="Q35" s="52"/>
      <c r="R35" s="52"/>
      <c r="S35" s="52"/>
      <c r="T35" s="186"/>
      <c r="U35" s="39"/>
      <c r="V35" s="39"/>
      <c r="W35" s="39"/>
      <c r="X35" s="665"/>
      <c r="Y35" s="665"/>
      <c r="Z35" s="665"/>
      <c r="AA35" s="665"/>
      <c r="AB35" s="665"/>
      <c r="AC35" s="665"/>
      <c r="AD35" s="665"/>
      <c r="AE35" s="665"/>
      <c r="AF35" s="665"/>
      <c r="AG35" s="665"/>
      <c r="AH35" s="665"/>
      <c r="AI35" s="665"/>
      <c r="AJ35" s="665"/>
      <c r="AK35" s="665"/>
      <c r="AL35" s="665"/>
      <c r="AM35" s="665"/>
      <c r="AN35" s="665"/>
      <c r="AO35" s="665"/>
      <c r="AP35" s="665"/>
      <c r="AQ35" s="665"/>
      <c r="AR35" s="665"/>
      <c r="AS35" s="665"/>
      <c r="AT35" s="665"/>
      <c r="AU35" s="665"/>
      <c r="AV35" s="665"/>
      <c r="AW35" s="665"/>
      <c r="AX35" s="665"/>
      <c r="AY35" s="665"/>
      <c r="AZ35" s="665"/>
      <c r="BA35" s="666">
        <v>2</v>
      </c>
      <c r="BB35" s="665"/>
      <c r="BC35" s="665"/>
      <c r="BD35" s="665"/>
      <c r="BE35" s="665"/>
      <c r="BF35" s="665"/>
      <c r="BG35" s="665"/>
      <c r="BH35" s="665"/>
      <c r="BI35" s="665"/>
      <c r="BJ35" s="665"/>
      <c r="BK35" s="665"/>
      <c r="BL35" s="665"/>
      <c r="BM35" s="665"/>
      <c r="BN35" s="665"/>
      <c r="BO35" s="665"/>
      <c r="BP35" s="665"/>
      <c r="BQ35" s="665"/>
      <c r="BR35" s="665"/>
      <c r="BS35" s="665"/>
      <c r="BT35" s="665"/>
      <c r="BU35" s="665"/>
      <c r="BV35" s="666">
        <v>2</v>
      </c>
      <c r="BW35" s="665"/>
      <c r="BX35" s="665"/>
      <c r="BY35" s="665"/>
      <c r="BZ35" s="665"/>
      <c r="CA35" s="665"/>
      <c r="CB35" s="665"/>
      <c r="CC35" s="665"/>
      <c r="CD35" s="665"/>
      <c r="CE35" s="665"/>
      <c r="CF35" s="665"/>
      <c r="CG35" s="665"/>
      <c r="CH35" s="665"/>
      <c r="CI35" s="665"/>
      <c r="CJ35" s="665"/>
      <c r="CK35" s="665"/>
      <c r="CL35" s="665"/>
      <c r="CM35" s="665"/>
      <c r="CN35" s="665"/>
      <c r="CO35" s="665"/>
      <c r="CP35" s="665"/>
      <c r="CQ35" s="23" t="s">
        <v>77</v>
      </c>
    </row>
    <row r="36" spans="2:95" outlineLevel="1" x14ac:dyDescent="0.2">
      <c r="B36" s="12" t="s">
        <v>297</v>
      </c>
      <c r="K36" s="52"/>
      <c r="L36" s="52"/>
      <c r="M36" s="52"/>
      <c r="N36" s="52"/>
      <c r="O36" s="52"/>
      <c r="P36" s="52"/>
      <c r="Q36" s="52"/>
      <c r="R36" s="52"/>
      <c r="S36" s="52"/>
      <c r="T36" s="186"/>
      <c r="U36" s="39"/>
      <c r="V36" s="39"/>
      <c r="W36" s="39"/>
      <c r="X36" s="665"/>
      <c r="Y36" s="665"/>
      <c r="Z36" s="665"/>
      <c r="AA36" s="665"/>
      <c r="AB36" s="665"/>
      <c r="AC36" s="665"/>
      <c r="AD36" s="665"/>
      <c r="AE36" s="665"/>
      <c r="AF36" s="665"/>
      <c r="AG36" s="665"/>
      <c r="AH36" s="665"/>
      <c r="AI36" s="665"/>
      <c r="AJ36" s="665"/>
      <c r="AK36" s="665"/>
      <c r="AL36" s="665"/>
      <c r="AM36" s="665"/>
      <c r="AN36" s="665"/>
      <c r="AO36" s="665"/>
      <c r="AP36" s="665"/>
      <c r="AQ36" s="665"/>
      <c r="AR36" s="665"/>
      <c r="AS36" s="665"/>
      <c r="AT36" s="665"/>
      <c r="AU36" s="665"/>
      <c r="AV36" s="665"/>
      <c r="AW36" s="665"/>
      <c r="AX36" s="665"/>
      <c r="AY36" s="665"/>
      <c r="AZ36" s="665"/>
      <c r="BA36" s="665"/>
      <c r="BB36" s="665"/>
      <c r="BC36" s="665"/>
      <c r="BD36" s="665"/>
      <c r="BE36" s="665"/>
      <c r="BF36" s="665"/>
      <c r="BG36" s="665"/>
      <c r="BH36" s="665"/>
      <c r="BI36" s="665"/>
      <c r="BJ36" s="665"/>
      <c r="BK36" s="665"/>
      <c r="BL36" s="665"/>
      <c r="BM36" s="665"/>
      <c r="BN36" s="665"/>
      <c r="BO36" s="665"/>
      <c r="BP36" s="665"/>
      <c r="BQ36" s="665"/>
      <c r="BR36" s="665"/>
      <c r="BS36" s="665"/>
      <c r="BT36" s="665"/>
      <c r="BU36" s="665"/>
      <c r="BV36" s="665"/>
      <c r="BW36" s="665"/>
      <c r="BX36" s="665"/>
      <c r="BY36" s="665"/>
      <c r="BZ36" s="665"/>
      <c r="CA36" s="665"/>
      <c r="CB36" s="665"/>
      <c r="CC36" s="665"/>
      <c r="CD36" s="665"/>
      <c r="CE36" s="665"/>
      <c r="CF36" s="665"/>
      <c r="CG36" s="665"/>
      <c r="CH36" s="665"/>
      <c r="CI36" s="665"/>
      <c r="CJ36" s="665"/>
      <c r="CK36" s="665"/>
      <c r="CL36" s="665"/>
      <c r="CM36" s="665"/>
      <c r="CN36" s="665"/>
      <c r="CO36" s="665"/>
      <c r="CP36" s="665"/>
      <c r="CQ36" s="23" t="s">
        <v>77</v>
      </c>
    </row>
    <row r="37" spans="2:95" outlineLevel="1" x14ac:dyDescent="0.2">
      <c r="B37" s="12" t="s">
        <v>507</v>
      </c>
      <c r="K37" s="52"/>
      <c r="L37" s="52"/>
      <c r="M37" s="52"/>
      <c r="N37" s="52"/>
      <c r="O37" s="52"/>
      <c r="P37" s="52"/>
      <c r="Q37" s="52"/>
      <c r="R37" s="52"/>
      <c r="S37" s="52"/>
      <c r="T37" s="186"/>
      <c r="U37" s="39"/>
      <c r="V37" s="39"/>
      <c r="W37" s="39"/>
      <c r="X37" s="665"/>
      <c r="Y37" s="665"/>
      <c r="Z37" s="665"/>
      <c r="AA37" s="665"/>
      <c r="AB37" s="665"/>
      <c r="AC37" s="665"/>
      <c r="AD37" s="665"/>
      <c r="AE37" s="665"/>
      <c r="AF37" s="665"/>
      <c r="AG37" s="666">
        <v>1</v>
      </c>
      <c r="AH37" s="665"/>
      <c r="AI37" s="665"/>
      <c r="AJ37" s="665"/>
      <c r="AK37" s="665"/>
      <c r="AL37" s="665"/>
      <c r="AM37" s="665"/>
      <c r="AN37" s="665"/>
      <c r="AO37" s="665"/>
      <c r="AP37" s="665"/>
      <c r="AQ37" s="665"/>
      <c r="AR37" s="665"/>
      <c r="AS37" s="665"/>
      <c r="AT37" s="665"/>
      <c r="AU37" s="665"/>
      <c r="AV37" s="665"/>
      <c r="AW37" s="665"/>
      <c r="AX37" s="665"/>
      <c r="AY37" s="665"/>
      <c r="AZ37" s="665"/>
      <c r="BA37" s="665"/>
      <c r="BB37" s="665"/>
      <c r="BC37" s="665"/>
      <c r="BD37" s="665"/>
      <c r="BE37" s="665"/>
      <c r="BF37" s="665"/>
      <c r="BG37" s="665"/>
      <c r="BH37" s="665"/>
      <c r="BI37" s="665"/>
      <c r="BJ37" s="665"/>
      <c r="BK37" s="665"/>
      <c r="BL37" s="665"/>
      <c r="BM37" s="665"/>
      <c r="BN37" s="665"/>
      <c r="BO37" s="665"/>
      <c r="BP37" s="665"/>
      <c r="BQ37" s="665"/>
      <c r="BR37" s="665"/>
      <c r="BS37" s="665"/>
      <c r="BT37" s="665"/>
      <c r="BU37" s="665"/>
      <c r="BV37" s="665"/>
      <c r="BW37" s="665"/>
      <c r="BX37" s="665"/>
      <c r="BY37" s="665"/>
      <c r="BZ37" s="665"/>
      <c r="CA37" s="665"/>
      <c r="CB37" s="665"/>
      <c r="CC37" s="665"/>
      <c r="CD37" s="665"/>
      <c r="CE37" s="665"/>
      <c r="CF37" s="665"/>
      <c r="CG37" s="665"/>
      <c r="CH37" s="666">
        <v>2</v>
      </c>
      <c r="CI37" s="665"/>
      <c r="CJ37" s="665"/>
      <c r="CK37" s="665"/>
      <c r="CL37" s="665"/>
      <c r="CM37" s="665"/>
      <c r="CN37" s="665"/>
      <c r="CO37" s="665"/>
      <c r="CP37" s="665"/>
      <c r="CQ37" s="23" t="s">
        <v>77</v>
      </c>
    </row>
    <row r="38" spans="2:95" outlineLevel="1" x14ac:dyDescent="0.2">
      <c r="B38" s="12" t="s">
        <v>298</v>
      </c>
      <c r="K38" s="52"/>
      <c r="L38" s="52"/>
      <c r="M38" s="52"/>
      <c r="N38" s="52"/>
      <c r="O38" s="52"/>
      <c r="P38" s="52"/>
      <c r="Q38" s="52"/>
      <c r="R38" s="52"/>
      <c r="S38" s="52"/>
      <c r="T38" s="186"/>
      <c r="U38" s="39"/>
      <c r="V38" s="39"/>
      <c r="W38" s="39"/>
      <c r="X38" s="665"/>
      <c r="Y38" s="665"/>
      <c r="Z38" s="665"/>
      <c r="AA38" s="665"/>
      <c r="AB38" s="665"/>
      <c r="AC38" s="665"/>
      <c r="AD38" s="665">
        <v>0</v>
      </c>
      <c r="AE38" s="665"/>
      <c r="AF38" s="665"/>
      <c r="AG38" s="665"/>
      <c r="AH38" s="665"/>
      <c r="AI38" s="666">
        <v>1</v>
      </c>
      <c r="AJ38" s="665"/>
      <c r="AK38" s="665">
        <v>0</v>
      </c>
      <c r="AL38" s="665"/>
      <c r="AM38" s="665"/>
      <c r="AN38" s="665">
        <v>0</v>
      </c>
      <c r="AO38" s="665"/>
      <c r="AP38" s="665"/>
      <c r="AQ38" s="665"/>
      <c r="AR38" s="665"/>
      <c r="AS38" s="665"/>
      <c r="AT38" s="665"/>
      <c r="AU38" s="665"/>
      <c r="AV38" s="665"/>
      <c r="AW38" s="665"/>
      <c r="AX38" s="665"/>
      <c r="AY38" s="665"/>
      <c r="AZ38" s="665"/>
      <c r="BA38" s="665"/>
      <c r="BB38" s="665"/>
      <c r="BC38" s="665"/>
      <c r="BD38" s="665"/>
      <c r="BE38" s="665"/>
      <c r="BF38" s="665"/>
      <c r="BG38" s="665"/>
      <c r="BH38" s="665"/>
      <c r="BI38" s="665"/>
      <c r="BJ38" s="665"/>
      <c r="BK38" s="665"/>
      <c r="BL38" s="665"/>
      <c r="BM38" s="665"/>
      <c r="BN38" s="665"/>
      <c r="BO38" s="665"/>
      <c r="BP38" s="665"/>
      <c r="BQ38" s="665"/>
      <c r="BR38" s="665"/>
      <c r="BS38" s="665"/>
      <c r="BT38" s="665"/>
      <c r="BU38" s="1001">
        <v>0</v>
      </c>
      <c r="BV38" s="665"/>
      <c r="BW38" s="665"/>
      <c r="BX38" s="665"/>
      <c r="BY38" s="665"/>
      <c r="BZ38" s="665"/>
      <c r="CA38" s="665"/>
      <c r="CB38" s="665"/>
      <c r="CC38" s="665"/>
      <c r="CD38" s="665"/>
      <c r="CE38" s="665"/>
      <c r="CF38" s="665"/>
      <c r="CG38" s="1001">
        <v>0</v>
      </c>
      <c r="CH38" s="666">
        <v>2</v>
      </c>
      <c r="CI38" s="665"/>
      <c r="CJ38" s="665"/>
      <c r="CK38" s="665"/>
      <c r="CL38" s="665"/>
      <c r="CM38" s="665"/>
      <c r="CN38" s="665"/>
      <c r="CO38" s="665"/>
      <c r="CP38" s="665"/>
      <c r="CQ38" s="23" t="s">
        <v>77</v>
      </c>
    </row>
    <row r="39" spans="2:95" outlineLevel="1" x14ac:dyDescent="0.2">
      <c r="B39" s="12" t="s">
        <v>219</v>
      </c>
      <c r="K39" s="52"/>
      <c r="L39" s="52"/>
      <c r="M39" s="52"/>
      <c r="N39" s="52"/>
      <c r="O39" s="52"/>
      <c r="P39" s="52"/>
      <c r="Q39" s="52"/>
      <c r="R39" s="52"/>
      <c r="S39" s="52"/>
      <c r="T39" s="186"/>
      <c r="U39" s="39"/>
      <c r="V39" s="39"/>
      <c r="W39" s="39"/>
      <c r="X39" s="665"/>
      <c r="Y39" s="665"/>
      <c r="Z39" s="665"/>
      <c r="AA39" s="665"/>
      <c r="AB39" s="665"/>
      <c r="AC39" s="665"/>
      <c r="AD39" s="665"/>
      <c r="AE39" s="665"/>
      <c r="AF39" s="665"/>
      <c r="AG39" s="665"/>
      <c r="AH39" s="665"/>
      <c r="AI39" s="665"/>
      <c r="AJ39" s="666">
        <v>1</v>
      </c>
      <c r="AK39" s="665"/>
      <c r="AL39" s="665"/>
      <c r="AM39" s="665"/>
      <c r="AN39" s="665"/>
      <c r="AO39" s="665"/>
      <c r="AP39" s="665"/>
      <c r="AQ39" s="665"/>
      <c r="AR39" s="666">
        <v>2</v>
      </c>
      <c r="AS39" s="665"/>
      <c r="AT39" s="665"/>
      <c r="AU39" s="665"/>
      <c r="AV39" s="665"/>
      <c r="AW39" s="665"/>
      <c r="AX39" s="665"/>
      <c r="AY39" s="665"/>
      <c r="AZ39" s="665"/>
      <c r="BA39" s="665"/>
      <c r="BB39" s="665"/>
      <c r="BC39" s="665"/>
      <c r="BD39" s="665"/>
      <c r="BE39" s="665"/>
      <c r="BF39" s="665"/>
      <c r="BG39" s="665"/>
      <c r="BH39" s="665"/>
      <c r="BI39" s="665"/>
      <c r="BJ39" s="665"/>
      <c r="BK39" s="665"/>
      <c r="BL39" s="665"/>
      <c r="BM39" s="665"/>
      <c r="BN39" s="665"/>
      <c r="BO39" s="665"/>
      <c r="BP39" s="665"/>
      <c r="BQ39" s="665"/>
      <c r="BR39" s="665"/>
      <c r="BS39" s="665"/>
      <c r="BT39" s="665"/>
      <c r="BU39" s="665"/>
      <c r="BV39" s="665"/>
      <c r="BW39" s="665"/>
      <c r="BX39" s="665"/>
      <c r="BY39" s="665"/>
      <c r="BZ39" s="665"/>
      <c r="CA39" s="665"/>
      <c r="CB39" s="665"/>
      <c r="CC39" s="665"/>
      <c r="CD39" s="665"/>
      <c r="CE39" s="665"/>
      <c r="CF39" s="665"/>
      <c r="CG39" s="665"/>
      <c r="CH39" s="665"/>
      <c r="CI39" s="665"/>
      <c r="CJ39" s="665"/>
      <c r="CK39" s="665"/>
      <c r="CL39" s="665"/>
      <c r="CM39" s="665"/>
      <c r="CN39" s="665"/>
      <c r="CO39" s="665"/>
      <c r="CP39" s="665"/>
      <c r="CQ39" s="23" t="s">
        <v>77</v>
      </c>
    </row>
    <row r="40" spans="2:95" outlineLevel="1" x14ac:dyDescent="0.2">
      <c r="B40" s="12" t="s">
        <v>509</v>
      </c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187"/>
      <c r="V40" s="187"/>
      <c r="W40" s="187"/>
      <c r="X40" s="665"/>
      <c r="Y40" s="667"/>
      <c r="Z40" s="667"/>
      <c r="AA40" s="667"/>
      <c r="AB40" s="667"/>
      <c r="AC40" s="667"/>
      <c r="AD40" s="667"/>
      <c r="AE40" s="667"/>
      <c r="AF40" s="667"/>
      <c r="AG40" s="667"/>
      <c r="AH40" s="667"/>
      <c r="AI40" s="667"/>
      <c r="AJ40" s="667"/>
      <c r="AK40" s="667"/>
      <c r="AL40" s="667"/>
      <c r="AM40" s="667"/>
      <c r="AN40" s="666"/>
      <c r="AO40" s="665">
        <v>0</v>
      </c>
      <c r="AP40" s="669">
        <v>1</v>
      </c>
      <c r="AQ40" s="667"/>
      <c r="AR40" s="667"/>
      <c r="AS40" s="667"/>
      <c r="AT40" s="667"/>
      <c r="AU40" s="667"/>
      <c r="AV40" s="667"/>
      <c r="AW40" s="667"/>
      <c r="AX40" s="667"/>
      <c r="AY40" s="667"/>
      <c r="AZ40" s="667"/>
      <c r="BA40" s="667"/>
      <c r="BB40" s="667"/>
      <c r="BC40" s="667"/>
      <c r="BD40" s="667"/>
      <c r="BE40" s="667"/>
      <c r="BF40" s="667"/>
      <c r="BG40" s="667"/>
      <c r="BH40" s="667"/>
      <c r="BI40" s="667"/>
      <c r="BJ40" s="667"/>
      <c r="BK40" s="667"/>
      <c r="BL40" s="667"/>
      <c r="BM40" s="667"/>
      <c r="BN40" s="667"/>
      <c r="BO40" s="667"/>
      <c r="BP40" s="667"/>
      <c r="BQ40" s="667"/>
      <c r="BR40" s="667"/>
      <c r="BS40" s="667"/>
      <c r="BT40" s="667"/>
      <c r="BU40" s="667"/>
      <c r="BV40" s="667"/>
      <c r="BW40" s="667"/>
      <c r="BX40" s="667"/>
      <c r="BY40" s="667"/>
      <c r="BZ40" s="667"/>
      <c r="CA40" s="667"/>
      <c r="CB40" s="667"/>
      <c r="CC40" s="667"/>
      <c r="CD40" s="667"/>
      <c r="CE40" s="667"/>
      <c r="CF40" s="667"/>
      <c r="CG40" s="667"/>
      <c r="CH40" s="667"/>
      <c r="CI40" s="667"/>
      <c r="CJ40" s="667"/>
      <c r="CK40" s="667"/>
      <c r="CL40" s="667"/>
      <c r="CM40" s="667"/>
      <c r="CN40" s="667"/>
      <c r="CO40" s="667"/>
      <c r="CP40" s="667"/>
      <c r="CQ40" s="23" t="s">
        <v>77</v>
      </c>
    </row>
    <row r="41" spans="2:95" outlineLevel="1" x14ac:dyDescent="0.2">
      <c r="B41" s="12" t="s">
        <v>559</v>
      </c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667"/>
      <c r="Y41" s="667"/>
      <c r="Z41" s="667"/>
      <c r="AA41" s="667"/>
      <c r="AB41" s="667"/>
      <c r="AC41" s="667"/>
      <c r="AD41" s="667"/>
      <c r="AE41" s="667"/>
      <c r="AF41" s="667"/>
      <c r="AG41" s="667"/>
      <c r="AH41" s="667"/>
      <c r="AI41" s="667"/>
      <c r="AJ41" s="667"/>
      <c r="AK41" s="667"/>
      <c r="AL41" s="667"/>
      <c r="AM41" s="667"/>
      <c r="AN41" s="667"/>
      <c r="AO41" s="667"/>
      <c r="AP41" s="667"/>
      <c r="AQ41" s="667"/>
      <c r="AR41" s="666">
        <v>1</v>
      </c>
      <c r="AS41" s="667"/>
      <c r="AT41" s="667"/>
      <c r="AU41" s="667"/>
      <c r="AV41" s="667"/>
      <c r="AW41" s="667"/>
      <c r="AX41" s="667"/>
      <c r="AY41" s="667"/>
      <c r="AZ41" s="667"/>
      <c r="BA41" s="667"/>
      <c r="BB41" s="667"/>
      <c r="BC41" s="667"/>
      <c r="BD41" s="667"/>
      <c r="BE41" s="667"/>
      <c r="BF41" s="667"/>
      <c r="BG41" s="667"/>
      <c r="BH41" s="667"/>
      <c r="BI41" s="667"/>
      <c r="BJ41" s="667"/>
      <c r="BK41" s="667"/>
      <c r="BL41" s="667"/>
      <c r="BM41" s="667"/>
      <c r="BN41" s="667"/>
      <c r="BO41" s="667"/>
      <c r="BP41" s="667"/>
      <c r="BQ41" s="667"/>
      <c r="BR41" s="667"/>
      <c r="BS41" s="667"/>
      <c r="BT41" s="667"/>
      <c r="BU41" s="667"/>
      <c r="BV41" s="667"/>
      <c r="BW41" s="667"/>
      <c r="BX41" s="667"/>
      <c r="BY41" s="667"/>
      <c r="BZ41" s="667"/>
      <c r="CA41" s="667"/>
      <c r="CB41" s="667"/>
      <c r="CC41" s="667"/>
      <c r="CD41" s="667"/>
      <c r="CE41" s="667"/>
      <c r="CF41" s="667"/>
      <c r="CG41" s="667"/>
      <c r="CH41" s="667"/>
      <c r="CI41" s="667"/>
      <c r="CJ41" s="667"/>
      <c r="CK41" s="667"/>
      <c r="CL41" s="667"/>
      <c r="CM41" s="667"/>
      <c r="CN41" s="667"/>
      <c r="CO41" s="667"/>
      <c r="CP41" s="666">
        <v>2</v>
      </c>
      <c r="CQ41" s="23" t="s">
        <v>77</v>
      </c>
    </row>
    <row r="42" spans="2:95" outlineLevel="1" x14ac:dyDescent="0.2">
      <c r="B42" s="12" t="s">
        <v>567</v>
      </c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667"/>
      <c r="Y42" s="667"/>
      <c r="Z42" s="667"/>
      <c r="AA42" s="667"/>
      <c r="AB42" s="667"/>
      <c r="AC42" s="667"/>
      <c r="AD42" s="667"/>
      <c r="AE42" s="667"/>
      <c r="AF42" s="667"/>
      <c r="AG42" s="667"/>
      <c r="AH42" s="667"/>
      <c r="AI42" s="667"/>
      <c r="AJ42" s="667"/>
      <c r="AK42" s="666">
        <v>1</v>
      </c>
      <c r="AL42" s="667"/>
      <c r="AM42" s="667"/>
      <c r="AN42" s="667"/>
      <c r="AO42" s="667"/>
      <c r="AP42" s="667"/>
      <c r="AQ42" s="667"/>
      <c r="AR42" s="667"/>
      <c r="AS42" s="667"/>
      <c r="AT42" s="667"/>
      <c r="AU42" s="667"/>
      <c r="AV42" s="667"/>
      <c r="AW42" s="666">
        <v>2</v>
      </c>
      <c r="AX42" s="667"/>
      <c r="AY42" s="667"/>
      <c r="AZ42" s="667"/>
      <c r="BA42" s="667"/>
      <c r="BB42" s="667"/>
      <c r="BC42" s="667"/>
      <c r="BD42" s="667"/>
      <c r="BE42" s="667"/>
      <c r="BF42" s="667"/>
      <c r="BG42" s="667"/>
      <c r="BH42" s="667"/>
      <c r="BI42" s="667"/>
      <c r="BJ42" s="667"/>
      <c r="BK42" s="667"/>
      <c r="BL42" s="667"/>
      <c r="BM42" s="667"/>
      <c r="BN42" s="667"/>
      <c r="BO42" s="667"/>
      <c r="BP42" s="667"/>
      <c r="BQ42" s="667"/>
      <c r="BR42" s="667"/>
      <c r="BS42" s="667"/>
      <c r="BT42" s="667"/>
      <c r="BU42" s="667"/>
      <c r="BV42" s="667"/>
      <c r="BW42" s="667"/>
      <c r="BX42" s="667"/>
      <c r="BY42" s="667"/>
      <c r="BZ42" s="667"/>
      <c r="CA42" s="667"/>
      <c r="CB42" s="667"/>
      <c r="CC42" s="667"/>
      <c r="CD42" s="667"/>
      <c r="CE42" s="667"/>
      <c r="CF42" s="667"/>
      <c r="CG42" s="667"/>
      <c r="CH42" s="667"/>
      <c r="CI42" s="667"/>
      <c r="CJ42" s="667"/>
      <c r="CK42" s="667"/>
      <c r="CL42" s="667"/>
      <c r="CM42" s="667"/>
      <c r="CN42" s="667"/>
      <c r="CO42" s="667"/>
      <c r="CP42" s="667"/>
      <c r="CQ42" s="23"/>
    </row>
    <row r="43" spans="2:95" ht="5.0999999999999996" customHeight="1" outlineLevel="1" x14ac:dyDescent="0.2">
      <c r="B43" s="13"/>
      <c r="T43" s="447"/>
      <c r="U43" s="40"/>
      <c r="V43" s="40"/>
      <c r="W43" s="40"/>
      <c r="X43" s="40"/>
      <c r="CQ43" s="23" t="s">
        <v>77</v>
      </c>
    </row>
    <row r="44" spans="2:95" outlineLevel="1" x14ac:dyDescent="0.2">
      <c r="B44" s="358" t="s">
        <v>315</v>
      </c>
      <c r="D44" s="218"/>
      <c r="E44" s="218"/>
      <c r="F44" s="218"/>
      <c r="G44" s="218"/>
      <c r="H44" s="218"/>
      <c r="I44" s="218"/>
      <c r="J44" s="218"/>
      <c r="K44" s="66"/>
      <c r="L44" s="66"/>
      <c r="M44" s="66"/>
      <c r="N44" s="248"/>
      <c r="O44" s="248"/>
      <c r="P44" s="248"/>
      <c r="Q44" s="248"/>
      <c r="R44" s="248"/>
      <c r="S44" s="248"/>
      <c r="T44" s="248"/>
      <c r="U44" s="248"/>
      <c r="V44" s="248"/>
      <c r="W44" s="248"/>
      <c r="X44" s="248"/>
      <c r="Y44" s="248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66"/>
      <c r="BQ44" s="66"/>
      <c r="BR44" s="66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  <c r="CH44" s="66"/>
      <c r="CI44" s="66"/>
      <c r="CJ44" s="66"/>
      <c r="CK44" s="66"/>
      <c r="CL44" s="66"/>
      <c r="CM44" s="66"/>
      <c r="CN44" s="66"/>
      <c r="CO44" s="66"/>
      <c r="CP44" s="66"/>
      <c r="CQ44" s="23" t="s">
        <v>77</v>
      </c>
    </row>
    <row r="45" spans="2:95" outlineLevel="1" x14ac:dyDescent="0.2">
      <c r="B45" s="310" t="s">
        <v>295</v>
      </c>
      <c r="D45" s="309">
        <v>0.82123316534976387</v>
      </c>
      <c r="E45" s="511" t="s">
        <v>585</v>
      </c>
      <c r="K45" s="52" t="s">
        <v>78</v>
      </c>
      <c r="L45" s="52" t="s">
        <v>78</v>
      </c>
      <c r="M45" s="52" t="s">
        <v>78</v>
      </c>
      <c r="N45" s="362">
        <f t="shared" ref="N45:S49" si="28">+N71/N$29</f>
        <v>42.5881149446666</v>
      </c>
      <c r="O45" s="362">
        <f t="shared" si="28"/>
        <v>42.914311562541769</v>
      </c>
      <c r="P45" s="362">
        <f t="shared" si="28"/>
        <v>43.179396333081648</v>
      </c>
      <c r="Q45" s="362">
        <f t="shared" si="28"/>
        <v>42.070502894608353</v>
      </c>
      <c r="R45" s="362">
        <f t="shared" si="28"/>
        <v>44.429624462710201</v>
      </c>
      <c r="S45" s="362">
        <f t="shared" si="28"/>
        <v>55.130413806580847</v>
      </c>
      <c r="T45" s="250">
        <f>+T151+(S45-S151)*(1+T9*T30)</f>
        <v>59.930413806580844</v>
      </c>
      <c r="U45" s="250">
        <f>U151</f>
        <v>53.4</v>
      </c>
      <c r="V45" s="250">
        <f>V71/V29</f>
        <v>67.002678342933052</v>
      </c>
      <c r="W45" s="39">
        <f>W71/W29-0.2</f>
        <v>72.299492741250489</v>
      </c>
      <c r="X45" s="307">
        <f t="shared" ref="X45:AQ45" si="29">+X151+(W45-W151)*(1+X9*X30)</f>
        <v>65.621980059781748</v>
      </c>
      <c r="Y45" s="272">
        <f t="shared" si="29"/>
        <v>66.155029561276294</v>
      </c>
      <c r="Z45" s="272">
        <f t="shared" si="29"/>
        <v>66.798905300308206</v>
      </c>
      <c r="AA45" s="272">
        <f t="shared" si="29"/>
        <v>65.231129301190521</v>
      </c>
      <c r="AB45" s="272">
        <f t="shared" si="29"/>
        <v>62.693618622093794</v>
      </c>
      <c r="AC45" s="272">
        <f t="shared" si="29"/>
        <v>63.749241905341606</v>
      </c>
      <c r="AD45" s="272">
        <f t="shared" si="29"/>
        <v>65.667329238580635</v>
      </c>
      <c r="AE45" s="272">
        <f t="shared" si="29"/>
        <v>67.637807944432083</v>
      </c>
      <c r="AF45" s="272">
        <f t="shared" si="29"/>
        <v>69.662168207746376</v>
      </c>
      <c r="AG45" s="272">
        <f t="shared" si="29"/>
        <v>79.85291199481118</v>
      </c>
      <c r="AH45" s="272">
        <f t="shared" si="29"/>
        <v>81.650553336475497</v>
      </c>
      <c r="AI45" s="272">
        <f t="shared" si="29"/>
        <v>83.488618618076828</v>
      </c>
      <c r="AJ45" s="272">
        <f t="shared" si="29"/>
        <v>85.367646876335087</v>
      </c>
      <c r="AK45" s="272">
        <f t="shared" si="29"/>
        <v>87.290190103380283</v>
      </c>
      <c r="AL45" s="272">
        <f t="shared" si="29"/>
        <v>89.25581355808572</v>
      </c>
      <c r="AM45" s="272">
        <f t="shared" si="29"/>
        <v>91.266096084882093</v>
      </c>
      <c r="AN45" s="272">
        <f t="shared" si="29"/>
        <v>93.320630440232136</v>
      </c>
      <c r="AO45" s="272">
        <f t="shared" si="29"/>
        <v>95.423023626950126</v>
      </c>
      <c r="AP45" s="272">
        <f t="shared" si="29"/>
        <v>97.57189723655442</v>
      </c>
      <c r="AQ45" s="272">
        <f t="shared" si="29"/>
        <v>99.769887799846302</v>
      </c>
      <c r="AR45" s="618">
        <f>IF(AR34=0,AQ45*(1+AR$9*AR$30),IF(AR34=1,-AR58/(1-PERCENTILE($D45:$E45,Valuation!$D$14)),IF(AR34=2,)))</f>
        <v>0</v>
      </c>
      <c r="AS45" s="618">
        <f>IF(AS34=0,AR45*(1+AS$9*AS$30),IF(AS34=1,-AS58/(1-PERCENTILE($D45:$E45,Valuation!$D$14)),IF(AS34=2,)))</f>
        <v>0</v>
      </c>
      <c r="AT45" s="618">
        <f>IF(AT34=0,AS45*(1+AT$9*AT$30),IF(AT34=1,-AT58/(1-PERCENTILE($D45:$E45,Valuation!$D$14)),IF(AT34=2,)))</f>
        <v>0</v>
      </c>
      <c r="AU45" s="618">
        <f>IF(AU34=0,AT45*(1+AU$9*AU$30),IF(AU34=1,-AU58/(1-PERCENTILE($D45:$E45,Valuation!$D$14)),IF(AU34=2,)))</f>
        <v>0</v>
      </c>
      <c r="AV45" s="618">
        <f>IF(AV34=0,AU45*(1+AV$9*AV$30),IF(AV34=1,-AV58/(1-PERCENTILE($D45:$E45,Valuation!$D$14)),IF(AV34=2,)))</f>
        <v>0</v>
      </c>
      <c r="AW45" s="618">
        <f>IF(AW34=0,AV45*(1+AW$9*AW$30),IF(AW34=1,-AW58/(1-PERCENTILE($D45:$E45,Valuation!$D$14)),IF(AW34=2,)))</f>
        <v>0</v>
      </c>
      <c r="AX45" s="618">
        <f>IF(AX34=0,AW45*(1+AX$9*AX$30),IF(AX34=1,-AX58/(1-PERCENTILE($D45:$E45,Valuation!$D$14)),IF(AX34=2,)))</f>
        <v>0</v>
      </c>
      <c r="AY45" s="618">
        <f>IF(AY34=0,AX45*(1+AY$9*AY$30),IF(AY34=1,-AY58/(1-PERCENTILE($D45:$E45,Valuation!$D$14)),IF(AY34=2,)))</f>
        <v>0</v>
      </c>
      <c r="AZ45" s="618">
        <f>IF(AZ34=0,AY45*(1+AZ$9*AZ$30),IF(AZ34=1,-AZ58/(1-PERCENTILE($D45:$E45,Valuation!$D$14)),IF(AZ34=2,)))</f>
        <v>0</v>
      </c>
      <c r="BA45" s="618">
        <f>IF(BA34=0,AZ45*(1+BA$9*BA$30),IF(BA34=1,-BA58/(1-PERCENTILE($D45:$E45,Valuation!$D$14)),IF(BA34=2,)))</f>
        <v>0</v>
      </c>
      <c r="BB45" s="618">
        <f>IF(BB34=0,BA45*(1+BB$9*BB$30),IF(BB34=1,-BB58/(1-PERCENTILE($D45:$E45,Valuation!$D$14)),IF(BB34=2,)))</f>
        <v>0</v>
      </c>
      <c r="BC45" s="618">
        <f>IF(BC34=0,BB45*(1+BC$9*BC$30),IF(BC34=1,-BC58/(1-PERCENTILE($D45:$E45,Valuation!$D$14)),IF(BC34=2,)))</f>
        <v>0</v>
      </c>
      <c r="BD45" s="618">
        <f>IF(BD34=0,BC45*(1+BD$9*BD$30),IF(BD34=1,-BD58/(1-PERCENTILE($D45:$E45,Valuation!$D$14)),IF(BD34=2,)))</f>
        <v>0</v>
      </c>
      <c r="BE45" s="618">
        <f>IF(BE34=0,BD45*(1+BE$9*BE$30),IF(BE34=1,-BE58/(1-PERCENTILE($D45:$E45,Valuation!$D$14)),IF(BE34=2,)))</f>
        <v>0</v>
      </c>
      <c r="BF45" s="618">
        <f>IF(BF34=0,BE45*(1+BF$9*BF$30),IF(BF34=1,-BF58/(1-PERCENTILE($D45:$E45,Valuation!$D$14)),IF(BF34=2,)))</f>
        <v>0</v>
      </c>
      <c r="BG45" s="618">
        <f>IF(BG34=0,BF45*(1+BG$9*BG$30),IF(BG34=1,-BG58/(1-PERCENTILE($D45:$E45,Valuation!$D$14)),IF(BG34=2,)))</f>
        <v>0</v>
      </c>
      <c r="BH45" s="618">
        <f>IF(BH34=0,BG45*(1+BH$9*BH$30),IF(BH34=1,-BH58/(1-PERCENTILE($D45:$E45,Valuation!$D$14)),IF(BH34=2,)))</f>
        <v>0</v>
      </c>
      <c r="BI45" s="618">
        <f>IF(BI34=0,BH45*(1+BI$9*BI$30),IF(BI34=1,-BI58/(1-PERCENTILE($D45:$E45,Valuation!$D$14)),IF(BI34=2,)))</f>
        <v>0</v>
      </c>
      <c r="BJ45" s="618">
        <f>IF(BJ34=0,BI45*(1+BJ$9*BJ$30),IF(BJ34=1,-BJ58/(1-PERCENTILE($D45:$E45,Valuation!$D$14)),IF(BJ34=2,)))</f>
        <v>0</v>
      </c>
      <c r="BK45" s="618">
        <f>IF(BK34=0,BJ45*(1+BK$9*BK$30),IF(BK34=1,-BK58/(1-PERCENTILE($D45:$E45,Valuation!$D$14)),IF(BK34=2,)))</f>
        <v>0</v>
      </c>
      <c r="BL45" s="618">
        <f>IF(BL34=0,BK45*(1+BL$9*BL$30),IF(BL34=1,-BL58/(1-PERCENTILE($D45:$E45,Valuation!$D$14)),IF(BL34=2,)))</f>
        <v>0</v>
      </c>
      <c r="BM45" s="618">
        <f>IF(BM34=0,BL45*(1+BM$9*BM$30),IF(BM34=1,-BM58/(1-PERCENTILE($D45:$E45,Valuation!$D$14)),IF(BM34=2,)))</f>
        <v>0</v>
      </c>
      <c r="BN45" s="618">
        <f>IF(BN34=0,BM45*(1+BN$9*BN$30),IF(BN34=1,-BN58/(1-PERCENTILE($D45:$E45,Valuation!$D$14)),IF(BN34=2,)))</f>
        <v>0</v>
      </c>
      <c r="BO45" s="618">
        <f>IF(BO34=0,BN45*(1+BO$9*BO$30),IF(BO34=1,-BO58/(1-PERCENTILE($D45:$E45,Valuation!$D$14)),IF(BO34=2,)))</f>
        <v>0</v>
      </c>
      <c r="BP45" s="618">
        <f>IF(BP34=0,BO45*(1+BP$9*BP$30),IF(BP34=1,-BP58/(1-PERCENTILE($D45:$E45,Valuation!$D$14)),IF(BP34=2,)))</f>
        <v>0</v>
      </c>
      <c r="BQ45" s="618">
        <f>IF(BQ34=0,BP45*(1+BQ$9*BQ$30),IF(BQ34=1,-BQ58/(1-PERCENTILE($D45:$E45,Valuation!$D$14)),IF(BQ34=2,)))</f>
        <v>0</v>
      </c>
      <c r="BR45" s="618">
        <f>IF(BR34=0,BQ45*(1+BR$9*BR$30),IF(BR34=1,-BR58/(1-PERCENTILE($D45:$E45,Valuation!$D$14)),IF(BR34=2,)))</f>
        <v>0</v>
      </c>
      <c r="BS45" s="618">
        <f>IF(BS34=0,BR45*(1+BS$9*BS$30),IF(BS34=1,-BS58/(1-PERCENTILE($D45:$E45,Valuation!$D$14)),IF(BS34=2,)))</f>
        <v>0</v>
      </c>
      <c r="BT45" s="618">
        <f>IF(BT34=0,BS45*(1+BT$9*BT$30),IF(BT34=1,-BT58/(1-PERCENTILE($D45:$E45,Valuation!$D$14)),IF(BT34=2,)))</f>
        <v>0</v>
      </c>
      <c r="BU45" s="618">
        <f>IF(BU34=0,BT45*(1+BU$9*BU$30),IF(BU34=1,-BU58/(1-PERCENTILE($D45:$E45,Valuation!$D$14)),IF(BU34=2,)))</f>
        <v>0</v>
      </c>
      <c r="BV45" s="618">
        <f>IF(BV34=0,BU45*(1+BV$9*BV$30),IF(BV34=1,-BV58/(1-PERCENTILE($D45:$E45,Valuation!$D$14)),IF(BV34=2,)))</f>
        <v>0</v>
      </c>
      <c r="BW45" s="618">
        <f>IF(BW34=0,BV45*(1+BW$9*BW$30),IF(BW34=1,-BW58/(1-PERCENTILE($D45:$E45,Valuation!$D$14)),IF(BW34=2,)))</f>
        <v>0</v>
      </c>
      <c r="BX45" s="618">
        <f>IF(BX34=0,BW45*(1+BX$9*BX$30),IF(BX34=1,-BX58/(1-PERCENTILE($D45:$E45,Valuation!$D$14)),IF(BX34=2,)))</f>
        <v>0</v>
      </c>
      <c r="BY45" s="618">
        <f>IF(BY34=0,BX45*(1+BY$9*BY$30),IF(BY34=1,-BY58/(1-PERCENTILE($D45:$E45,Valuation!$D$14)),IF(BY34=2,)))</f>
        <v>0</v>
      </c>
      <c r="BZ45" s="618">
        <f>IF(BZ34=0,BY45*(1+BZ$9*BZ$30),IF(BZ34=1,-BZ58/(1-PERCENTILE($D45:$E45,Valuation!$D$14)),IF(BZ34=2,)))</f>
        <v>0</v>
      </c>
      <c r="CA45" s="618">
        <f>IF(CA34=0,BZ45*(1+CA$9*CA$30),IF(CA34=1,-CA58/(1-PERCENTILE($D45:$E45,Valuation!$D$14)),IF(CA34=2,)))</f>
        <v>0</v>
      </c>
      <c r="CB45" s="618">
        <f>IF(CB34=0,CA45*(1+CB$9*CB$30),IF(CB34=1,-CB58/(1-PERCENTILE($D45:$E45,Valuation!$D$14)),IF(CB34=2,)))</f>
        <v>0</v>
      </c>
      <c r="CC45" s="618">
        <f>IF(CC34=0,CB45*(1+CC$9*CC$30),IF(CC34=1,-CC58/(1-PERCENTILE($D45:$E45,Valuation!$D$14)),IF(CC34=2,)))</f>
        <v>0</v>
      </c>
      <c r="CD45" s="618">
        <f>IF(CD34=0,CC45*(1+CD$9*CD$30),IF(CD34=1,-CD58/(1-PERCENTILE($D45:$E45,Valuation!$D$14)),IF(CD34=2,)))</f>
        <v>0</v>
      </c>
      <c r="CE45" s="618">
        <f>IF(CE34=0,CD45*(1+CE$9*CE$30),IF(CE34=1,-CE58/(1-PERCENTILE($D45:$E45,Valuation!$D$14)),IF(CE34=2,)))</f>
        <v>0</v>
      </c>
      <c r="CF45" s="618">
        <f>IF(CF34=0,CE45*(1+CF$9*CF$30),IF(CF34=1,-CF58/(1-PERCENTILE($D45:$E45,Valuation!$D$14)),IF(CF34=2,)))</f>
        <v>0</v>
      </c>
      <c r="CG45" s="618">
        <f>IF(CG34=0,CF45*(1+CG$9*CG$30),IF(CG34=1,-CG58/(1-PERCENTILE($D45:$E45,Valuation!$D$14)),IF(CG34=2,)))</f>
        <v>0</v>
      </c>
      <c r="CH45" s="618">
        <f>IF(CH34=0,CG45*(1+CH$9*CH$30),IF(CH34=1,-CH58/(1-PERCENTILE($D45:$E45,Valuation!$D$14)),IF(CH34=2,)))</f>
        <v>0</v>
      </c>
      <c r="CI45" s="618">
        <f>IF(CI34=0,CH45*(1+CI$9*CI$30),IF(CI34=1,-CI58/(1-PERCENTILE($D45:$E45,Valuation!$D$14)),IF(CI34=2,)))</f>
        <v>0</v>
      </c>
      <c r="CJ45" s="618">
        <f>IF(CJ34=0,CI45*(1+CJ$9*CJ$30),IF(CJ34=1,-CJ58/(1-PERCENTILE($D45:$E45,Valuation!$D$14)),IF(CJ34=2,)))</f>
        <v>0</v>
      </c>
      <c r="CK45" s="618">
        <f>IF(CK34=0,CJ45*(1+CK$9*CK$30),IF(CK34=1,-CK58/(1-PERCENTILE($D45:$E45,Valuation!$D$14)),IF(CK34=2,)))</f>
        <v>0</v>
      </c>
      <c r="CL45" s="618">
        <f>IF(CL34=0,CK45*(1+CL$9*CL$30),IF(CL34=1,-CL58/(1-PERCENTILE($D45:$E45,Valuation!$D$14)),IF(CL34=2,)))</f>
        <v>0</v>
      </c>
      <c r="CM45" s="618">
        <f>IF(CM34=0,CL45*(1+CM$9*CM$30),IF(CM34=1,-CM58/(1-PERCENTILE($D45:$E45,Valuation!$D$14)),IF(CM34=2,)))</f>
        <v>0</v>
      </c>
      <c r="CN45" s="618">
        <f>IF(CN34=0,CM45*(1+CN$9*CN$30),IF(CN34=1,-CN58/(1-PERCENTILE($D45:$E45,Valuation!$D$14)),IF(CN34=2,)))</f>
        <v>0</v>
      </c>
      <c r="CO45" s="618">
        <f>IF(CO34=0,CN45*(1+CO$9*CO$30),IF(CO34=1,-CO58/(1-PERCENTILE($D45:$E45,Valuation!$D$14)),IF(CO34=2,)))</f>
        <v>0</v>
      </c>
      <c r="CP45" s="618">
        <f>IF(CP34=0,CO45*(1+CP$9*CP$30),IF(CP34=1,-CP58/(1-PERCENTILE($D45:$E45,Valuation!$D$14)),IF(CP34=2,)))</f>
        <v>0</v>
      </c>
      <c r="CQ45" s="23" t="s">
        <v>77</v>
      </c>
    </row>
    <row r="46" spans="2:95" outlineLevel="1" x14ac:dyDescent="0.2">
      <c r="B46" s="12" t="s">
        <v>296</v>
      </c>
      <c r="D46" s="309">
        <v>0.75</v>
      </c>
      <c r="E46" s="511" t="s">
        <v>574</v>
      </c>
      <c r="K46" s="52" t="s">
        <v>78</v>
      </c>
      <c r="L46" s="52" t="s">
        <v>78</v>
      </c>
      <c r="M46" s="52" t="s">
        <v>78</v>
      </c>
      <c r="N46" s="362">
        <f t="shared" si="28"/>
        <v>49.686134102111033</v>
      </c>
      <c r="O46" s="362">
        <f t="shared" si="28"/>
        <v>54.012840414923261</v>
      </c>
      <c r="P46" s="362">
        <f t="shared" si="28"/>
        <v>57.08462566068421</v>
      </c>
      <c r="Q46" s="362">
        <f t="shared" si="28"/>
        <v>64.608272302434258</v>
      </c>
      <c r="R46" s="362">
        <f t="shared" si="28"/>
        <v>59.944731417942336</v>
      </c>
      <c r="S46" s="362">
        <f t="shared" si="28"/>
        <v>55.794635659672181</v>
      </c>
      <c r="T46" s="186">
        <f>+S46*(1+T$9*T$30)+3.3</f>
        <v>59.094635659672178</v>
      </c>
      <c r="U46" s="250">
        <f>+T46*(1+U$9*U$30)</f>
        <v>59.945598413171453</v>
      </c>
      <c r="V46" s="39">
        <v>51.773684210526298</v>
      </c>
      <c r="W46" s="250">
        <f>+V46*(1+W$9*W$30)</f>
        <v>52.511459210526304</v>
      </c>
      <c r="X46" s="51">
        <f>IF(X35=0,W46*(1+X$9*X$30),IF(X35=1,-X59/(1-PERCENTILE($D46:$E46,$D$33)),IF(X35=2,)))</f>
        <v>53.824245690789461</v>
      </c>
      <c r="Y46" s="51">
        <f t="shared" ref="Y46:CJ46" si="30">IF(Y35=0,X46*(1+Y$9*Y$30),IF(Y35=1,-Y59/(1-PERCENTILE($D46:$E46,$D$33)),IF(Y35=2,)))</f>
        <v>55.169851833059191</v>
      </c>
      <c r="Z46" s="51">
        <f t="shared" si="30"/>
        <v>56.549098128885667</v>
      </c>
      <c r="AA46" s="51">
        <f t="shared" si="30"/>
        <v>57.892139209446697</v>
      </c>
      <c r="AB46" s="51">
        <f t="shared" si="30"/>
        <v>59.267077515671055</v>
      </c>
      <c r="AC46" s="51">
        <f t="shared" si="30"/>
        <v>60.674670606668236</v>
      </c>
      <c r="AD46" s="51">
        <f t="shared" si="30"/>
        <v>62.115694033576602</v>
      </c>
      <c r="AE46" s="51">
        <f t="shared" si="30"/>
        <v>63.590941766874046</v>
      </c>
      <c r="AF46" s="51">
        <f t="shared" si="30"/>
        <v>65.1012266338373</v>
      </c>
      <c r="AG46" s="51">
        <f t="shared" si="30"/>
        <v>66.647380766390938</v>
      </c>
      <c r="AH46" s="51">
        <f t="shared" si="30"/>
        <v>68.230256059592719</v>
      </c>
      <c r="AI46" s="51">
        <f t="shared" si="30"/>
        <v>69.850724641008043</v>
      </c>
      <c r="AJ46" s="51">
        <f t="shared" si="30"/>
        <v>71.509679351231981</v>
      </c>
      <c r="AK46" s="51">
        <f t="shared" si="30"/>
        <v>73.208034235823732</v>
      </c>
      <c r="AL46" s="51">
        <f t="shared" si="30"/>
        <v>74.946725048924534</v>
      </c>
      <c r="AM46" s="51">
        <f t="shared" si="30"/>
        <v>76.726709768836486</v>
      </c>
      <c r="AN46" s="51">
        <f t="shared" si="30"/>
        <v>78.548969125846341</v>
      </c>
      <c r="AO46" s="51">
        <f t="shared" si="30"/>
        <v>80.41450714258518</v>
      </c>
      <c r="AP46" s="51">
        <f t="shared" si="30"/>
        <v>82.324351687221579</v>
      </c>
      <c r="AQ46" s="51">
        <f t="shared" si="30"/>
        <v>84.279555039793081</v>
      </c>
      <c r="AR46" s="51">
        <f t="shared" si="30"/>
        <v>86.281194471988158</v>
      </c>
      <c r="AS46" s="51">
        <f t="shared" si="30"/>
        <v>88.330372840697876</v>
      </c>
      <c r="AT46" s="51">
        <f t="shared" si="30"/>
        <v>90.42821919566444</v>
      </c>
      <c r="AU46" s="51">
        <f t="shared" si="30"/>
        <v>92.575889401561469</v>
      </c>
      <c r="AV46" s="51">
        <f t="shared" si="30"/>
        <v>94.774566774848552</v>
      </c>
      <c r="AW46" s="51">
        <f t="shared" si="30"/>
        <v>97.025462735751205</v>
      </c>
      <c r="AX46" s="51">
        <f t="shared" si="30"/>
        <v>99.329817475725292</v>
      </c>
      <c r="AY46" s="51">
        <f t="shared" si="30"/>
        <v>101.68890064077377</v>
      </c>
      <c r="AZ46" s="51">
        <f t="shared" si="30"/>
        <v>104.10401203099214</v>
      </c>
      <c r="BA46" s="51">
        <f t="shared" si="30"/>
        <v>0</v>
      </c>
      <c r="BB46" s="51">
        <f t="shared" si="30"/>
        <v>0</v>
      </c>
      <c r="BC46" s="51">
        <f t="shared" si="30"/>
        <v>0</v>
      </c>
      <c r="BD46" s="51">
        <f t="shared" si="30"/>
        <v>0</v>
      </c>
      <c r="BE46" s="51">
        <f t="shared" si="30"/>
        <v>0</v>
      </c>
      <c r="BF46" s="51">
        <f t="shared" si="30"/>
        <v>0</v>
      </c>
      <c r="BG46" s="51">
        <f t="shared" si="30"/>
        <v>0</v>
      </c>
      <c r="BH46" s="51">
        <f t="shared" si="30"/>
        <v>0</v>
      </c>
      <c r="BI46" s="51">
        <f t="shared" si="30"/>
        <v>0</v>
      </c>
      <c r="BJ46" s="51">
        <f t="shared" si="30"/>
        <v>0</v>
      </c>
      <c r="BK46" s="51">
        <f t="shared" si="30"/>
        <v>0</v>
      </c>
      <c r="BL46" s="51">
        <f t="shared" si="30"/>
        <v>0</v>
      </c>
      <c r="BM46" s="51">
        <f t="shared" si="30"/>
        <v>0</v>
      </c>
      <c r="BN46" s="51">
        <f t="shared" si="30"/>
        <v>0</v>
      </c>
      <c r="BO46" s="51">
        <f t="shared" si="30"/>
        <v>0</v>
      </c>
      <c r="BP46" s="51">
        <f t="shared" si="30"/>
        <v>0</v>
      </c>
      <c r="BQ46" s="51">
        <f t="shared" si="30"/>
        <v>0</v>
      </c>
      <c r="BR46" s="51">
        <f t="shared" si="30"/>
        <v>0</v>
      </c>
      <c r="BS46" s="51">
        <f t="shared" si="30"/>
        <v>0</v>
      </c>
      <c r="BT46" s="51">
        <f t="shared" si="30"/>
        <v>0</v>
      </c>
      <c r="BU46" s="51">
        <f t="shared" si="30"/>
        <v>0</v>
      </c>
      <c r="BV46" s="51">
        <f t="shared" si="30"/>
        <v>0</v>
      </c>
      <c r="BW46" s="51">
        <f t="shared" si="30"/>
        <v>0</v>
      </c>
      <c r="BX46" s="51">
        <f t="shared" si="30"/>
        <v>0</v>
      </c>
      <c r="BY46" s="51">
        <f t="shared" si="30"/>
        <v>0</v>
      </c>
      <c r="BZ46" s="51">
        <f t="shared" si="30"/>
        <v>0</v>
      </c>
      <c r="CA46" s="51">
        <f t="shared" si="30"/>
        <v>0</v>
      </c>
      <c r="CB46" s="51">
        <f t="shared" si="30"/>
        <v>0</v>
      </c>
      <c r="CC46" s="51">
        <f t="shared" si="30"/>
        <v>0</v>
      </c>
      <c r="CD46" s="51">
        <f t="shared" si="30"/>
        <v>0</v>
      </c>
      <c r="CE46" s="51">
        <f t="shared" si="30"/>
        <v>0</v>
      </c>
      <c r="CF46" s="51">
        <f t="shared" si="30"/>
        <v>0</v>
      </c>
      <c r="CG46" s="51">
        <f t="shared" si="30"/>
        <v>0</v>
      </c>
      <c r="CH46" s="51">
        <f t="shared" si="30"/>
        <v>0</v>
      </c>
      <c r="CI46" s="51">
        <f t="shared" si="30"/>
        <v>0</v>
      </c>
      <c r="CJ46" s="51">
        <f t="shared" si="30"/>
        <v>0</v>
      </c>
      <c r="CK46" s="51">
        <f t="shared" ref="CK46:CP46" si="31">IF(CK35=0,CJ46*(1+CK$9*CK$30),IF(CK35=1,-CK59/(1-PERCENTILE($D46:$E46,$D$33)),IF(CK35=2,)))</f>
        <v>0</v>
      </c>
      <c r="CL46" s="51">
        <f t="shared" si="31"/>
        <v>0</v>
      </c>
      <c r="CM46" s="51">
        <f t="shared" si="31"/>
        <v>0</v>
      </c>
      <c r="CN46" s="51">
        <f t="shared" si="31"/>
        <v>0</v>
      </c>
      <c r="CO46" s="51">
        <f t="shared" si="31"/>
        <v>0</v>
      </c>
      <c r="CP46" s="51">
        <f t="shared" si="31"/>
        <v>0</v>
      </c>
      <c r="CQ46" s="362" t="s">
        <v>77</v>
      </c>
    </row>
    <row r="47" spans="2:95" outlineLevel="1" x14ac:dyDescent="0.2">
      <c r="B47" s="12" t="s">
        <v>297</v>
      </c>
      <c r="D47" s="309" t="str">
        <f>IFERROR(AVERAGE(X86:AQ86),"n.a.")</f>
        <v>n.a.</v>
      </c>
      <c r="E47" s="511" t="s">
        <v>586</v>
      </c>
      <c r="K47" s="52" t="s">
        <v>78</v>
      </c>
      <c r="L47" s="52" t="s">
        <v>78</v>
      </c>
      <c r="M47" s="52" t="s">
        <v>78</v>
      </c>
      <c r="N47" s="362">
        <f t="shared" si="28"/>
        <v>45.143401841346602</v>
      </c>
      <c r="O47" s="362">
        <f t="shared" si="28"/>
        <v>47.057762334097525</v>
      </c>
      <c r="P47" s="362">
        <f t="shared" si="28"/>
        <v>48.302375559040485</v>
      </c>
      <c r="Q47" s="362">
        <f t="shared" si="28"/>
        <v>0</v>
      </c>
      <c r="R47" s="362">
        <f t="shared" si="28"/>
        <v>0</v>
      </c>
      <c r="S47" s="362">
        <f t="shared" si="28"/>
        <v>0</v>
      </c>
      <c r="T47" s="186">
        <v>0</v>
      </c>
      <c r="U47" s="39">
        <v>0</v>
      </c>
      <c r="V47" s="39">
        <v>0</v>
      </c>
      <c r="W47" s="39">
        <v>0</v>
      </c>
      <c r="X47" s="157">
        <v>0</v>
      </c>
      <c r="Y47" s="157">
        <v>0</v>
      </c>
      <c r="Z47" s="157">
        <v>0</v>
      </c>
      <c r="AA47" s="157">
        <v>0</v>
      </c>
      <c r="AB47" s="157">
        <v>0</v>
      </c>
      <c r="AC47" s="157">
        <v>0</v>
      </c>
      <c r="AD47" s="157">
        <v>0</v>
      </c>
      <c r="AE47" s="157">
        <v>0</v>
      </c>
      <c r="AF47" s="157">
        <v>0</v>
      </c>
      <c r="AG47" s="157">
        <v>0</v>
      </c>
      <c r="AH47" s="157">
        <v>0</v>
      </c>
      <c r="AI47" s="157">
        <v>0</v>
      </c>
      <c r="AJ47" s="157">
        <v>0</v>
      </c>
      <c r="AK47" s="157">
        <v>0</v>
      </c>
      <c r="AL47" s="157">
        <v>0</v>
      </c>
      <c r="AM47" s="157">
        <v>0</v>
      </c>
      <c r="AN47" s="157">
        <v>0</v>
      </c>
      <c r="AO47" s="285">
        <v>0</v>
      </c>
      <c r="AP47" s="157">
        <v>0</v>
      </c>
      <c r="AQ47" s="157">
        <v>0</v>
      </c>
      <c r="AR47" s="157">
        <v>0</v>
      </c>
      <c r="AS47" s="157">
        <v>0</v>
      </c>
      <c r="AT47" s="157">
        <v>0</v>
      </c>
      <c r="AU47" s="157">
        <v>0</v>
      </c>
      <c r="AV47" s="157">
        <v>0</v>
      </c>
      <c r="AW47" s="157">
        <v>0</v>
      </c>
      <c r="AX47" s="157">
        <v>0</v>
      </c>
      <c r="AY47" s="157">
        <v>0</v>
      </c>
      <c r="AZ47" s="157">
        <v>0</v>
      </c>
      <c r="BA47" s="157">
        <v>0</v>
      </c>
      <c r="BB47" s="157">
        <v>0</v>
      </c>
      <c r="BC47" s="157">
        <v>0</v>
      </c>
      <c r="BD47" s="157">
        <v>0</v>
      </c>
      <c r="BE47" s="157">
        <v>0</v>
      </c>
      <c r="BF47" s="157">
        <v>0</v>
      </c>
      <c r="BG47" s="157">
        <v>0</v>
      </c>
      <c r="BH47" s="157">
        <v>0</v>
      </c>
      <c r="BI47" s="157">
        <v>0</v>
      </c>
      <c r="BJ47" s="157">
        <v>0</v>
      </c>
      <c r="BK47" s="157">
        <v>0</v>
      </c>
      <c r="BL47" s="157">
        <v>0</v>
      </c>
      <c r="BM47" s="157">
        <v>0</v>
      </c>
      <c r="BN47" s="157">
        <v>0</v>
      </c>
      <c r="BO47" s="157">
        <v>0</v>
      </c>
      <c r="BP47" s="157">
        <v>0</v>
      </c>
      <c r="BQ47" s="157">
        <v>0</v>
      </c>
      <c r="BR47" s="157">
        <v>0</v>
      </c>
      <c r="BS47" s="157">
        <v>0</v>
      </c>
      <c r="BT47" s="157">
        <v>0</v>
      </c>
      <c r="BU47" s="157">
        <v>0</v>
      </c>
      <c r="BV47" s="157">
        <v>0</v>
      </c>
      <c r="BW47" s="157">
        <v>0</v>
      </c>
      <c r="BX47" s="157">
        <v>0</v>
      </c>
      <c r="BY47" s="157">
        <v>0</v>
      </c>
      <c r="BZ47" s="157">
        <v>0</v>
      </c>
      <c r="CA47" s="157">
        <v>0</v>
      </c>
      <c r="CB47" s="157">
        <v>0</v>
      </c>
      <c r="CC47" s="157">
        <v>0</v>
      </c>
      <c r="CD47" s="157">
        <v>0</v>
      </c>
      <c r="CE47" s="157">
        <v>0</v>
      </c>
      <c r="CF47" s="157">
        <v>0</v>
      </c>
      <c r="CG47" s="157">
        <v>0</v>
      </c>
      <c r="CH47" s="157">
        <v>0</v>
      </c>
      <c r="CI47" s="157">
        <v>0</v>
      </c>
      <c r="CJ47" s="157">
        <v>0</v>
      </c>
      <c r="CK47" s="157">
        <v>0</v>
      </c>
      <c r="CL47" s="157">
        <v>0</v>
      </c>
      <c r="CM47" s="157">
        <v>0</v>
      </c>
      <c r="CN47" s="157">
        <v>0</v>
      </c>
      <c r="CO47" s="157">
        <v>0</v>
      </c>
      <c r="CP47" s="157">
        <v>0</v>
      </c>
      <c r="CQ47" s="23" t="s">
        <v>77</v>
      </c>
    </row>
    <row r="48" spans="2:95" outlineLevel="1" x14ac:dyDescent="0.2">
      <c r="B48" s="12" t="s">
        <v>507</v>
      </c>
      <c r="D48" s="1000">
        <f>INDEX(U87:CP87,MATCH(1,U37:CP37,0)-1)</f>
        <v>0.6227526804068888</v>
      </c>
      <c r="E48" s="619">
        <f>Valuation!$E$13</f>
        <v>0.1</v>
      </c>
      <c r="K48" s="52" t="s">
        <v>78</v>
      </c>
      <c r="L48" s="52" t="s">
        <v>78</v>
      </c>
      <c r="M48" s="52" t="s">
        <v>78</v>
      </c>
      <c r="N48" s="362">
        <f t="shared" si="28"/>
        <v>0</v>
      </c>
      <c r="O48" s="362">
        <f t="shared" si="28"/>
        <v>0</v>
      </c>
      <c r="P48" s="362">
        <f t="shared" si="28"/>
        <v>2.6346750304931175</v>
      </c>
      <c r="Q48" s="362">
        <f t="shared" si="28"/>
        <v>1.0292248029573829</v>
      </c>
      <c r="R48" s="362">
        <f t="shared" si="28"/>
        <v>7.8506441193474634</v>
      </c>
      <c r="S48" s="362">
        <f t="shared" si="28"/>
        <v>5.9779966778220199</v>
      </c>
      <c r="T48" s="250">
        <f>+S48*(1+T$9*T$30)</f>
        <v>5.9779966778220199</v>
      </c>
      <c r="U48" s="39">
        <f>+T48*(1+U$9*U$30)+(200*6/12*12%)</f>
        <v>18.064079829982656</v>
      </c>
      <c r="V48" s="250">
        <f>+U48*(1+V$9*V$30)</f>
        <v>18.321492967559912</v>
      </c>
      <c r="W48" s="39">
        <f>+V48*(1+W$9*W$30)+3</f>
        <v>21.582574242347643</v>
      </c>
      <c r="X48" s="51">
        <f>IF(X37=0,W48*(1+X$9*X$30),IF(X37=1,-X61/(1-PERCENTILE($D48:$E48,$D$33)),IF(X37=2,)))</f>
        <v>22.122138598406334</v>
      </c>
      <c r="Y48" s="51">
        <f t="shared" ref="Y48:CJ48" si="32">IF(Y37=0,X48*(1+Y$9*Y$30),IF(Y37=1,-Y61/(1-PERCENTILE($D48:$E48,$D$33)),IF(Y37=2,)))</f>
        <v>22.675192063366492</v>
      </c>
      <c r="Z48" s="51">
        <f t="shared" si="32"/>
        <v>23.242071864950653</v>
      </c>
      <c r="AA48" s="51">
        <f t="shared" si="32"/>
        <v>23.794071071743229</v>
      </c>
      <c r="AB48" s="51">
        <f t="shared" si="32"/>
        <v>24.35918025969713</v>
      </c>
      <c r="AC48" s="51">
        <f t="shared" si="32"/>
        <v>24.937710790864934</v>
      </c>
      <c r="AD48" s="51">
        <f t="shared" si="32"/>
        <v>25.529981422147973</v>
      </c>
      <c r="AE48" s="51">
        <f t="shared" si="32"/>
        <v>26.136318480923986</v>
      </c>
      <c r="AF48" s="51">
        <f t="shared" si="32"/>
        <v>26.757056044845928</v>
      </c>
      <c r="AG48" s="51">
        <f t="shared" si="32"/>
        <v>22.252088133369959</v>
      </c>
      <c r="AH48" s="51">
        <f t="shared" si="32"/>
        <v>22.780575226537493</v>
      </c>
      <c r="AI48" s="51">
        <f t="shared" si="32"/>
        <v>23.321613888167757</v>
      </c>
      <c r="AJ48" s="51">
        <f t="shared" si="32"/>
        <v>23.875502218011739</v>
      </c>
      <c r="AK48" s="51">
        <f t="shared" si="32"/>
        <v>24.442545395689518</v>
      </c>
      <c r="AL48" s="51">
        <f t="shared" si="32"/>
        <v>25.023055848837142</v>
      </c>
      <c r="AM48" s="51">
        <f t="shared" si="32"/>
        <v>25.617353425247021</v>
      </c>
      <c r="AN48" s="51">
        <f t="shared" si="32"/>
        <v>26.225765569096637</v>
      </c>
      <c r="AO48" s="51">
        <f t="shared" si="32"/>
        <v>26.848627501362682</v>
      </c>
      <c r="AP48" s="51">
        <f t="shared" si="32"/>
        <v>27.486282404520043</v>
      </c>
      <c r="AQ48" s="51">
        <f t="shared" si="32"/>
        <v>28.139081611627393</v>
      </c>
      <c r="AR48" s="51">
        <f t="shared" si="32"/>
        <v>28.807384799903542</v>
      </c>
      <c r="AS48" s="51">
        <f t="shared" si="32"/>
        <v>29.49156018890125</v>
      </c>
      <c r="AT48" s="51">
        <f t="shared" si="32"/>
        <v>30.191984743387653</v>
      </c>
      <c r="AU48" s="51">
        <f t="shared" si="32"/>
        <v>30.90904438104311</v>
      </c>
      <c r="AV48" s="51">
        <f t="shared" si="32"/>
        <v>31.643134185092883</v>
      </c>
      <c r="AW48" s="51">
        <f t="shared" si="32"/>
        <v>32.394658621988839</v>
      </c>
      <c r="AX48" s="51">
        <f t="shared" si="32"/>
        <v>33.164031764261068</v>
      </c>
      <c r="AY48" s="51">
        <f t="shared" si="32"/>
        <v>33.951677518662265</v>
      </c>
      <c r="AZ48" s="51">
        <f t="shared" si="32"/>
        <v>34.758029859730492</v>
      </c>
      <c r="BA48" s="51">
        <f t="shared" si="32"/>
        <v>35.583533068899087</v>
      </c>
      <c r="BB48" s="51">
        <f t="shared" si="32"/>
        <v>36.428641979285437</v>
      </c>
      <c r="BC48" s="51">
        <f t="shared" si="32"/>
        <v>37.293822226293464</v>
      </c>
      <c r="BD48" s="51">
        <f t="shared" si="32"/>
        <v>38.179550504167935</v>
      </c>
      <c r="BE48" s="51">
        <f t="shared" si="32"/>
        <v>39.086314828641918</v>
      </c>
      <c r="BF48" s="51">
        <f t="shared" si="32"/>
        <v>40.014614805822163</v>
      </c>
      <c r="BG48" s="51">
        <f t="shared" si="32"/>
        <v>40.964961907460435</v>
      </c>
      <c r="BH48" s="51">
        <f t="shared" si="32"/>
        <v>41.937879752762619</v>
      </c>
      <c r="BI48" s="51">
        <f t="shared" si="32"/>
        <v>42.933904396890732</v>
      </c>
      <c r="BJ48" s="51">
        <f t="shared" si="32"/>
        <v>43.953584626316882</v>
      </c>
      <c r="BK48" s="51">
        <f t="shared" si="32"/>
        <v>44.997482261191905</v>
      </c>
      <c r="BL48" s="51">
        <f t="shared" si="32"/>
        <v>46.06617246489521</v>
      </c>
      <c r="BM48" s="51">
        <f t="shared" si="32"/>
        <v>47.160244060936471</v>
      </c>
      <c r="BN48" s="51">
        <f t="shared" si="32"/>
        <v>48.28029985738371</v>
      </c>
      <c r="BO48" s="51">
        <f t="shared" si="32"/>
        <v>49.426956978996571</v>
      </c>
      <c r="BP48" s="51">
        <f t="shared" si="32"/>
        <v>50.600847207247739</v>
      </c>
      <c r="BQ48" s="51">
        <f t="shared" si="32"/>
        <v>51.802617328419871</v>
      </c>
      <c r="BR48" s="51">
        <f t="shared" si="32"/>
        <v>53.032929489969838</v>
      </c>
      <c r="BS48" s="51">
        <f t="shared" si="32"/>
        <v>54.292461565356618</v>
      </c>
      <c r="BT48" s="51">
        <f t="shared" si="32"/>
        <v>55.581907527533836</v>
      </c>
      <c r="BU48" s="51">
        <f t="shared" si="32"/>
        <v>56.901977831312763</v>
      </c>
      <c r="BV48" s="51">
        <f t="shared" si="32"/>
        <v>58.253399804806435</v>
      </c>
      <c r="BW48" s="51">
        <f t="shared" si="32"/>
        <v>59.636918050170586</v>
      </c>
      <c r="BX48" s="51">
        <f t="shared" si="32"/>
        <v>61.053294853862134</v>
      </c>
      <c r="BY48" s="51">
        <f t="shared" si="32"/>
        <v>62.503310606641357</v>
      </c>
      <c r="BZ48" s="51">
        <f t="shared" si="32"/>
        <v>63.987764233549086</v>
      </c>
      <c r="CA48" s="51">
        <f t="shared" si="32"/>
        <v>65.507473634095874</v>
      </c>
      <c r="CB48" s="51">
        <f t="shared" si="32"/>
        <v>67.063276132905642</v>
      </c>
      <c r="CC48" s="51">
        <f t="shared" si="32"/>
        <v>68.656028941062146</v>
      </c>
      <c r="CD48" s="51">
        <f t="shared" si="32"/>
        <v>70.286609628412364</v>
      </c>
      <c r="CE48" s="51">
        <f t="shared" si="32"/>
        <v>71.955916607087147</v>
      </c>
      <c r="CF48" s="51">
        <f t="shared" si="32"/>
        <v>73.664869626505464</v>
      </c>
      <c r="CG48" s="51">
        <f t="shared" si="32"/>
        <v>75.414410280134959</v>
      </c>
      <c r="CH48" s="51">
        <f t="shared" si="32"/>
        <v>0</v>
      </c>
      <c r="CI48" s="51">
        <f t="shared" si="32"/>
        <v>0</v>
      </c>
      <c r="CJ48" s="51">
        <f t="shared" si="32"/>
        <v>0</v>
      </c>
      <c r="CK48" s="51">
        <f t="shared" ref="CK48:CP48" si="33">IF(CK37=0,CJ48*(1+CK$9*CK$30),IF(CK37=1,-CK61/(1-PERCENTILE($D48:$E48,$D$33)),IF(CK37=2,)))</f>
        <v>0</v>
      </c>
      <c r="CL48" s="51">
        <f t="shared" si="33"/>
        <v>0</v>
      </c>
      <c r="CM48" s="51">
        <f t="shared" si="33"/>
        <v>0</v>
      </c>
      <c r="CN48" s="51">
        <f t="shared" si="33"/>
        <v>0</v>
      </c>
      <c r="CO48" s="51">
        <f t="shared" si="33"/>
        <v>0</v>
      </c>
      <c r="CP48" s="51">
        <f t="shared" si="33"/>
        <v>0</v>
      </c>
      <c r="CQ48" s="23" t="s">
        <v>77</v>
      </c>
    </row>
    <row r="49" spans="2:95" outlineLevel="1" x14ac:dyDescent="0.2">
      <c r="B49" s="12" t="s">
        <v>298</v>
      </c>
      <c r="D49" s="1000">
        <f>INDEX(U88:CP88,MATCH(1,U38:CP38,0)-1)</f>
        <v>0.82868640154476481</v>
      </c>
      <c r="E49" s="619">
        <f>Valuation!$E$13</f>
        <v>0.1</v>
      </c>
      <c r="K49" s="52" t="s">
        <v>78</v>
      </c>
      <c r="L49" s="52" t="s">
        <v>78</v>
      </c>
      <c r="M49" s="52" t="s">
        <v>78</v>
      </c>
      <c r="N49" s="362">
        <f t="shared" si="28"/>
        <v>0</v>
      </c>
      <c r="O49" s="362">
        <f t="shared" si="28"/>
        <v>0</v>
      </c>
      <c r="P49" s="362">
        <f t="shared" si="28"/>
        <v>0</v>
      </c>
      <c r="Q49" s="362">
        <f t="shared" si="28"/>
        <v>0</v>
      </c>
      <c r="R49" s="362">
        <f t="shared" si="28"/>
        <v>0</v>
      </c>
      <c r="S49" s="362">
        <f t="shared" si="28"/>
        <v>100.62695385592497</v>
      </c>
      <c r="T49" s="186">
        <f>+S49*(12/9)*(1+T$9*T$30)+12.6</f>
        <v>146.76927180789994</v>
      </c>
      <c r="U49" s="39">
        <f>+T49*(1+U$9*U$30)+(460/10*3/12)+40+9</f>
        <v>209.38274932193369</v>
      </c>
      <c r="V49" s="39">
        <f>V75/V29</f>
        <v>270.53704386662974</v>
      </c>
      <c r="W49" s="39">
        <f>W75/W29</f>
        <v>289.99797096500197</v>
      </c>
      <c r="X49" s="51">
        <f>IF(X38=0,W49*(1+X$9*X$30),IF(X38=1,-X62/(1-PERCENTILE($D49:$E49,$D$33)),IF(X38=2,)))</f>
        <v>297.24792023912698</v>
      </c>
      <c r="Y49" s="51">
        <f t="shared" ref="Y49:CJ49" si="34">IF(Y38=0,X49*(1+Y$9*Y$30),IF(Y38=1,-Y62/(1-PERCENTILE($D49:$E49,$D$33)),IF(Y38=2,)))</f>
        <v>304.67911824510514</v>
      </c>
      <c r="Z49" s="51">
        <f t="shared" si="34"/>
        <v>312.29609620123273</v>
      </c>
      <c r="AA49" s="51">
        <f t="shared" si="34"/>
        <v>319.71312848601201</v>
      </c>
      <c r="AB49" s="51">
        <f t="shared" si="34"/>
        <v>327.30631528755475</v>
      </c>
      <c r="AC49" s="51">
        <f t="shared" si="34"/>
        <v>335.07984027563418</v>
      </c>
      <c r="AD49" s="51">
        <f t="shared" si="34"/>
        <v>343.03798648218049</v>
      </c>
      <c r="AE49" s="51">
        <f t="shared" si="34"/>
        <v>351.18513866113227</v>
      </c>
      <c r="AF49" s="51">
        <f t="shared" si="34"/>
        <v>359.52578570433417</v>
      </c>
      <c r="AG49" s="51">
        <f t="shared" si="34"/>
        <v>368.06452311481206</v>
      </c>
      <c r="AH49" s="51">
        <f t="shared" si="34"/>
        <v>376.80605553878883</v>
      </c>
      <c r="AI49" s="51">
        <f t="shared" si="34"/>
        <v>225.37350456004364</v>
      </c>
      <c r="AJ49" s="51">
        <f t="shared" si="34"/>
        <v>230.72612529334467</v>
      </c>
      <c r="AK49" s="51">
        <f t="shared" si="34"/>
        <v>236.20587076906159</v>
      </c>
      <c r="AL49" s="51">
        <f t="shared" si="34"/>
        <v>241.8157601998268</v>
      </c>
      <c r="AM49" s="51">
        <f t="shared" si="34"/>
        <v>247.55888450457266</v>
      </c>
      <c r="AN49" s="51">
        <f t="shared" si="34"/>
        <v>253.43840801155625</v>
      </c>
      <c r="AO49" s="51">
        <f t="shared" si="34"/>
        <v>259.45757020183072</v>
      </c>
      <c r="AP49" s="51">
        <f t="shared" si="34"/>
        <v>265.61968749412421</v>
      </c>
      <c r="AQ49" s="51">
        <f t="shared" si="34"/>
        <v>271.92815507210963</v>
      </c>
      <c r="AR49" s="51">
        <f t="shared" si="34"/>
        <v>278.38644875507219</v>
      </c>
      <c r="AS49" s="51">
        <f t="shared" si="34"/>
        <v>284.99812691300514</v>
      </c>
      <c r="AT49" s="51">
        <f t="shared" si="34"/>
        <v>291.766832427189</v>
      </c>
      <c r="AU49" s="51">
        <f t="shared" si="34"/>
        <v>298.69629469733474</v>
      </c>
      <c r="AV49" s="51">
        <f t="shared" si="34"/>
        <v>305.79033169639644</v>
      </c>
      <c r="AW49" s="51">
        <f t="shared" si="34"/>
        <v>313.05285207418581</v>
      </c>
      <c r="AX49" s="51">
        <f t="shared" si="34"/>
        <v>320.48785731094767</v>
      </c>
      <c r="AY49" s="51">
        <f t="shared" si="34"/>
        <v>328.09944392208268</v>
      </c>
      <c r="AZ49" s="51">
        <f t="shared" si="34"/>
        <v>335.89180571523212</v>
      </c>
      <c r="BA49" s="51">
        <f t="shared" si="34"/>
        <v>343.86923610096886</v>
      </c>
      <c r="BB49" s="51">
        <f t="shared" si="34"/>
        <v>352.03613045836687</v>
      </c>
      <c r="BC49" s="51">
        <f t="shared" si="34"/>
        <v>360.39698855675306</v>
      </c>
      <c r="BD49" s="51">
        <f t="shared" si="34"/>
        <v>368.95641703497591</v>
      </c>
      <c r="BE49" s="51">
        <f t="shared" si="34"/>
        <v>377.71913193955658</v>
      </c>
      <c r="BF49" s="51">
        <f t="shared" si="34"/>
        <v>386.689961323121</v>
      </c>
      <c r="BG49" s="51">
        <f t="shared" si="34"/>
        <v>395.87384790454507</v>
      </c>
      <c r="BH49" s="51">
        <f t="shared" si="34"/>
        <v>405.27585179227799</v>
      </c>
      <c r="BI49" s="51">
        <f t="shared" si="34"/>
        <v>414.90115327234457</v>
      </c>
      <c r="BJ49" s="51">
        <f t="shared" si="34"/>
        <v>424.75505566256271</v>
      </c>
      <c r="BK49" s="51">
        <f t="shared" si="34"/>
        <v>434.84298823454856</v>
      </c>
      <c r="BL49" s="51">
        <f t="shared" si="34"/>
        <v>445.17050920511906</v>
      </c>
      <c r="BM49" s="51">
        <f t="shared" si="34"/>
        <v>455.7433087987406</v>
      </c>
      <c r="BN49" s="51">
        <f t="shared" si="34"/>
        <v>466.56721238271064</v>
      </c>
      <c r="BO49" s="51">
        <f t="shared" si="34"/>
        <v>477.64818367679999</v>
      </c>
      <c r="BP49" s="51">
        <f t="shared" si="34"/>
        <v>488.99232803912395</v>
      </c>
      <c r="BQ49" s="51">
        <f t="shared" si="34"/>
        <v>500.6058958300531</v>
      </c>
      <c r="BR49" s="51">
        <f t="shared" si="34"/>
        <v>512.49528585601684</v>
      </c>
      <c r="BS49" s="51">
        <f t="shared" si="34"/>
        <v>524.6670488950972</v>
      </c>
      <c r="BT49" s="51">
        <f t="shared" si="34"/>
        <v>537.12789130635576</v>
      </c>
      <c r="BU49" s="51">
        <f t="shared" si="34"/>
        <v>549.88467872488172</v>
      </c>
      <c r="BV49" s="51">
        <f t="shared" si="34"/>
        <v>562.94443984459758</v>
      </c>
      <c r="BW49" s="51">
        <f t="shared" si="34"/>
        <v>576.31437029090671</v>
      </c>
      <c r="BX49" s="51">
        <f t="shared" si="34"/>
        <v>590.00183658531569</v>
      </c>
      <c r="BY49" s="51">
        <f t="shared" si="34"/>
        <v>604.01438020421688</v>
      </c>
      <c r="BZ49" s="51">
        <f t="shared" si="34"/>
        <v>618.35972173406697</v>
      </c>
      <c r="CA49" s="51">
        <f t="shared" si="34"/>
        <v>633.04576512525102</v>
      </c>
      <c r="CB49" s="51">
        <f t="shared" si="34"/>
        <v>648.08060204697574</v>
      </c>
      <c r="CC49" s="51">
        <f t="shared" si="34"/>
        <v>663.47251634559143</v>
      </c>
      <c r="CD49" s="51">
        <f t="shared" si="34"/>
        <v>679.2299886087992</v>
      </c>
      <c r="CE49" s="51">
        <f t="shared" si="34"/>
        <v>695.36170083825812</v>
      </c>
      <c r="CF49" s="51">
        <f t="shared" si="34"/>
        <v>711.87654123316668</v>
      </c>
      <c r="CG49" s="51">
        <f t="shared" si="34"/>
        <v>728.78360908745435</v>
      </c>
      <c r="CH49" s="51">
        <f t="shared" si="34"/>
        <v>0</v>
      </c>
      <c r="CI49" s="51">
        <f t="shared" si="34"/>
        <v>0</v>
      </c>
      <c r="CJ49" s="51">
        <f t="shared" si="34"/>
        <v>0</v>
      </c>
      <c r="CK49" s="51">
        <f t="shared" ref="CK49:CP49" si="35">IF(CK38=0,CJ49*(1+CK$9*CK$30),IF(CK38=1,-CK62/(1-PERCENTILE($D49:$E49,$D$33)),IF(CK38=2,)))</f>
        <v>0</v>
      </c>
      <c r="CL49" s="51">
        <f t="shared" si="35"/>
        <v>0</v>
      </c>
      <c r="CM49" s="51">
        <f t="shared" si="35"/>
        <v>0</v>
      </c>
      <c r="CN49" s="51">
        <f t="shared" si="35"/>
        <v>0</v>
      </c>
      <c r="CO49" s="51">
        <f t="shared" si="35"/>
        <v>0</v>
      </c>
      <c r="CP49" s="51">
        <f t="shared" si="35"/>
        <v>0</v>
      </c>
      <c r="CQ49" s="23" t="s">
        <v>77</v>
      </c>
    </row>
    <row r="50" spans="2:95" outlineLevel="1" x14ac:dyDescent="0.2">
      <c r="B50" s="12" t="s">
        <v>219</v>
      </c>
      <c r="D50" s="309">
        <v>0.69344448210222187</v>
      </c>
      <c r="E50" s="511" t="s">
        <v>579</v>
      </c>
      <c r="K50" s="52">
        <v>0</v>
      </c>
      <c r="L50" s="52">
        <v>0</v>
      </c>
      <c r="M50" s="52">
        <v>0</v>
      </c>
      <c r="N50" s="52">
        <v>0</v>
      </c>
      <c r="O50" s="52">
        <v>0</v>
      </c>
      <c r="P50" s="52">
        <v>0</v>
      </c>
      <c r="Q50" s="52">
        <v>0</v>
      </c>
      <c r="R50" s="52">
        <v>0</v>
      </c>
      <c r="S50" s="52">
        <v>0</v>
      </c>
      <c r="T50" s="186">
        <v>0</v>
      </c>
      <c r="U50" s="39">
        <v>10</v>
      </c>
      <c r="V50" s="39">
        <f>V76/0.7</f>
        <v>20.074533699043013</v>
      </c>
      <c r="W50" s="39">
        <f>W76/0.65</f>
        <v>136.61538461538461</v>
      </c>
      <c r="X50" s="272">
        <f t="shared" ref="X50:AI50" si="36">+W50*(1+X$9*X$30)</f>
        <v>140.03076923076921</v>
      </c>
      <c r="Y50" s="272">
        <f t="shared" si="36"/>
        <v>143.53153846153842</v>
      </c>
      <c r="Z50" s="272">
        <f t="shared" si="36"/>
        <v>147.11982692307686</v>
      </c>
      <c r="AA50" s="272">
        <f t="shared" si="36"/>
        <v>150.61392281249994</v>
      </c>
      <c r="AB50" s="272">
        <f t="shared" si="36"/>
        <v>154.1910034792968</v>
      </c>
      <c r="AC50" s="272">
        <f t="shared" si="36"/>
        <v>157.85303981193007</v>
      </c>
      <c r="AD50" s="272">
        <f t="shared" si="36"/>
        <v>161.60204950746339</v>
      </c>
      <c r="AE50" s="272">
        <f t="shared" si="36"/>
        <v>165.44009818326563</v>
      </c>
      <c r="AF50" s="272">
        <f t="shared" si="36"/>
        <v>169.36930051511817</v>
      </c>
      <c r="AG50" s="272">
        <f>+AF50*(1+AG$9*AG$30)</f>
        <v>173.39182140235221</v>
      </c>
      <c r="AH50" s="272">
        <f t="shared" si="36"/>
        <v>177.50987716065805</v>
      </c>
      <c r="AI50" s="272">
        <f t="shared" si="36"/>
        <v>181.72573674322368</v>
      </c>
      <c r="AJ50" s="618">
        <f>IF(AJ39=0,AI50*(1+AJ$9*AJ$30),IF(AJ39=1,AJ162*Valuation!$D$17/10^3,IF(AJ39=2,)))</f>
        <v>32.432767222670229</v>
      </c>
      <c r="AK50" s="618">
        <f>IF(AK39=0,AJ50*(1+AK$9*AK$30),IF(AK39=1,AK162*Valuation!$D$17/10^3,IF(AK39=2,)))</f>
        <v>33.203045444208648</v>
      </c>
      <c r="AL50" s="618">
        <f>IF(AL39=0,AK50*(1+AL$9*AL$30),IF(AL39=1,AL162*Valuation!$D$17/10^3,IF(AL39=2,)))</f>
        <v>33.991617773508601</v>
      </c>
      <c r="AM50" s="618">
        <f>IF(AM39=0,AL50*(1+AM$9*AM$30),IF(AM39=1,AM162*Valuation!$D$17/10^3,IF(AM39=2,)))</f>
        <v>34.798918695629425</v>
      </c>
      <c r="AN50" s="618">
        <f>IF(AN39=0,AM50*(1+AN$9*AN$30),IF(AN39=1,AN162*Valuation!$D$17/10^3,IF(AN39=2,)))</f>
        <v>35.625393014650619</v>
      </c>
      <c r="AO50" s="618">
        <f>IF(AO39=0,AN50*(1+AO$9*AO$30),IF(AO39=1,AO162*Valuation!$D$17/10^3,IF(AO39=2,)))</f>
        <v>36.471496098748567</v>
      </c>
      <c r="AP50" s="618">
        <f>IF(AP39=0,AO50*(1+AP$9*AP$30),IF(AP39=1,AP162*Valuation!$D$17/10^3,IF(AP39=2,)))</f>
        <v>37.337694131093841</v>
      </c>
      <c r="AQ50" s="618">
        <f>IF(AQ39=0,AP50*(1+AQ$9*AQ$30),IF(AQ39=1,AQ162*Valuation!$D$17/10^3,IF(AQ39=2,)))</f>
        <v>38.224464366707316</v>
      </c>
      <c r="AR50" s="618">
        <f>IF(AR39=0,AQ50*(1+AR$9*AR$30),IF(AR39=1,AR162*Valuation!$D$17/10^3,IF(AR39=2,)))</f>
        <v>0</v>
      </c>
      <c r="AS50" s="618">
        <f>IF(AS39=0,AR50*(1+AS$9*AS$30),IF(AS39=1,AS162*Valuation!$D$17/10^3,IF(AS39=2,)))</f>
        <v>0</v>
      </c>
      <c r="AT50" s="618">
        <f>IF(AT39=0,AS50*(1+AT$9*AT$30),IF(AT39=1,AT162*Valuation!$D$17/10^3,IF(AT39=2,)))</f>
        <v>0</v>
      </c>
      <c r="AU50" s="618">
        <f>IF(AU39=0,AT50*(1+AU$9*AU$30),IF(AU39=1,AU162*Valuation!$D$17/10^3,IF(AU39=2,)))</f>
        <v>0</v>
      </c>
      <c r="AV50" s="618">
        <f>IF(AV39=0,AU50*(1+AV$9*AV$30),IF(AV39=1,AV162*Valuation!$D$17/10^3,IF(AV39=2,)))</f>
        <v>0</v>
      </c>
      <c r="AW50" s="618">
        <f>IF(AW39=0,AV50*(1+AW$9*AW$30),IF(AW39=1,AW162*Valuation!$D$17/10^3,IF(AW39=2,)))</f>
        <v>0</v>
      </c>
      <c r="AX50" s="618">
        <f>IF(AX39=0,AW50*(1+AX$9*AX$30),IF(AX39=1,AX162*Valuation!$D$17/10^3,IF(AX39=2,)))</f>
        <v>0</v>
      </c>
      <c r="AY50" s="618">
        <f>IF(AY39=0,AX50*(1+AY$9*AY$30),IF(AY39=1,AY162*Valuation!$D$17/10^3,IF(AY39=2,)))</f>
        <v>0</v>
      </c>
      <c r="AZ50" s="618">
        <f>IF(AZ39=0,AY50*(1+AZ$9*AZ$30),IF(AZ39=1,AZ162*Valuation!$D$17/10^3,IF(AZ39=2,)))</f>
        <v>0</v>
      </c>
      <c r="BA50" s="618">
        <f>IF(BA39=0,AZ50*(1+BA$9*BA$30),IF(BA39=1,BA162*Valuation!$D$17/10^3,IF(BA39=2,)))</f>
        <v>0</v>
      </c>
      <c r="BB50" s="618">
        <f>IF(BB39=0,BA50*(1+BB$9*BB$30),IF(BB39=1,BB162*Valuation!$D$17/10^3,IF(BB39=2,)))</f>
        <v>0</v>
      </c>
      <c r="BC50" s="618">
        <f>IF(BC39=0,BB50*(1+BC$9*BC$30),IF(BC39=1,BC162*Valuation!$D$17/10^3,IF(BC39=2,)))</f>
        <v>0</v>
      </c>
      <c r="BD50" s="618">
        <f>IF(BD39=0,BC50*(1+BD$9*BD$30),IF(BD39=1,BD162*Valuation!$D$17/10^3,IF(BD39=2,)))</f>
        <v>0</v>
      </c>
      <c r="BE50" s="618">
        <f>IF(BE39=0,BD50*(1+BE$9*BE$30),IF(BE39=1,BE162*Valuation!$D$17/10^3,IF(BE39=2,)))</f>
        <v>0</v>
      </c>
      <c r="BF50" s="618">
        <f>IF(BF39=0,BE50*(1+BF$9*BF$30),IF(BF39=1,BF162*Valuation!$D$17/10^3,IF(BF39=2,)))</f>
        <v>0</v>
      </c>
      <c r="BG50" s="618">
        <f>IF(BG39=0,BF50*(1+BG$9*BG$30),IF(BG39=1,BG162*Valuation!$D$17/10^3,IF(BG39=2,)))</f>
        <v>0</v>
      </c>
      <c r="BH50" s="618">
        <f>IF(BH39=0,BG50*(1+BH$9*BH$30),IF(BH39=1,BH162*Valuation!$D$17/10^3,IF(BH39=2,)))</f>
        <v>0</v>
      </c>
      <c r="BI50" s="618">
        <f>IF(BI39=0,BH50*(1+BI$9*BI$30),IF(BI39=1,BI162*Valuation!$D$17/10^3,IF(BI39=2,)))</f>
        <v>0</v>
      </c>
      <c r="BJ50" s="618">
        <f>IF(BJ39=0,BI50*(1+BJ$9*BJ$30),IF(BJ39=1,BJ162*Valuation!$D$17/10^3,IF(BJ39=2,)))</f>
        <v>0</v>
      </c>
      <c r="BK50" s="618">
        <f>IF(BK39=0,BJ50*(1+BK$9*BK$30),IF(BK39=1,BK162*Valuation!$D$17/10^3,IF(BK39=2,)))</f>
        <v>0</v>
      </c>
      <c r="BL50" s="618">
        <f>IF(BL39=0,BK50*(1+BL$9*BL$30),IF(BL39=1,BL162*Valuation!$D$17/10^3,IF(BL39=2,)))</f>
        <v>0</v>
      </c>
      <c r="BM50" s="618">
        <f>IF(BM39=0,BL50*(1+BM$9*BM$30),IF(BM39=1,BM162*Valuation!$D$17/10^3,IF(BM39=2,)))</f>
        <v>0</v>
      </c>
      <c r="BN50" s="618">
        <f>IF(BN39=0,BM50*(1+BN$9*BN$30),IF(BN39=1,BN162*Valuation!$D$17/10^3,IF(BN39=2,)))</f>
        <v>0</v>
      </c>
      <c r="BO50" s="618">
        <f>IF(BO39=0,BN50*(1+BO$9*BO$30),IF(BO39=1,BO162*Valuation!$D$17/10^3,IF(BO39=2,)))</f>
        <v>0</v>
      </c>
      <c r="BP50" s="618">
        <f>IF(BP39=0,BO50*(1+BP$9*BP$30),IF(BP39=1,BP162*Valuation!$D$17/10^3,IF(BP39=2,)))</f>
        <v>0</v>
      </c>
      <c r="BQ50" s="618">
        <f>IF(BQ39=0,BP50*(1+BQ$9*BQ$30),IF(BQ39=1,BQ162*Valuation!$D$17/10^3,IF(BQ39=2,)))</f>
        <v>0</v>
      </c>
      <c r="BR50" s="618">
        <f>IF(BR39=0,BQ50*(1+BR$9*BR$30),IF(BR39=1,BR162*Valuation!$D$17/10^3,IF(BR39=2,)))</f>
        <v>0</v>
      </c>
      <c r="BS50" s="618">
        <f>IF(BS39=0,BR50*(1+BS$9*BS$30),IF(BS39=1,BS162*Valuation!$D$17/10^3,IF(BS39=2,)))</f>
        <v>0</v>
      </c>
      <c r="BT50" s="618">
        <f>IF(BT39=0,BS50*(1+BT$9*BT$30),IF(BT39=1,BT162*Valuation!$D$17/10^3,IF(BT39=2,)))</f>
        <v>0</v>
      </c>
      <c r="BU50" s="618">
        <f>IF(BU39=0,BT50*(1+BU$9*BU$30),IF(BU39=1,BU162*Valuation!$D$17/10^3,IF(BU39=2,)))</f>
        <v>0</v>
      </c>
      <c r="BV50" s="618">
        <f>IF(BV39=0,BU50*(1+BV$9*BV$30),IF(BV39=1,BV162*Valuation!$D$17/10^3,IF(BV39=2,)))</f>
        <v>0</v>
      </c>
      <c r="BW50" s="618">
        <f>IF(BW39=0,BV50*(1+BW$9*BW$30),IF(BW39=1,BW162*Valuation!$D$17/10^3,IF(BW39=2,)))</f>
        <v>0</v>
      </c>
      <c r="BX50" s="618">
        <f>IF(BX39=0,BW50*(1+BX$9*BX$30),IF(BX39=1,BX162*Valuation!$D$17/10^3,IF(BX39=2,)))</f>
        <v>0</v>
      </c>
      <c r="BY50" s="618">
        <f>IF(BY39=0,BX50*(1+BY$9*BY$30),IF(BY39=1,BY162*Valuation!$D$17/10^3,IF(BY39=2,)))</f>
        <v>0</v>
      </c>
      <c r="BZ50" s="618">
        <f>IF(BZ39=0,BY50*(1+BZ$9*BZ$30),IF(BZ39=1,BZ162*Valuation!$D$17/10^3,IF(BZ39=2,)))</f>
        <v>0</v>
      </c>
      <c r="CA50" s="618">
        <f>IF(CA39=0,BZ50*(1+CA$9*CA$30),IF(CA39=1,CA162*Valuation!$D$17/10^3,IF(CA39=2,)))</f>
        <v>0</v>
      </c>
      <c r="CB50" s="618">
        <f>IF(CB39=0,CA50*(1+CB$9*CB$30),IF(CB39=1,CB162*Valuation!$D$17/10^3,IF(CB39=2,)))</f>
        <v>0</v>
      </c>
      <c r="CC50" s="618">
        <f>IF(CC39=0,CB50*(1+CC$9*CC$30),IF(CC39=1,CC162*Valuation!$D$17/10^3,IF(CC39=2,)))</f>
        <v>0</v>
      </c>
      <c r="CD50" s="618">
        <f>IF(CD39=0,CC50*(1+CD$9*CD$30),IF(CD39=1,CD162*Valuation!$D$17/10^3,IF(CD39=2,)))</f>
        <v>0</v>
      </c>
      <c r="CE50" s="618">
        <f>IF(CE39=0,CD50*(1+CE$9*CE$30),IF(CE39=1,CE162*Valuation!$D$17/10^3,IF(CE39=2,)))</f>
        <v>0</v>
      </c>
      <c r="CF50" s="618">
        <f>IF(CF39=0,CE50*(1+CF$9*CF$30),IF(CF39=1,CF162*Valuation!$D$17/10^3,IF(CF39=2,)))</f>
        <v>0</v>
      </c>
      <c r="CG50" s="618">
        <f>IF(CG39=0,CF50*(1+CG$9*CG$30),IF(CG39=1,CG162*Valuation!$D$17/10^3,IF(CG39=2,)))</f>
        <v>0</v>
      </c>
      <c r="CH50" s="618">
        <f>IF(CH39=0,CG50*(1+CH$9*CH$30),IF(CH39=1,CH162*Valuation!$D$17/10^3,IF(CH39=2,)))</f>
        <v>0</v>
      </c>
      <c r="CI50" s="618">
        <f>IF(CI39=0,CH50*(1+CI$9*CI$30),IF(CI39=1,CI162*Valuation!$D$17/10^3,IF(CI39=2,)))</f>
        <v>0</v>
      </c>
      <c r="CJ50" s="618">
        <f>IF(CJ39=0,CI50*(1+CJ$9*CJ$30),IF(CJ39=1,CJ162*Valuation!$D$17/10^3,IF(CJ39=2,)))</f>
        <v>0</v>
      </c>
      <c r="CK50" s="618">
        <f>IF(CK39=0,CJ50*(1+CK$9*CK$30),IF(CK39=1,CK162*Valuation!$D$17/10^3,IF(CK39=2,)))</f>
        <v>0</v>
      </c>
      <c r="CL50" s="618">
        <f>IF(CL39=0,CK50*(1+CL$9*CL$30),IF(CL39=1,CL162*Valuation!$D$17/10^3,IF(CL39=2,)))</f>
        <v>0</v>
      </c>
      <c r="CM50" s="618">
        <f>IF(CM39=0,CL50*(1+CM$9*CM$30),IF(CM39=1,CM162*Valuation!$D$17/10^3,IF(CM39=2,)))</f>
        <v>0</v>
      </c>
      <c r="CN50" s="618">
        <f>IF(CN39=0,CM50*(1+CN$9*CN$30),IF(CN39=1,CN162*Valuation!$D$17/10^3,IF(CN39=2,)))</f>
        <v>0</v>
      </c>
      <c r="CO50" s="618">
        <f>IF(CO39=0,CN50*(1+CO$9*CO$30),IF(CO39=1,CO162*Valuation!$D$17/10^3,IF(CO39=2,)))</f>
        <v>0</v>
      </c>
      <c r="CP50" s="618">
        <f>IF(CP39=0,CO50*(1+CP$9*CP$30),IF(CP39=1,CP162*Valuation!$D$17/10^3,IF(CP39=2,)))</f>
        <v>0</v>
      </c>
      <c r="CQ50" s="23" t="s">
        <v>77</v>
      </c>
    </row>
    <row r="51" spans="2:95" outlineLevel="1" x14ac:dyDescent="0.2">
      <c r="B51" s="12" t="s">
        <v>509</v>
      </c>
      <c r="D51" s="1000">
        <f>INDEX(U90:CP90,MATCH(1,U40:CP40,0)-1)</f>
        <v>0.87289829439312938</v>
      </c>
      <c r="E51" s="619">
        <f>Valuation!$E$13</f>
        <v>0.1</v>
      </c>
      <c r="K51" s="52" t="s">
        <v>78</v>
      </c>
      <c r="L51" s="52" t="s">
        <v>78</v>
      </c>
      <c r="M51" s="52" t="s">
        <v>78</v>
      </c>
      <c r="N51" s="52" t="s">
        <v>78</v>
      </c>
      <c r="O51" s="52" t="s">
        <v>78</v>
      </c>
      <c r="P51" s="52" t="s">
        <v>78</v>
      </c>
      <c r="Q51" s="52" t="s">
        <v>78</v>
      </c>
      <c r="R51" s="52" t="s">
        <v>78</v>
      </c>
      <c r="S51" s="52" t="s">
        <v>78</v>
      </c>
      <c r="T51" s="52" t="s">
        <v>78</v>
      </c>
      <c r="U51" s="187">
        <f>U77/95%</f>
        <v>38.10526315789474</v>
      </c>
      <c r="V51" s="187">
        <f>V77/95%</f>
        <v>512.21052631578948</v>
      </c>
      <c r="W51" s="187">
        <f>W77/90%</f>
        <v>541.44444444444446</v>
      </c>
      <c r="X51" s="51">
        <f>IF(X40=0,W51*(1+X$16*X$30),IF(X40=1,-X64/(1-PERCENTILE($D51:$E51,$D$33)),IF(X40=2,)))*W17/X17</f>
        <v>559.7815810674723</v>
      </c>
      <c r="Y51" s="51">
        <f t="shared" ref="Y51:AN51" si="37">IF(Y40=0,X51*(1+Y$16*Y$30),IF(Y40=1,-Y64/(1-PERCENTILE($D51:$E51,$D$33)),IF(Y40=2,)))*X17/Y17</f>
        <v>574.44819878419446</v>
      </c>
      <c r="Z51" s="51">
        <f t="shared" si="37"/>
        <v>573.10988973729729</v>
      </c>
      <c r="AA51" s="51">
        <f t="shared" si="37"/>
        <v>556.90624156611648</v>
      </c>
      <c r="AB51" s="51">
        <f t="shared" si="37"/>
        <v>567.48746015587267</v>
      </c>
      <c r="AC51" s="51">
        <f t="shared" si="37"/>
        <v>578.26972189883418</v>
      </c>
      <c r="AD51" s="51">
        <f t="shared" si="37"/>
        <v>589.25684661491198</v>
      </c>
      <c r="AE51" s="51">
        <f t="shared" si="37"/>
        <v>600.45272670059524</v>
      </c>
      <c r="AF51" s="51">
        <f t="shared" si="37"/>
        <v>611.86132850790648</v>
      </c>
      <c r="AG51" s="51">
        <f t="shared" si="37"/>
        <v>623.48669374955659</v>
      </c>
      <c r="AH51" s="51">
        <f t="shared" si="37"/>
        <v>635.33294093079815</v>
      </c>
      <c r="AI51" s="51">
        <f t="shared" si="37"/>
        <v>647.40426680848327</v>
      </c>
      <c r="AJ51" s="51">
        <f t="shared" si="37"/>
        <v>659.70494787784435</v>
      </c>
      <c r="AK51" s="51">
        <f t="shared" si="37"/>
        <v>672.23934188752332</v>
      </c>
      <c r="AL51" s="51">
        <f t="shared" si="37"/>
        <v>685.01188938338612</v>
      </c>
      <c r="AM51" s="51">
        <f t="shared" si="37"/>
        <v>698.02711528167038</v>
      </c>
      <c r="AN51" s="51">
        <f t="shared" si="37"/>
        <v>711.28963047202217</v>
      </c>
      <c r="AO51" s="673">
        <f>IF(AO40=0,AN51*(1+AO$16*AO$30),IF(AO40=1,-AO64/(1-PERCENTILE($D51:$E51,$D$33)),IF(AO40=2,)))*11/12</f>
        <v>664.40378899674135</v>
      </c>
      <c r="AP51" s="258">
        <f>IF(AP40=0,AO51*(1+AP$16*AP$30),IF(AP40=1,-AP64/(1-0.1),IF(AP40=2,)))</f>
        <v>96.175584625535606</v>
      </c>
      <c r="AQ51" s="51">
        <f>IF(AQ40=0,AP51*(1+AQ$16*AQ$30),IF(AQ40=1,-AQ64/(1-PERCENTILE($D51:$E51,$D$33)),IF(AQ40=2,)))</f>
        <v>98.00292073342078</v>
      </c>
      <c r="AR51" s="51">
        <f t="shared" ref="AR51:CP51" si="38">IF(AR40=0,AQ51*(1+AR$16*AR$30),IF(AR40=1,-AR64/(1-PERCENTILE($D51:$E51,$D$33)),IF(AR40=2,)))</f>
        <v>99.864976227355768</v>
      </c>
      <c r="AS51" s="51">
        <f t="shared" si="38"/>
        <v>101.76241077567552</v>
      </c>
      <c r="AT51" s="51">
        <f t="shared" si="38"/>
        <v>103.69589658041335</v>
      </c>
      <c r="AU51" s="51">
        <f t="shared" si="38"/>
        <v>105.66611861544119</v>
      </c>
      <c r="AV51" s="51">
        <f t="shared" si="38"/>
        <v>107.67377486913456</v>
      </c>
      <c r="AW51" s="51">
        <f t="shared" si="38"/>
        <v>109.71957659164811</v>
      </c>
      <c r="AX51" s="51">
        <f t="shared" si="38"/>
        <v>111.80424854688941</v>
      </c>
      <c r="AY51" s="51">
        <f t="shared" si="38"/>
        <v>113.9285292692803</v>
      </c>
      <c r="AZ51" s="51">
        <f t="shared" si="38"/>
        <v>116.09317132539663</v>
      </c>
      <c r="BA51" s="51">
        <f t="shared" si="38"/>
        <v>118.29894158057915</v>
      </c>
      <c r="BB51" s="51">
        <f t="shared" si="38"/>
        <v>120.54662147061015</v>
      </c>
      <c r="BC51" s="51">
        <f t="shared" si="38"/>
        <v>122.83700727855172</v>
      </c>
      <c r="BD51" s="51">
        <f t="shared" si="38"/>
        <v>125.17091041684419</v>
      </c>
      <c r="BE51" s="51">
        <f t="shared" si="38"/>
        <v>127.54915771476422</v>
      </c>
      <c r="BF51" s="51">
        <f t="shared" si="38"/>
        <v>129.97259171134473</v>
      </c>
      <c r="BG51" s="51">
        <f t="shared" si="38"/>
        <v>132.44207095386028</v>
      </c>
      <c r="BH51" s="51">
        <f t="shared" si="38"/>
        <v>134.95847030198362</v>
      </c>
      <c r="BI51" s="51">
        <f t="shared" si="38"/>
        <v>137.52268123772129</v>
      </c>
      <c r="BJ51" s="51">
        <f t="shared" si="38"/>
        <v>140.13561218123797</v>
      </c>
      <c r="BK51" s="51">
        <f t="shared" si="38"/>
        <v>142.79818881268147</v>
      </c>
      <c r="BL51" s="51">
        <f t="shared" si="38"/>
        <v>145.5113544001224</v>
      </c>
      <c r="BM51" s="51">
        <f t="shared" si="38"/>
        <v>148.27607013372472</v>
      </c>
      <c r="BN51" s="51">
        <f t="shared" si="38"/>
        <v>151.09331546626547</v>
      </c>
      <c r="BO51" s="51">
        <f t="shared" si="38"/>
        <v>153.96408846012449</v>
      </c>
      <c r="BP51" s="51">
        <f t="shared" si="38"/>
        <v>156.88940614086684</v>
      </c>
      <c r="BQ51" s="51">
        <f t="shared" si="38"/>
        <v>159.87030485754329</v>
      </c>
      <c r="BR51" s="51">
        <f t="shared" si="38"/>
        <v>162.9078406498366</v>
      </c>
      <c r="BS51" s="51">
        <f t="shared" si="38"/>
        <v>166.00308962218347</v>
      </c>
      <c r="BT51" s="51">
        <f t="shared" si="38"/>
        <v>169.15714832500493</v>
      </c>
      <c r="BU51" s="51">
        <f t="shared" si="38"/>
        <v>172.37113414318</v>
      </c>
      <c r="BV51" s="51">
        <f t="shared" si="38"/>
        <v>175.6461856919004</v>
      </c>
      <c r="BW51" s="51">
        <f t="shared" si="38"/>
        <v>178.9834632200465</v>
      </c>
      <c r="BX51" s="51">
        <f t="shared" si="38"/>
        <v>182.38414902122736</v>
      </c>
      <c r="BY51" s="51">
        <f t="shared" si="38"/>
        <v>185.84944785263068</v>
      </c>
      <c r="BZ51" s="51">
        <f t="shared" si="38"/>
        <v>189.38058736183064</v>
      </c>
      <c r="CA51" s="51">
        <f t="shared" si="38"/>
        <v>192.97881852170539</v>
      </c>
      <c r="CB51" s="51">
        <f t="shared" si="38"/>
        <v>196.64541607361778</v>
      </c>
      <c r="CC51" s="51">
        <f t="shared" si="38"/>
        <v>200.3816789790165</v>
      </c>
      <c r="CD51" s="51">
        <f t="shared" si="38"/>
        <v>204.1889308796178</v>
      </c>
      <c r="CE51" s="51">
        <f t="shared" si="38"/>
        <v>208.06852056633051</v>
      </c>
      <c r="CF51" s="51">
        <f t="shared" si="38"/>
        <v>212.02182245709076</v>
      </c>
      <c r="CG51" s="51">
        <f t="shared" si="38"/>
        <v>216.05023708377547</v>
      </c>
      <c r="CH51" s="51">
        <f t="shared" si="38"/>
        <v>220.15519158836719</v>
      </c>
      <c r="CI51" s="51">
        <f t="shared" si="38"/>
        <v>224.33814022854614</v>
      </c>
      <c r="CJ51" s="51">
        <f t="shared" si="38"/>
        <v>228.60056489288849</v>
      </c>
      <c r="CK51" s="51">
        <f t="shared" si="38"/>
        <v>232.94397562585334</v>
      </c>
      <c r="CL51" s="51">
        <f t="shared" si="38"/>
        <v>237.36991116274453</v>
      </c>
      <c r="CM51" s="51">
        <f t="shared" si="38"/>
        <v>241.87993947483665</v>
      </c>
      <c r="CN51" s="51">
        <f t="shared" si="38"/>
        <v>246.47565832485853</v>
      </c>
      <c r="CO51" s="51">
        <f t="shared" si="38"/>
        <v>251.15869583303081</v>
      </c>
      <c r="CP51" s="51">
        <f t="shared" si="38"/>
        <v>255.93071105385837</v>
      </c>
      <c r="CQ51" s="23" t="s">
        <v>77</v>
      </c>
    </row>
    <row r="52" spans="2:95" outlineLevel="1" x14ac:dyDescent="0.2">
      <c r="B52" s="12" t="s">
        <v>559</v>
      </c>
      <c r="D52" s="1000">
        <f>INDEX(U91:CP91,MATCH(1,U41:CP41,0)-1)</f>
        <v>0.79580779626712639</v>
      </c>
      <c r="E52" s="619">
        <f>Valuation!$E$13</f>
        <v>0.1</v>
      </c>
      <c r="K52" s="52" t="s">
        <v>78</v>
      </c>
      <c r="L52" s="52" t="s">
        <v>78</v>
      </c>
      <c r="M52" s="52" t="s">
        <v>78</v>
      </c>
      <c r="N52" s="52" t="s">
        <v>78</v>
      </c>
      <c r="O52" s="52" t="s">
        <v>78</v>
      </c>
      <c r="P52" s="52" t="s">
        <v>78</v>
      </c>
      <c r="Q52" s="52" t="s">
        <v>78</v>
      </c>
      <c r="R52" s="52" t="s">
        <v>78</v>
      </c>
      <c r="S52" s="52" t="s">
        <v>78</v>
      </c>
      <c r="T52" s="52" t="s">
        <v>78</v>
      </c>
      <c r="U52" s="52" t="s">
        <v>78</v>
      </c>
      <c r="V52" s="52" t="s">
        <v>78</v>
      </c>
      <c r="W52" s="52" t="s">
        <v>78</v>
      </c>
      <c r="X52" s="157" t="s">
        <v>78</v>
      </c>
      <c r="Y52" s="157">
        <f>Y78/0.8</f>
        <v>15.384615384615383</v>
      </c>
      <c r="Z52" s="51">
        <f>IF(Z41=0,Y52*(1+Z$9*Z$30),IF(Z41=1,-Z65/(1-PERCENTILE($D52:$E52,$D$33)),IF(Z41=2,)))</f>
        <v>15.769230769230766</v>
      </c>
      <c r="AA52" s="51">
        <f t="shared" ref="AA52:CL52" si="39">IF(AA41=0,Z52*(1+AA$9*AA$30),IF(AA41=1,-AA65/(1-PERCENTILE($D52:$E52,$D$33)),IF(AA41=2,)))</f>
        <v>16.143749999999997</v>
      </c>
      <c r="AB52" s="51">
        <f t="shared" si="39"/>
        <v>16.527164062499995</v>
      </c>
      <c r="AC52" s="51">
        <f t="shared" si="39"/>
        <v>16.919684208984368</v>
      </c>
      <c r="AD52" s="51">
        <f t="shared" si="39"/>
        <v>17.321526708947747</v>
      </c>
      <c r="AE52" s="51">
        <f t="shared" si="39"/>
        <v>17.732912968285255</v>
      </c>
      <c r="AF52" s="51">
        <f t="shared" si="39"/>
        <v>18.154069651282029</v>
      </c>
      <c r="AG52" s="51">
        <f t="shared" si="39"/>
        <v>18.585228805499977</v>
      </c>
      <c r="AH52" s="51">
        <f t="shared" si="39"/>
        <v>19.026627989630601</v>
      </c>
      <c r="AI52" s="51">
        <f t="shared" si="39"/>
        <v>19.478510404384327</v>
      </c>
      <c r="AJ52" s="51">
        <f t="shared" si="39"/>
        <v>19.941125026488454</v>
      </c>
      <c r="AK52" s="51">
        <f t="shared" si="39"/>
        <v>20.414726745867554</v>
      </c>
      <c r="AL52" s="51">
        <f t="shared" si="39"/>
        <v>20.899576506081907</v>
      </c>
      <c r="AM52" s="51">
        <f t="shared" si="39"/>
        <v>21.39594144810135</v>
      </c>
      <c r="AN52" s="51">
        <f t="shared" si="39"/>
        <v>21.904095057493755</v>
      </c>
      <c r="AO52" s="51">
        <f t="shared" si="39"/>
        <v>22.424317315109231</v>
      </c>
      <c r="AP52" s="51">
        <f t="shared" si="39"/>
        <v>22.956894851343073</v>
      </c>
      <c r="AQ52" s="51">
        <f t="shared" si="39"/>
        <v>23.502121104062468</v>
      </c>
      <c r="AR52" s="51">
        <f t="shared" si="39"/>
        <v>15.326392696824289</v>
      </c>
      <c r="AS52" s="51">
        <f t="shared" si="39"/>
        <v>15.690394523373865</v>
      </c>
      <c r="AT52" s="51">
        <f t="shared" si="39"/>
        <v>16.063041393303994</v>
      </c>
      <c r="AU52" s="51">
        <f t="shared" si="39"/>
        <v>16.444538626394962</v>
      </c>
      <c r="AV52" s="51">
        <f t="shared" si="39"/>
        <v>16.83509641877184</v>
      </c>
      <c r="AW52" s="51">
        <f t="shared" si="39"/>
        <v>17.234929958717672</v>
      </c>
      <c r="AX52" s="51">
        <f t="shared" si="39"/>
        <v>17.644259545237215</v>
      </c>
      <c r="AY52" s="51">
        <f t="shared" si="39"/>
        <v>18.0633107094366</v>
      </c>
      <c r="AZ52" s="51">
        <f t="shared" si="39"/>
        <v>18.492314338785718</v>
      </c>
      <c r="BA52" s="51">
        <f t="shared" si="39"/>
        <v>18.931506804331878</v>
      </c>
      <c r="BB52" s="51">
        <f t="shared" si="39"/>
        <v>19.381130090934761</v>
      </c>
      <c r="BC52" s="51">
        <f t="shared" si="39"/>
        <v>19.84143193059446</v>
      </c>
      <c r="BD52" s="51">
        <f t="shared" si="39"/>
        <v>20.312665938946079</v>
      </c>
      <c r="BE52" s="51">
        <f t="shared" si="39"/>
        <v>20.795091754996047</v>
      </c>
      <c r="BF52" s="51">
        <f t="shared" si="39"/>
        <v>21.2889751841772</v>
      </c>
      <c r="BG52" s="51">
        <f t="shared" si="39"/>
        <v>21.794588344801408</v>
      </c>
      <c r="BH52" s="51">
        <f t="shared" si="39"/>
        <v>22.312209817990439</v>
      </c>
      <c r="BI52" s="51">
        <f t="shared" si="39"/>
        <v>22.84212480116771</v>
      </c>
      <c r="BJ52" s="51">
        <f t="shared" si="39"/>
        <v>23.384625265195442</v>
      </c>
      <c r="BK52" s="51">
        <f t="shared" si="39"/>
        <v>23.940010115243833</v>
      </c>
      <c r="BL52" s="51">
        <f t="shared" si="39"/>
        <v>24.508585355480871</v>
      </c>
      <c r="BM52" s="51">
        <f t="shared" si="39"/>
        <v>25.090664257673541</v>
      </c>
      <c r="BN52" s="51">
        <f t="shared" si="39"/>
        <v>25.686567533793287</v>
      </c>
      <c r="BO52" s="51">
        <f t="shared" si="39"/>
        <v>26.296623512720878</v>
      </c>
      <c r="BP52" s="51">
        <f t="shared" si="39"/>
        <v>26.921168321147995</v>
      </c>
      <c r="BQ52" s="51">
        <f t="shared" si="39"/>
        <v>27.56054606877526</v>
      </c>
      <c r="BR52" s="51">
        <f t="shared" si="39"/>
        <v>28.215109037908672</v>
      </c>
      <c r="BS52" s="51">
        <f t="shared" si="39"/>
        <v>28.885217877559</v>
      </c>
      <c r="BT52" s="51">
        <f t="shared" si="39"/>
        <v>29.571241802151025</v>
      </c>
      <c r="BU52" s="51">
        <f t="shared" si="39"/>
        <v>30.273558794952109</v>
      </c>
      <c r="BV52" s="51">
        <f t="shared" si="39"/>
        <v>30.992555816332221</v>
      </c>
      <c r="BW52" s="51">
        <f t="shared" si="39"/>
        <v>31.72862901697011</v>
      </c>
      <c r="BX52" s="51">
        <f t="shared" si="39"/>
        <v>32.482183956123151</v>
      </c>
      <c r="BY52" s="51">
        <f t="shared" si="39"/>
        <v>33.253635825081076</v>
      </c>
      <c r="BZ52" s="51">
        <f t="shared" si="39"/>
        <v>34.043409675926753</v>
      </c>
      <c r="CA52" s="51">
        <f t="shared" si="39"/>
        <v>34.851940655730012</v>
      </c>
      <c r="CB52" s="51">
        <f t="shared" si="39"/>
        <v>35.679674246303598</v>
      </c>
      <c r="CC52" s="51">
        <f t="shared" si="39"/>
        <v>36.527066509653309</v>
      </c>
      <c r="CD52" s="51">
        <f t="shared" si="39"/>
        <v>37.394584339257577</v>
      </c>
      <c r="CE52" s="51">
        <f t="shared" si="39"/>
        <v>38.28270571731494</v>
      </c>
      <c r="CF52" s="51">
        <f t="shared" si="39"/>
        <v>39.191919978101168</v>
      </c>
      <c r="CG52" s="51">
        <f t="shared" si="39"/>
        <v>40.122728077581066</v>
      </c>
      <c r="CH52" s="51">
        <f t="shared" si="39"/>
        <v>41.075642869423611</v>
      </c>
      <c r="CI52" s="51">
        <f t="shared" si="39"/>
        <v>42.051189387572421</v>
      </c>
      <c r="CJ52" s="51">
        <f t="shared" si="39"/>
        <v>43.049905135527261</v>
      </c>
      <c r="CK52" s="51">
        <f t="shared" si="39"/>
        <v>44.07234038249603</v>
      </c>
      <c r="CL52" s="51">
        <f t="shared" si="39"/>
        <v>45.119058466580306</v>
      </c>
      <c r="CM52" s="51">
        <f t="shared" ref="CM52:CP52" si="40">IF(CM41=0,CL52*(1+CM$9*CM$30),IF(CM41=1,-CM65/(1-PERCENTILE($D52:$E52,$D$33)),IF(CM41=2,)))</f>
        <v>46.190636105161587</v>
      </c>
      <c r="CN52" s="51">
        <f t="shared" si="40"/>
        <v>47.287663712659175</v>
      </c>
      <c r="CO52" s="51">
        <f t="shared" si="40"/>
        <v>48.410745725834829</v>
      </c>
      <c r="CP52" s="51">
        <f t="shared" si="40"/>
        <v>0</v>
      </c>
      <c r="CQ52" s="362" t="s">
        <v>77</v>
      </c>
    </row>
    <row r="53" spans="2:95" outlineLevel="1" x14ac:dyDescent="0.2">
      <c r="B53" s="12" t="s">
        <v>567</v>
      </c>
      <c r="D53" s="309">
        <v>0.70299230406731805</v>
      </c>
      <c r="E53" s="511" t="s">
        <v>579</v>
      </c>
      <c r="K53" s="52" t="s">
        <v>78</v>
      </c>
      <c r="L53" s="52" t="s">
        <v>78</v>
      </c>
      <c r="M53" s="52" t="s">
        <v>78</v>
      </c>
      <c r="N53" s="52" t="s">
        <v>78</v>
      </c>
      <c r="O53" s="52" t="s">
        <v>78</v>
      </c>
      <c r="P53" s="52" t="s">
        <v>78</v>
      </c>
      <c r="Q53" s="52" t="s">
        <v>78</v>
      </c>
      <c r="R53" s="52" t="s">
        <v>78</v>
      </c>
      <c r="S53" s="52" t="s">
        <v>78</v>
      </c>
      <c r="T53" s="52" t="s">
        <v>78</v>
      </c>
      <c r="U53" s="52" t="s">
        <v>78</v>
      </c>
      <c r="V53" s="52" t="s">
        <v>78</v>
      </c>
      <c r="W53" s="52" t="s">
        <v>78</v>
      </c>
      <c r="X53" s="157" t="s">
        <v>78</v>
      </c>
      <c r="Y53" s="157">
        <f>Y79/0.7</f>
        <v>7.1428571428571432</v>
      </c>
      <c r="Z53" s="157">
        <f>Z79/0.7</f>
        <v>21.428571428571431</v>
      </c>
      <c r="AA53" s="272">
        <f t="shared" ref="AA53:AJ53" si="41">+Z53*(1+AA$9*AA$30)</f>
        <v>21.9375</v>
      </c>
      <c r="AB53" s="272">
        <f t="shared" si="41"/>
        <v>22.458515624999997</v>
      </c>
      <c r="AC53" s="272">
        <f t="shared" si="41"/>
        <v>22.991905371093747</v>
      </c>
      <c r="AD53" s="272">
        <f t="shared" si="41"/>
        <v>23.537963123657221</v>
      </c>
      <c r="AE53" s="272">
        <f t="shared" si="41"/>
        <v>24.096989747844077</v>
      </c>
      <c r="AF53" s="272">
        <f t="shared" si="41"/>
        <v>24.669293254355374</v>
      </c>
      <c r="AG53" s="272">
        <f t="shared" si="41"/>
        <v>25.255188969146314</v>
      </c>
      <c r="AH53" s="272">
        <f t="shared" si="41"/>
        <v>25.854999707163536</v>
      </c>
      <c r="AI53" s="272">
        <f t="shared" si="41"/>
        <v>26.46905595020867</v>
      </c>
      <c r="AJ53" s="272">
        <f t="shared" si="41"/>
        <v>27.097696029026125</v>
      </c>
      <c r="AK53" s="618">
        <f>IF(AK42=0,AJ53*(1+AK$9*AK$30),IF(AK42=1,AK168*Valuation!$D$17/10^3,IF(AK42=2,)))</f>
        <v>12.339835944149998</v>
      </c>
      <c r="AL53" s="618">
        <f>IF(AL42=0,AK53*(1+AL$9*AL$30),IF(AL42=1,AL168*Valuation!$D$17/10^3,IF(AL42=2,)))</f>
        <v>12.63290704782356</v>
      </c>
      <c r="AM53" s="618">
        <f>IF(AM42=0,AL53*(1+AM$9*AM$30),IF(AM42=1,AM168*Valuation!$D$17/10^3,IF(AM42=2,)))</f>
        <v>12.932938590209368</v>
      </c>
      <c r="AN53" s="618">
        <f>IF(AN42=0,AM53*(1+AN$9*AN$30),IF(AN42=1,AN168*Valuation!$D$17/10^3,IF(AN42=2,)))</f>
        <v>13.240095881726839</v>
      </c>
      <c r="AO53" s="618">
        <f>IF(AO42=0,AN53*(1+AO$9*AO$30),IF(AO42=1,AO168*Valuation!$D$17/10^3,IF(AO42=2,)))</f>
        <v>13.55454815891785</v>
      </c>
      <c r="AP53" s="618">
        <f>IF(AP42=0,AO53*(1+AP$9*AP$30),IF(AP42=1,AP168*Valuation!$D$17/10^3,IF(AP42=2,)))</f>
        <v>13.876468677692149</v>
      </c>
      <c r="AQ53" s="618">
        <f>IF(AQ42=0,AP53*(1+AQ$9*AQ$30),IF(AQ42=1,AQ168*Valuation!$D$17/10^3,IF(AQ42=2,)))</f>
        <v>14.206034808787336</v>
      </c>
      <c r="AR53" s="618">
        <f>IF(AR42=0,AQ53*(1+AR$9*AR$30),IF(AR42=1,AR168*Valuation!$D$17/10^3,IF(AR42=2,)))</f>
        <v>14.543428135496034</v>
      </c>
      <c r="AS53" s="618">
        <f>IF(AS42=0,AR53*(1+AS$9*AS$30),IF(AS42=1,AS168*Valuation!$D$17/10^3,IF(AS42=2,)))</f>
        <v>14.888834553714064</v>
      </c>
      <c r="AT53" s="618">
        <f>IF(AT42=0,AS53*(1+AT$9*AT$30),IF(AT42=1,AT168*Valuation!$D$17/10^3,IF(AT42=2,)))</f>
        <v>15.242444374364773</v>
      </c>
      <c r="AU53" s="618">
        <f>IF(AU42=0,AT53*(1+AU$9*AU$30),IF(AU42=1,AU168*Valuation!$D$17/10^3,IF(AU42=2,)))</f>
        <v>15.604452428255936</v>
      </c>
      <c r="AV53" s="618">
        <f>IF(AV42=0,AU53*(1+AV$9*AV$30),IF(AV42=1,AV168*Valuation!$D$17/10^3,IF(AV42=2,)))</f>
        <v>15.975058173427014</v>
      </c>
      <c r="AW53" s="618">
        <f>IF(AW42=0,AV53*(1+AW$9*AW$30),IF(AW42=1,AW168*Valuation!$D$17/10^3,IF(AW42=2,)))</f>
        <v>0</v>
      </c>
      <c r="AX53" s="618">
        <f>IF(AX42=0,AW53*(1+AX$9*AX$30),IF(AX42=1,AX168*Valuation!$D$17/10^3,IF(AX42=2,)))</f>
        <v>0</v>
      </c>
      <c r="AY53" s="618">
        <f>IF(AY42=0,AX53*(1+AY$9*AY$30),IF(AY42=1,AY168*Valuation!$D$17/10^3,IF(AY42=2,)))</f>
        <v>0</v>
      </c>
      <c r="AZ53" s="618">
        <f>IF(AZ42=0,AY53*(1+AZ$9*AZ$30),IF(AZ42=1,AZ168*Valuation!$D$17/10^3,IF(AZ42=2,)))</f>
        <v>0</v>
      </c>
      <c r="BA53" s="618">
        <f>IF(BA42=0,AZ53*(1+BA$9*BA$30),IF(BA42=1,BA168*Valuation!$D$17/10^3,IF(BA42=2,)))</f>
        <v>0</v>
      </c>
      <c r="BB53" s="618">
        <f>IF(BB42=0,BA53*(1+BB$9*BB$30),IF(BB42=1,BB168*Valuation!$D$17/10^3,IF(BB42=2,)))</f>
        <v>0</v>
      </c>
      <c r="BC53" s="618">
        <f>IF(BC42=0,BB53*(1+BC$9*BC$30),IF(BC42=1,BC168*Valuation!$D$17/10^3,IF(BC42=2,)))</f>
        <v>0</v>
      </c>
      <c r="BD53" s="618">
        <f>IF(BD42=0,BC53*(1+BD$9*BD$30),IF(BD42=1,BD168*Valuation!$D$17/10^3,IF(BD42=2,)))</f>
        <v>0</v>
      </c>
      <c r="BE53" s="618">
        <f>IF(BE42=0,BD53*(1+BE$9*BE$30),IF(BE42=1,BE168*Valuation!$D$17/10^3,IF(BE42=2,)))</f>
        <v>0</v>
      </c>
      <c r="BF53" s="618">
        <f>IF(BF42=0,BE53*(1+BF$9*BF$30),IF(BF42=1,BF168*Valuation!$D$17/10^3,IF(BF42=2,)))</f>
        <v>0</v>
      </c>
      <c r="BG53" s="618">
        <f>IF(BG42=0,BF53*(1+BG$9*BG$30),IF(BG42=1,BG168*Valuation!$D$17/10^3,IF(BG42=2,)))</f>
        <v>0</v>
      </c>
      <c r="BH53" s="618">
        <f>IF(BH42=0,BG53*(1+BH$9*BH$30),IF(BH42=1,BH168*Valuation!$D$17/10^3,IF(BH42=2,)))</f>
        <v>0</v>
      </c>
      <c r="BI53" s="618">
        <f>IF(BI42=0,BH53*(1+BI$9*BI$30),IF(BI42=1,BI168*Valuation!$D$17/10^3,IF(BI42=2,)))</f>
        <v>0</v>
      </c>
      <c r="BJ53" s="618">
        <f>IF(BJ42=0,BI53*(1+BJ$9*BJ$30),IF(BJ42=1,BJ168*Valuation!$D$17/10^3,IF(BJ42=2,)))</f>
        <v>0</v>
      </c>
      <c r="BK53" s="618">
        <f>IF(BK42=0,BJ53*(1+BK$9*BK$30),IF(BK42=1,BK168*Valuation!$D$17/10^3,IF(BK42=2,)))</f>
        <v>0</v>
      </c>
      <c r="BL53" s="618">
        <f>IF(BL42=0,BK53*(1+BL$9*BL$30),IF(BL42=1,BL168*Valuation!$D$17/10^3,IF(BL42=2,)))</f>
        <v>0</v>
      </c>
      <c r="BM53" s="618">
        <f>IF(BM42=0,BL53*(1+BM$9*BM$30),IF(BM42=1,BM168*Valuation!$D$17/10^3,IF(BM42=2,)))</f>
        <v>0</v>
      </c>
      <c r="BN53" s="618">
        <f>IF(BN42=0,BM53*(1+BN$9*BN$30),IF(BN42=1,BN168*Valuation!$D$17/10^3,IF(BN42=2,)))</f>
        <v>0</v>
      </c>
      <c r="BO53" s="618">
        <f>IF(BO42=0,BN53*(1+BO$9*BO$30),IF(BO42=1,BO168*Valuation!$D$17/10^3,IF(BO42=2,)))</f>
        <v>0</v>
      </c>
      <c r="BP53" s="618">
        <f>IF(BP42=0,BO53*(1+BP$9*BP$30),IF(BP42=1,BP168*Valuation!$D$17/10^3,IF(BP42=2,)))</f>
        <v>0</v>
      </c>
      <c r="BQ53" s="618">
        <f>IF(BQ42=0,BP53*(1+BQ$9*BQ$30),IF(BQ42=1,BQ168*Valuation!$D$17/10^3,IF(BQ42=2,)))</f>
        <v>0</v>
      </c>
      <c r="BR53" s="618">
        <f>IF(BR42=0,BQ53*(1+BR$9*BR$30),IF(BR42=1,BR168*Valuation!$D$17/10^3,IF(BR42=2,)))</f>
        <v>0</v>
      </c>
      <c r="BS53" s="618">
        <f>IF(BS42=0,BR53*(1+BS$9*BS$30),IF(BS42=1,BS168*Valuation!$D$17/10^3,IF(BS42=2,)))</f>
        <v>0</v>
      </c>
      <c r="BT53" s="618">
        <f>IF(BT42=0,BS53*(1+BT$9*BT$30),IF(BT42=1,BT168*Valuation!$D$17/10^3,IF(BT42=2,)))</f>
        <v>0</v>
      </c>
      <c r="BU53" s="618">
        <f>IF(BU42=0,BT53*(1+BU$9*BU$30),IF(BU42=1,BU168*Valuation!$D$17/10^3,IF(BU42=2,)))</f>
        <v>0</v>
      </c>
      <c r="BV53" s="618">
        <f>IF(BV42=0,BU53*(1+BV$9*BV$30),IF(BV42=1,BV168*Valuation!$D$17/10^3,IF(BV42=2,)))</f>
        <v>0</v>
      </c>
      <c r="BW53" s="618">
        <f>IF(BW42=0,BV53*(1+BW$9*BW$30),IF(BW42=1,BW168*Valuation!$D$17/10^3,IF(BW42=2,)))</f>
        <v>0</v>
      </c>
      <c r="BX53" s="618">
        <f>IF(BX42=0,BW53*(1+BX$9*BX$30),IF(BX42=1,BX168*Valuation!$D$17/10^3,IF(BX42=2,)))</f>
        <v>0</v>
      </c>
      <c r="BY53" s="618">
        <f>IF(BY42=0,BX53*(1+BY$9*BY$30),IF(BY42=1,BY168*Valuation!$D$17/10^3,IF(BY42=2,)))</f>
        <v>0</v>
      </c>
      <c r="BZ53" s="618">
        <f>IF(BZ42=0,BY53*(1+BZ$9*BZ$30),IF(BZ42=1,BZ168*Valuation!$D$17/10^3,IF(BZ42=2,)))</f>
        <v>0</v>
      </c>
      <c r="CA53" s="618">
        <f>IF(CA42=0,BZ53*(1+CA$9*CA$30),IF(CA42=1,CA168*Valuation!$D$17/10^3,IF(CA42=2,)))</f>
        <v>0</v>
      </c>
      <c r="CB53" s="618">
        <f>IF(CB42=0,CA53*(1+CB$9*CB$30),IF(CB42=1,CB168*Valuation!$D$17/10^3,IF(CB42=2,)))</f>
        <v>0</v>
      </c>
      <c r="CC53" s="618">
        <f>IF(CC42=0,CB53*(1+CC$9*CC$30),IF(CC42=1,CC168*Valuation!$D$17/10^3,IF(CC42=2,)))</f>
        <v>0</v>
      </c>
      <c r="CD53" s="618">
        <f>IF(CD42=0,CC53*(1+CD$9*CD$30),IF(CD42=1,CD168*Valuation!$D$17/10^3,IF(CD42=2,)))</f>
        <v>0</v>
      </c>
      <c r="CE53" s="618">
        <f>IF(CE42=0,CD53*(1+CE$9*CE$30),IF(CE42=1,CE168*Valuation!$D$17/10^3,IF(CE42=2,)))</f>
        <v>0</v>
      </c>
      <c r="CF53" s="618">
        <f>IF(CF42=0,CE53*(1+CF$9*CF$30),IF(CF42=1,CF168*Valuation!$D$17/10^3,IF(CF42=2,)))</f>
        <v>0</v>
      </c>
      <c r="CG53" s="618">
        <f>IF(CG42=0,CF53*(1+CG$9*CG$30),IF(CG42=1,CG168*Valuation!$D$17/10^3,IF(CG42=2,)))</f>
        <v>0</v>
      </c>
      <c r="CH53" s="618">
        <f>IF(CH42=0,CG53*(1+CH$9*CH$30),IF(CH42=1,CH168*Valuation!$D$17/10^3,IF(CH42=2,)))</f>
        <v>0</v>
      </c>
      <c r="CI53" s="618">
        <f>IF(CI42=0,CH53*(1+CI$9*CI$30),IF(CI42=1,CI168*Valuation!$D$17/10^3,IF(CI42=2,)))</f>
        <v>0</v>
      </c>
      <c r="CJ53" s="618">
        <f>IF(CJ42=0,CI53*(1+CJ$9*CJ$30),IF(CJ42=1,CJ168*Valuation!$D$17/10^3,IF(CJ42=2,)))</f>
        <v>0</v>
      </c>
      <c r="CK53" s="618">
        <f>IF(CK42=0,CJ53*(1+CK$9*CK$30),IF(CK42=1,CK168*Valuation!$D$17/10^3,IF(CK42=2,)))</f>
        <v>0</v>
      </c>
      <c r="CL53" s="618">
        <f>IF(CL42=0,CK53*(1+CL$9*CL$30),IF(CL42=1,CL168*Valuation!$D$17/10^3,IF(CL42=2,)))</f>
        <v>0</v>
      </c>
      <c r="CM53" s="618">
        <f>IF(CM42=0,CL53*(1+CM$9*CM$30),IF(CM42=1,CM168*Valuation!$D$17/10^3,IF(CM42=2,)))</f>
        <v>0</v>
      </c>
      <c r="CN53" s="618">
        <f>IF(CN42=0,CM53*(1+CN$9*CN$30),IF(CN42=1,CN168*Valuation!$D$17/10^3,IF(CN42=2,)))</f>
        <v>0</v>
      </c>
      <c r="CO53" s="618">
        <f>IF(CO42=0,CN53*(1+CO$9*CO$30),IF(CO42=1,CO168*Valuation!$D$17/10^3,IF(CO42=2,)))</f>
        <v>0</v>
      </c>
      <c r="CP53" s="618">
        <f>IF(CP42=0,CO53*(1+CP$9*CP$30),IF(CP42=1,CP168*Valuation!$D$17/10^3,IF(CP42=2,)))</f>
        <v>0</v>
      </c>
      <c r="CQ53" s="362" t="s">
        <v>77</v>
      </c>
    </row>
    <row r="54" spans="2:95" outlineLevel="1" x14ac:dyDescent="0.2">
      <c r="B54" s="74" t="s">
        <v>299</v>
      </c>
      <c r="D54" s="485"/>
      <c r="E54" s="485"/>
      <c r="F54" s="485"/>
      <c r="G54" s="485"/>
      <c r="H54" s="485"/>
      <c r="I54" s="485"/>
      <c r="J54" s="485"/>
      <c r="K54" s="85">
        <f>SUM(K45:K51)</f>
        <v>0</v>
      </c>
      <c r="L54" s="85">
        <f t="shared" ref="L54:V54" si="42">SUM(L45:L51)</f>
        <v>0</v>
      </c>
      <c r="M54" s="85">
        <f t="shared" si="42"/>
        <v>0</v>
      </c>
      <c r="N54" s="85">
        <f t="shared" si="42"/>
        <v>137.41765088812423</v>
      </c>
      <c r="O54" s="85">
        <f t="shared" si="42"/>
        <v>143.98491431156256</v>
      </c>
      <c r="P54" s="85">
        <f t="shared" si="42"/>
        <v>151.20107258329946</v>
      </c>
      <c r="Q54" s="85">
        <f t="shared" si="42"/>
        <v>107.708</v>
      </c>
      <c r="R54" s="85">
        <f t="shared" si="42"/>
        <v>112.22499999999999</v>
      </c>
      <c r="S54" s="85">
        <f t="shared" si="42"/>
        <v>217.53000000000003</v>
      </c>
      <c r="T54" s="85">
        <f t="shared" si="42"/>
        <v>271.77231795197497</v>
      </c>
      <c r="U54" s="85">
        <f>SUM(U45:U51)</f>
        <v>388.89769072298253</v>
      </c>
      <c r="V54" s="85">
        <f t="shared" si="42"/>
        <v>939.91995940248148</v>
      </c>
      <c r="W54" s="85">
        <f>SUM(W45:W51)</f>
        <v>1114.4513262189555</v>
      </c>
      <c r="X54" s="85">
        <f>SUM(X45:X52)</f>
        <v>1138.6286348863459</v>
      </c>
      <c r="Y54" s="85">
        <f t="shared" ref="Y54:AJ54" si="43">SUM(Y45:Y53)</f>
        <v>1189.1864014760126</v>
      </c>
      <c r="Z54" s="85">
        <f t="shared" si="43"/>
        <v>1216.3136903535533</v>
      </c>
      <c r="AA54" s="85">
        <f t="shared" si="43"/>
        <v>1212.2318824470087</v>
      </c>
      <c r="AB54" s="85">
        <f t="shared" si="43"/>
        <v>1234.2903350076863</v>
      </c>
      <c r="AC54" s="85">
        <f t="shared" si="43"/>
        <v>1260.4758148693513</v>
      </c>
      <c r="AD54" s="85">
        <f t="shared" si="43"/>
        <v>1288.0693771314659</v>
      </c>
      <c r="AE54" s="85">
        <f t="shared" si="43"/>
        <v>1316.2729344533527</v>
      </c>
      <c r="AF54" s="85">
        <f t="shared" si="43"/>
        <v>1345.1002285194259</v>
      </c>
      <c r="AG54" s="85">
        <f t="shared" si="43"/>
        <v>1377.5358369359394</v>
      </c>
      <c r="AH54" s="85">
        <f t="shared" si="43"/>
        <v>1407.1918859496452</v>
      </c>
      <c r="AI54" s="85">
        <f t="shared" si="43"/>
        <v>1277.1120316135962</v>
      </c>
      <c r="AJ54" s="85">
        <f t="shared" si="43"/>
        <v>1150.6554898949526</v>
      </c>
      <c r="AK54" s="85">
        <f>SUM(AK45:AK53)</f>
        <v>1159.3435905257047</v>
      </c>
      <c r="AL54" s="85">
        <f t="shared" ref="AL54:BD54" si="44">SUM(AL45:AL53)</f>
        <v>1183.5773453664744</v>
      </c>
      <c r="AM54" s="85">
        <f t="shared" si="44"/>
        <v>1208.323957799149</v>
      </c>
      <c r="AN54" s="85">
        <f t="shared" si="44"/>
        <v>1233.5929875726247</v>
      </c>
      <c r="AO54" s="85">
        <f t="shared" si="44"/>
        <v>1198.9978790422458</v>
      </c>
      <c r="AP54" s="85">
        <f t="shared" si="44"/>
        <v>643.34886110808498</v>
      </c>
      <c r="AQ54" s="85">
        <f t="shared" si="44"/>
        <v>658.0522205363543</v>
      </c>
      <c r="AR54" s="85">
        <f t="shared" si="44"/>
        <v>523.20982508664008</v>
      </c>
      <c r="AS54" s="85">
        <f t="shared" si="44"/>
        <v>535.16169979536767</v>
      </c>
      <c r="AT54" s="85">
        <f t="shared" si="44"/>
        <v>547.38841871432328</v>
      </c>
      <c r="AU54" s="85">
        <f t="shared" si="44"/>
        <v>559.89633815003151</v>
      </c>
      <c r="AV54" s="85">
        <f t="shared" si="44"/>
        <v>572.69196211767132</v>
      </c>
      <c r="AW54" s="85">
        <f t="shared" si="44"/>
        <v>569.42747998229163</v>
      </c>
      <c r="AX54" s="85">
        <f t="shared" si="44"/>
        <v>582.43021464306071</v>
      </c>
      <c r="AY54" s="85">
        <f t="shared" si="44"/>
        <v>595.73186206023558</v>
      </c>
      <c r="AZ54" s="85">
        <f t="shared" si="44"/>
        <v>609.3393332701371</v>
      </c>
      <c r="BA54" s="85">
        <f t="shared" si="44"/>
        <v>516.68321755477893</v>
      </c>
      <c r="BB54" s="85">
        <f t="shared" si="44"/>
        <v>528.39252399919724</v>
      </c>
      <c r="BC54" s="85">
        <f t="shared" si="44"/>
        <v>540.36924999219275</v>
      </c>
      <c r="BD54" s="85">
        <f t="shared" si="44"/>
        <v>552.61954389493417</v>
      </c>
      <c r="BE54" s="85">
        <f t="shared" ref="BE54:CP54" si="45">SUM(BE45:BE53)</f>
        <v>565.14969623795878</v>
      </c>
      <c r="BF54" s="85">
        <f t="shared" si="45"/>
        <v>577.96614302446505</v>
      </c>
      <c r="BG54" s="85">
        <f t="shared" si="45"/>
        <v>591.07546911066709</v>
      </c>
      <c r="BH54" s="85">
        <f t="shared" si="45"/>
        <v>604.4844116650147</v>
      </c>
      <c r="BI54" s="85">
        <f t="shared" si="45"/>
        <v>618.19986370812433</v>
      </c>
      <c r="BJ54" s="85">
        <f t="shared" si="45"/>
        <v>632.22887773531306</v>
      </c>
      <c r="BK54" s="85">
        <f t="shared" si="45"/>
        <v>646.5786694236657</v>
      </c>
      <c r="BL54" s="85">
        <f t="shared" si="45"/>
        <v>661.25662142561748</v>
      </c>
      <c r="BM54" s="85">
        <f t="shared" si="45"/>
        <v>676.27028725107539</v>
      </c>
      <c r="BN54" s="85">
        <f t="shared" si="45"/>
        <v>691.62739524015319</v>
      </c>
      <c r="BO54" s="85">
        <f t="shared" si="45"/>
        <v>707.33585262864187</v>
      </c>
      <c r="BP54" s="85">
        <f t="shared" si="45"/>
        <v>723.4037497083865</v>
      </c>
      <c r="BQ54" s="85">
        <f t="shared" si="45"/>
        <v>739.83936408479144</v>
      </c>
      <c r="BR54" s="85">
        <f t="shared" si="45"/>
        <v>756.65116503373201</v>
      </c>
      <c r="BS54" s="85">
        <f t="shared" si="45"/>
        <v>773.84781796019615</v>
      </c>
      <c r="BT54" s="85">
        <f t="shared" si="45"/>
        <v>791.43818896104563</v>
      </c>
      <c r="BU54" s="85">
        <f t="shared" si="45"/>
        <v>809.43134949432658</v>
      </c>
      <c r="BV54" s="85">
        <f t="shared" si="45"/>
        <v>827.83658115763672</v>
      </c>
      <c r="BW54" s="85">
        <f t="shared" si="45"/>
        <v>846.66338057809389</v>
      </c>
      <c r="BX54" s="85">
        <f t="shared" si="45"/>
        <v>865.92146441652835</v>
      </c>
      <c r="BY54" s="85">
        <f t="shared" si="45"/>
        <v>885.62077448856996</v>
      </c>
      <c r="BZ54" s="85">
        <f t="shared" si="45"/>
        <v>905.77148300537351</v>
      </c>
      <c r="CA54" s="85">
        <f t="shared" si="45"/>
        <v>926.38399793678229</v>
      </c>
      <c r="CB54" s="85">
        <f t="shared" si="45"/>
        <v>947.46896849980283</v>
      </c>
      <c r="CC54" s="85">
        <f t="shared" si="45"/>
        <v>969.03729077532341</v>
      </c>
      <c r="CD54" s="85">
        <f t="shared" si="45"/>
        <v>991.100113456087</v>
      </c>
      <c r="CE54" s="85">
        <f t="shared" si="45"/>
        <v>1013.6688437289906</v>
      </c>
      <c r="CF54" s="85">
        <f t="shared" si="45"/>
        <v>1036.7551532948642</v>
      </c>
      <c r="CG54" s="85">
        <f t="shared" si="45"/>
        <v>1060.3709845289459</v>
      </c>
      <c r="CH54" s="85">
        <f t="shared" si="45"/>
        <v>261.23083445779082</v>
      </c>
      <c r="CI54" s="85">
        <f t="shared" si="45"/>
        <v>266.38932961611857</v>
      </c>
      <c r="CJ54" s="85">
        <f t="shared" si="45"/>
        <v>271.65047002841573</v>
      </c>
      <c r="CK54" s="85">
        <f t="shared" si="45"/>
        <v>277.01631600834935</v>
      </c>
      <c r="CL54" s="85">
        <f t="shared" si="45"/>
        <v>282.48896962932486</v>
      </c>
      <c r="CM54" s="85">
        <f t="shared" si="45"/>
        <v>288.07057557999826</v>
      </c>
      <c r="CN54" s="85">
        <f t="shared" si="45"/>
        <v>293.7633220375177</v>
      </c>
      <c r="CO54" s="85">
        <f t="shared" si="45"/>
        <v>299.56944155886561</v>
      </c>
      <c r="CP54" s="85">
        <f t="shared" si="45"/>
        <v>255.93071105385837</v>
      </c>
      <c r="CQ54" s="362" t="s">
        <v>77</v>
      </c>
    </row>
    <row r="55" spans="2:95" s="514" customFormat="1" outlineLevel="1" x14ac:dyDescent="0.2">
      <c r="B55" s="311" t="s">
        <v>46</v>
      </c>
      <c r="C55" s="513"/>
      <c r="K55" s="245" t="s">
        <v>78</v>
      </c>
      <c r="L55" s="245" t="s">
        <v>78</v>
      </c>
      <c r="M55" s="245" t="s">
        <v>78</v>
      </c>
      <c r="O55" s="245" t="b">
        <f t="shared" ref="O55:BD55" si="46">IF(ABS(O21-O54)&lt;0.1,TRUE,O21-O54)</f>
        <v>1</v>
      </c>
      <c r="P55" s="245" t="b">
        <f t="shared" si="46"/>
        <v>1</v>
      </c>
      <c r="Q55" s="245" t="b">
        <f t="shared" si="46"/>
        <v>1</v>
      </c>
      <c r="R55" s="245" t="b">
        <f t="shared" si="46"/>
        <v>1</v>
      </c>
      <c r="S55" s="245" t="b">
        <f t="shared" si="46"/>
        <v>1</v>
      </c>
      <c r="T55" s="245" t="b">
        <f t="shared" si="46"/>
        <v>1</v>
      </c>
      <c r="U55" s="245" t="b">
        <f t="shared" si="46"/>
        <v>1</v>
      </c>
      <c r="V55" s="245" t="b">
        <f t="shared" si="46"/>
        <v>1</v>
      </c>
      <c r="W55" s="245" t="b">
        <f t="shared" si="46"/>
        <v>1</v>
      </c>
      <c r="X55" s="245" t="b">
        <f t="shared" si="46"/>
        <v>1</v>
      </c>
      <c r="Y55" s="245" t="b">
        <f t="shared" si="46"/>
        <v>1</v>
      </c>
      <c r="Z55" s="245" t="b">
        <f t="shared" si="46"/>
        <v>1</v>
      </c>
      <c r="AA55" s="245" t="b">
        <f t="shared" si="46"/>
        <v>1</v>
      </c>
      <c r="AB55" s="245" t="b">
        <f t="shared" si="46"/>
        <v>1</v>
      </c>
      <c r="AC55" s="245" t="b">
        <f t="shared" si="46"/>
        <v>1</v>
      </c>
      <c r="AD55" s="245" t="b">
        <f t="shared" si="46"/>
        <v>1</v>
      </c>
      <c r="AE55" s="245" t="b">
        <f t="shared" si="46"/>
        <v>1</v>
      </c>
      <c r="AF55" s="245" t="b">
        <f t="shared" si="46"/>
        <v>1</v>
      </c>
      <c r="AG55" s="245" t="b">
        <f t="shared" si="46"/>
        <v>1</v>
      </c>
      <c r="AH55" s="245" t="b">
        <f t="shared" si="46"/>
        <v>1</v>
      </c>
      <c r="AI55" s="245" t="b">
        <f t="shared" si="46"/>
        <v>1</v>
      </c>
      <c r="AJ55" s="245" t="b">
        <f t="shared" si="46"/>
        <v>1</v>
      </c>
      <c r="AK55" s="245" t="b">
        <f t="shared" si="46"/>
        <v>1</v>
      </c>
      <c r="AL55" s="245" t="b">
        <f t="shared" si="46"/>
        <v>1</v>
      </c>
      <c r="AM55" s="245" t="b">
        <f t="shared" si="46"/>
        <v>1</v>
      </c>
      <c r="AN55" s="245" t="b">
        <f t="shared" si="46"/>
        <v>1</v>
      </c>
      <c r="AO55" s="245" t="b">
        <f t="shared" si="46"/>
        <v>1</v>
      </c>
      <c r="AP55" s="245" t="b">
        <f t="shared" si="46"/>
        <v>1</v>
      </c>
      <c r="AQ55" s="245" t="b">
        <f t="shared" si="46"/>
        <v>1</v>
      </c>
      <c r="AR55" s="245" t="b">
        <f t="shared" si="46"/>
        <v>1</v>
      </c>
      <c r="AS55" s="245" t="b">
        <f t="shared" si="46"/>
        <v>1</v>
      </c>
      <c r="AT55" s="245" t="b">
        <f t="shared" si="46"/>
        <v>1</v>
      </c>
      <c r="AU55" s="245" t="b">
        <f t="shared" si="46"/>
        <v>1</v>
      </c>
      <c r="AV55" s="245" t="b">
        <f t="shared" si="46"/>
        <v>1</v>
      </c>
      <c r="AW55" s="245" t="b">
        <f t="shared" si="46"/>
        <v>1</v>
      </c>
      <c r="AX55" s="245" t="b">
        <f t="shared" si="46"/>
        <v>1</v>
      </c>
      <c r="AY55" s="245" t="b">
        <f t="shared" si="46"/>
        <v>1</v>
      </c>
      <c r="AZ55" s="245" t="b">
        <f t="shared" si="46"/>
        <v>1</v>
      </c>
      <c r="BA55" s="245" t="b">
        <f t="shared" si="46"/>
        <v>1</v>
      </c>
      <c r="BB55" s="245" t="b">
        <f t="shared" si="46"/>
        <v>1</v>
      </c>
      <c r="BC55" s="245" t="b">
        <f t="shared" si="46"/>
        <v>1</v>
      </c>
      <c r="BD55" s="245" t="b">
        <f t="shared" si="46"/>
        <v>1</v>
      </c>
      <c r="BE55" s="245" t="b">
        <f t="shared" ref="BE55:CP55" si="47">IF(ABS(BE21-BE54)&lt;0.1,TRUE,BE21-BE54)</f>
        <v>1</v>
      </c>
      <c r="BF55" s="245" t="b">
        <f t="shared" si="47"/>
        <v>1</v>
      </c>
      <c r="BG55" s="245" t="b">
        <f t="shared" si="47"/>
        <v>1</v>
      </c>
      <c r="BH55" s="245" t="b">
        <f t="shared" si="47"/>
        <v>1</v>
      </c>
      <c r="BI55" s="245" t="b">
        <f t="shared" si="47"/>
        <v>1</v>
      </c>
      <c r="BJ55" s="245" t="b">
        <f t="shared" si="47"/>
        <v>1</v>
      </c>
      <c r="BK55" s="245" t="b">
        <f t="shared" si="47"/>
        <v>1</v>
      </c>
      <c r="BL55" s="245" t="b">
        <f t="shared" si="47"/>
        <v>1</v>
      </c>
      <c r="BM55" s="245" t="b">
        <f t="shared" si="47"/>
        <v>1</v>
      </c>
      <c r="BN55" s="245" t="b">
        <f t="shared" si="47"/>
        <v>1</v>
      </c>
      <c r="BO55" s="245" t="b">
        <f t="shared" si="47"/>
        <v>1</v>
      </c>
      <c r="BP55" s="245" t="b">
        <f t="shared" si="47"/>
        <v>1</v>
      </c>
      <c r="BQ55" s="245" t="b">
        <f t="shared" si="47"/>
        <v>1</v>
      </c>
      <c r="BR55" s="245" t="b">
        <f t="shared" si="47"/>
        <v>1</v>
      </c>
      <c r="BS55" s="245" t="b">
        <f t="shared" si="47"/>
        <v>1</v>
      </c>
      <c r="BT55" s="245" t="b">
        <f t="shared" si="47"/>
        <v>1</v>
      </c>
      <c r="BU55" s="245" t="b">
        <f t="shared" si="47"/>
        <v>1</v>
      </c>
      <c r="BV55" s="245" t="b">
        <f t="shared" si="47"/>
        <v>1</v>
      </c>
      <c r="BW55" s="245" t="b">
        <f t="shared" si="47"/>
        <v>1</v>
      </c>
      <c r="BX55" s="245" t="b">
        <f t="shared" si="47"/>
        <v>1</v>
      </c>
      <c r="BY55" s="245" t="b">
        <f t="shared" si="47"/>
        <v>1</v>
      </c>
      <c r="BZ55" s="245" t="b">
        <f t="shared" si="47"/>
        <v>1</v>
      </c>
      <c r="CA55" s="245" t="b">
        <f t="shared" si="47"/>
        <v>1</v>
      </c>
      <c r="CB55" s="245" t="b">
        <f t="shared" si="47"/>
        <v>1</v>
      </c>
      <c r="CC55" s="245" t="b">
        <f t="shared" si="47"/>
        <v>1</v>
      </c>
      <c r="CD55" s="245" t="b">
        <f t="shared" si="47"/>
        <v>1</v>
      </c>
      <c r="CE55" s="245" t="b">
        <f t="shared" si="47"/>
        <v>1</v>
      </c>
      <c r="CF55" s="245" t="b">
        <f t="shared" si="47"/>
        <v>1</v>
      </c>
      <c r="CG55" s="245" t="b">
        <f t="shared" si="47"/>
        <v>1</v>
      </c>
      <c r="CH55" s="245" t="b">
        <f t="shared" si="47"/>
        <v>1</v>
      </c>
      <c r="CI55" s="245" t="b">
        <f t="shared" si="47"/>
        <v>1</v>
      </c>
      <c r="CJ55" s="245" t="b">
        <f t="shared" si="47"/>
        <v>1</v>
      </c>
      <c r="CK55" s="245" t="b">
        <f t="shared" si="47"/>
        <v>1</v>
      </c>
      <c r="CL55" s="245" t="b">
        <f t="shared" si="47"/>
        <v>1</v>
      </c>
      <c r="CM55" s="245" t="b">
        <f t="shared" si="47"/>
        <v>1</v>
      </c>
      <c r="CN55" s="245" t="b">
        <f t="shared" si="47"/>
        <v>1</v>
      </c>
      <c r="CO55" s="245" t="b">
        <f t="shared" si="47"/>
        <v>1</v>
      </c>
      <c r="CP55" s="245" t="b">
        <f t="shared" si="47"/>
        <v>1</v>
      </c>
      <c r="CQ55" s="515" t="s">
        <v>77</v>
      </c>
    </row>
    <row r="56" spans="2:95" ht="5.0999999999999996" customHeight="1" outlineLevel="1" x14ac:dyDescent="0.2">
      <c r="B56" s="13"/>
      <c r="T56" s="40"/>
      <c r="CQ56" s="23" t="s">
        <v>77</v>
      </c>
    </row>
    <row r="57" spans="2:95" outlineLevel="2" x14ac:dyDescent="0.2">
      <c r="B57" s="358" t="s">
        <v>575</v>
      </c>
      <c r="D57" s="218"/>
      <c r="E57" s="218"/>
      <c r="F57" s="218"/>
      <c r="G57" s="218"/>
      <c r="H57" s="218"/>
      <c r="I57" s="218"/>
      <c r="J57" s="218"/>
      <c r="K57" s="248"/>
      <c r="L57" s="248"/>
      <c r="M57" s="248"/>
      <c r="N57" s="248"/>
      <c r="O57" s="248"/>
      <c r="P57" s="248"/>
      <c r="Q57" s="248"/>
      <c r="R57" s="248"/>
      <c r="S57" s="246"/>
      <c r="T57" s="246"/>
      <c r="U57" s="246"/>
      <c r="V57" s="246"/>
      <c r="W57" s="246"/>
      <c r="X57" s="246"/>
      <c r="Y57" s="246"/>
      <c r="Z57" s="248"/>
      <c r="AA57" s="248"/>
      <c r="AB57" s="248"/>
      <c r="AC57" s="248"/>
      <c r="AD57" s="248"/>
      <c r="AE57" s="248"/>
      <c r="AF57" s="248"/>
      <c r="AG57" s="248"/>
      <c r="AH57" s="248"/>
      <c r="AI57" s="248"/>
      <c r="AJ57" s="248"/>
      <c r="AK57" s="248"/>
      <c r="AL57" s="248"/>
      <c r="AM57" s="248"/>
      <c r="AN57" s="248"/>
      <c r="AO57" s="248"/>
      <c r="AP57" s="248"/>
      <c r="AQ57" s="248"/>
      <c r="AR57" s="248"/>
      <c r="AS57" s="248"/>
      <c r="AT57" s="248"/>
      <c r="AU57" s="248"/>
      <c r="AV57" s="248"/>
      <c r="AW57" s="248"/>
      <c r="AX57" s="248"/>
      <c r="AY57" s="248"/>
      <c r="AZ57" s="248"/>
      <c r="BA57" s="248"/>
      <c r="BB57" s="248"/>
      <c r="BC57" s="248"/>
      <c r="BD57" s="248"/>
      <c r="BE57" s="248"/>
      <c r="BF57" s="248"/>
      <c r="BG57" s="248"/>
      <c r="BH57" s="248"/>
      <c r="BI57" s="248"/>
      <c r="BJ57" s="248"/>
      <c r="BK57" s="248"/>
      <c r="BL57" s="248"/>
      <c r="BM57" s="248"/>
      <c r="BN57" s="248"/>
      <c r="BO57" s="248"/>
      <c r="BP57" s="248"/>
      <c r="BQ57" s="248"/>
      <c r="BR57" s="248"/>
      <c r="BS57" s="248"/>
      <c r="BT57" s="248"/>
      <c r="BU57" s="248"/>
      <c r="BV57" s="248"/>
      <c r="BW57" s="248"/>
      <c r="BX57" s="248"/>
      <c r="BY57" s="248"/>
      <c r="BZ57" s="248"/>
      <c r="CA57" s="248"/>
      <c r="CB57" s="248"/>
      <c r="CC57" s="248"/>
      <c r="CD57" s="248"/>
      <c r="CE57" s="248"/>
      <c r="CF57" s="248"/>
      <c r="CG57" s="248"/>
      <c r="CH57" s="248"/>
      <c r="CI57" s="248"/>
      <c r="CJ57" s="248"/>
      <c r="CK57" s="248"/>
      <c r="CL57" s="248"/>
      <c r="CM57" s="248"/>
      <c r="CN57" s="248"/>
      <c r="CO57" s="248"/>
      <c r="CP57" s="248"/>
      <c r="CQ57" s="23" t="s">
        <v>77</v>
      </c>
    </row>
    <row r="58" spans="2:95" outlineLevel="2" x14ac:dyDescent="0.2">
      <c r="B58" s="310" t="str">
        <f>B71</f>
        <v>Roma Brisbane</v>
      </c>
      <c r="K58" s="23" t="str">
        <f t="shared" ref="K58:AQ58" si="48">IFERROR(K71-K45,"n.a.")</f>
        <v>n.a.</v>
      </c>
      <c r="L58" s="23" t="str">
        <f t="shared" si="48"/>
        <v>n.a.</v>
      </c>
      <c r="M58" s="23" t="str">
        <f t="shared" si="48"/>
        <v>n.a.</v>
      </c>
      <c r="N58" s="23">
        <f t="shared" si="48"/>
        <v>-12.5881149446666</v>
      </c>
      <c r="O58" s="23">
        <f t="shared" si="48"/>
        <v>-13.914311562541769</v>
      </c>
      <c r="P58" s="23">
        <f t="shared" si="48"/>
        <v>-13.679396333081648</v>
      </c>
      <c r="Q58" s="23">
        <f t="shared" si="48"/>
        <v>-14.070502894608353</v>
      </c>
      <c r="R58" s="23">
        <f t="shared" si="48"/>
        <v>-12.929624462710201</v>
      </c>
      <c r="S58" s="23">
        <f t="shared" si="48"/>
        <v>-13.630413806580847</v>
      </c>
      <c r="T58" s="51">
        <f t="shared" si="48"/>
        <v>-12.891663806580638</v>
      </c>
      <c r="U58" s="51">
        <f t="shared" si="48"/>
        <v>-5.1000000000000014</v>
      </c>
      <c r="V58" s="51">
        <f t="shared" si="48"/>
        <v>-6.0026783429330521</v>
      </c>
      <c r="W58" s="51">
        <f t="shared" si="48"/>
        <v>-12.099492741250486</v>
      </c>
      <c r="X58" s="307">
        <f t="shared" si="48"/>
        <v>-11.097865839030177</v>
      </c>
      <c r="Y58" s="307">
        <f t="shared" si="48"/>
        <v>-11.204475739329084</v>
      </c>
      <c r="Z58" s="307">
        <f t="shared" si="48"/>
        <v>-11.333250887135463</v>
      </c>
      <c r="AA58" s="307">
        <f t="shared" si="48"/>
        <v>-11.019695687311923</v>
      </c>
      <c r="AB58" s="307">
        <f t="shared" si="48"/>
        <v>-10.51219355149258</v>
      </c>
      <c r="AC58" s="307">
        <f t="shared" si="48"/>
        <v>-10.723318208142139</v>
      </c>
      <c r="AD58" s="307">
        <f t="shared" si="48"/>
        <v>-11.106935674789945</v>
      </c>
      <c r="AE58" s="307">
        <f t="shared" si="48"/>
        <v>-11.501031415960234</v>
      </c>
      <c r="AF58" s="307">
        <f t="shared" si="48"/>
        <v>-11.905903468623094</v>
      </c>
      <c r="AG58" s="307">
        <f t="shared" si="48"/>
        <v>-13.94405222603605</v>
      </c>
      <c r="AH58" s="307">
        <f t="shared" si="48"/>
        <v>-14.303580494368916</v>
      </c>
      <c r="AI58" s="307">
        <f t="shared" si="48"/>
        <v>-14.671193550689182</v>
      </c>
      <c r="AJ58" s="307">
        <f t="shared" si="48"/>
        <v>-15.046999202340828</v>
      </c>
      <c r="AK58" s="307">
        <f t="shared" si="48"/>
        <v>-15.527635009102127</v>
      </c>
      <c r="AL58" s="307">
        <f t="shared" si="48"/>
        <v>-16.01904087277849</v>
      </c>
      <c r="AM58" s="307">
        <f t="shared" si="48"/>
        <v>-16.52161150447759</v>
      </c>
      <c r="AN58" s="307">
        <f t="shared" si="48"/>
        <v>-17.035245093315098</v>
      </c>
      <c r="AO58" s="307">
        <f t="shared" si="48"/>
        <v>-17.560843389994588</v>
      </c>
      <c r="AP58" s="307">
        <f t="shared" si="48"/>
        <v>-18.098061792395654</v>
      </c>
      <c r="AQ58" s="307">
        <f t="shared" si="48"/>
        <v>-18.647559433218632</v>
      </c>
      <c r="AR58" s="157">
        <f t="shared" ref="Y58:BD59" si="49">IF(AR34&lt;&gt;2,AQ58*(1+AR$9),)</f>
        <v>0</v>
      </c>
      <c r="AS58" s="157">
        <f t="shared" ref="AS58:BX58" si="50">IF(AS34&lt;&gt;2,AR58*(1+AS$9),)</f>
        <v>0</v>
      </c>
      <c r="AT58" s="157">
        <f t="shared" si="50"/>
        <v>0</v>
      </c>
      <c r="AU58" s="157">
        <f t="shared" si="50"/>
        <v>0</v>
      </c>
      <c r="AV58" s="157">
        <f t="shared" si="50"/>
        <v>0</v>
      </c>
      <c r="AW58" s="157">
        <f t="shared" si="50"/>
        <v>0</v>
      </c>
      <c r="AX58" s="157">
        <f t="shared" si="50"/>
        <v>0</v>
      </c>
      <c r="AY58" s="157">
        <f t="shared" si="50"/>
        <v>0</v>
      </c>
      <c r="AZ58" s="157">
        <f t="shared" si="50"/>
        <v>0</v>
      </c>
      <c r="BA58" s="157">
        <f t="shared" si="50"/>
        <v>0</v>
      </c>
      <c r="BB58" s="157">
        <f t="shared" si="50"/>
        <v>0</v>
      </c>
      <c r="BC58" s="157">
        <f t="shared" si="50"/>
        <v>0</v>
      </c>
      <c r="BD58" s="157">
        <f t="shared" si="50"/>
        <v>0</v>
      </c>
      <c r="BE58" s="157">
        <f t="shared" si="50"/>
        <v>0</v>
      </c>
      <c r="BF58" s="157">
        <f t="shared" si="50"/>
        <v>0</v>
      </c>
      <c r="BG58" s="157">
        <f t="shared" si="50"/>
        <v>0</v>
      </c>
      <c r="BH58" s="157">
        <f t="shared" si="50"/>
        <v>0</v>
      </c>
      <c r="BI58" s="157">
        <f t="shared" si="50"/>
        <v>0</v>
      </c>
      <c r="BJ58" s="157">
        <f t="shared" si="50"/>
        <v>0</v>
      </c>
      <c r="BK58" s="157">
        <f t="shared" si="50"/>
        <v>0</v>
      </c>
      <c r="BL58" s="157">
        <f t="shared" si="50"/>
        <v>0</v>
      </c>
      <c r="BM58" s="157">
        <f t="shared" si="50"/>
        <v>0</v>
      </c>
      <c r="BN58" s="157">
        <f t="shared" si="50"/>
        <v>0</v>
      </c>
      <c r="BO58" s="157">
        <f t="shared" si="50"/>
        <v>0</v>
      </c>
      <c r="BP58" s="157">
        <f t="shared" si="50"/>
        <v>0</v>
      </c>
      <c r="BQ58" s="157">
        <f t="shared" si="50"/>
        <v>0</v>
      </c>
      <c r="BR58" s="157">
        <f t="shared" si="50"/>
        <v>0</v>
      </c>
      <c r="BS58" s="157">
        <f t="shared" si="50"/>
        <v>0</v>
      </c>
      <c r="BT58" s="157">
        <f t="shared" si="50"/>
        <v>0</v>
      </c>
      <c r="BU58" s="157">
        <f t="shared" si="50"/>
        <v>0</v>
      </c>
      <c r="BV58" s="157">
        <f t="shared" si="50"/>
        <v>0</v>
      </c>
      <c r="BW58" s="157">
        <f t="shared" si="50"/>
        <v>0</v>
      </c>
      <c r="BX58" s="157">
        <f t="shared" si="50"/>
        <v>0</v>
      </c>
      <c r="BY58" s="157">
        <f t="shared" ref="BY58:CP58" si="51">IF(BY34&lt;&gt;2,BX58*(1+BY$9),)</f>
        <v>0</v>
      </c>
      <c r="BZ58" s="157">
        <f t="shared" si="51"/>
        <v>0</v>
      </c>
      <c r="CA58" s="157">
        <f t="shared" si="51"/>
        <v>0</v>
      </c>
      <c r="CB58" s="157">
        <f t="shared" si="51"/>
        <v>0</v>
      </c>
      <c r="CC58" s="157">
        <f t="shared" si="51"/>
        <v>0</v>
      </c>
      <c r="CD58" s="157">
        <f t="shared" si="51"/>
        <v>0</v>
      </c>
      <c r="CE58" s="157">
        <f t="shared" si="51"/>
        <v>0</v>
      </c>
      <c r="CF58" s="157">
        <f t="shared" si="51"/>
        <v>0</v>
      </c>
      <c r="CG58" s="157">
        <f t="shared" si="51"/>
        <v>0</v>
      </c>
      <c r="CH58" s="157">
        <f t="shared" si="51"/>
        <v>0</v>
      </c>
      <c r="CI58" s="157">
        <f t="shared" si="51"/>
        <v>0</v>
      </c>
      <c r="CJ58" s="157">
        <f t="shared" si="51"/>
        <v>0</v>
      </c>
      <c r="CK58" s="157">
        <f t="shared" si="51"/>
        <v>0</v>
      </c>
      <c r="CL58" s="157">
        <f t="shared" si="51"/>
        <v>0</v>
      </c>
      <c r="CM58" s="157">
        <f t="shared" si="51"/>
        <v>0</v>
      </c>
      <c r="CN58" s="157">
        <f t="shared" si="51"/>
        <v>0</v>
      </c>
      <c r="CO58" s="157">
        <f t="shared" si="51"/>
        <v>0</v>
      </c>
      <c r="CP58" s="157">
        <f t="shared" si="51"/>
        <v>0</v>
      </c>
      <c r="CQ58" s="23" t="s">
        <v>77</v>
      </c>
    </row>
    <row r="59" spans="2:95" outlineLevel="2" x14ac:dyDescent="0.2">
      <c r="B59" s="12" t="s">
        <v>296</v>
      </c>
      <c r="K59" s="23" t="str">
        <f t="shared" ref="K59:W59" si="52">IFERROR(K72-K46,"n.a.")</f>
        <v>n.a.</v>
      </c>
      <c r="L59" s="23" t="str">
        <f t="shared" si="52"/>
        <v>n.a.</v>
      </c>
      <c r="M59" s="23" t="str">
        <f t="shared" si="52"/>
        <v>n.a.</v>
      </c>
      <c r="N59" s="23">
        <f t="shared" si="52"/>
        <v>-14.686134102111033</v>
      </c>
      <c r="O59" s="23">
        <f t="shared" si="52"/>
        <v>-17.512840414923261</v>
      </c>
      <c r="P59" s="23">
        <f t="shared" si="52"/>
        <v>-18.08462566068421</v>
      </c>
      <c r="Q59" s="23">
        <f t="shared" si="52"/>
        <v>-21.608272302434258</v>
      </c>
      <c r="R59" s="23">
        <f t="shared" si="52"/>
        <v>-17.444731417942336</v>
      </c>
      <c r="S59" s="23">
        <f t="shared" si="52"/>
        <v>-13.794635659672181</v>
      </c>
      <c r="T59" s="51">
        <f t="shared" si="52"/>
        <v>-14.194010659672173</v>
      </c>
      <c r="U59" s="51">
        <f t="shared" si="52"/>
        <v>-7.6455984131714558</v>
      </c>
      <c r="V59" s="51">
        <f t="shared" si="52"/>
        <v>-10.473684210526301</v>
      </c>
      <c r="W59" s="51">
        <f t="shared" si="52"/>
        <v>-17.911459210526303</v>
      </c>
      <c r="X59" s="157">
        <f>IF(X35&lt;&gt;2,W59*(1+X$9),)</f>
        <v>-18.359245690789457</v>
      </c>
      <c r="Y59" s="157">
        <f t="shared" si="49"/>
        <v>-18.818226833059192</v>
      </c>
      <c r="Z59" s="157">
        <f t="shared" si="49"/>
        <v>-19.288682503885671</v>
      </c>
      <c r="AA59" s="157">
        <f t="shared" si="49"/>
        <v>-19.770899566482811</v>
      </c>
      <c r="AB59" s="157">
        <f t="shared" si="49"/>
        <v>-20.265172055644879</v>
      </c>
      <c r="AC59" s="157">
        <f t="shared" si="49"/>
        <v>-20.771801357035997</v>
      </c>
      <c r="AD59" s="157">
        <f t="shared" si="49"/>
        <v>-21.291096390961894</v>
      </c>
      <c r="AE59" s="157">
        <f t="shared" si="49"/>
        <v>-21.82337380073594</v>
      </c>
      <c r="AF59" s="157">
        <f t="shared" si="49"/>
        <v>-22.368958145754338</v>
      </c>
      <c r="AG59" s="157">
        <f t="shared" si="49"/>
        <v>-22.928182099398192</v>
      </c>
      <c r="AH59" s="157">
        <f t="shared" si="49"/>
        <v>-23.501386651883145</v>
      </c>
      <c r="AI59" s="157">
        <f t="shared" si="49"/>
        <v>-24.088921318180223</v>
      </c>
      <c r="AJ59" s="157">
        <f t="shared" si="49"/>
        <v>-24.691144351134724</v>
      </c>
      <c r="AK59" s="157">
        <f t="shared" si="49"/>
        <v>-25.308422959913091</v>
      </c>
      <c r="AL59" s="157">
        <f t="shared" si="49"/>
        <v>-25.941133533910918</v>
      </c>
      <c r="AM59" s="157">
        <f t="shared" si="49"/>
        <v>-26.589661872258688</v>
      </c>
      <c r="AN59" s="157">
        <f t="shared" si="49"/>
        <v>-27.254403419065152</v>
      </c>
      <c r="AO59" s="157">
        <f t="shared" si="49"/>
        <v>-27.935763504541779</v>
      </c>
      <c r="AP59" s="157">
        <f t="shared" si="49"/>
        <v>-28.634157592155322</v>
      </c>
      <c r="AQ59" s="157">
        <f t="shared" si="49"/>
        <v>-29.350011531959204</v>
      </c>
      <c r="AR59" s="157">
        <f t="shared" si="49"/>
        <v>-30.083761820258182</v>
      </c>
      <c r="AS59" s="157">
        <f t="shared" si="49"/>
        <v>-30.835855865764636</v>
      </c>
      <c r="AT59" s="157">
        <f t="shared" si="49"/>
        <v>-31.606752262408747</v>
      </c>
      <c r="AU59" s="157">
        <f t="shared" si="49"/>
        <v>-32.396921068968965</v>
      </c>
      <c r="AV59" s="157">
        <f t="shared" si="49"/>
        <v>-33.206844095693185</v>
      </c>
      <c r="AW59" s="157">
        <f t="shared" si="49"/>
        <v>-34.037015198085513</v>
      </c>
      <c r="AX59" s="157">
        <f t="shared" si="49"/>
        <v>-34.88794057803765</v>
      </c>
      <c r="AY59" s="157">
        <f t="shared" si="49"/>
        <v>-35.760139092488586</v>
      </c>
      <c r="AZ59" s="157">
        <f t="shared" si="49"/>
        <v>-36.654142569800797</v>
      </c>
      <c r="BA59" s="157">
        <f t="shared" si="49"/>
        <v>0</v>
      </c>
      <c r="BB59" s="157">
        <f t="shared" si="49"/>
        <v>0</v>
      </c>
      <c r="BC59" s="157">
        <f t="shared" si="49"/>
        <v>0</v>
      </c>
      <c r="BD59" s="157">
        <f t="shared" si="49"/>
        <v>0</v>
      </c>
      <c r="BE59" s="157">
        <f t="shared" ref="BE59:CP59" si="53">IF(BE35&lt;&gt;2,BD59*(1+BE$9),)</f>
        <v>0</v>
      </c>
      <c r="BF59" s="157">
        <f t="shared" si="53"/>
        <v>0</v>
      </c>
      <c r="BG59" s="157">
        <f t="shared" si="53"/>
        <v>0</v>
      </c>
      <c r="BH59" s="157">
        <f t="shared" si="53"/>
        <v>0</v>
      </c>
      <c r="BI59" s="157">
        <f t="shared" si="53"/>
        <v>0</v>
      </c>
      <c r="BJ59" s="157">
        <f t="shared" si="53"/>
        <v>0</v>
      </c>
      <c r="BK59" s="157">
        <f t="shared" si="53"/>
        <v>0</v>
      </c>
      <c r="BL59" s="157">
        <f t="shared" si="53"/>
        <v>0</v>
      </c>
      <c r="BM59" s="157">
        <f t="shared" si="53"/>
        <v>0</v>
      </c>
      <c r="BN59" s="157">
        <f t="shared" si="53"/>
        <v>0</v>
      </c>
      <c r="BO59" s="157">
        <f t="shared" si="53"/>
        <v>0</v>
      </c>
      <c r="BP59" s="157">
        <f t="shared" si="53"/>
        <v>0</v>
      </c>
      <c r="BQ59" s="157">
        <f t="shared" si="53"/>
        <v>0</v>
      </c>
      <c r="BR59" s="157">
        <f t="shared" si="53"/>
        <v>0</v>
      </c>
      <c r="BS59" s="157">
        <f t="shared" si="53"/>
        <v>0</v>
      </c>
      <c r="BT59" s="157">
        <f t="shared" si="53"/>
        <v>0</v>
      </c>
      <c r="BU59" s="157">
        <f t="shared" si="53"/>
        <v>0</v>
      </c>
      <c r="BV59" s="157">
        <f t="shared" si="53"/>
        <v>0</v>
      </c>
      <c r="BW59" s="157">
        <f t="shared" si="53"/>
        <v>0</v>
      </c>
      <c r="BX59" s="157">
        <f t="shared" si="53"/>
        <v>0</v>
      </c>
      <c r="BY59" s="157">
        <f t="shared" si="53"/>
        <v>0</v>
      </c>
      <c r="BZ59" s="157">
        <f t="shared" si="53"/>
        <v>0</v>
      </c>
      <c r="CA59" s="157">
        <f t="shared" si="53"/>
        <v>0</v>
      </c>
      <c r="CB59" s="157">
        <f t="shared" si="53"/>
        <v>0</v>
      </c>
      <c r="CC59" s="157">
        <f t="shared" si="53"/>
        <v>0</v>
      </c>
      <c r="CD59" s="157">
        <f t="shared" si="53"/>
        <v>0</v>
      </c>
      <c r="CE59" s="157">
        <f t="shared" si="53"/>
        <v>0</v>
      </c>
      <c r="CF59" s="157">
        <f t="shared" si="53"/>
        <v>0</v>
      </c>
      <c r="CG59" s="157">
        <f t="shared" si="53"/>
        <v>0</v>
      </c>
      <c r="CH59" s="157">
        <f t="shared" si="53"/>
        <v>0</v>
      </c>
      <c r="CI59" s="157">
        <f t="shared" si="53"/>
        <v>0</v>
      </c>
      <c r="CJ59" s="157">
        <f t="shared" si="53"/>
        <v>0</v>
      </c>
      <c r="CK59" s="157">
        <f t="shared" si="53"/>
        <v>0</v>
      </c>
      <c r="CL59" s="157">
        <f t="shared" si="53"/>
        <v>0</v>
      </c>
      <c r="CM59" s="157">
        <f t="shared" si="53"/>
        <v>0</v>
      </c>
      <c r="CN59" s="157">
        <f t="shared" si="53"/>
        <v>0</v>
      </c>
      <c r="CO59" s="157">
        <f t="shared" si="53"/>
        <v>0</v>
      </c>
      <c r="CP59" s="157">
        <f t="shared" si="53"/>
        <v>0</v>
      </c>
      <c r="CQ59" s="23" t="s">
        <v>77</v>
      </c>
    </row>
    <row r="60" spans="2:95" outlineLevel="2" x14ac:dyDescent="0.2">
      <c r="B60" s="12" t="s">
        <v>297</v>
      </c>
      <c r="K60" s="23" t="str">
        <f t="shared" ref="K60:W60" si="54">IFERROR(K73-K47,"n.a.")</f>
        <v>n.a.</v>
      </c>
      <c r="L60" s="23" t="str">
        <f t="shared" si="54"/>
        <v>n.a.</v>
      </c>
      <c r="M60" s="23" t="str">
        <f t="shared" si="54"/>
        <v>n.a.</v>
      </c>
      <c r="N60" s="23">
        <f t="shared" si="54"/>
        <v>-13.343401841346601</v>
      </c>
      <c r="O60" s="23">
        <f t="shared" si="54"/>
        <v>-15.257762334097524</v>
      </c>
      <c r="P60" s="23">
        <f t="shared" si="54"/>
        <v>-15.302375559040485</v>
      </c>
      <c r="Q60" s="23">
        <f t="shared" si="54"/>
        <v>0</v>
      </c>
      <c r="R60" s="23">
        <f t="shared" si="54"/>
        <v>0</v>
      </c>
      <c r="S60" s="23">
        <f t="shared" si="54"/>
        <v>0</v>
      </c>
      <c r="T60" s="51">
        <f t="shared" si="54"/>
        <v>0</v>
      </c>
      <c r="U60" s="51">
        <f t="shared" si="54"/>
        <v>0</v>
      </c>
      <c r="V60" s="51">
        <f t="shared" si="54"/>
        <v>0</v>
      </c>
      <c r="W60" s="51">
        <f t="shared" si="54"/>
        <v>0.2</v>
      </c>
      <c r="X60" s="157">
        <v>0</v>
      </c>
      <c r="Y60" s="307">
        <f>X60</f>
        <v>0</v>
      </c>
      <c r="Z60" s="307">
        <f t="shared" ref="Z60:BD60" si="55">Y60</f>
        <v>0</v>
      </c>
      <c r="AA60" s="307">
        <f t="shared" si="55"/>
        <v>0</v>
      </c>
      <c r="AB60" s="307">
        <f t="shared" si="55"/>
        <v>0</v>
      </c>
      <c r="AC60" s="307">
        <f t="shared" si="55"/>
        <v>0</v>
      </c>
      <c r="AD60" s="307">
        <f t="shared" si="55"/>
        <v>0</v>
      </c>
      <c r="AE60" s="307">
        <f t="shared" si="55"/>
        <v>0</v>
      </c>
      <c r="AF60" s="307">
        <f t="shared" si="55"/>
        <v>0</v>
      </c>
      <c r="AG60" s="307">
        <f t="shared" si="55"/>
        <v>0</v>
      </c>
      <c r="AH60" s="307">
        <f t="shared" si="55"/>
        <v>0</v>
      </c>
      <c r="AI60" s="307">
        <f t="shared" si="55"/>
        <v>0</v>
      </c>
      <c r="AJ60" s="307">
        <f t="shared" si="55"/>
        <v>0</v>
      </c>
      <c r="AK60" s="307">
        <f t="shared" si="55"/>
        <v>0</v>
      </c>
      <c r="AL60" s="307">
        <f t="shared" si="55"/>
        <v>0</v>
      </c>
      <c r="AM60" s="307">
        <f t="shared" si="55"/>
        <v>0</v>
      </c>
      <c r="AN60" s="307">
        <f t="shared" si="55"/>
        <v>0</v>
      </c>
      <c r="AO60" s="307">
        <f t="shared" si="55"/>
        <v>0</v>
      </c>
      <c r="AP60" s="307">
        <f t="shared" si="55"/>
        <v>0</v>
      </c>
      <c r="AQ60" s="307">
        <f t="shared" si="55"/>
        <v>0</v>
      </c>
      <c r="AR60" s="307">
        <f t="shared" si="55"/>
        <v>0</v>
      </c>
      <c r="AS60" s="307">
        <f t="shared" si="55"/>
        <v>0</v>
      </c>
      <c r="AT60" s="307">
        <f t="shared" si="55"/>
        <v>0</v>
      </c>
      <c r="AU60" s="307">
        <f t="shared" si="55"/>
        <v>0</v>
      </c>
      <c r="AV60" s="307">
        <f t="shared" si="55"/>
        <v>0</v>
      </c>
      <c r="AW60" s="307">
        <f t="shared" si="55"/>
        <v>0</v>
      </c>
      <c r="AX60" s="307">
        <f t="shared" si="55"/>
        <v>0</v>
      </c>
      <c r="AY60" s="307">
        <f t="shared" si="55"/>
        <v>0</v>
      </c>
      <c r="AZ60" s="307">
        <f t="shared" si="55"/>
        <v>0</v>
      </c>
      <c r="BA60" s="307">
        <f t="shared" si="55"/>
        <v>0</v>
      </c>
      <c r="BB60" s="307">
        <f t="shared" si="55"/>
        <v>0</v>
      </c>
      <c r="BC60" s="307">
        <f t="shared" si="55"/>
        <v>0</v>
      </c>
      <c r="BD60" s="307">
        <f t="shared" si="55"/>
        <v>0</v>
      </c>
      <c r="BE60" s="307">
        <f t="shared" ref="BE60:CP60" si="56">BD60</f>
        <v>0</v>
      </c>
      <c r="BF60" s="307">
        <f t="shared" si="56"/>
        <v>0</v>
      </c>
      <c r="BG60" s="307">
        <f t="shared" si="56"/>
        <v>0</v>
      </c>
      <c r="BH60" s="307">
        <f t="shared" si="56"/>
        <v>0</v>
      </c>
      <c r="BI60" s="307">
        <f t="shared" si="56"/>
        <v>0</v>
      </c>
      <c r="BJ60" s="307">
        <f t="shared" si="56"/>
        <v>0</v>
      </c>
      <c r="BK60" s="307">
        <f t="shared" si="56"/>
        <v>0</v>
      </c>
      <c r="BL60" s="307">
        <f t="shared" si="56"/>
        <v>0</v>
      </c>
      <c r="BM60" s="307">
        <f t="shared" si="56"/>
        <v>0</v>
      </c>
      <c r="BN60" s="307">
        <f t="shared" si="56"/>
        <v>0</v>
      </c>
      <c r="BO60" s="307">
        <f t="shared" si="56"/>
        <v>0</v>
      </c>
      <c r="BP60" s="307">
        <f t="shared" si="56"/>
        <v>0</v>
      </c>
      <c r="BQ60" s="307">
        <f t="shared" si="56"/>
        <v>0</v>
      </c>
      <c r="BR60" s="307">
        <f t="shared" si="56"/>
        <v>0</v>
      </c>
      <c r="BS60" s="307">
        <f t="shared" si="56"/>
        <v>0</v>
      </c>
      <c r="BT60" s="307">
        <f t="shared" si="56"/>
        <v>0</v>
      </c>
      <c r="BU60" s="307">
        <f t="shared" si="56"/>
        <v>0</v>
      </c>
      <c r="BV60" s="307">
        <f t="shared" si="56"/>
        <v>0</v>
      </c>
      <c r="BW60" s="307">
        <f t="shared" si="56"/>
        <v>0</v>
      </c>
      <c r="BX60" s="307">
        <f t="shared" si="56"/>
        <v>0</v>
      </c>
      <c r="BY60" s="307">
        <f t="shared" si="56"/>
        <v>0</v>
      </c>
      <c r="BZ60" s="307">
        <f t="shared" si="56"/>
        <v>0</v>
      </c>
      <c r="CA60" s="307">
        <f t="shared" si="56"/>
        <v>0</v>
      </c>
      <c r="CB60" s="307">
        <f t="shared" si="56"/>
        <v>0</v>
      </c>
      <c r="CC60" s="307">
        <f t="shared" si="56"/>
        <v>0</v>
      </c>
      <c r="CD60" s="307">
        <f t="shared" si="56"/>
        <v>0</v>
      </c>
      <c r="CE60" s="307">
        <f t="shared" si="56"/>
        <v>0</v>
      </c>
      <c r="CF60" s="307">
        <f t="shared" si="56"/>
        <v>0</v>
      </c>
      <c r="CG60" s="307">
        <f t="shared" si="56"/>
        <v>0</v>
      </c>
      <c r="CH60" s="307">
        <f t="shared" si="56"/>
        <v>0</v>
      </c>
      <c r="CI60" s="307">
        <f t="shared" si="56"/>
        <v>0</v>
      </c>
      <c r="CJ60" s="307">
        <f t="shared" si="56"/>
        <v>0</v>
      </c>
      <c r="CK60" s="307">
        <f t="shared" si="56"/>
        <v>0</v>
      </c>
      <c r="CL60" s="307">
        <f t="shared" si="56"/>
        <v>0</v>
      </c>
      <c r="CM60" s="307">
        <f t="shared" si="56"/>
        <v>0</v>
      </c>
      <c r="CN60" s="307">
        <f t="shared" si="56"/>
        <v>0</v>
      </c>
      <c r="CO60" s="307">
        <f t="shared" si="56"/>
        <v>0</v>
      </c>
      <c r="CP60" s="307">
        <f t="shared" si="56"/>
        <v>0</v>
      </c>
      <c r="CQ60" s="23" t="s">
        <v>77</v>
      </c>
    </row>
    <row r="61" spans="2:95" outlineLevel="2" x14ac:dyDescent="0.2">
      <c r="B61" s="12" t="s">
        <v>507</v>
      </c>
      <c r="K61" s="23" t="str">
        <f t="shared" ref="K61:W61" si="57">IFERROR(K74-K48,"n.a.")</f>
        <v>n.a.</v>
      </c>
      <c r="L61" s="23" t="str">
        <f t="shared" si="57"/>
        <v>n.a.</v>
      </c>
      <c r="M61" s="23" t="str">
        <f t="shared" si="57"/>
        <v>n.a.</v>
      </c>
      <c r="N61" s="23">
        <f t="shared" si="57"/>
        <v>0</v>
      </c>
      <c r="O61" s="23">
        <f t="shared" si="57"/>
        <v>0</v>
      </c>
      <c r="P61" s="23">
        <f t="shared" si="57"/>
        <v>-0.83467503049311742</v>
      </c>
      <c r="Q61" s="23">
        <f t="shared" si="57"/>
        <v>-0.34422480295738289</v>
      </c>
      <c r="R61" s="23">
        <f t="shared" si="57"/>
        <v>-2.2846441193474609</v>
      </c>
      <c r="S61" s="23">
        <f t="shared" si="57"/>
        <v>-1.4779966778220199</v>
      </c>
      <c r="T61" s="51">
        <f t="shared" si="57"/>
        <v>3.3061699888439904</v>
      </c>
      <c r="U61" s="51">
        <f t="shared" si="57"/>
        <v>-6.964079829982655</v>
      </c>
      <c r="V61" s="51">
        <f t="shared" si="57"/>
        <v>-11.773666556890021</v>
      </c>
      <c r="W61" s="51">
        <f t="shared" si="57"/>
        <v>-8.0825742423476434</v>
      </c>
      <c r="X61" s="157">
        <f>IF(X37&lt;&gt;2,W61*(1+X$9),)</f>
        <v>-8.2846385984063335</v>
      </c>
      <c r="Y61" s="157">
        <f t="shared" ref="Y61:BD61" si="58">IF(Y37&lt;&gt;2,X61*(1+Y$9),)</f>
        <v>-8.4917545633664915</v>
      </c>
      <c r="Z61" s="157">
        <f t="shared" si="58"/>
        <v>-8.7040484274506529</v>
      </c>
      <c r="AA61" s="157">
        <f t="shared" si="58"/>
        <v>-8.9216496381369179</v>
      </c>
      <c r="AB61" s="157">
        <f t="shared" si="58"/>
        <v>-9.1446908790903407</v>
      </c>
      <c r="AC61" s="157">
        <f t="shared" si="58"/>
        <v>-9.3733081510675991</v>
      </c>
      <c r="AD61" s="157">
        <f t="shared" si="58"/>
        <v>-9.6076408548442878</v>
      </c>
      <c r="AE61" s="157">
        <f t="shared" si="58"/>
        <v>-9.8478318762153947</v>
      </c>
      <c r="AF61" s="157">
        <f t="shared" si="58"/>
        <v>-10.094027673120779</v>
      </c>
      <c r="AG61" s="157">
        <f t="shared" si="58"/>
        <v>-10.346378364948798</v>
      </c>
      <c r="AH61" s="157">
        <f t="shared" si="58"/>
        <v>-10.605037824072516</v>
      </c>
      <c r="AI61" s="157">
        <f t="shared" si="58"/>
        <v>-10.870163769674328</v>
      </c>
      <c r="AJ61" s="157">
        <f t="shared" si="58"/>
        <v>-11.141917863916184</v>
      </c>
      <c r="AK61" s="157">
        <f t="shared" si="58"/>
        <v>-11.420465810514088</v>
      </c>
      <c r="AL61" s="157">
        <f t="shared" si="58"/>
        <v>-11.705977455776939</v>
      </c>
      <c r="AM61" s="157">
        <f t="shared" si="58"/>
        <v>-11.998626892171361</v>
      </c>
      <c r="AN61" s="157">
        <f t="shared" si="58"/>
        <v>-12.298592564475644</v>
      </c>
      <c r="AO61" s="157">
        <f t="shared" si="58"/>
        <v>-12.606057378587535</v>
      </c>
      <c r="AP61" s="157">
        <f t="shared" si="58"/>
        <v>-12.921208813052221</v>
      </c>
      <c r="AQ61" s="157">
        <f t="shared" si="58"/>
        <v>-13.244239033378525</v>
      </c>
      <c r="AR61" s="157">
        <f t="shared" si="58"/>
        <v>-13.575345009212986</v>
      </c>
      <c r="AS61" s="157">
        <f t="shared" si="58"/>
        <v>-13.914728634443311</v>
      </c>
      <c r="AT61" s="157">
        <f t="shared" si="58"/>
        <v>-14.262596850304393</v>
      </c>
      <c r="AU61" s="157">
        <f t="shared" si="58"/>
        <v>-14.619161771562002</v>
      </c>
      <c r="AV61" s="157">
        <f t="shared" si="58"/>
        <v>-14.984640815851051</v>
      </c>
      <c r="AW61" s="157">
        <f t="shared" si="58"/>
        <v>-15.359256836247326</v>
      </c>
      <c r="AX61" s="157">
        <f t="shared" si="58"/>
        <v>-15.743238257153507</v>
      </c>
      <c r="AY61" s="157">
        <f t="shared" si="58"/>
        <v>-16.136819213582342</v>
      </c>
      <c r="AZ61" s="157">
        <f t="shared" si="58"/>
        <v>-16.540239693921897</v>
      </c>
      <c r="BA61" s="157">
        <f t="shared" si="58"/>
        <v>-16.953745686269944</v>
      </c>
      <c r="BB61" s="157">
        <f t="shared" si="58"/>
        <v>-17.377589328426691</v>
      </c>
      <c r="BC61" s="157">
        <f t="shared" si="58"/>
        <v>-17.812029061637357</v>
      </c>
      <c r="BD61" s="157">
        <f t="shared" si="58"/>
        <v>-18.257329788178289</v>
      </c>
      <c r="BE61" s="157">
        <f t="shared" ref="BE61:CP61" si="59">IF(BE37&lt;&gt;2,BD61*(1+BE$9),)</f>
        <v>-18.713763032882746</v>
      </c>
      <c r="BF61" s="157">
        <f t="shared" si="59"/>
        <v>-19.181607108704814</v>
      </c>
      <c r="BG61" s="157">
        <f t="shared" si="59"/>
        <v>-19.661147286422434</v>
      </c>
      <c r="BH61" s="157">
        <f t="shared" si="59"/>
        <v>-20.152675968582994</v>
      </c>
      <c r="BI61" s="157">
        <f t="shared" si="59"/>
        <v>-20.656492867797567</v>
      </c>
      <c r="BJ61" s="157">
        <f t="shared" si="59"/>
        <v>-21.172905189492504</v>
      </c>
      <c r="BK61" s="157">
        <f t="shared" si="59"/>
        <v>-21.702227819229815</v>
      </c>
      <c r="BL61" s="157">
        <f t="shared" si="59"/>
        <v>-22.244783514710559</v>
      </c>
      <c r="BM61" s="157">
        <f t="shared" si="59"/>
        <v>-22.800903102578321</v>
      </c>
      <c r="BN61" s="157">
        <f t="shared" si="59"/>
        <v>-23.370925680142776</v>
      </c>
      <c r="BO61" s="157">
        <f t="shared" si="59"/>
        <v>-23.955198822146343</v>
      </c>
      <c r="BP61" s="157">
        <f t="shared" si="59"/>
        <v>-24.5540787927</v>
      </c>
      <c r="BQ61" s="157">
        <f t="shared" si="59"/>
        <v>-25.1679307625175</v>
      </c>
      <c r="BR61" s="157">
        <f t="shared" si="59"/>
        <v>-25.797129031580436</v>
      </c>
      <c r="BS61" s="157">
        <f t="shared" si="59"/>
        <v>-26.442057257369946</v>
      </c>
      <c r="BT61" s="157">
        <f t="shared" si="59"/>
        <v>-27.103108688804191</v>
      </c>
      <c r="BU61" s="157">
        <f t="shared" si="59"/>
        <v>-27.780686406024294</v>
      </c>
      <c r="BV61" s="157">
        <f t="shared" si="59"/>
        <v>-28.475203566174898</v>
      </c>
      <c r="BW61" s="157">
        <f t="shared" si="59"/>
        <v>-29.187083655329268</v>
      </c>
      <c r="BX61" s="157">
        <f t="shared" si="59"/>
        <v>-29.916760746712498</v>
      </c>
      <c r="BY61" s="157">
        <f t="shared" si="59"/>
        <v>-30.664679765380306</v>
      </c>
      <c r="BZ61" s="157">
        <f t="shared" si="59"/>
        <v>-31.431296759514812</v>
      </c>
      <c r="CA61" s="157">
        <f t="shared" si="59"/>
        <v>-32.217079178502679</v>
      </c>
      <c r="CB61" s="157">
        <f t="shared" si="59"/>
        <v>-33.022506157965246</v>
      </c>
      <c r="CC61" s="157">
        <f t="shared" si="59"/>
        <v>-33.848068811914374</v>
      </c>
      <c r="CD61" s="157">
        <f t="shared" si="59"/>
        <v>-34.694270532212229</v>
      </c>
      <c r="CE61" s="157">
        <f t="shared" si="59"/>
        <v>-35.561627295517532</v>
      </c>
      <c r="CF61" s="157">
        <f t="shared" si="59"/>
        <v>-36.450667977905468</v>
      </c>
      <c r="CG61" s="157">
        <f t="shared" si="59"/>
        <v>-37.361934677353098</v>
      </c>
      <c r="CH61" s="157">
        <f t="shared" si="59"/>
        <v>0</v>
      </c>
      <c r="CI61" s="157">
        <f t="shared" si="59"/>
        <v>0</v>
      </c>
      <c r="CJ61" s="157">
        <f t="shared" si="59"/>
        <v>0</v>
      </c>
      <c r="CK61" s="157">
        <f t="shared" si="59"/>
        <v>0</v>
      </c>
      <c r="CL61" s="157">
        <f t="shared" si="59"/>
        <v>0</v>
      </c>
      <c r="CM61" s="157">
        <f t="shared" si="59"/>
        <v>0</v>
      </c>
      <c r="CN61" s="157">
        <f t="shared" si="59"/>
        <v>0</v>
      </c>
      <c r="CO61" s="157">
        <f t="shared" si="59"/>
        <v>0</v>
      </c>
      <c r="CP61" s="157">
        <f t="shared" si="59"/>
        <v>0</v>
      </c>
      <c r="CQ61" s="23" t="s">
        <v>77</v>
      </c>
    </row>
    <row r="62" spans="2:95" outlineLevel="2" x14ac:dyDescent="0.2">
      <c r="B62" s="12" t="s">
        <v>298</v>
      </c>
      <c r="K62" s="23" t="str">
        <f t="shared" ref="K62:W62" si="60">IFERROR(K75-K49,"n.a.")</f>
        <v>n.a.</v>
      </c>
      <c r="L62" s="23" t="str">
        <f t="shared" si="60"/>
        <v>n.a.</v>
      </c>
      <c r="M62" s="23" t="str">
        <f t="shared" si="60"/>
        <v>n.a.</v>
      </c>
      <c r="N62" s="23">
        <f t="shared" si="60"/>
        <v>0</v>
      </c>
      <c r="O62" s="23">
        <f t="shared" si="60"/>
        <v>0</v>
      </c>
      <c r="P62" s="23">
        <f t="shared" si="60"/>
        <v>0</v>
      </c>
      <c r="Q62" s="23">
        <f t="shared" si="60"/>
        <v>0</v>
      </c>
      <c r="R62" s="23">
        <f t="shared" si="60"/>
        <v>0</v>
      </c>
      <c r="S62" s="23">
        <f t="shared" si="60"/>
        <v>-24.878953855924962</v>
      </c>
      <c r="T62" s="51">
        <f t="shared" si="60"/>
        <v>-13.492813474566134</v>
      </c>
      <c r="U62" s="51">
        <f t="shared" si="60"/>
        <v>-24.182749321933699</v>
      </c>
      <c r="V62" s="51">
        <f t="shared" si="60"/>
        <v>-24.237043866629733</v>
      </c>
      <c r="W62" s="51">
        <f t="shared" si="60"/>
        <v>-49.197970965001957</v>
      </c>
      <c r="X62" s="157">
        <f>IF(X38&lt;&gt;2,W62*(1+X$9),)</f>
        <v>-50.427920239127005</v>
      </c>
      <c r="Y62" s="157">
        <f t="shared" ref="Y62:BD63" si="61">IF(Y38&lt;&gt;2,X62*(1+Y$9),)</f>
        <v>-51.688618245105175</v>
      </c>
      <c r="Z62" s="157">
        <f t="shared" si="61"/>
        <v>-52.980833701232797</v>
      </c>
      <c r="AA62" s="157">
        <f t="shared" si="61"/>
        <v>-54.305354543763613</v>
      </c>
      <c r="AB62" s="157">
        <f t="shared" si="61"/>
        <v>-55.662988407357702</v>
      </c>
      <c r="AC62" s="157">
        <f t="shared" si="61"/>
        <v>-57.05456311754164</v>
      </c>
      <c r="AD62" s="157">
        <f t="shared" si="61"/>
        <v>-58.480927195480177</v>
      </c>
      <c r="AE62" s="157">
        <f t="shared" si="61"/>
        <v>-59.942950375367175</v>
      </c>
      <c r="AF62" s="157">
        <f t="shared" si="61"/>
        <v>-61.441524134751347</v>
      </c>
      <c r="AG62" s="157">
        <f t="shared" si="61"/>
        <v>-62.977562238120129</v>
      </c>
      <c r="AH62" s="157">
        <f t="shared" si="61"/>
        <v>-64.552001294073122</v>
      </c>
      <c r="AI62" s="157">
        <f t="shared" si="61"/>
        <v>-66.16580132642494</v>
      </c>
      <c r="AJ62" s="157">
        <f t="shared" si="61"/>
        <v>-67.819946359585558</v>
      </c>
      <c r="AK62" s="157">
        <f t="shared" si="61"/>
        <v>-69.515445018575193</v>
      </c>
      <c r="AL62" s="157">
        <f t="shared" si="61"/>
        <v>-71.253331144039564</v>
      </c>
      <c r="AM62" s="157">
        <f t="shared" si="61"/>
        <v>-73.034664422640546</v>
      </c>
      <c r="AN62" s="157">
        <f t="shared" si="61"/>
        <v>-74.860531033206556</v>
      </c>
      <c r="AO62" s="157">
        <f t="shared" si="61"/>
        <v>-76.732044309036709</v>
      </c>
      <c r="AP62" s="157">
        <f t="shared" si="61"/>
        <v>-78.650345416762619</v>
      </c>
      <c r="AQ62" s="157">
        <f t="shared" si="61"/>
        <v>-80.616604052181671</v>
      </c>
      <c r="AR62" s="157">
        <f t="shared" si="61"/>
        <v>-82.632019153486212</v>
      </c>
      <c r="AS62" s="157">
        <f t="shared" si="61"/>
        <v>-84.697819632323359</v>
      </c>
      <c r="AT62" s="157">
        <f t="shared" si="61"/>
        <v>-86.815265123131439</v>
      </c>
      <c r="AU62" s="157">
        <f t="shared" si="61"/>
        <v>-88.985646751209714</v>
      </c>
      <c r="AV62" s="157">
        <f t="shared" si="61"/>
        <v>-91.210287919989952</v>
      </c>
      <c r="AW62" s="157">
        <f t="shared" si="61"/>
        <v>-93.490545117989697</v>
      </c>
      <c r="AX62" s="157">
        <f t="shared" si="61"/>
        <v>-95.827808745939436</v>
      </c>
      <c r="AY62" s="157">
        <f t="shared" si="61"/>
        <v>-98.22350396458792</v>
      </c>
      <c r="AZ62" s="157">
        <f t="shared" si="61"/>
        <v>-100.67909156370261</v>
      </c>
      <c r="BA62" s="157">
        <f t="shared" si="61"/>
        <v>-103.19606885279516</v>
      </c>
      <c r="BB62" s="157">
        <f t="shared" si="61"/>
        <v>-105.77597057411504</v>
      </c>
      <c r="BC62" s="157">
        <f t="shared" si="61"/>
        <v>-108.42036983846791</v>
      </c>
      <c r="BD62" s="157">
        <f t="shared" si="61"/>
        <v>-111.13087908442959</v>
      </c>
      <c r="BE62" s="157">
        <f t="shared" ref="BE62:CP63" si="62">IF(BE38&lt;&gt;2,BD62*(1+BE$9),)</f>
        <v>-113.90915106154033</v>
      </c>
      <c r="BF62" s="157">
        <f t="shared" si="62"/>
        <v>-116.75687983807883</v>
      </c>
      <c r="BG62" s="157">
        <f t="shared" si="62"/>
        <v>-119.67580183403079</v>
      </c>
      <c r="BH62" s="157">
        <f t="shared" si="62"/>
        <v>-122.66769687988155</v>
      </c>
      <c r="BI62" s="157">
        <f t="shared" si="62"/>
        <v>-125.73438930187858</v>
      </c>
      <c r="BJ62" s="157">
        <f t="shared" si="62"/>
        <v>-128.87774903442553</v>
      </c>
      <c r="BK62" s="157">
        <f t="shared" si="62"/>
        <v>-132.09969276028616</v>
      </c>
      <c r="BL62" s="157">
        <f t="shared" si="62"/>
        <v>-135.4021850792933</v>
      </c>
      <c r="BM62" s="157">
        <f t="shared" si="62"/>
        <v>-138.78723970627561</v>
      </c>
      <c r="BN62" s="157">
        <f t="shared" si="62"/>
        <v>-142.2569206989325</v>
      </c>
      <c r="BO62" s="157">
        <f t="shared" si="62"/>
        <v>-145.8133437164058</v>
      </c>
      <c r="BP62" s="157">
        <f t="shared" si="62"/>
        <v>-149.45867730931593</v>
      </c>
      <c r="BQ62" s="157">
        <f t="shared" si="62"/>
        <v>-153.19514424204883</v>
      </c>
      <c r="BR62" s="157">
        <f t="shared" si="62"/>
        <v>-157.02502284810004</v>
      </c>
      <c r="BS62" s="157">
        <f t="shared" si="62"/>
        <v>-160.95064841930252</v>
      </c>
      <c r="BT62" s="157">
        <f t="shared" si="62"/>
        <v>-164.97441462978506</v>
      </c>
      <c r="BU62" s="157">
        <f t="shared" si="62"/>
        <v>-169.09877499552968</v>
      </c>
      <c r="BV62" s="157">
        <f t="shared" si="62"/>
        <v>-173.3262443704179</v>
      </c>
      <c r="BW62" s="157">
        <f t="shared" si="62"/>
        <v>-177.65940047967834</v>
      </c>
      <c r="BX62" s="157">
        <f t="shared" si="62"/>
        <v>-182.10088549167028</v>
      </c>
      <c r="BY62" s="157">
        <f t="shared" si="62"/>
        <v>-186.65340762896201</v>
      </c>
      <c r="BZ62" s="157">
        <f t="shared" si="62"/>
        <v>-191.31974281968604</v>
      </c>
      <c r="CA62" s="157">
        <f t="shared" si="62"/>
        <v>-196.10273639017817</v>
      </c>
      <c r="CB62" s="157">
        <f t="shared" si="62"/>
        <v>-201.00530479993259</v>
      </c>
      <c r="CC62" s="157">
        <f t="shared" si="62"/>
        <v>-206.03043741993088</v>
      </c>
      <c r="CD62" s="157">
        <f t="shared" si="62"/>
        <v>-211.18119835542913</v>
      </c>
      <c r="CE62" s="157">
        <f t="shared" si="62"/>
        <v>-216.46072831431485</v>
      </c>
      <c r="CF62" s="157">
        <f t="shared" si="62"/>
        <v>-221.8722465221727</v>
      </c>
      <c r="CG62" s="157">
        <f t="shared" si="62"/>
        <v>-227.419052685227</v>
      </c>
      <c r="CH62" s="157">
        <f t="shared" si="62"/>
        <v>0</v>
      </c>
      <c r="CI62" s="157">
        <f t="shared" si="62"/>
        <v>0</v>
      </c>
      <c r="CJ62" s="157">
        <f t="shared" si="62"/>
        <v>0</v>
      </c>
      <c r="CK62" s="157">
        <f t="shared" si="62"/>
        <v>0</v>
      </c>
      <c r="CL62" s="157">
        <f t="shared" si="62"/>
        <v>0</v>
      </c>
      <c r="CM62" s="157">
        <f t="shared" si="62"/>
        <v>0</v>
      </c>
      <c r="CN62" s="157">
        <f t="shared" si="62"/>
        <v>0</v>
      </c>
      <c r="CO62" s="157">
        <f t="shared" si="62"/>
        <v>0</v>
      </c>
      <c r="CP62" s="157">
        <f t="shared" si="62"/>
        <v>0</v>
      </c>
      <c r="CQ62" s="23" t="s">
        <v>77</v>
      </c>
    </row>
    <row r="63" spans="2:95" outlineLevel="2" x14ac:dyDescent="0.2">
      <c r="B63" s="12" t="s">
        <v>219</v>
      </c>
      <c r="K63" s="23">
        <f t="shared" ref="K63:AI63" si="63">IFERROR(K76-K50,"n.a.")</f>
        <v>0</v>
      </c>
      <c r="L63" s="23">
        <f t="shared" si="63"/>
        <v>0</v>
      </c>
      <c r="M63" s="23">
        <f t="shared" si="63"/>
        <v>0</v>
      </c>
      <c r="N63" s="23">
        <f t="shared" si="63"/>
        <v>0</v>
      </c>
      <c r="O63" s="23">
        <f t="shared" si="63"/>
        <v>0</v>
      </c>
      <c r="P63" s="23">
        <f t="shared" si="63"/>
        <v>0</v>
      </c>
      <c r="Q63" s="23">
        <f t="shared" si="63"/>
        <v>0</v>
      </c>
      <c r="R63" s="23">
        <f t="shared" si="63"/>
        <v>0</v>
      </c>
      <c r="S63" s="23">
        <f t="shared" si="63"/>
        <v>0</v>
      </c>
      <c r="T63" s="51">
        <f t="shared" si="63"/>
        <v>0</v>
      </c>
      <c r="U63" s="51">
        <f t="shared" si="63"/>
        <v>-3</v>
      </c>
      <c r="V63" s="51">
        <f t="shared" si="63"/>
        <v>-6.0223601097129045</v>
      </c>
      <c r="W63" s="51">
        <f t="shared" si="63"/>
        <v>-47.815384615384616</v>
      </c>
      <c r="X63" s="307">
        <f t="shared" si="63"/>
        <v>-48.156923076923078</v>
      </c>
      <c r="Y63" s="307">
        <f t="shared" si="63"/>
        <v>-48.507000000000005</v>
      </c>
      <c r="Z63" s="307">
        <f t="shared" si="63"/>
        <v>-48.865828846153846</v>
      </c>
      <c r="AA63" s="307">
        <f t="shared" si="63"/>
        <v>-49.215238435096154</v>
      </c>
      <c r="AB63" s="307">
        <f t="shared" si="63"/>
        <v>-49.572946501775846</v>
      </c>
      <c r="AC63" s="307">
        <f t="shared" si="63"/>
        <v>-49.939150135039171</v>
      </c>
      <c r="AD63" s="307">
        <f t="shared" si="63"/>
        <v>-50.50150158936917</v>
      </c>
      <c r="AE63" s="307">
        <f t="shared" si="63"/>
        <v>-51.077208890739513</v>
      </c>
      <c r="AF63" s="307">
        <f t="shared" si="63"/>
        <v>-51.666589240517396</v>
      </c>
      <c r="AG63" s="307">
        <f t="shared" si="63"/>
        <v>-52.269967373602498</v>
      </c>
      <c r="AH63" s="307">
        <f t="shared" si="63"/>
        <v>-52.887675737348374</v>
      </c>
      <c r="AI63" s="307">
        <f t="shared" si="63"/>
        <v>-53.520054674733217</v>
      </c>
      <c r="AJ63" s="257">
        <f>-AJ50*(1-D50)</f>
        <v>-9.9424437528037561</v>
      </c>
      <c r="AK63" s="157">
        <f t="shared" si="61"/>
        <v>-10.19100484662385</v>
      </c>
      <c r="AL63" s="157">
        <f t="shared" si="61"/>
        <v>-10.445779967789445</v>
      </c>
      <c r="AM63" s="157">
        <f t="shared" si="61"/>
        <v>-10.70692446698418</v>
      </c>
      <c r="AN63" s="157">
        <f t="shared" si="61"/>
        <v>-10.974597578658784</v>
      </c>
      <c r="AO63" s="157">
        <f t="shared" si="61"/>
        <v>-11.248962518125253</v>
      </c>
      <c r="AP63" s="157">
        <f t="shared" si="61"/>
        <v>-11.530186581078384</v>
      </c>
      <c r="AQ63" s="157">
        <f t="shared" si="61"/>
        <v>-11.818441245605342</v>
      </c>
      <c r="AR63" s="157">
        <f t="shared" si="61"/>
        <v>0</v>
      </c>
      <c r="AS63" s="157">
        <f t="shared" si="61"/>
        <v>0</v>
      </c>
      <c r="AT63" s="157">
        <f t="shared" si="61"/>
        <v>0</v>
      </c>
      <c r="AU63" s="157">
        <f t="shared" si="61"/>
        <v>0</v>
      </c>
      <c r="AV63" s="157">
        <f t="shared" si="61"/>
        <v>0</v>
      </c>
      <c r="AW63" s="157">
        <f t="shared" si="61"/>
        <v>0</v>
      </c>
      <c r="AX63" s="157">
        <f t="shared" si="61"/>
        <v>0</v>
      </c>
      <c r="AY63" s="157">
        <f t="shared" si="61"/>
        <v>0</v>
      </c>
      <c r="AZ63" s="157">
        <f t="shared" si="61"/>
        <v>0</v>
      </c>
      <c r="BA63" s="157">
        <f t="shared" si="61"/>
        <v>0</v>
      </c>
      <c r="BB63" s="157">
        <f t="shared" si="61"/>
        <v>0</v>
      </c>
      <c r="BC63" s="157">
        <f t="shared" si="61"/>
        <v>0</v>
      </c>
      <c r="BD63" s="157">
        <f t="shared" si="61"/>
        <v>0</v>
      </c>
      <c r="BE63" s="157">
        <f t="shared" ref="BE63:CO63" si="64">IF(BE39&lt;&gt;2,BD63*(1+BE$9),)</f>
        <v>0</v>
      </c>
      <c r="BF63" s="157">
        <f t="shared" si="64"/>
        <v>0</v>
      </c>
      <c r="BG63" s="157">
        <f t="shared" si="64"/>
        <v>0</v>
      </c>
      <c r="BH63" s="157">
        <f t="shared" si="64"/>
        <v>0</v>
      </c>
      <c r="BI63" s="157">
        <f t="shared" si="64"/>
        <v>0</v>
      </c>
      <c r="BJ63" s="157">
        <f t="shared" si="64"/>
        <v>0</v>
      </c>
      <c r="BK63" s="157">
        <f t="shared" si="64"/>
        <v>0</v>
      </c>
      <c r="BL63" s="157">
        <f t="shared" si="64"/>
        <v>0</v>
      </c>
      <c r="BM63" s="157">
        <f t="shared" si="64"/>
        <v>0</v>
      </c>
      <c r="BN63" s="157">
        <f t="shared" si="64"/>
        <v>0</v>
      </c>
      <c r="BO63" s="157">
        <f t="shared" si="64"/>
        <v>0</v>
      </c>
      <c r="BP63" s="157">
        <f t="shared" si="64"/>
        <v>0</v>
      </c>
      <c r="BQ63" s="157">
        <f t="shared" si="64"/>
        <v>0</v>
      </c>
      <c r="BR63" s="157">
        <f t="shared" si="64"/>
        <v>0</v>
      </c>
      <c r="BS63" s="157">
        <f t="shared" si="64"/>
        <v>0</v>
      </c>
      <c r="BT63" s="157">
        <f t="shared" si="64"/>
        <v>0</v>
      </c>
      <c r="BU63" s="157">
        <f t="shared" si="64"/>
        <v>0</v>
      </c>
      <c r="BV63" s="157">
        <f t="shared" si="64"/>
        <v>0</v>
      </c>
      <c r="BW63" s="157">
        <f t="shared" si="64"/>
        <v>0</v>
      </c>
      <c r="BX63" s="157">
        <f t="shared" si="64"/>
        <v>0</v>
      </c>
      <c r="BY63" s="157">
        <f t="shared" si="64"/>
        <v>0</v>
      </c>
      <c r="BZ63" s="157">
        <f t="shared" si="64"/>
        <v>0</v>
      </c>
      <c r="CA63" s="157">
        <f t="shared" si="64"/>
        <v>0</v>
      </c>
      <c r="CB63" s="157">
        <f t="shared" si="64"/>
        <v>0</v>
      </c>
      <c r="CC63" s="157">
        <f t="shared" si="64"/>
        <v>0</v>
      </c>
      <c r="CD63" s="157">
        <f t="shared" si="64"/>
        <v>0</v>
      </c>
      <c r="CE63" s="157">
        <f t="shared" si="64"/>
        <v>0</v>
      </c>
      <c r="CF63" s="157">
        <f t="shared" si="64"/>
        <v>0</v>
      </c>
      <c r="CG63" s="157">
        <f t="shared" si="64"/>
        <v>0</v>
      </c>
      <c r="CH63" s="157">
        <f t="shared" si="64"/>
        <v>0</v>
      </c>
      <c r="CI63" s="157">
        <f t="shared" si="64"/>
        <v>0</v>
      </c>
      <c r="CJ63" s="157">
        <f t="shared" si="64"/>
        <v>0</v>
      </c>
      <c r="CK63" s="157">
        <f t="shared" si="64"/>
        <v>0</v>
      </c>
      <c r="CL63" s="157">
        <f t="shared" si="64"/>
        <v>0</v>
      </c>
      <c r="CM63" s="157">
        <f t="shared" si="64"/>
        <v>0</v>
      </c>
      <c r="CN63" s="157">
        <f t="shared" si="64"/>
        <v>0</v>
      </c>
      <c r="CO63" s="157">
        <f t="shared" si="64"/>
        <v>0</v>
      </c>
      <c r="CP63" s="157">
        <f t="shared" si="62"/>
        <v>0</v>
      </c>
      <c r="CQ63" s="23" t="s">
        <v>77</v>
      </c>
    </row>
    <row r="64" spans="2:95" outlineLevel="2" x14ac:dyDescent="0.2">
      <c r="B64" s="12" t="s">
        <v>509</v>
      </c>
      <c r="K64" s="23" t="str">
        <f t="shared" ref="K64:W64" si="65">IFERROR(K77-K51,"n.a.")</f>
        <v>n.a.</v>
      </c>
      <c r="L64" s="23" t="str">
        <f t="shared" si="65"/>
        <v>n.a.</v>
      </c>
      <c r="M64" s="23" t="str">
        <f t="shared" si="65"/>
        <v>n.a.</v>
      </c>
      <c r="N64" s="23" t="str">
        <f t="shared" si="65"/>
        <v>n.a.</v>
      </c>
      <c r="O64" s="23" t="str">
        <f t="shared" si="65"/>
        <v>n.a.</v>
      </c>
      <c r="P64" s="23" t="str">
        <f t="shared" si="65"/>
        <v>n.a.</v>
      </c>
      <c r="Q64" s="23" t="str">
        <f t="shared" si="65"/>
        <v>n.a.</v>
      </c>
      <c r="R64" s="23" t="str">
        <f t="shared" si="65"/>
        <v>n.a.</v>
      </c>
      <c r="S64" s="23" t="str">
        <f t="shared" si="65"/>
        <v>n.a.</v>
      </c>
      <c r="T64" s="23" t="str">
        <f t="shared" si="65"/>
        <v>n.a.</v>
      </c>
      <c r="U64" s="51">
        <f t="shared" si="65"/>
        <v>-1.905263157894737</v>
      </c>
      <c r="V64" s="51">
        <f t="shared" si="65"/>
        <v>-25.610526315789457</v>
      </c>
      <c r="W64" s="51">
        <f t="shared" si="65"/>
        <v>-54.144444444444446</v>
      </c>
      <c r="X64" s="157">
        <f>IF(X40&lt;&gt;2,W64*(1+X$9),)</f>
        <v>-55.498055555555553</v>
      </c>
      <c r="Y64" s="157">
        <f t="shared" ref="Y64:BD65" si="66">IF(Y40&lt;&gt;2,X64*(1+Y$9),)</f>
        <v>-56.885506944444437</v>
      </c>
      <c r="Z64" s="157">
        <f t="shared" si="66"/>
        <v>-58.307644618055541</v>
      </c>
      <c r="AA64" s="157">
        <f t="shared" si="66"/>
        <v>-59.765335733506923</v>
      </c>
      <c r="AB64" s="157">
        <f t="shared" si="66"/>
        <v>-61.259469126844593</v>
      </c>
      <c r="AC64" s="157">
        <f t="shared" si="66"/>
        <v>-62.790955855015703</v>
      </c>
      <c r="AD64" s="157">
        <f t="shared" si="66"/>
        <v>-64.360729751391091</v>
      </c>
      <c r="AE64" s="157">
        <f t="shared" si="66"/>
        <v>-65.969747995175865</v>
      </c>
      <c r="AF64" s="157">
        <f t="shared" si="66"/>
        <v>-67.618991695055257</v>
      </c>
      <c r="AG64" s="157">
        <f t="shared" si="66"/>
        <v>-69.309466487431635</v>
      </c>
      <c r="AH64" s="157">
        <f t="shared" si="66"/>
        <v>-71.042203149617421</v>
      </c>
      <c r="AI64" s="157">
        <f t="shared" si="66"/>
        <v>-72.818258228357848</v>
      </c>
      <c r="AJ64" s="157">
        <f t="shared" si="66"/>
        <v>-74.638714684066784</v>
      </c>
      <c r="AK64" s="157">
        <f t="shared" si="66"/>
        <v>-76.504682551168443</v>
      </c>
      <c r="AL64" s="157">
        <f t="shared" si="66"/>
        <v>-78.417299614947652</v>
      </c>
      <c r="AM64" s="157">
        <f t="shared" si="66"/>
        <v>-80.377732105321343</v>
      </c>
      <c r="AN64" s="157">
        <f t="shared" si="66"/>
        <v>-82.387175407954373</v>
      </c>
      <c r="AO64" s="157">
        <f t="shared" si="66"/>
        <v>-84.446854793153221</v>
      </c>
      <c r="AP64" s="157">
        <f t="shared" si="66"/>
        <v>-86.558026162982046</v>
      </c>
      <c r="AQ64" s="157">
        <f>IF(AQ40&lt;&gt;2,AP64*(1+AQ$9),)</f>
        <v>-88.721976817056586</v>
      </c>
      <c r="AR64" s="157">
        <f t="shared" si="66"/>
        <v>-90.940026237482996</v>
      </c>
      <c r="AS64" s="157">
        <f t="shared" si="66"/>
        <v>-93.213526893420067</v>
      </c>
      <c r="AT64" s="157">
        <f t="shared" si="66"/>
        <v>-95.543865065755554</v>
      </c>
      <c r="AU64" s="157">
        <f t="shared" si="66"/>
        <v>-97.932461692399428</v>
      </c>
      <c r="AV64" s="157">
        <f t="shared" si="66"/>
        <v>-100.38077323470941</v>
      </c>
      <c r="AW64" s="157">
        <f t="shared" si="66"/>
        <v>-102.89029256557714</v>
      </c>
      <c r="AX64" s="157">
        <f t="shared" si="66"/>
        <v>-105.46254987971656</v>
      </c>
      <c r="AY64" s="157">
        <f t="shared" si="66"/>
        <v>-108.09911362670947</v>
      </c>
      <c r="AZ64" s="157">
        <f t="shared" si="66"/>
        <v>-110.80159146737719</v>
      </c>
      <c r="BA64" s="157">
        <f t="shared" si="66"/>
        <v>-113.57163125406161</v>
      </c>
      <c r="BB64" s="157">
        <f t="shared" si="66"/>
        <v>-116.41092203541315</v>
      </c>
      <c r="BC64" s="157">
        <f t="shared" si="66"/>
        <v>-119.32119508629847</v>
      </c>
      <c r="BD64" s="157">
        <f t="shared" si="66"/>
        <v>-122.30422496345592</v>
      </c>
      <c r="BE64" s="157">
        <f t="shared" ref="BE64:CP64" si="67">IF(BE40&lt;&gt;2,BD64*(1+BE$9),)</f>
        <v>-125.36183058754231</v>
      </c>
      <c r="BF64" s="157">
        <f t="shared" si="67"/>
        <v>-128.49587635223085</v>
      </c>
      <c r="BG64" s="157">
        <f t="shared" si="67"/>
        <v>-131.70827326103662</v>
      </c>
      <c r="BH64" s="157">
        <f t="shared" si="67"/>
        <v>-135.00098009256251</v>
      </c>
      <c r="BI64" s="157">
        <f t="shared" si="67"/>
        <v>-138.37600459487658</v>
      </c>
      <c r="BJ64" s="157">
        <f t="shared" si="67"/>
        <v>-141.83540470974847</v>
      </c>
      <c r="BK64" s="157">
        <f t="shared" si="67"/>
        <v>-145.38128982749217</v>
      </c>
      <c r="BL64" s="157">
        <f t="shared" si="67"/>
        <v>-149.01582207317946</v>
      </c>
      <c r="BM64" s="157">
        <f t="shared" si="67"/>
        <v>-152.74121762500894</v>
      </c>
      <c r="BN64" s="157">
        <f t="shared" si="67"/>
        <v>-156.55974806563415</v>
      </c>
      <c r="BO64" s="157">
        <f t="shared" si="67"/>
        <v>-160.47374176727499</v>
      </c>
      <c r="BP64" s="157">
        <f t="shared" si="67"/>
        <v>-164.48558531145684</v>
      </c>
      <c r="BQ64" s="157">
        <f t="shared" si="67"/>
        <v>-168.59772494424325</v>
      </c>
      <c r="BR64" s="157">
        <f t="shared" si="67"/>
        <v>-172.81266806784933</v>
      </c>
      <c r="BS64" s="157">
        <f t="shared" si="67"/>
        <v>-177.13298476954554</v>
      </c>
      <c r="BT64" s="157">
        <f t="shared" si="67"/>
        <v>-181.56130938878417</v>
      </c>
      <c r="BU64" s="157">
        <f t="shared" si="67"/>
        <v>-186.10034212350376</v>
      </c>
      <c r="BV64" s="157">
        <f t="shared" si="67"/>
        <v>-190.75285067659135</v>
      </c>
      <c r="BW64" s="157">
        <f t="shared" si="67"/>
        <v>-195.52167194350611</v>
      </c>
      <c r="BX64" s="157">
        <f t="shared" si="67"/>
        <v>-200.40971374209374</v>
      </c>
      <c r="BY64" s="157">
        <f t="shared" si="67"/>
        <v>-205.41995658564608</v>
      </c>
      <c r="BZ64" s="157">
        <f t="shared" si="67"/>
        <v>-210.55545550028722</v>
      </c>
      <c r="CA64" s="157">
        <f t="shared" si="67"/>
        <v>-215.81934188779439</v>
      </c>
      <c r="CB64" s="157">
        <f t="shared" si="67"/>
        <v>-221.21482543498922</v>
      </c>
      <c r="CC64" s="157">
        <f t="shared" si="67"/>
        <v>-226.74519607086393</v>
      </c>
      <c r="CD64" s="157">
        <f t="shared" si="67"/>
        <v>-232.41382597263549</v>
      </c>
      <c r="CE64" s="157">
        <f t="shared" si="67"/>
        <v>-238.22417162195137</v>
      </c>
      <c r="CF64" s="157">
        <f t="shared" si="67"/>
        <v>-244.17977591250013</v>
      </c>
      <c r="CG64" s="157">
        <f t="shared" si="67"/>
        <v>-250.28427031031262</v>
      </c>
      <c r="CH64" s="157">
        <f t="shared" si="67"/>
        <v>-256.5413770680704</v>
      </c>
      <c r="CI64" s="157">
        <f t="shared" si="67"/>
        <v>-262.95491149477215</v>
      </c>
      <c r="CJ64" s="157">
        <f t="shared" si="67"/>
        <v>-269.52878428214143</v>
      </c>
      <c r="CK64" s="157">
        <f t="shared" si="67"/>
        <v>-276.26700388919494</v>
      </c>
      <c r="CL64" s="157">
        <f t="shared" si="67"/>
        <v>-283.17367898642476</v>
      </c>
      <c r="CM64" s="157">
        <f t="shared" si="67"/>
        <v>-290.25302096108538</v>
      </c>
      <c r="CN64" s="157">
        <f t="shared" si="67"/>
        <v>-297.50934648511247</v>
      </c>
      <c r="CO64" s="157">
        <f t="shared" si="67"/>
        <v>-304.94708014724029</v>
      </c>
      <c r="CP64" s="157">
        <f t="shared" si="67"/>
        <v>-312.57075715092128</v>
      </c>
      <c r="CQ64" s="23" t="s">
        <v>77</v>
      </c>
    </row>
    <row r="65" spans="1:95" outlineLevel="2" x14ac:dyDescent="0.2">
      <c r="B65" s="12" t="s">
        <v>559</v>
      </c>
      <c r="K65" s="23" t="str">
        <f t="shared" ref="K65:Y65" si="68">IFERROR(K78-K52,"n.a.")</f>
        <v>n.a.</v>
      </c>
      <c r="L65" s="23" t="str">
        <f t="shared" si="68"/>
        <v>n.a.</v>
      </c>
      <c r="M65" s="23" t="str">
        <f t="shared" si="68"/>
        <v>n.a.</v>
      </c>
      <c r="N65" s="23" t="str">
        <f t="shared" si="68"/>
        <v>n.a.</v>
      </c>
      <c r="O65" s="23" t="str">
        <f t="shared" si="68"/>
        <v>n.a.</v>
      </c>
      <c r="P65" s="23" t="str">
        <f t="shared" si="68"/>
        <v>n.a.</v>
      </c>
      <c r="Q65" s="23" t="str">
        <f t="shared" si="68"/>
        <v>n.a.</v>
      </c>
      <c r="R65" s="23" t="str">
        <f t="shared" si="68"/>
        <v>n.a.</v>
      </c>
      <c r="S65" s="23" t="str">
        <f t="shared" si="68"/>
        <v>n.a.</v>
      </c>
      <c r="T65" s="23" t="str">
        <f t="shared" si="68"/>
        <v>n.a.</v>
      </c>
      <c r="U65" s="23" t="str">
        <f t="shared" si="68"/>
        <v>n.a.</v>
      </c>
      <c r="V65" s="23" t="str">
        <f t="shared" si="68"/>
        <v>n.a.</v>
      </c>
      <c r="W65" s="23" t="str">
        <f t="shared" si="68"/>
        <v>n.a.</v>
      </c>
      <c r="X65" s="307" t="str">
        <f t="shared" si="68"/>
        <v>n.a.</v>
      </c>
      <c r="Y65" s="307">
        <f t="shared" si="68"/>
        <v>-3.0769230769230766</v>
      </c>
      <c r="Z65" s="157">
        <f t="shared" si="66"/>
        <v>-3.1538461538461533</v>
      </c>
      <c r="AA65" s="157">
        <f t="shared" si="66"/>
        <v>-3.2326923076923069</v>
      </c>
      <c r="AB65" s="157">
        <f t="shared" si="66"/>
        <v>-3.3135096153846142</v>
      </c>
      <c r="AC65" s="157">
        <f t="shared" si="66"/>
        <v>-3.3963473557692292</v>
      </c>
      <c r="AD65" s="157">
        <f t="shared" si="66"/>
        <v>-3.4812560396634598</v>
      </c>
      <c r="AE65" s="157">
        <f t="shared" si="66"/>
        <v>-3.568287440655046</v>
      </c>
      <c r="AF65" s="157">
        <f t="shared" si="66"/>
        <v>-3.6574946266714217</v>
      </c>
      <c r="AG65" s="157">
        <f t="shared" si="66"/>
        <v>-3.748931992338207</v>
      </c>
      <c r="AH65" s="157">
        <f t="shared" si="66"/>
        <v>-3.8426552921466617</v>
      </c>
      <c r="AI65" s="157">
        <f t="shared" si="66"/>
        <v>-3.9387216744503277</v>
      </c>
      <c r="AJ65" s="157">
        <f t="shared" si="66"/>
        <v>-4.0371897163115857</v>
      </c>
      <c r="AK65" s="157">
        <f t="shared" si="66"/>
        <v>-4.1381194592193751</v>
      </c>
      <c r="AL65" s="157">
        <f t="shared" si="66"/>
        <v>-4.2415724456998589</v>
      </c>
      <c r="AM65" s="157">
        <f t="shared" si="66"/>
        <v>-4.3476117568423547</v>
      </c>
      <c r="AN65" s="157">
        <f t="shared" si="66"/>
        <v>-4.456302050763413</v>
      </c>
      <c r="AO65" s="157">
        <f t="shared" si="66"/>
        <v>-4.5677096020324983</v>
      </c>
      <c r="AP65" s="157">
        <f t="shared" si="66"/>
        <v>-4.6819023420833101</v>
      </c>
      <c r="AQ65" s="157">
        <f t="shared" si="66"/>
        <v>-4.7989499006353924</v>
      </c>
      <c r="AR65" s="157">
        <f t="shared" si="66"/>
        <v>-4.918923648151277</v>
      </c>
      <c r="AS65" s="157">
        <f t="shared" si="66"/>
        <v>-5.0418967393550584</v>
      </c>
      <c r="AT65" s="157">
        <f t="shared" si="66"/>
        <v>-5.1679441578389342</v>
      </c>
      <c r="AU65" s="157">
        <f t="shared" si="66"/>
        <v>-5.2971427617849072</v>
      </c>
      <c r="AV65" s="157">
        <f t="shared" si="66"/>
        <v>-5.4295713308295293</v>
      </c>
      <c r="AW65" s="157">
        <f t="shared" si="66"/>
        <v>-5.5653106141002668</v>
      </c>
      <c r="AX65" s="157">
        <f t="shared" si="66"/>
        <v>-5.7044433794527727</v>
      </c>
      <c r="AY65" s="157">
        <f t="shared" si="66"/>
        <v>-5.8470544639390916</v>
      </c>
      <c r="AZ65" s="157">
        <f t="shared" si="66"/>
        <v>-5.9932308255375686</v>
      </c>
      <c r="BA65" s="157">
        <f t="shared" si="66"/>
        <v>-6.1430615961760076</v>
      </c>
      <c r="BB65" s="157">
        <f t="shared" si="66"/>
        <v>-6.2966381360804071</v>
      </c>
      <c r="BC65" s="157">
        <f t="shared" si="66"/>
        <v>-6.4540540894824163</v>
      </c>
      <c r="BD65" s="157">
        <f t="shared" si="66"/>
        <v>-6.6154054417194761</v>
      </c>
      <c r="BE65" s="157">
        <f t="shared" ref="BE65:CP66" si="69">IF(BE41&lt;&gt;2,BD65*(1+BE$9),)</f>
        <v>-6.7807905777624624</v>
      </c>
      <c r="BF65" s="157">
        <f t="shared" si="69"/>
        <v>-6.9503103422065236</v>
      </c>
      <c r="BG65" s="157">
        <f t="shared" si="69"/>
        <v>-7.1240681007616864</v>
      </c>
      <c r="BH65" s="157">
        <f t="shared" si="69"/>
        <v>-7.3021698032807283</v>
      </c>
      <c r="BI65" s="157">
        <f t="shared" si="69"/>
        <v>-7.4847240483627457</v>
      </c>
      <c r="BJ65" s="157">
        <f t="shared" si="69"/>
        <v>-7.6718421495718134</v>
      </c>
      <c r="BK65" s="157">
        <f t="shared" si="69"/>
        <v>-7.8636382033111083</v>
      </c>
      <c r="BL65" s="157">
        <f t="shared" si="69"/>
        <v>-8.0602291583938861</v>
      </c>
      <c r="BM65" s="157">
        <f t="shared" si="69"/>
        <v>-8.2617348873537324</v>
      </c>
      <c r="BN65" s="157">
        <f t="shared" si="69"/>
        <v>-8.4682782595375752</v>
      </c>
      <c r="BO65" s="157">
        <f t="shared" si="69"/>
        <v>-8.6799852160260134</v>
      </c>
      <c r="BP65" s="157">
        <f t="shared" si="69"/>
        <v>-8.8969848464266637</v>
      </c>
      <c r="BQ65" s="157">
        <f t="shared" si="69"/>
        <v>-9.1194094675873298</v>
      </c>
      <c r="BR65" s="157">
        <f t="shared" si="69"/>
        <v>-9.3473947042770131</v>
      </c>
      <c r="BS65" s="157">
        <f t="shared" si="69"/>
        <v>-9.5810795718839383</v>
      </c>
      <c r="BT65" s="157">
        <f t="shared" si="69"/>
        <v>-9.8206065611810356</v>
      </c>
      <c r="BU65" s="157">
        <f t="shared" si="69"/>
        <v>-10.066121725210561</v>
      </c>
      <c r="BV65" s="157">
        <f t="shared" si="69"/>
        <v>-10.317774768340824</v>
      </c>
      <c r="BW65" s="157">
        <f t="shared" si="69"/>
        <v>-10.575719137549344</v>
      </c>
      <c r="BX65" s="157">
        <f t="shared" si="69"/>
        <v>-10.840112115988076</v>
      </c>
      <c r="BY65" s="157">
        <f t="shared" si="69"/>
        <v>-11.111114918887777</v>
      </c>
      <c r="BZ65" s="157">
        <f t="shared" si="69"/>
        <v>-11.38889279185997</v>
      </c>
      <c r="CA65" s="157">
        <f t="shared" si="69"/>
        <v>-11.673615111656469</v>
      </c>
      <c r="CB65" s="157">
        <f t="shared" si="69"/>
        <v>-11.96545548944788</v>
      </c>
      <c r="CC65" s="157">
        <f t="shared" si="69"/>
        <v>-12.264591876684076</v>
      </c>
      <c r="CD65" s="157">
        <f t="shared" si="69"/>
        <v>-12.571206673601177</v>
      </c>
      <c r="CE65" s="157">
        <f t="shared" si="69"/>
        <v>-12.885486840441205</v>
      </c>
      <c r="CF65" s="157">
        <f t="shared" si="69"/>
        <v>-13.207624011452234</v>
      </c>
      <c r="CG65" s="157">
        <f t="shared" si="69"/>
        <v>-13.537814611738538</v>
      </c>
      <c r="CH65" s="157">
        <f t="shared" si="69"/>
        <v>-13.876259977031999</v>
      </c>
      <c r="CI65" s="157">
        <f t="shared" si="69"/>
        <v>-14.223166476457799</v>
      </c>
      <c r="CJ65" s="157">
        <f t="shared" si="69"/>
        <v>-14.578745638369242</v>
      </c>
      <c r="CK65" s="157">
        <f t="shared" si="69"/>
        <v>-14.943214279328471</v>
      </c>
      <c r="CL65" s="157">
        <f t="shared" si="69"/>
        <v>-15.31679463631168</v>
      </c>
      <c r="CM65" s="157">
        <f t="shared" si="69"/>
        <v>-15.699714502219472</v>
      </c>
      <c r="CN65" s="157">
        <f t="shared" si="69"/>
        <v>-16.092207364774957</v>
      </c>
      <c r="CO65" s="157">
        <f t="shared" si="69"/>
        <v>-16.494512548894331</v>
      </c>
      <c r="CP65" s="157">
        <f t="shared" si="69"/>
        <v>0</v>
      </c>
      <c r="CQ65" s="23" t="s">
        <v>77</v>
      </c>
    </row>
    <row r="66" spans="1:95" outlineLevel="2" x14ac:dyDescent="0.2">
      <c r="B66" s="12" t="s">
        <v>567</v>
      </c>
      <c r="K66" s="23" t="str">
        <f t="shared" ref="K66:AJ66" si="70">IFERROR(K79-K53,"n.a.")</f>
        <v>n.a.</v>
      </c>
      <c r="L66" s="23" t="str">
        <f t="shared" si="70"/>
        <v>n.a.</v>
      </c>
      <c r="M66" s="23" t="str">
        <f t="shared" si="70"/>
        <v>n.a.</v>
      </c>
      <c r="N66" s="23" t="str">
        <f t="shared" si="70"/>
        <v>n.a.</v>
      </c>
      <c r="O66" s="23" t="str">
        <f t="shared" si="70"/>
        <v>n.a.</v>
      </c>
      <c r="P66" s="23" t="str">
        <f t="shared" si="70"/>
        <v>n.a.</v>
      </c>
      <c r="Q66" s="23" t="str">
        <f t="shared" si="70"/>
        <v>n.a.</v>
      </c>
      <c r="R66" s="23" t="str">
        <f t="shared" si="70"/>
        <v>n.a.</v>
      </c>
      <c r="S66" s="23" t="str">
        <f t="shared" si="70"/>
        <v>n.a.</v>
      </c>
      <c r="T66" s="23" t="str">
        <f t="shared" si="70"/>
        <v>n.a.</v>
      </c>
      <c r="U66" s="23" t="str">
        <f t="shared" si="70"/>
        <v>n.a.</v>
      </c>
      <c r="V66" s="23" t="str">
        <f t="shared" si="70"/>
        <v>n.a.</v>
      </c>
      <c r="W66" s="23" t="str">
        <f t="shared" si="70"/>
        <v>n.a.</v>
      </c>
      <c r="X66" s="307" t="str">
        <f t="shared" si="70"/>
        <v>n.a.</v>
      </c>
      <c r="Y66" s="307">
        <f t="shared" si="70"/>
        <v>-2.1428571428571432</v>
      </c>
      <c r="Z66" s="307">
        <f t="shared" si="70"/>
        <v>-6.4285714285714306</v>
      </c>
      <c r="AA66" s="307">
        <f>IFERROR(AA79-AA53,"n.a.")</f>
        <v>-6.5812500000000007</v>
      </c>
      <c r="AB66" s="307">
        <f t="shared" si="70"/>
        <v>-6.7375546874999994</v>
      </c>
      <c r="AC66" s="307">
        <f t="shared" si="70"/>
        <v>-6.8975716113281251</v>
      </c>
      <c r="AD66" s="307">
        <f t="shared" si="70"/>
        <v>-7.061388937097167</v>
      </c>
      <c r="AE66" s="307">
        <f t="shared" si="70"/>
        <v>-7.2290969243532253</v>
      </c>
      <c r="AF66" s="307">
        <f t="shared" si="70"/>
        <v>-7.4007879763066136</v>
      </c>
      <c r="AG66" s="307">
        <f t="shared" si="70"/>
        <v>-7.5765566907438959</v>
      </c>
      <c r="AH66" s="307">
        <f t="shared" si="70"/>
        <v>-7.7564999121490636</v>
      </c>
      <c r="AI66" s="307">
        <f t="shared" si="70"/>
        <v>-7.9407167850626053</v>
      </c>
      <c r="AJ66" s="307">
        <f t="shared" si="70"/>
        <v>-8.1293088087078402</v>
      </c>
      <c r="AK66" s="257">
        <f t="shared" ref="AK66:BD66" si="71">IF(AK42&lt;&gt;2,AJ66*(1+AK$9),)</f>
        <v>-8.3325415289255353</v>
      </c>
      <c r="AL66" s="157">
        <f t="shared" si="71"/>
        <v>-8.5408550671486729</v>
      </c>
      <c r="AM66" s="157">
        <f t="shared" si="71"/>
        <v>-8.7543764438273897</v>
      </c>
      <c r="AN66" s="157">
        <f t="shared" si="71"/>
        <v>-8.9732358549230735</v>
      </c>
      <c r="AO66" s="157">
        <f t="shared" si="71"/>
        <v>-9.197566751296149</v>
      </c>
      <c r="AP66" s="157">
        <f t="shared" si="71"/>
        <v>-9.427505920078552</v>
      </c>
      <c r="AQ66" s="157">
        <f t="shared" si="71"/>
        <v>-9.6631935680805157</v>
      </c>
      <c r="AR66" s="157">
        <f t="shared" si="71"/>
        <v>-9.9047734072825282</v>
      </c>
      <c r="AS66" s="157">
        <f t="shared" si="71"/>
        <v>-10.15239274246459</v>
      </c>
      <c r="AT66" s="157">
        <f t="shared" si="71"/>
        <v>-10.406202561026204</v>
      </c>
      <c r="AU66" s="157">
        <f t="shared" si="71"/>
        <v>-10.666357625051857</v>
      </c>
      <c r="AV66" s="157">
        <f t="shared" si="71"/>
        <v>-10.933016565678152</v>
      </c>
      <c r="AW66" s="157">
        <f t="shared" si="71"/>
        <v>0</v>
      </c>
      <c r="AX66" s="157">
        <f t="shared" si="71"/>
        <v>0</v>
      </c>
      <c r="AY66" s="157">
        <f t="shared" si="71"/>
        <v>0</v>
      </c>
      <c r="AZ66" s="157">
        <f t="shared" si="71"/>
        <v>0</v>
      </c>
      <c r="BA66" s="157">
        <f t="shared" si="71"/>
        <v>0</v>
      </c>
      <c r="BB66" s="157">
        <f t="shared" si="71"/>
        <v>0</v>
      </c>
      <c r="BC66" s="157">
        <f t="shared" si="71"/>
        <v>0</v>
      </c>
      <c r="BD66" s="157">
        <f t="shared" si="71"/>
        <v>0</v>
      </c>
      <c r="BE66" s="157">
        <f t="shared" si="69"/>
        <v>0</v>
      </c>
      <c r="BF66" s="157">
        <f t="shared" si="69"/>
        <v>0</v>
      </c>
      <c r="BG66" s="157">
        <f t="shared" si="69"/>
        <v>0</v>
      </c>
      <c r="BH66" s="157">
        <f t="shared" si="69"/>
        <v>0</v>
      </c>
      <c r="BI66" s="157">
        <f t="shared" si="69"/>
        <v>0</v>
      </c>
      <c r="BJ66" s="157">
        <f t="shared" si="69"/>
        <v>0</v>
      </c>
      <c r="BK66" s="157">
        <f t="shared" si="69"/>
        <v>0</v>
      </c>
      <c r="BL66" s="157">
        <f t="shared" si="69"/>
        <v>0</v>
      </c>
      <c r="BM66" s="157">
        <f t="shared" si="69"/>
        <v>0</v>
      </c>
      <c r="BN66" s="157">
        <f t="shared" si="69"/>
        <v>0</v>
      </c>
      <c r="BO66" s="157">
        <f t="shared" si="69"/>
        <v>0</v>
      </c>
      <c r="BP66" s="157">
        <f t="shared" si="69"/>
        <v>0</v>
      </c>
      <c r="BQ66" s="157">
        <f t="shared" si="69"/>
        <v>0</v>
      </c>
      <c r="BR66" s="157">
        <f t="shared" si="69"/>
        <v>0</v>
      </c>
      <c r="BS66" s="157">
        <f t="shared" si="69"/>
        <v>0</v>
      </c>
      <c r="BT66" s="157">
        <f t="shared" si="69"/>
        <v>0</v>
      </c>
      <c r="BU66" s="157">
        <f t="shared" si="69"/>
        <v>0</v>
      </c>
      <c r="BV66" s="157">
        <f t="shared" si="69"/>
        <v>0</v>
      </c>
      <c r="BW66" s="157">
        <f t="shared" si="69"/>
        <v>0</v>
      </c>
      <c r="BX66" s="157">
        <f t="shared" si="69"/>
        <v>0</v>
      </c>
      <c r="BY66" s="157">
        <f t="shared" si="69"/>
        <v>0</v>
      </c>
      <c r="BZ66" s="157">
        <f t="shared" si="69"/>
        <v>0</v>
      </c>
      <c r="CA66" s="157">
        <f t="shared" si="69"/>
        <v>0</v>
      </c>
      <c r="CB66" s="157">
        <f t="shared" si="69"/>
        <v>0</v>
      </c>
      <c r="CC66" s="157">
        <f t="shared" si="69"/>
        <v>0</v>
      </c>
      <c r="CD66" s="157">
        <f t="shared" si="69"/>
        <v>0</v>
      </c>
      <c r="CE66" s="157">
        <f t="shared" si="69"/>
        <v>0</v>
      </c>
      <c r="CF66" s="157">
        <f t="shared" si="69"/>
        <v>0</v>
      </c>
      <c r="CG66" s="157">
        <f t="shared" si="69"/>
        <v>0</v>
      </c>
      <c r="CH66" s="157">
        <f t="shared" si="69"/>
        <v>0</v>
      </c>
      <c r="CI66" s="157">
        <f t="shared" si="69"/>
        <v>0</v>
      </c>
      <c r="CJ66" s="157">
        <f t="shared" si="69"/>
        <v>0</v>
      </c>
      <c r="CK66" s="157">
        <f t="shared" si="69"/>
        <v>0</v>
      </c>
      <c r="CL66" s="157">
        <f t="shared" si="69"/>
        <v>0</v>
      </c>
      <c r="CM66" s="157">
        <f t="shared" si="69"/>
        <v>0</v>
      </c>
      <c r="CN66" s="157">
        <f t="shared" si="69"/>
        <v>0</v>
      </c>
      <c r="CO66" s="157">
        <f t="shared" si="69"/>
        <v>0</v>
      </c>
      <c r="CP66" s="157">
        <f t="shared" si="69"/>
        <v>0</v>
      </c>
      <c r="CQ66" s="23"/>
    </row>
    <row r="67" spans="1:95" outlineLevel="2" x14ac:dyDescent="0.2">
      <c r="B67" s="74" t="s">
        <v>299</v>
      </c>
      <c r="D67" s="485"/>
      <c r="E67" s="485"/>
      <c r="F67" s="485"/>
      <c r="G67" s="485"/>
      <c r="H67" s="485"/>
      <c r="I67" s="485"/>
      <c r="J67" s="485"/>
      <c r="K67" s="255">
        <f t="shared" ref="K67:BD67" si="72">IFERROR(K80-K54,"n.a.")</f>
        <v>0</v>
      </c>
      <c r="L67" s="255">
        <f t="shared" si="72"/>
        <v>0</v>
      </c>
      <c r="M67" s="255">
        <f t="shared" si="72"/>
        <v>0</v>
      </c>
      <c r="N67" s="255">
        <f t="shared" si="72"/>
        <v>-40.617650888124231</v>
      </c>
      <c r="O67" s="255">
        <f t="shared" si="72"/>
        <v>-46.684914311562565</v>
      </c>
      <c r="P67" s="255">
        <f t="shared" si="72"/>
        <v>-47.901072583299467</v>
      </c>
      <c r="Q67" s="255">
        <f t="shared" si="72"/>
        <v>-36.022999999999996</v>
      </c>
      <c r="R67" s="255">
        <f t="shared" si="72"/>
        <v>-32.658999999999992</v>
      </c>
      <c r="S67" s="255">
        <f t="shared" si="72"/>
        <v>-53.782000000000039</v>
      </c>
      <c r="T67" s="255">
        <f t="shared" si="72"/>
        <v>-37.272317951974941</v>
      </c>
      <c r="U67" s="255">
        <f t="shared" si="72"/>
        <v>-48.797690722982566</v>
      </c>
      <c r="V67" s="255">
        <f t="shared" si="72"/>
        <v>-84.119959402481527</v>
      </c>
      <c r="W67" s="255">
        <f t="shared" si="72"/>
        <v>-189.05132621895541</v>
      </c>
      <c r="X67" s="255">
        <f t="shared" si="72"/>
        <v>-191.38789471987172</v>
      </c>
      <c r="Y67" s="255">
        <f t="shared" si="72"/>
        <v>-200.81536254508467</v>
      </c>
      <c r="Z67" s="255">
        <f t="shared" si="72"/>
        <v>-209.06270656633126</v>
      </c>
      <c r="AA67" s="255">
        <f t="shared" si="72"/>
        <v>-212.81211591199042</v>
      </c>
      <c r="AB67" s="255">
        <f t="shared" si="72"/>
        <v>-216.46852482509064</v>
      </c>
      <c r="AC67" s="255">
        <f t="shared" si="72"/>
        <v>-220.94701579093953</v>
      </c>
      <c r="AD67" s="255">
        <f t="shared" si="72"/>
        <v>-225.89147643359684</v>
      </c>
      <c r="AE67" s="255">
        <f t="shared" si="72"/>
        <v>-230.95952871920258</v>
      </c>
      <c r="AF67" s="255">
        <f t="shared" si="72"/>
        <v>-236.15427696080019</v>
      </c>
      <c r="AG67" s="255">
        <f t="shared" si="72"/>
        <v>-243.10109747261959</v>
      </c>
      <c r="AH67" s="255">
        <f t="shared" si="72"/>
        <v>-248.49104035565938</v>
      </c>
      <c r="AI67" s="255">
        <f t="shared" si="72"/>
        <v>-254.01383132757269</v>
      </c>
      <c r="AJ67" s="255">
        <f t="shared" si="72"/>
        <v>-215.44766473886727</v>
      </c>
      <c r="AK67" s="255">
        <f t="shared" si="72"/>
        <v>-220.93831718404181</v>
      </c>
      <c r="AL67" s="255">
        <f t="shared" si="72"/>
        <v>-226.56499010209154</v>
      </c>
      <c r="AM67" s="255">
        <f t="shared" si="72"/>
        <v>-232.33120946452357</v>
      </c>
      <c r="AN67" s="255">
        <f t="shared" si="72"/>
        <v>-238.24008300236198</v>
      </c>
      <c r="AO67" s="255">
        <f t="shared" si="72"/>
        <v>-244.29580224676795</v>
      </c>
      <c r="AP67" s="255">
        <f t="shared" si="72"/>
        <v>-250.50139462058814</v>
      </c>
      <c r="AQ67" s="255">
        <f t="shared" si="72"/>
        <v>-256.86097558211588</v>
      </c>
      <c r="AR67" s="255">
        <f t="shared" si="72"/>
        <v>-232.05484927587423</v>
      </c>
      <c r="AS67" s="255">
        <f t="shared" si="72"/>
        <v>-237.85622050777101</v>
      </c>
      <c r="AT67" s="255">
        <f t="shared" si="72"/>
        <v>-243.80262602046537</v>
      </c>
      <c r="AU67" s="255">
        <f t="shared" si="72"/>
        <v>-249.897691670977</v>
      </c>
      <c r="AV67" s="255">
        <f t="shared" si="72"/>
        <v>-256.1451339627514</v>
      </c>
      <c r="AW67" s="255">
        <f t="shared" si="72"/>
        <v>-251.34242033199996</v>
      </c>
      <c r="AX67" s="255">
        <f t="shared" si="72"/>
        <v>-257.62598084029992</v>
      </c>
      <c r="AY67" s="255">
        <f t="shared" si="72"/>
        <v>-264.06663036130738</v>
      </c>
      <c r="AZ67" s="255">
        <f t="shared" si="72"/>
        <v>-270.66829612034013</v>
      </c>
      <c r="BA67" s="255">
        <f t="shared" si="72"/>
        <v>-239.86450738930273</v>
      </c>
      <c r="BB67" s="255">
        <f t="shared" si="72"/>
        <v>-245.86112007403528</v>
      </c>
      <c r="BC67" s="255">
        <f t="shared" si="72"/>
        <v>-252.00764807588621</v>
      </c>
      <c r="BD67" s="255">
        <f t="shared" si="72"/>
        <v>-258.30783927778339</v>
      </c>
      <c r="BE67" s="255">
        <f t="shared" ref="BE67:CP67" si="73">IFERROR(BE80-BE54,"n.a.")</f>
        <v>-264.76553525972787</v>
      </c>
      <c r="BF67" s="255">
        <f t="shared" si="73"/>
        <v>-271.38467364122096</v>
      </c>
      <c r="BG67" s="255">
        <f t="shared" si="73"/>
        <v>-278.16929048225143</v>
      </c>
      <c r="BH67" s="255">
        <f t="shared" si="73"/>
        <v>-285.12352274430782</v>
      </c>
      <c r="BI67" s="255">
        <f t="shared" si="73"/>
        <v>-292.25161081291554</v>
      </c>
      <c r="BJ67" s="255">
        <f t="shared" si="73"/>
        <v>-299.55790108323845</v>
      </c>
      <c r="BK67" s="255">
        <f t="shared" si="73"/>
        <v>-307.04684861031922</v>
      </c>
      <c r="BL67" s="255">
        <f t="shared" si="73"/>
        <v>-314.72301982557718</v>
      </c>
      <c r="BM67" s="255">
        <f t="shared" si="73"/>
        <v>-322.59109532121664</v>
      </c>
      <c r="BN67" s="255">
        <f t="shared" si="73"/>
        <v>-330.65587270424709</v>
      </c>
      <c r="BO67" s="255">
        <f t="shared" si="73"/>
        <v>-338.92226952185308</v>
      </c>
      <c r="BP67" s="255">
        <f t="shared" si="73"/>
        <v>-347.39532625989943</v>
      </c>
      <c r="BQ67" s="255">
        <f t="shared" si="73"/>
        <v>-356.08020941639688</v>
      </c>
      <c r="BR67" s="255">
        <f t="shared" si="73"/>
        <v>-364.98221465180683</v>
      </c>
      <c r="BS67" s="255">
        <f t="shared" si="73"/>
        <v>-374.10677001810183</v>
      </c>
      <c r="BT67" s="255">
        <f t="shared" si="73"/>
        <v>-383.4594392685546</v>
      </c>
      <c r="BU67" s="255">
        <f t="shared" si="73"/>
        <v>-393.04592525026828</v>
      </c>
      <c r="BV67" s="255">
        <f t="shared" si="73"/>
        <v>-402.87207338152501</v>
      </c>
      <c r="BW67" s="255">
        <f t="shared" si="73"/>
        <v>-412.94387521606302</v>
      </c>
      <c r="BX67" s="255">
        <f t="shared" si="73"/>
        <v>-423.26747209646459</v>
      </c>
      <c r="BY67" s="255">
        <f t="shared" si="73"/>
        <v>-433.84915889887611</v>
      </c>
      <c r="BZ67" s="255">
        <f t="shared" si="73"/>
        <v>-444.69538787134815</v>
      </c>
      <c r="CA67" s="255">
        <f t="shared" si="73"/>
        <v>-455.81277256813166</v>
      </c>
      <c r="CB67" s="255">
        <f t="shared" si="73"/>
        <v>-467.20809188233494</v>
      </c>
      <c r="CC67" s="255">
        <f t="shared" si="73"/>
        <v>-478.88829417939326</v>
      </c>
      <c r="CD67" s="255">
        <f t="shared" si="73"/>
        <v>-490.86050153387816</v>
      </c>
      <c r="CE67" s="255">
        <f t="shared" si="73"/>
        <v>-503.13201407222488</v>
      </c>
      <c r="CF67" s="255">
        <f t="shared" si="73"/>
        <v>-515.71031442403068</v>
      </c>
      <c r="CG67" s="255">
        <f t="shared" si="73"/>
        <v>-528.60307228463125</v>
      </c>
      <c r="CH67" s="255">
        <f t="shared" si="73"/>
        <v>-270.41763704510242</v>
      </c>
      <c r="CI67" s="255">
        <f t="shared" si="73"/>
        <v>-277.17807797122998</v>
      </c>
      <c r="CJ67" s="255">
        <f t="shared" si="73"/>
        <v>-284.10752992051067</v>
      </c>
      <c r="CK67" s="255">
        <f t="shared" si="73"/>
        <v>-291.2102181685234</v>
      </c>
      <c r="CL67" s="255">
        <f t="shared" si="73"/>
        <v>-298.49047362273649</v>
      </c>
      <c r="CM67" s="255">
        <f t="shared" si="73"/>
        <v>-305.95273546330486</v>
      </c>
      <c r="CN67" s="255">
        <f t="shared" si="73"/>
        <v>-313.60155384988741</v>
      </c>
      <c r="CO67" s="255">
        <f t="shared" si="73"/>
        <v>-321.44159269613459</v>
      </c>
      <c r="CP67" s="255">
        <f t="shared" si="73"/>
        <v>-312.57075715092128</v>
      </c>
      <c r="CQ67" s="23" t="s">
        <v>77</v>
      </c>
    </row>
    <row r="68" spans="1:95" s="514" customFormat="1" outlineLevel="1" x14ac:dyDescent="0.2">
      <c r="A68" s="8"/>
      <c r="B68" s="311"/>
      <c r="C68" s="513"/>
      <c r="K68" s="245"/>
      <c r="L68" s="245"/>
      <c r="M68" s="245"/>
      <c r="N68" s="245"/>
      <c r="O68" s="245"/>
      <c r="P68" s="245"/>
      <c r="Q68" s="245"/>
      <c r="R68" s="245"/>
      <c r="S68" s="245"/>
      <c r="T68" s="245"/>
      <c r="U68" s="245"/>
      <c r="V68" s="245"/>
      <c r="W68" s="519"/>
      <c r="X68" s="245"/>
      <c r="Y68" s="245"/>
      <c r="Z68" s="245"/>
      <c r="AA68" s="245"/>
      <c r="AB68" s="245"/>
      <c r="AC68" s="245"/>
      <c r="AD68" s="245"/>
      <c r="AE68" s="245"/>
      <c r="AF68" s="245"/>
      <c r="AG68" s="245"/>
      <c r="AH68" s="245"/>
      <c r="AI68" s="245"/>
      <c r="AJ68" s="245"/>
      <c r="AK68" s="245"/>
      <c r="AL68" s="245"/>
      <c r="AM68" s="245"/>
      <c r="AN68" s="245"/>
      <c r="AO68" s="245"/>
      <c r="AP68" s="245"/>
      <c r="AQ68" s="245"/>
      <c r="AR68" s="245"/>
      <c r="AS68" s="245"/>
      <c r="AT68" s="245"/>
      <c r="AU68" s="245"/>
      <c r="AV68" s="245"/>
      <c r="AW68" s="245"/>
      <c r="AX68" s="245"/>
      <c r="AY68" s="245"/>
      <c r="AZ68" s="245"/>
      <c r="BA68" s="245"/>
      <c r="BB68" s="245"/>
      <c r="BC68" s="245"/>
      <c r="BD68" s="245"/>
      <c r="BE68" s="245"/>
      <c r="BF68" s="245"/>
      <c r="BG68" s="245"/>
      <c r="BH68" s="245"/>
      <c r="BI68" s="245"/>
      <c r="BJ68" s="245"/>
      <c r="BK68" s="245"/>
      <c r="BL68" s="245"/>
      <c r="BM68" s="245"/>
      <c r="BN68" s="245"/>
      <c r="BO68" s="245"/>
      <c r="BP68" s="245"/>
      <c r="BQ68" s="245"/>
      <c r="BR68" s="245"/>
      <c r="BS68" s="245"/>
      <c r="BT68" s="245"/>
      <c r="BU68" s="245"/>
      <c r="BV68" s="245"/>
      <c r="BW68" s="245"/>
      <c r="BX68" s="245"/>
      <c r="BY68" s="245"/>
      <c r="BZ68" s="245"/>
      <c r="CA68" s="245"/>
      <c r="CB68" s="245"/>
      <c r="CC68" s="245"/>
      <c r="CD68" s="245"/>
      <c r="CE68" s="245"/>
      <c r="CF68" s="245"/>
      <c r="CG68" s="245"/>
      <c r="CH68" s="245"/>
      <c r="CI68" s="245"/>
      <c r="CJ68" s="245"/>
      <c r="CK68" s="245"/>
      <c r="CL68" s="245"/>
      <c r="CM68" s="245"/>
      <c r="CN68" s="245"/>
      <c r="CO68" s="245"/>
      <c r="CP68" s="245"/>
      <c r="CQ68" s="515"/>
    </row>
    <row r="69" spans="1:95" ht="5.0999999999999996" customHeight="1" outlineLevel="1" x14ac:dyDescent="0.2">
      <c r="B69" s="24"/>
      <c r="T69" s="40"/>
      <c r="W69" s="519"/>
      <c r="CQ69" s="23" t="s">
        <v>77</v>
      </c>
    </row>
    <row r="70" spans="1:95" outlineLevel="1" x14ac:dyDescent="0.2">
      <c r="B70" s="358" t="s">
        <v>18</v>
      </c>
      <c r="D70" s="520"/>
      <c r="E70" s="520"/>
      <c r="F70" s="218"/>
      <c r="G70" s="218"/>
      <c r="H70" s="218"/>
      <c r="I70" s="218"/>
      <c r="J70" s="218"/>
      <c r="K70" s="248"/>
      <c r="L70" s="248"/>
      <c r="M70" s="248"/>
      <c r="N70" s="248"/>
      <c r="O70" s="248"/>
      <c r="P70" s="248"/>
      <c r="Q70" s="248"/>
      <c r="R70" s="248"/>
      <c r="S70" s="246"/>
      <c r="T70" s="246"/>
      <c r="U70" s="246"/>
      <c r="V70" s="246"/>
      <c r="W70" s="246"/>
      <c r="X70" s="246"/>
      <c r="Y70" s="246"/>
      <c r="Z70" s="248"/>
      <c r="AA70" s="248"/>
      <c r="AB70" s="248"/>
      <c r="AC70" s="248"/>
      <c r="AD70" s="248"/>
      <c r="AE70" s="248"/>
      <c r="AF70" s="248"/>
      <c r="AG70" s="248"/>
      <c r="AH70" s="248"/>
      <c r="AI70" s="248"/>
      <c r="AJ70" s="248"/>
      <c r="AK70" s="248"/>
      <c r="AL70" s="248"/>
      <c r="AM70" s="248"/>
      <c r="AN70" s="248"/>
      <c r="AO70" s="248"/>
      <c r="AP70" s="248"/>
      <c r="AQ70" s="248"/>
      <c r="AR70" s="248"/>
      <c r="AS70" s="248"/>
      <c r="AT70" s="248"/>
      <c r="AU70" s="248"/>
      <c r="AV70" s="248"/>
      <c r="AW70" s="248"/>
      <c r="AX70" s="248"/>
      <c r="AY70" s="248"/>
      <c r="AZ70" s="248"/>
      <c r="BA70" s="248"/>
      <c r="BB70" s="248"/>
      <c r="BC70" s="248"/>
      <c r="BD70" s="248"/>
      <c r="BE70" s="248"/>
      <c r="BF70" s="248"/>
      <c r="BG70" s="248"/>
      <c r="BH70" s="248"/>
      <c r="BI70" s="248"/>
      <c r="BJ70" s="248"/>
      <c r="BK70" s="248"/>
      <c r="BL70" s="248"/>
      <c r="BM70" s="248"/>
      <c r="BN70" s="248"/>
      <c r="BO70" s="248"/>
      <c r="BP70" s="248"/>
      <c r="BQ70" s="248"/>
      <c r="BR70" s="248"/>
      <c r="BS70" s="248"/>
      <c r="BT70" s="248"/>
      <c r="BU70" s="248"/>
      <c r="BV70" s="248"/>
      <c r="BW70" s="248"/>
      <c r="BX70" s="248"/>
      <c r="BY70" s="248"/>
      <c r="BZ70" s="248"/>
      <c r="CA70" s="248"/>
      <c r="CB70" s="248"/>
      <c r="CC70" s="248"/>
      <c r="CD70" s="248"/>
      <c r="CE70" s="248"/>
      <c r="CF70" s="248"/>
      <c r="CG70" s="248"/>
      <c r="CH70" s="248"/>
      <c r="CI70" s="248"/>
      <c r="CJ70" s="248"/>
      <c r="CK70" s="248"/>
      <c r="CL70" s="248"/>
      <c r="CM70" s="248"/>
      <c r="CN70" s="248"/>
      <c r="CO70" s="248"/>
      <c r="CP70" s="248"/>
      <c r="CQ70" s="23" t="s">
        <v>77</v>
      </c>
    </row>
    <row r="71" spans="1:95" outlineLevel="1" x14ac:dyDescent="0.2">
      <c r="B71" s="91" t="str">
        <f>B45</f>
        <v>Roma Brisbane</v>
      </c>
      <c r="K71" s="52" t="s">
        <v>78</v>
      </c>
      <c r="L71" s="52" t="s">
        <v>78</v>
      </c>
      <c r="M71" s="52" t="s">
        <v>78</v>
      </c>
      <c r="N71" s="52">
        <v>30</v>
      </c>
      <c r="O71" s="52">
        <v>29</v>
      </c>
      <c r="P71" s="52">
        <v>29.5</v>
      </c>
      <c r="Q71" s="52">
        <v>28</v>
      </c>
      <c r="R71" s="52">
        <v>31.5</v>
      </c>
      <c r="S71" s="52">
        <v>41.5</v>
      </c>
      <c r="T71" s="186">
        <v>47.038750000000206</v>
      </c>
      <c r="U71" s="39">
        <v>48.3</v>
      </c>
      <c r="V71" s="39">
        <v>61</v>
      </c>
      <c r="W71" s="39">
        <v>60.2</v>
      </c>
      <c r="X71" s="157">
        <f>+(X45-W45)*85%+W71</f>
        <v>54.524114220751571</v>
      </c>
      <c r="Y71" s="157">
        <f t="shared" ref="Y71:AJ71" si="74">+(Y45-X45)*80%+X71</f>
        <v>54.95055382194721</v>
      </c>
      <c r="Z71" s="157">
        <f t="shared" si="74"/>
        <v>55.465654413172743</v>
      </c>
      <c r="AA71" s="157">
        <f t="shared" si="74"/>
        <v>54.211433613878597</v>
      </c>
      <c r="AB71" s="157">
        <f t="shared" si="74"/>
        <v>52.181425070601215</v>
      </c>
      <c r="AC71" s="157">
        <f t="shared" si="74"/>
        <v>53.025923697199467</v>
      </c>
      <c r="AD71" s="157">
        <f t="shared" si="74"/>
        <v>54.56039356379069</v>
      </c>
      <c r="AE71" s="157">
        <f t="shared" si="74"/>
        <v>56.136776528471849</v>
      </c>
      <c r="AF71" s="157">
        <f t="shared" si="74"/>
        <v>57.756264739123282</v>
      </c>
      <c r="AG71" s="157">
        <f t="shared" si="74"/>
        <v>65.90885976877513</v>
      </c>
      <c r="AH71" s="157">
        <f t="shared" si="74"/>
        <v>67.346972842106581</v>
      </c>
      <c r="AI71" s="157">
        <f t="shared" si="74"/>
        <v>68.817425067387646</v>
      </c>
      <c r="AJ71" s="157">
        <f t="shared" si="74"/>
        <v>70.320647673994259</v>
      </c>
      <c r="AK71" s="157">
        <f t="shared" ref="AK71:AQ71" si="75">+(AK45-AJ45)*75%+AJ71</f>
        <v>71.762555094278156</v>
      </c>
      <c r="AL71" s="157">
        <f t="shared" si="75"/>
        <v>73.23677268530723</v>
      </c>
      <c r="AM71" s="157">
        <f t="shared" si="75"/>
        <v>74.744484580404503</v>
      </c>
      <c r="AN71" s="157">
        <f t="shared" si="75"/>
        <v>76.285385346917039</v>
      </c>
      <c r="AO71" s="157">
        <f t="shared" si="75"/>
        <v>77.862180236955538</v>
      </c>
      <c r="AP71" s="157">
        <f t="shared" si="75"/>
        <v>79.473835444158766</v>
      </c>
      <c r="AQ71" s="157">
        <f t="shared" si="75"/>
        <v>81.12232836662767</v>
      </c>
      <c r="AR71" s="307">
        <f t="shared" ref="Y71:BD72" si="76">AR45+AR58</f>
        <v>0</v>
      </c>
      <c r="AS71" s="307">
        <f t="shared" si="76"/>
        <v>0</v>
      </c>
      <c r="AT71" s="307">
        <f t="shared" si="76"/>
        <v>0</v>
      </c>
      <c r="AU71" s="307">
        <f t="shared" si="76"/>
        <v>0</v>
      </c>
      <c r="AV71" s="307">
        <f t="shared" si="76"/>
        <v>0</v>
      </c>
      <c r="AW71" s="307">
        <f t="shared" si="76"/>
        <v>0</v>
      </c>
      <c r="AX71" s="307">
        <f t="shared" si="76"/>
        <v>0</v>
      </c>
      <c r="AY71" s="307">
        <f t="shared" si="76"/>
        <v>0</v>
      </c>
      <c r="AZ71" s="307">
        <f t="shared" si="76"/>
        <v>0</v>
      </c>
      <c r="BA71" s="307">
        <f t="shared" si="76"/>
        <v>0</v>
      </c>
      <c r="BB71" s="307">
        <f t="shared" si="76"/>
        <v>0</v>
      </c>
      <c r="BC71" s="307">
        <f t="shared" si="76"/>
        <v>0</v>
      </c>
      <c r="BD71" s="307">
        <f t="shared" si="76"/>
        <v>0</v>
      </c>
      <c r="BE71" s="307">
        <f t="shared" ref="BE71:CP71" si="77">BE45+BE58</f>
        <v>0</v>
      </c>
      <c r="BF71" s="307">
        <f t="shared" si="77"/>
        <v>0</v>
      </c>
      <c r="BG71" s="307">
        <f t="shared" si="77"/>
        <v>0</v>
      </c>
      <c r="BH71" s="307">
        <f t="shared" si="77"/>
        <v>0</v>
      </c>
      <c r="BI71" s="307">
        <f t="shared" si="77"/>
        <v>0</v>
      </c>
      <c r="BJ71" s="307">
        <f t="shared" si="77"/>
        <v>0</v>
      </c>
      <c r="BK71" s="307">
        <f t="shared" si="77"/>
        <v>0</v>
      </c>
      <c r="BL71" s="307">
        <f t="shared" si="77"/>
        <v>0</v>
      </c>
      <c r="BM71" s="307">
        <f t="shared" si="77"/>
        <v>0</v>
      </c>
      <c r="BN71" s="307">
        <f t="shared" si="77"/>
        <v>0</v>
      </c>
      <c r="BO71" s="307">
        <f t="shared" si="77"/>
        <v>0</v>
      </c>
      <c r="BP71" s="307">
        <f t="shared" si="77"/>
        <v>0</v>
      </c>
      <c r="BQ71" s="307">
        <f t="shared" si="77"/>
        <v>0</v>
      </c>
      <c r="BR71" s="307">
        <f t="shared" si="77"/>
        <v>0</v>
      </c>
      <c r="BS71" s="307">
        <f t="shared" si="77"/>
        <v>0</v>
      </c>
      <c r="BT71" s="307">
        <f t="shared" si="77"/>
        <v>0</v>
      </c>
      <c r="BU71" s="307">
        <f t="shared" si="77"/>
        <v>0</v>
      </c>
      <c r="BV71" s="307">
        <f t="shared" si="77"/>
        <v>0</v>
      </c>
      <c r="BW71" s="307">
        <f t="shared" si="77"/>
        <v>0</v>
      </c>
      <c r="BX71" s="307">
        <f t="shared" si="77"/>
        <v>0</v>
      </c>
      <c r="BY71" s="307">
        <f t="shared" si="77"/>
        <v>0</v>
      </c>
      <c r="BZ71" s="307">
        <f t="shared" si="77"/>
        <v>0</v>
      </c>
      <c r="CA71" s="307">
        <f t="shared" si="77"/>
        <v>0</v>
      </c>
      <c r="CB71" s="307">
        <f t="shared" si="77"/>
        <v>0</v>
      </c>
      <c r="CC71" s="307">
        <f t="shared" si="77"/>
        <v>0</v>
      </c>
      <c r="CD71" s="307">
        <f t="shared" si="77"/>
        <v>0</v>
      </c>
      <c r="CE71" s="307">
        <f t="shared" si="77"/>
        <v>0</v>
      </c>
      <c r="CF71" s="307">
        <f t="shared" si="77"/>
        <v>0</v>
      </c>
      <c r="CG71" s="307">
        <f t="shared" si="77"/>
        <v>0</v>
      </c>
      <c r="CH71" s="307">
        <f t="shared" si="77"/>
        <v>0</v>
      </c>
      <c r="CI71" s="307">
        <f t="shared" si="77"/>
        <v>0</v>
      </c>
      <c r="CJ71" s="307">
        <f t="shared" si="77"/>
        <v>0</v>
      </c>
      <c r="CK71" s="307">
        <f t="shared" si="77"/>
        <v>0</v>
      </c>
      <c r="CL71" s="307">
        <f t="shared" si="77"/>
        <v>0</v>
      </c>
      <c r="CM71" s="307">
        <f t="shared" si="77"/>
        <v>0</v>
      </c>
      <c r="CN71" s="307">
        <f t="shared" si="77"/>
        <v>0</v>
      </c>
      <c r="CO71" s="307">
        <f t="shared" si="77"/>
        <v>0</v>
      </c>
      <c r="CP71" s="307">
        <f t="shared" si="77"/>
        <v>0</v>
      </c>
      <c r="CQ71" s="23" t="s">
        <v>77</v>
      </c>
    </row>
    <row r="72" spans="1:95" outlineLevel="1" x14ac:dyDescent="0.2">
      <c r="B72" s="8" t="s">
        <v>296</v>
      </c>
      <c r="K72" s="52" t="s">
        <v>78</v>
      </c>
      <c r="L72" s="52" t="s">
        <v>78</v>
      </c>
      <c r="M72" s="52" t="s">
        <v>78</v>
      </c>
      <c r="N72" s="52">
        <v>35</v>
      </c>
      <c r="O72" s="52">
        <v>36.5</v>
      </c>
      <c r="P72" s="52">
        <v>39</v>
      </c>
      <c r="Q72" s="52">
        <v>43</v>
      </c>
      <c r="R72" s="52">
        <v>42.5</v>
      </c>
      <c r="S72" s="52">
        <v>42</v>
      </c>
      <c r="T72" s="186">
        <v>44.900625000000005</v>
      </c>
      <c r="U72" s="39">
        <v>52.3</v>
      </c>
      <c r="V72" s="39">
        <v>41.3</v>
      </c>
      <c r="W72" s="39">
        <v>34.6</v>
      </c>
      <c r="X72" s="307">
        <f>X46+X59</f>
        <v>35.465000000000003</v>
      </c>
      <c r="Y72" s="307">
        <f t="shared" si="76"/>
        <v>36.351624999999999</v>
      </c>
      <c r="Z72" s="307">
        <f t="shared" si="76"/>
        <v>37.260415624999993</v>
      </c>
      <c r="AA72" s="307">
        <f t="shared" si="76"/>
        <v>38.121239642963886</v>
      </c>
      <c r="AB72" s="307">
        <f t="shared" si="76"/>
        <v>39.00190546002618</v>
      </c>
      <c r="AC72" s="307">
        <f t="shared" si="76"/>
        <v>39.902869249632239</v>
      </c>
      <c r="AD72" s="307">
        <f t="shared" si="76"/>
        <v>40.824597642614705</v>
      </c>
      <c r="AE72" s="307">
        <f t="shared" si="76"/>
        <v>41.767567966138103</v>
      </c>
      <c r="AF72" s="307">
        <f t="shared" si="76"/>
        <v>42.732268488082966</v>
      </c>
      <c r="AG72" s="307">
        <f t="shared" si="76"/>
        <v>43.719198666992746</v>
      </c>
      <c r="AH72" s="307">
        <f t="shared" si="76"/>
        <v>44.728869407709574</v>
      </c>
      <c r="AI72" s="307">
        <f t="shared" si="76"/>
        <v>45.761803322827816</v>
      </c>
      <c r="AJ72" s="307">
        <f t="shared" si="76"/>
        <v>46.818535000097256</v>
      </c>
      <c r="AK72" s="307">
        <f t="shared" si="76"/>
        <v>47.899611275910644</v>
      </c>
      <c r="AL72" s="307">
        <f t="shared" si="76"/>
        <v>49.00559151501362</v>
      </c>
      <c r="AM72" s="307">
        <f t="shared" si="76"/>
        <v>50.137047896577798</v>
      </c>
      <c r="AN72" s="307">
        <f t="shared" si="76"/>
        <v>51.294565706781185</v>
      </c>
      <c r="AO72" s="307">
        <f t="shared" si="76"/>
        <v>52.478743638043397</v>
      </c>
      <c r="AP72" s="307">
        <f t="shared" si="76"/>
        <v>53.690194095066261</v>
      </c>
      <c r="AQ72" s="307">
        <f t="shared" si="76"/>
        <v>54.929543507833877</v>
      </c>
      <c r="AR72" s="307">
        <f t="shared" si="76"/>
        <v>56.197432651729976</v>
      </c>
      <c r="AS72" s="307">
        <f t="shared" si="76"/>
        <v>57.494516974933241</v>
      </c>
      <c r="AT72" s="307">
        <f t="shared" si="76"/>
        <v>58.821466933255692</v>
      </c>
      <c r="AU72" s="307">
        <f t="shared" si="76"/>
        <v>60.178968332592504</v>
      </c>
      <c r="AV72" s="307">
        <f t="shared" si="76"/>
        <v>61.567722679155366</v>
      </c>
      <c r="AW72" s="307">
        <f t="shared" si="76"/>
        <v>62.988447537665692</v>
      </c>
      <c r="AX72" s="307">
        <f t="shared" si="76"/>
        <v>64.441876897687649</v>
      </c>
      <c r="AY72" s="307">
        <f t="shared" si="76"/>
        <v>65.928761548285181</v>
      </c>
      <c r="AZ72" s="307">
        <f t="shared" si="76"/>
        <v>67.449869461191341</v>
      </c>
      <c r="BA72" s="307">
        <f t="shared" si="76"/>
        <v>0</v>
      </c>
      <c r="BB72" s="307">
        <f t="shared" si="76"/>
        <v>0</v>
      </c>
      <c r="BC72" s="307">
        <f t="shared" si="76"/>
        <v>0</v>
      </c>
      <c r="BD72" s="307">
        <f t="shared" si="76"/>
        <v>0</v>
      </c>
      <c r="BE72" s="307">
        <f t="shared" ref="BE72:CP72" si="78">BE46+BE59</f>
        <v>0</v>
      </c>
      <c r="BF72" s="307">
        <f t="shared" si="78"/>
        <v>0</v>
      </c>
      <c r="BG72" s="307">
        <f t="shared" si="78"/>
        <v>0</v>
      </c>
      <c r="BH72" s="307">
        <f t="shared" si="78"/>
        <v>0</v>
      </c>
      <c r="BI72" s="307">
        <f t="shared" si="78"/>
        <v>0</v>
      </c>
      <c r="BJ72" s="307">
        <f t="shared" si="78"/>
        <v>0</v>
      </c>
      <c r="BK72" s="307">
        <f t="shared" si="78"/>
        <v>0</v>
      </c>
      <c r="BL72" s="307">
        <f t="shared" si="78"/>
        <v>0</v>
      </c>
      <c r="BM72" s="307">
        <f t="shared" si="78"/>
        <v>0</v>
      </c>
      <c r="BN72" s="307">
        <f t="shared" si="78"/>
        <v>0</v>
      </c>
      <c r="BO72" s="307">
        <f t="shared" si="78"/>
        <v>0</v>
      </c>
      <c r="BP72" s="307">
        <f t="shared" si="78"/>
        <v>0</v>
      </c>
      <c r="BQ72" s="307">
        <f t="shared" si="78"/>
        <v>0</v>
      </c>
      <c r="BR72" s="307">
        <f t="shared" si="78"/>
        <v>0</v>
      </c>
      <c r="BS72" s="307">
        <f t="shared" si="78"/>
        <v>0</v>
      </c>
      <c r="BT72" s="307">
        <f t="shared" si="78"/>
        <v>0</v>
      </c>
      <c r="BU72" s="307">
        <f t="shared" si="78"/>
        <v>0</v>
      </c>
      <c r="BV72" s="307">
        <f t="shared" si="78"/>
        <v>0</v>
      </c>
      <c r="BW72" s="307">
        <f t="shared" si="78"/>
        <v>0</v>
      </c>
      <c r="BX72" s="307">
        <f t="shared" si="78"/>
        <v>0</v>
      </c>
      <c r="BY72" s="307">
        <f t="shared" si="78"/>
        <v>0</v>
      </c>
      <c r="BZ72" s="307">
        <f t="shared" si="78"/>
        <v>0</v>
      </c>
      <c r="CA72" s="307">
        <f t="shared" si="78"/>
        <v>0</v>
      </c>
      <c r="CB72" s="307">
        <f t="shared" si="78"/>
        <v>0</v>
      </c>
      <c r="CC72" s="307">
        <f t="shared" si="78"/>
        <v>0</v>
      </c>
      <c r="CD72" s="307">
        <f t="shared" si="78"/>
        <v>0</v>
      </c>
      <c r="CE72" s="307">
        <f t="shared" si="78"/>
        <v>0</v>
      </c>
      <c r="CF72" s="307">
        <f t="shared" si="78"/>
        <v>0</v>
      </c>
      <c r="CG72" s="307">
        <f t="shared" si="78"/>
        <v>0</v>
      </c>
      <c r="CH72" s="307">
        <f t="shared" si="78"/>
        <v>0</v>
      </c>
      <c r="CI72" s="307">
        <f t="shared" si="78"/>
        <v>0</v>
      </c>
      <c r="CJ72" s="307">
        <f t="shared" si="78"/>
        <v>0</v>
      </c>
      <c r="CK72" s="307">
        <f t="shared" si="78"/>
        <v>0</v>
      </c>
      <c r="CL72" s="307">
        <f t="shared" si="78"/>
        <v>0</v>
      </c>
      <c r="CM72" s="307">
        <f t="shared" si="78"/>
        <v>0</v>
      </c>
      <c r="CN72" s="307">
        <f t="shared" si="78"/>
        <v>0</v>
      </c>
      <c r="CO72" s="307">
        <f t="shared" si="78"/>
        <v>0</v>
      </c>
      <c r="CP72" s="307">
        <f t="shared" si="78"/>
        <v>0</v>
      </c>
      <c r="CQ72" s="23" t="s">
        <v>77</v>
      </c>
    </row>
    <row r="73" spans="1:95" outlineLevel="1" x14ac:dyDescent="0.2">
      <c r="B73" s="8" t="s">
        <v>297</v>
      </c>
      <c r="K73" s="52" t="s">
        <v>78</v>
      </c>
      <c r="L73" s="52" t="s">
        <v>78</v>
      </c>
      <c r="M73" s="52" t="s">
        <v>78</v>
      </c>
      <c r="N73" s="52">
        <v>31.8</v>
      </c>
      <c r="O73" s="52">
        <v>31.8</v>
      </c>
      <c r="P73" s="52">
        <v>33</v>
      </c>
      <c r="Q73" s="52">
        <v>0</v>
      </c>
      <c r="R73" s="52">
        <v>0</v>
      </c>
      <c r="S73" s="52">
        <v>0</v>
      </c>
      <c r="T73" s="186">
        <v>0</v>
      </c>
      <c r="U73" s="39">
        <v>0</v>
      </c>
      <c r="V73" s="39">
        <v>0</v>
      </c>
      <c r="W73" s="39">
        <v>0.2</v>
      </c>
      <c r="X73" s="307">
        <f>X47+X60</f>
        <v>0</v>
      </c>
      <c r="Y73" s="307">
        <f t="shared" ref="Y73:BD73" si="79">Y47+Y60</f>
        <v>0</v>
      </c>
      <c r="Z73" s="307">
        <f t="shared" si="79"/>
        <v>0</v>
      </c>
      <c r="AA73" s="307">
        <f t="shared" si="79"/>
        <v>0</v>
      </c>
      <c r="AB73" s="307">
        <f t="shared" si="79"/>
        <v>0</v>
      </c>
      <c r="AC73" s="307">
        <f t="shared" si="79"/>
        <v>0</v>
      </c>
      <c r="AD73" s="307">
        <f t="shared" si="79"/>
        <v>0</v>
      </c>
      <c r="AE73" s="307">
        <f t="shared" si="79"/>
        <v>0</v>
      </c>
      <c r="AF73" s="307">
        <f t="shared" si="79"/>
        <v>0</v>
      </c>
      <c r="AG73" s="307">
        <f t="shared" si="79"/>
        <v>0</v>
      </c>
      <c r="AH73" s="307">
        <f t="shared" si="79"/>
        <v>0</v>
      </c>
      <c r="AI73" s="307">
        <f t="shared" si="79"/>
        <v>0</v>
      </c>
      <c r="AJ73" s="307">
        <f t="shared" si="79"/>
        <v>0</v>
      </c>
      <c r="AK73" s="307">
        <f t="shared" si="79"/>
        <v>0</v>
      </c>
      <c r="AL73" s="307">
        <f t="shared" si="79"/>
        <v>0</v>
      </c>
      <c r="AM73" s="307">
        <f t="shared" si="79"/>
        <v>0</v>
      </c>
      <c r="AN73" s="307">
        <f t="shared" si="79"/>
        <v>0</v>
      </c>
      <c r="AO73" s="307">
        <f t="shared" si="79"/>
        <v>0</v>
      </c>
      <c r="AP73" s="307">
        <f t="shared" si="79"/>
        <v>0</v>
      </c>
      <c r="AQ73" s="307">
        <f t="shared" si="79"/>
        <v>0</v>
      </c>
      <c r="AR73" s="307">
        <f t="shared" si="79"/>
        <v>0</v>
      </c>
      <c r="AS73" s="307">
        <f t="shared" si="79"/>
        <v>0</v>
      </c>
      <c r="AT73" s="307">
        <f t="shared" si="79"/>
        <v>0</v>
      </c>
      <c r="AU73" s="307">
        <f t="shared" si="79"/>
        <v>0</v>
      </c>
      <c r="AV73" s="307">
        <f t="shared" si="79"/>
        <v>0</v>
      </c>
      <c r="AW73" s="307">
        <f t="shared" si="79"/>
        <v>0</v>
      </c>
      <c r="AX73" s="307">
        <f t="shared" si="79"/>
        <v>0</v>
      </c>
      <c r="AY73" s="307">
        <f t="shared" si="79"/>
        <v>0</v>
      </c>
      <c r="AZ73" s="307">
        <f t="shared" si="79"/>
        <v>0</v>
      </c>
      <c r="BA73" s="307">
        <f t="shared" si="79"/>
        <v>0</v>
      </c>
      <c r="BB73" s="307">
        <f t="shared" si="79"/>
        <v>0</v>
      </c>
      <c r="BC73" s="307">
        <f t="shared" si="79"/>
        <v>0</v>
      </c>
      <c r="BD73" s="307">
        <f t="shared" si="79"/>
        <v>0</v>
      </c>
      <c r="BE73" s="307">
        <f t="shared" ref="BE73:CP73" si="80">BE47+BE60</f>
        <v>0</v>
      </c>
      <c r="BF73" s="307">
        <f t="shared" si="80"/>
        <v>0</v>
      </c>
      <c r="BG73" s="307">
        <f t="shared" si="80"/>
        <v>0</v>
      </c>
      <c r="BH73" s="307">
        <f t="shared" si="80"/>
        <v>0</v>
      </c>
      <c r="BI73" s="307">
        <f t="shared" si="80"/>
        <v>0</v>
      </c>
      <c r="BJ73" s="307">
        <f t="shared" si="80"/>
        <v>0</v>
      </c>
      <c r="BK73" s="307">
        <f t="shared" si="80"/>
        <v>0</v>
      </c>
      <c r="BL73" s="307">
        <f t="shared" si="80"/>
        <v>0</v>
      </c>
      <c r="BM73" s="307">
        <f t="shared" si="80"/>
        <v>0</v>
      </c>
      <c r="BN73" s="307">
        <f t="shared" si="80"/>
        <v>0</v>
      </c>
      <c r="BO73" s="307">
        <f t="shared" si="80"/>
        <v>0</v>
      </c>
      <c r="BP73" s="307">
        <f t="shared" si="80"/>
        <v>0</v>
      </c>
      <c r="BQ73" s="307">
        <f t="shared" si="80"/>
        <v>0</v>
      </c>
      <c r="BR73" s="307">
        <f t="shared" si="80"/>
        <v>0</v>
      </c>
      <c r="BS73" s="307">
        <f t="shared" si="80"/>
        <v>0</v>
      </c>
      <c r="BT73" s="307">
        <f t="shared" si="80"/>
        <v>0</v>
      </c>
      <c r="BU73" s="307">
        <f t="shared" si="80"/>
        <v>0</v>
      </c>
      <c r="BV73" s="307">
        <f t="shared" si="80"/>
        <v>0</v>
      </c>
      <c r="BW73" s="307">
        <f t="shared" si="80"/>
        <v>0</v>
      </c>
      <c r="BX73" s="307">
        <f t="shared" si="80"/>
        <v>0</v>
      </c>
      <c r="BY73" s="307">
        <f t="shared" si="80"/>
        <v>0</v>
      </c>
      <c r="BZ73" s="307">
        <f t="shared" si="80"/>
        <v>0</v>
      </c>
      <c r="CA73" s="307">
        <f t="shared" si="80"/>
        <v>0</v>
      </c>
      <c r="CB73" s="307">
        <f t="shared" si="80"/>
        <v>0</v>
      </c>
      <c r="CC73" s="307">
        <f t="shared" si="80"/>
        <v>0</v>
      </c>
      <c r="CD73" s="307">
        <f t="shared" si="80"/>
        <v>0</v>
      </c>
      <c r="CE73" s="307">
        <f t="shared" si="80"/>
        <v>0</v>
      </c>
      <c r="CF73" s="307">
        <f t="shared" si="80"/>
        <v>0</v>
      </c>
      <c r="CG73" s="307">
        <f t="shared" si="80"/>
        <v>0</v>
      </c>
      <c r="CH73" s="307">
        <f t="shared" si="80"/>
        <v>0</v>
      </c>
      <c r="CI73" s="307">
        <f t="shared" si="80"/>
        <v>0</v>
      </c>
      <c r="CJ73" s="307">
        <f t="shared" si="80"/>
        <v>0</v>
      </c>
      <c r="CK73" s="307">
        <f t="shared" si="80"/>
        <v>0</v>
      </c>
      <c r="CL73" s="307">
        <f t="shared" si="80"/>
        <v>0</v>
      </c>
      <c r="CM73" s="307">
        <f t="shared" si="80"/>
        <v>0</v>
      </c>
      <c r="CN73" s="307">
        <f t="shared" si="80"/>
        <v>0</v>
      </c>
      <c r="CO73" s="307">
        <f t="shared" si="80"/>
        <v>0</v>
      </c>
      <c r="CP73" s="307">
        <f t="shared" si="80"/>
        <v>0</v>
      </c>
      <c r="CQ73" s="23" t="s">
        <v>77</v>
      </c>
    </row>
    <row r="74" spans="1:95" outlineLevel="1" x14ac:dyDescent="0.2">
      <c r="B74" s="8" t="s">
        <v>507</v>
      </c>
      <c r="K74" s="52" t="s">
        <v>78</v>
      </c>
      <c r="L74" s="52" t="s">
        <v>78</v>
      </c>
      <c r="M74" s="52" t="s">
        <v>78</v>
      </c>
      <c r="N74" s="52">
        <v>0</v>
      </c>
      <c r="O74" s="52">
        <v>0</v>
      </c>
      <c r="P74" s="52">
        <v>1.8</v>
      </c>
      <c r="Q74" s="52">
        <v>0.68500000000000005</v>
      </c>
      <c r="R74" s="52">
        <v>5.5660000000000025</v>
      </c>
      <c r="S74" s="52">
        <v>4.5</v>
      </c>
      <c r="T74" s="186">
        <v>9.2841666666660103</v>
      </c>
      <c r="U74" s="39">
        <f>16.1-U76+2</f>
        <v>11.100000000000001</v>
      </c>
      <c r="V74" s="39">
        <v>6.5478264106698916</v>
      </c>
      <c r="W74" s="39">
        <v>13.5</v>
      </c>
      <c r="X74" s="307">
        <f>X48+X61</f>
        <v>13.8375</v>
      </c>
      <c r="Y74" s="307">
        <f t="shared" ref="Y74:BD74" si="81">Y48+Y61</f>
        <v>14.1834375</v>
      </c>
      <c r="Z74" s="307">
        <f t="shared" si="81"/>
        <v>14.5380234375</v>
      </c>
      <c r="AA74" s="307">
        <f t="shared" si="81"/>
        <v>14.872421433606311</v>
      </c>
      <c r="AB74" s="307">
        <f t="shared" si="81"/>
        <v>15.214489380606789</v>
      </c>
      <c r="AC74" s="307">
        <f t="shared" si="81"/>
        <v>15.564402639797335</v>
      </c>
      <c r="AD74" s="307">
        <f t="shared" si="81"/>
        <v>15.922340567303685</v>
      </c>
      <c r="AE74" s="307">
        <f t="shared" si="81"/>
        <v>16.288486604708591</v>
      </c>
      <c r="AF74" s="307">
        <f t="shared" si="81"/>
        <v>16.663028371725147</v>
      </c>
      <c r="AG74" s="307">
        <f t="shared" si="81"/>
        <v>11.905709768421161</v>
      </c>
      <c r="AH74" s="307">
        <f t="shared" si="81"/>
        <v>12.175537402464977</v>
      </c>
      <c r="AI74" s="307">
        <f t="shared" si="81"/>
        <v>12.45145011849343</v>
      </c>
      <c r="AJ74" s="307">
        <f t="shared" si="81"/>
        <v>12.733584354095555</v>
      </c>
      <c r="AK74" s="307">
        <f t="shared" si="81"/>
        <v>13.02207958517543</v>
      </c>
      <c r="AL74" s="307">
        <f t="shared" si="81"/>
        <v>13.317078393060203</v>
      </c>
      <c r="AM74" s="307">
        <f t="shared" si="81"/>
        <v>13.618726533075661</v>
      </c>
      <c r="AN74" s="307">
        <f t="shared" si="81"/>
        <v>13.927173004620993</v>
      </c>
      <c r="AO74" s="307">
        <f t="shared" si="81"/>
        <v>14.242570122775147</v>
      </c>
      <c r="AP74" s="307">
        <f t="shared" si="81"/>
        <v>14.565073591467822</v>
      </c>
      <c r="AQ74" s="307">
        <f t="shared" si="81"/>
        <v>14.894842578248868</v>
      </c>
      <c r="AR74" s="307">
        <f t="shared" si="81"/>
        <v>15.232039790690555</v>
      </c>
      <c r="AS74" s="307">
        <f t="shared" si="81"/>
        <v>15.576831554457939</v>
      </c>
      <c r="AT74" s="307">
        <f t="shared" si="81"/>
        <v>15.929387893083261</v>
      </c>
      <c r="AU74" s="307">
        <f t="shared" si="81"/>
        <v>16.289882609481108</v>
      </c>
      <c r="AV74" s="307">
        <f t="shared" si="81"/>
        <v>16.658493369241832</v>
      </c>
      <c r="AW74" s="307">
        <f t="shared" si="81"/>
        <v>17.035401785741513</v>
      </c>
      <c r="AX74" s="307">
        <f t="shared" si="81"/>
        <v>17.420793507107561</v>
      </c>
      <c r="AY74" s="307">
        <f t="shared" si="81"/>
        <v>17.814858305079923</v>
      </c>
      <c r="AZ74" s="307">
        <f t="shared" si="81"/>
        <v>18.217790165808594</v>
      </c>
      <c r="BA74" s="307">
        <f t="shared" si="81"/>
        <v>18.629787382629143</v>
      </c>
      <c r="BB74" s="307">
        <f t="shared" si="81"/>
        <v>19.051052650858747</v>
      </c>
      <c r="BC74" s="307">
        <f t="shared" si="81"/>
        <v>19.481793164656107</v>
      </c>
      <c r="BD74" s="307">
        <f t="shared" si="81"/>
        <v>19.922220715989646</v>
      </c>
      <c r="BE74" s="307">
        <f t="shared" ref="BE74:CP74" si="82">BE48+BE61</f>
        <v>20.372551795759172</v>
      </c>
      <c r="BF74" s="307">
        <f t="shared" si="82"/>
        <v>20.833007697117349</v>
      </c>
      <c r="BG74" s="307">
        <f t="shared" si="82"/>
        <v>21.303814621038001</v>
      </c>
      <c r="BH74" s="307">
        <f t="shared" si="82"/>
        <v>21.785203784179625</v>
      </c>
      <c r="BI74" s="307">
        <f t="shared" si="82"/>
        <v>22.277411529093165</v>
      </c>
      <c r="BJ74" s="307">
        <f t="shared" si="82"/>
        <v>22.780679436824379</v>
      </c>
      <c r="BK74" s="307">
        <f t="shared" si="82"/>
        <v>23.29525444196209</v>
      </c>
      <c r="BL74" s="307">
        <f t="shared" si="82"/>
        <v>23.821388950184652</v>
      </c>
      <c r="BM74" s="307">
        <f t="shared" si="82"/>
        <v>24.35934095835815</v>
      </c>
      <c r="BN74" s="307">
        <f t="shared" si="82"/>
        <v>24.909374177240935</v>
      </c>
      <c r="BO74" s="307">
        <f t="shared" si="82"/>
        <v>25.471758156850228</v>
      </c>
      <c r="BP74" s="307">
        <f t="shared" si="82"/>
        <v>26.046768414547739</v>
      </c>
      <c r="BQ74" s="307">
        <f t="shared" si="82"/>
        <v>26.634686565902371</v>
      </c>
      <c r="BR74" s="307">
        <f t="shared" si="82"/>
        <v>27.235800458389402</v>
      </c>
      <c r="BS74" s="307">
        <f t="shared" si="82"/>
        <v>27.850404307986672</v>
      </c>
      <c r="BT74" s="307">
        <f t="shared" si="82"/>
        <v>28.478798838729645</v>
      </c>
      <c r="BU74" s="307">
        <f t="shared" si="82"/>
        <v>29.121291425288469</v>
      </c>
      <c r="BV74" s="307">
        <f t="shared" si="82"/>
        <v>29.778196238631537</v>
      </c>
      <c r="BW74" s="307">
        <f t="shared" si="82"/>
        <v>30.449834394841318</v>
      </c>
      <c r="BX74" s="307">
        <f t="shared" si="82"/>
        <v>31.136534107149636</v>
      </c>
      <c r="BY74" s="307">
        <f t="shared" si="82"/>
        <v>31.83863084126105</v>
      </c>
      <c r="BZ74" s="307">
        <f t="shared" si="82"/>
        <v>32.556467474034278</v>
      </c>
      <c r="CA74" s="307">
        <f t="shared" si="82"/>
        <v>33.290394455593194</v>
      </c>
      <c r="CB74" s="307">
        <f t="shared" si="82"/>
        <v>34.040769974940396</v>
      </c>
      <c r="CC74" s="307">
        <f t="shared" si="82"/>
        <v>34.807960129147773</v>
      </c>
      <c r="CD74" s="307">
        <f t="shared" si="82"/>
        <v>35.592339096200135</v>
      </c>
      <c r="CE74" s="307">
        <f t="shared" si="82"/>
        <v>36.394289311569615</v>
      </c>
      <c r="CF74" s="307">
        <f t="shared" si="82"/>
        <v>37.214201648599996</v>
      </c>
      <c r="CG74" s="307">
        <f t="shared" si="82"/>
        <v>38.052475602781861</v>
      </c>
      <c r="CH74" s="307">
        <f t="shared" si="82"/>
        <v>0</v>
      </c>
      <c r="CI74" s="307">
        <f t="shared" si="82"/>
        <v>0</v>
      </c>
      <c r="CJ74" s="307">
        <f t="shared" si="82"/>
        <v>0</v>
      </c>
      <c r="CK74" s="307">
        <f t="shared" si="82"/>
        <v>0</v>
      </c>
      <c r="CL74" s="307">
        <f t="shared" si="82"/>
        <v>0</v>
      </c>
      <c r="CM74" s="307">
        <f t="shared" si="82"/>
        <v>0</v>
      </c>
      <c r="CN74" s="307">
        <f t="shared" si="82"/>
        <v>0</v>
      </c>
      <c r="CO74" s="307">
        <f t="shared" si="82"/>
        <v>0</v>
      </c>
      <c r="CP74" s="307">
        <f t="shared" si="82"/>
        <v>0</v>
      </c>
      <c r="CQ74" s="23" t="s">
        <v>77</v>
      </c>
    </row>
    <row r="75" spans="1:95" outlineLevel="1" x14ac:dyDescent="0.2">
      <c r="B75" s="8" t="s">
        <v>298</v>
      </c>
      <c r="K75" s="52" t="s">
        <v>78</v>
      </c>
      <c r="L75" s="52" t="s">
        <v>78</v>
      </c>
      <c r="M75" s="52" t="s">
        <v>78</v>
      </c>
      <c r="N75" s="52">
        <v>0</v>
      </c>
      <c r="O75" s="52">
        <v>0</v>
      </c>
      <c r="P75" s="52">
        <v>0</v>
      </c>
      <c r="Q75" s="52">
        <v>0</v>
      </c>
      <c r="R75" s="52">
        <v>0</v>
      </c>
      <c r="S75" s="52">
        <v>75.748000000000005</v>
      </c>
      <c r="T75" s="186">
        <v>133.27645833333381</v>
      </c>
      <c r="U75" s="39">
        <v>185.2</v>
      </c>
      <c r="V75" s="39">
        <v>246.3</v>
      </c>
      <c r="W75" s="39">
        <v>240.8</v>
      </c>
      <c r="X75" s="307">
        <f>X49+X62</f>
        <v>246.82</v>
      </c>
      <c r="Y75" s="307">
        <f t="shared" ref="Y75:BD78" si="83">Y49+Y62</f>
        <v>252.99049999999997</v>
      </c>
      <c r="Z75" s="307">
        <f t="shared" si="83"/>
        <v>259.3152624999999</v>
      </c>
      <c r="AA75" s="307">
        <f t="shared" si="83"/>
        <v>265.40777394224841</v>
      </c>
      <c r="AB75" s="307">
        <f t="shared" si="83"/>
        <v>271.64332688019704</v>
      </c>
      <c r="AC75" s="307">
        <f t="shared" si="83"/>
        <v>278.02527715809254</v>
      </c>
      <c r="AD75" s="307">
        <f t="shared" si="83"/>
        <v>284.55705928670034</v>
      </c>
      <c r="AE75" s="307">
        <f t="shared" si="83"/>
        <v>291.24218828576511</v>
      </c>
      <c r="AF75" s="307">
        <f t="shared" si="83"/>
        <v>298.08426156958285</v>
      </c>
      <c r="AG75" s="307">
        <f t="shared" si="83"/>
        <v>305.08696087669193</v>
      </c>
      <c r="AH75" s="307">
        <f t="shared" si="83"/>
        <v>312.25405424471569</v>
      </c>
      <c r="AI75" s="307">
        <f t="shared" si="83"/>
        <v>159.2077032336187</v>
      </c>
      <c r="AJ75" s="307">
        <f t="shared" si="83"/>
        <v>162.90617893375912</v>
      </c>
      <c r="AK75" s="307">
        <f t="shared" si="83"/>
        <v>166.69042575048638</v>
      </c>
      <c r="AL75" s="307">
        <f t="shared" si="83"/>
        <v>170.56242905578722</v>
      </c>
      <c r="AM75" s="307">
        <f t="shared" si="83"/>
        <v>174.52422008193213</v>
      </c>
      <c r="AN75" s="307">
        <f t="shared" si="83"/>
        <v>178.57787697834971</v>
      </c>
      <c r="AO75" s="307">
        <f t="shared" si="83"/>
        <v>182.725525892794</v>
      </c>
      <c r="AP75" s="307">
        <f t="shared" si="83"/>
        <v>186.9693420773616</v>
      </c>
      <c r="AQ75" s="307">
        <f t="shared" si="83"/>
        <v>191.31155101992795</v>
      </c>
      <c r="AR75" s="307">
        <f t="shared" si="83"/>
        <v>195.75442960158597</v>
      </c>
      <c r="AS75" s="307">
        <f t="shared" si="83"/>
        <v>200.30030728068178</v>
      </c>
      <c r="AT75" s="307">
        <f t="shared" si="83"/>
        <v>204.95156730405756</v>
      </c>
      <c r="AU75" s="307">
        <f t="shared" si="83"/>
        <v>209.71064794612502</v>
      </c>
      <c r="AV75" s="307">
        <f t="shared" si="83"/>
        <v>214.58004377640648</v>
      </c>
      <c r="AW75" s="307">
        <f t="shared" si="83"/>
        <v>219.5623069561961</v>
      </c>
      <c r="AX75" s="307">
        <f t="shared" si="83"/>
        <v>224.66004856500825</v>
      </c>
      <c r="AY75" s="307">
        <f t="shared" si="83"/>
        <v>229.87593995749478</v>
      </c>
      <c r="AZ75" s="307">
        <f t="shared" si="83"/>
        <v>235.2127141515295</v>
      </c>
      <c r="BA75" s="307">
        <f t="shared" si="83"/>
        <v>240.67316724817368</v>
      </c>
      <c r="BB75" s="307">
        <f t="shared" si="83"/>
        <v>246.26015988425183</v>
      </c>
      <c r="BC75" s="307">
        <f t="shared" si="83"/>
        <v>251.97661871828515</v>
      </c>
      <c r="BD75" s="307">
        <f t="shared" si="83"/>
        <v>257.82553795054633</v>
      </c>
      <c r="BE75" s="307">
        <f t="shared" ref="BE75:CP75" si="84">BE49+BE62</f>
        <v>263.80998087801623</v>
      </c>
      <c r="BF75" s="307">
        <f t="shared" si="84"/>
        <v>269.93308148504218</v>
      </c>
      <c r="BG75" s="307">
        <f t="shared" si="84"/>
        <v>276.19804607051429</v>
      </c>
      <c r="BH75" s="307">
        <f t="shared" si="84"/>
        <v>282.60815491239646</v>
      </c>
      <c r="BI75" s="307">
        <f t="shared" si="84"/>
        <v>289.16676397046598</v>
      </c>
      <c r="BJ75" s="307">
        <f t="shared" si="84"/>
        <v>295.87730662813715</v>
      </c>
      <c r="BK75" s="307">
        <f t="shared" si="84"/>
        <v>302.74329547426237</v>
      </c>
      <c r="BL75" s="307">
        <f t="shared" si="84"/>
        <v>309.76832412582576</v>
      </c>
      <c r="BM75" s="307">
        <f t="shared" si="84"/>
        <v>316.95606909246499</v>
      </c>
      <c r="BN75" s="307">
        <f t="shared" si="84"/>
        <v>324.31029168377813</v>
      </c>
      <c r="BO75" s="307">
        <f t="shared" si="84"/>
        <v>331.83483996039422</v>
      </c>
      <c r="BP75" s="307">
        <f t="shared" si="84"/>
        <v>339.53365072980802</v>
      </c>
      <c r="BQ75" s="307">
        <f t="shared" si="84"/>
        <v>347.41075158800425</v>
      </c>
      <c r="BR75" s="307">
        <f t="shared" si="84"/>
        <v>355.4702630079168</v>
      </c>
      <c r="BS75" s="307">
        <f t="shared" si="84"/>
        <v>363.71640047579467</v>
      </c>
      <c r="BT75" s="307">
        <f t="shared" si="84"/>
        <v>372.15347667657068</v>
      </c>
      <c r="BU75" s="307">
        <f t="shared" si="84"/>
        <v>380.78590372935207</v>
      </c>
      <c r="BV75" s="307">
        <f t="shared" si="84"/>
        <v>389.61819547417969</v>
      </c>
      <c r="BW75" s="307">
        <f t="shared" si="84"/>
        <v>398.6549698112284</v>
      </c>
      <c r="BX75" s="307">
        <f t="shared" si="84"/>
        <v>407.9009510936454</v>
      </c>
      <c r="BY75" s="307">
        <f t="shared" si="84"/>
        <v>417.36097257525489</v>
      </c>
      <c r="BZ75" s="307">
        <f t="shared" si="84"/>
        <v>427.03997891438092</v>
      </c>
      <c r="CA75" s="307">
        <f t="shared" si="84"/>
        <v>436.94302873507286</v>
      </c>
      <c r="CB75" s="307">
        <f t="shared" si="84"/>
        <v>447.07529724704318</v>
      </c>
      <c r="CC75" s="307">
        <f t="shared" si="84"/>
        <v>457.44207892566055</v>
      </c>
      <c r="CD75" s="307">
        <f t="shared" si="84"/>
        <v>468.04879025337004</v>
      </c>
      <c r="CE75" s="307">
        <f t="shared" si="84"/>
        <v>478.90097252394327</v>
      </c>
      <c r="CF75" s="307">
        <f t="shared" si="84"/>
        <v>490.00429471099397</v>
      </c>
      <c r="CG75" s="307">
        <f t="shared" si="84"/>
        <v>501.36455640222732</v>
      </c>
      <c r="CH75" s="307">
        <f t="shared" si="84"/>
        <v>0</v>
      </c>
      <c r="CI75" s="307">
        <f t="shared" si="84"/>
        <v>0</v>
      </c>
      <c r="CJ75" s="307">
        <f t="shared" si="84"/>
        <v>0</v>
      </c>
      <c r="CK75" s="307">
        <f t="shared" si="84"/>
        <v>0</v>
      </c>
      <c r="CL75" s="307">
        <f t="shared" si="84"/>
        <v>0</v>
      </c>
      <c r="CM75" s="307">
        <f t="shared" si="84"/>
        <v>0</v>
      </c>
      <c r="CN75" s="307">
        <f t="shared" si="84"/>
        <v>0</v>
      </c>
      <c r="CO75" s="307">
        <f t="shared" si="84"/>
        <v>0</v>
      </c>
      <c r="CP75" s="307">
        <f t="shared" si="84"/>
        <v>0</v>
      </c>
      <c r="CQ75" s="23" t="s">
        <v>77</v>
      </c>
    </row>
    <row r="76" spans="1:95" outlineLevel="1" x14ac:dyDescent="0.2">
      <c r="B76" s="8" t="s">
        <v>219</v>
      </c>
      <c r="K76" s="52">
        <v>0</v>
      </c>
      <c r="L76" s="52">
        <v>0</v>
      </c>
      <c r="M76" s="52">
        <v>0</v>
      </c>
      <c r="N76" s="52">
        <v>0</v>
      </c>
      <c r="O76" s="52">
        <v>0</v>
      </c>
      <c r="P76" s="52">
        <v>0</v>
      </c>
      <c r="Q76" s="52">
        <v>0</v>
      </c>
      <c r="R76" s="52">
        <v>0</v>
      </c>
      <c r="S76" s="52">
        <v>0</v>
      </c>
      <c r="T76" s="186">
        <v>0</v>
      </c>
      <c r="U76" s="39">
        <f>+U50*70%</f>
        <v>7</v>
      </c>
      <c r="V76" s="39">
        <v>14.052173589330108</v>
      </c>
      <c r="W76" s="39">
        <v>88.8</v>
      </c>
      <c r="X76" s="157">
        <f t="shared" ref="X76:AC76" si="85">+(X50-W50)*90%+W76</f>
        <v>91.873846153846131</v>
      </c>
      <c r="Y76" s="157">
        <f t="shared" si="85"/>
        <v>95.024538461538413</v>
      </c>
      <c r="Z76" s="157">
        <f t="shared" si="85"/>
        <v>98.253998076923011</v>
      </c>
      <c r="AA76" s="157">
        <f t="shared" si="85"/>
        <v>101.39868437740378</v>
      </c>
      <c r="AB76" s="157">
        <f t="shared" si="85"/>
        <v>104.61805697752095</v>
      </c>
      <c r="AC76" s="157">
        <f t="shared" si="85"/>
        <v>107.9138896768909</v>
      </c>
      <c r="AD76" s="157">
        <f t="shared" ref="AD76:AI76" si="86">+(AD50-AC50)*85%+AC76</f>
        <v>111.10054791809422</v>
      </c>
      <c r="AE76" s="157">
        <f t="shared" si="86"/>
        <v>114.36288929252612</v>
      </c>
      <c r="AF76" s="157">
        <f t="shared" si="86"/>
        <v>117.70271127460077</v>
      </c>
      <c r="AG76" s="157">
        <f t="shared" si="86"/>
        <v>121.12185402874971</v>
      </c>
      <c r="AH76" s="157">
        <f t="shared" si="86"/>
        <v>124.62220142330968</v>
      </c>
      <c r="AI76" s="157">
        <f t="shared" si="86"/>
        <v>128.20568206849046</v>
      </c>
      <c r="AJ76" s="333">
        <f>AJ50+AJ63</f>
        <v>22.490323469866475</v>
      </c>
      <c r="AK76" s="307">
        <f t="shared" ref="AK76:CP76" si="87">AK50+AK63</f>
        <v>23.0120405975848</v>
      </c>
      <c r="AL76" s="307">
        <f t="shared" si="87"/>
        <v>23.545837805719156</v>
      </c>
      <c r="AM76" s="307">
        <f t="shared" si="87"/>
        <v>24.091994228645245</v>
      </c>
      <c r="AN76" s="307">
        <f t="shared" si="87"/>
        <v>24.650795435991835</v>
      </c>
      <c r="AO76" s="307">
        <f t="shared" si="87"/>
        <v>25.222533580623313</v>
      </c>
      <c r="AP76" s="307">
        <f t="shared" si="87"/>
        <v>25.807507550015458</v>
      </c>
      <c r="AQ76" s="307">
        <f t="shared" si="87"/>
        <v>26.406023121101974</v>
      </c>
      <c r="AR76" s="307">
        <f t="shared" si="87"/>
        <v>0</v>
      </c>
      <c r="AS76" s="307">
        <f t="shared" si="87"/>
        <v>0</v>
      </c>
      <c r="AT76" s="333">
        <f t="shared" si="87"/>
        <v>0</v>
      </c>
      <c r="AU76" s="307">
        <f t="shared" si="87"/>
        <v>0</v>
      </c>
      <c r="AV76" s="307">
        <f t="shared" si="87"/>
        <v>0</v>
      </c>
      <c r="AW76" s="307">
        <f t="shared" si="87"/>
        <v>0</v>
      </c>
      <c r="AX76" s="307">
        <f t="shared" si="87"/>
        <v>0</v>
      </c>
      <c r="AY76" s="307">
        <f t="shared" si="87"/>
        <v>0</v>
      </c>
      <c r="AZ76" s="307">
        <f t="shared" si="87"/>
        <v>0</v>
      </c>
      <c r="BA76" s="307">
        <f t="shared" si="87"/>
        <v>0</v>
      </c>
      <c r="BB76" s="307">
        <f t="shared" si="87"/>
        <v>0</v>
      </c>
      <c r="BC76" s="307">
        <f t="shared" si="87"/>
        <v>0</v>
      </c>
      <c r="BD76" s="307">
        <f t="shared" si="87"/>
        <v>0</v>
      </c>
      <c r="BE76" s="307">
        <f t="shared" si="87"/>
        <v>0</v>
      </c>
      <c r="BF76" s="307">
        <f t="shared" si="87"/>
        <v>0</v>
      </c>
      <c r="BG76" s="307">
        <f t="shared" si="87"/>
        <v>0</v>
      </c>
      <c r="BH76" s="307">
        <f t="shared" si="87"/>
        <v>0</v>
      </c>
      <c r="BI76" s="307">
        <f t="shared" si="87"/>
        <v>0</v>
      </c>
      <c r="BJ76" s="307">
        <f t="shared" si="87"/>
        <v>0</v>
      </c>
      <c r="BK76" s="307">
        <f t="shared" si="87"/>
        <v>0</v>
      </c>
      <c r="BL76" s="307">
        <f t="shared" si="87"/>
        <v>0</v>
      </c>
      <c r="BM76" s="307">
        <f t="shared" si="87"/>
        <v>0</v>
      </c>
      <c r="BN76" s="307">
        <f t="shared" si="87"/>
        <v>0</v>
      </c>
      <c r="BO76" s="307">
        <f t="shared" si="87"/>
        <v>0</v>
      </c>
      <c r="BP76" s="307">
        <f t="shared" si="87"/>
        <v>0</v>
      </c>
      <c r="BQ76" s="307">
        <f t="shared" si="87"/>
        <v>0</v>
      </c>
      <c r="BR76" s="307">
        <f t="shared" si="87"/>
        <v>0</v>
      </c>
      <c r="BS76" s="307">
        <f t="shared" si="87"/>
        <v>0</v>
      </c>
      <c r="BT76" s="307">
        <f t="shared" si="87"/>
        <v>0</v>
      </c>
      <c r="BU76" s="307">
        <f t="shared" si="87"/>
        <v>0</v>
      </c>
      <c r="BV76" s="307">
        <f t="shared" si="87"/>
        <v>0</v>
      </c>
      <c r="BW76" s="307">
        <f t="shared" si="87"/>
        <v>0</v>
      </c>
      <c r="BX76" s="307">
        <f t="shared" si="87"/>
        <v>0</v>
      </c>
      <c r="BY76" s="307">
        <f t="shared" si="87"/>
        <v>0</v>
      </c>
      <c r="BZ76" s="307">
        <f t="shared" si="87"/>
        <v>0</v>
      </c>
      <c r="CA76" s="307">
        <f t="shared" si="87"/>
        <v>0</v>
      </c>
      <c r="CB76" s="307">
        <f t="shared" si="87"/>
        <v>0</v>
      </c>
      <c r="CC76" s="307">
        <f t="shared" si="87"/>
        <v>0</v>
      </c>
      <c r="CD76" s="307">
        <f t="shared" si="87"/>
        <v>0</v>
      </c>
      <c r="CE76" s="307">
        <f t="shared" si="87"/>
        <v>0</v>
      </c>
      <c r="CF76" s="307">
        <f t="shared" si="87"/>
        <v>0</v>
      </c>
      <c r="CG76" s="307">
        <f t="shared" si="87"/>
        <v>0</v>
      </c>
      <c r="CH76" s="307">
        <f t="shared" si="87"/>
        <v>0</v>
      </c>
      <c r="CI76" s="307">
        <f t="shared" si="87"/>
        <v>0</v>
      </c>
      <c r="CJ76" s="307">
        <f t="shared" si="87"/>
        <v>0</v>
      </c>
      <c r="CK76" s="307">
        <f t="shared" si="87"/>
        <v>0</v>
      </c>
      <c r="CL76" s="307">
        <f t="shared" si="87"/>
        <v>0</v>
      </c>
      <c r="CM76" s="307">
        <f t="shared" si="87"/>
        <v>0</v>
      </c>
      <c r="CN76" s="307">
        <f t="shared" si="87"/>
        <v>0</v>
      </c>
      <c r="CO76" s="307">
        <f t="shared" si="87"/>
        <v>0</v>
      </c>
      <c r="CP76" s="307">
        <f t="shared" si="87"/>
        <v>0</v>
      </c>
      <c r="CQ76" s="23" t="s">
        <v>77</v>
      </c>
    </row>
    <row r="77" spans="1:95" outlineLevel="1" x14ac:dyDescent="0.2">
      <c r="B77" s="12" t="s">
        <v>509</v>
      </c>
      <c r="K77" s="52" t="s">
        <v>78</v>
      </c>
      <c r="L77" s="52" t="s">
        <v>78</v>
      </c>
      <c r="M77" s="52" t="s">
        <v>78</v>
      </c>
      <c r="N77" s="52" t="s">
        <v>78</v>
      </c>
      <c r="O77" s="52" t="s">
        <v>78</v>
      </c>
      <c r="P77" s="52" t="s">
        <v>78</v>
      </c>
      <c r="Q77" s="52" t="s">
        <v>78</v>
      </c>
      <c r="R77" s="52" t="s">
        <v>78</v>
      </c>
      <c r="S77" s="52" t="s">
        <v>78</v>
      </c>
      <c r="T77" s="52" t="s">
        <v>78</v>
      </c>
      <c r="U77" s="187">
        <v>36.200000000000003</v>
      </c>
      <c r="V77" s="187">
        <v>486.6</v>
      </c>
      <c r="W77" s="187">
        <v>487.3</v>
      </c>
      <c r="X77" s="157">
        <f>+(X51-W51)*0.95+W77</f>
        <v>504.72027979187646</v>
      </c>
      <c r="Y77" s="307">
        <f>Y51+Y64</f>
        <v>517.56269183975007</v>
      </c>
      <c r="Z77" s="307">
        <f t="shared" si="83"/>
        <v>514.80224511924177</v>
      </c>
      <c r="AA77" s="307">
        <f t="shared" si="83"/>
        <v>497.14090583260958</v>
      </c>
      <c r="AB77" s="307">
        <f t="shared" si="83"/>
        <v>506.22799102902809</v>
      </c>
      <c r="AC77" s="307">
        <f t="shared" si="83"/>
        <v>515.4787660438185</v>
      </c>
      <c r="AD77" s="307">
        <f t="shared" si="83"/>
        <v>524.89611686352089</v>
      </c>
      <c r="AE77" s="307">
        <f t="shared" si="83"/>
        <v>534.48297870541933</v>
      </c>
      <c r="AF77" s="307">
        <f t="shared" si="83"/>
        <v>544.24233681285125</v>
      </c>
      <c r="AG77" s="307">
        <f t="shared" si="83"/>
        <v>554.17722726212492</v>
      </c>
      <c r="AH77" s="307">
        <f t="shared" si="83"/>
        <v>564.29073778118072</v>
      </c>
      <c r="AI77" s="307">
        <f t="shared" si="83"/>
        <v>574.58600858012539</v>
      </c>
      <c r="AJ77" s="307">
        <f t="shared" si="83"/>
        <v>585.06623319377752</v>
      </c>
      <c r="AK77" s="307">
        <f t="shared" si="83"/>
        <v>595.73465933635487</v>
      </c>
      <c r="AL77" s="307">
        <f t="shared" si="83"/>
        <v>606.59458976843848</v>
      </c>
      <c r="AM77" s="307">
        <f t="shared" si="83"/>
        <v>617.64938317634903</v>
      </c>
      <c r="AN77" s="307">
        <f t="shared" si="83"/>
        <v>628.90245506406779</v>
      </c>
      <c r="AO77" s="307">
        <f t="shared" si="83"/>
        <v>579.95693420358816</v>
      </c>
      <c r="AP77" s="307">
        <f t="shared" si="83"/>
        <v>9.6175584625535606</v>
      </c>
      <c r="AQ77" s="307">
        <f t="shared" si="83"/>
        <v>9.280943916364194</v>
      </c>
      <c r="AR77" s="307">
        <f t="shared" si="83"/>
        <v>8.924949989872772</v>
      </c>
      <c r="AS77" s="307">
        <f t="shared" si="83"/>
        <v>8.5488838822554527</v>
      </c>
      <c r="AT77" s="307">
        <f t="shared" si="83"/>
        <v>8.1520315146577929</v>
      </c>
      <c r="AU77" s="307">
        <f t="shared" si="83"/>
        <v>7.7336569230417638</v>
      </c>
      <c r="AV77" s="307">
        <f t="shared" si="83"/>
        <v>7.2930016344251527</v>
      </c>
      <c r="AW77" s="307">
        <f t="shared" si="83"/>
        <v>6.8292840260709653</v>
      </c>
      <c r="AX77" s="307">
        <f t="shared" si="83"/>
        <v>6.3416986671728495</v>
      </c>
      <c r="AY77" s="307">
        <f t="shared" si="83"/>
        <v>5.8294156425708366</v>
      </c>
      <c r="AZ77" s="307">
        <f t="shared" si="83"/>
        <v>5.291579858019432</v>
      </c>
      <c r="BA77" s="307">
        <f t="shared" si="83"/>
        <v>4.7273103265175394</v>
      </c>
      <c r="BB77" s="307">
        <f t="shared" si="83"/>
        <v>4.1356994351969973</v>
      </c>
      <c r="BC77" s="307">
        <f t="shared" si="83"/>
        <v>3.5158121922532501</v>
      </c>
      <c r="BD77" s="307">
        <f t="shared" si="83"/>
        <v>2.8666854533882713</v>
      </c>
      <c r="BE77" s="307">
        <f t="shared" ref="BE77:CP77" si="88">BE51+BE64</f>
        <v>2.1873271272219057</v>
      </c>
      <c r="BF77" s="307">
        <f t="shared" si="88"/>
        <v>1.4767153591138822</v>
      </c>
      <c r="BG77" s="307">
        <f t="shared" si="88"/>
        <v>0.73379769282365714</v>
      </c>
      <c r="BH77" s="307">
        <f t="shared" si="88"/>
        <v>-4.2509790578890261E-2</v>
      </c>
      <c r="BI77" s="307">
        <f t="shared" si="88"/>
        <v>-0.85332335715528984</v>
      </c>
      <c r="BJ77" s="307">
        <f t="shared" si="88"/>
        <v>-1.6997925285104998</v>
      </c>
      <c r="BK77" s="307">
        <f t="shared" si="88"/>
        <v>-2.5831010148106941</v>
      </c>
      <c r="BL77" s="307">
        <f t="shared" si="88"/>
        <v>-3.5044676730570643</v>
      </c>
      <c r="BM77" s="307">
        <f t="shared" si="88"/>
        <v>-4.4651474912842275</v>
      </c>
      <c r="BN77" s="307">
        <f t="shared" si="88"/>
        <v>-5.4664325993686873</v>
      </c>
      <c r="BO77" s="307">
        <f t="shared" si="88"/>
        <v>-6.5096533071505007</v>
      </c>
      <c r="BP77" s="307">
        <f t="shared" si="88"/>
        <v>-7.5961791705900055</v>
      </c>
      <c r="BQ77" s="307">
        <f t="shared" si="88"/>
        <v>-8.7274200866999649</v>
      </c>
      <c r="BR77" s="307">
        <f t="shared" si="88"/>
        <v>-9.9048274180127294</v>
      </c>
      <c r="BS77" s="307">
        <f t="shared" si="88"/>
        <v>-11.129895147362078</v>
      </c>
      <c r="BT77" s="307">
        <f t="shared" si="88"/>
        <v>-12.404161063779242</v>
      </c>
      <c r="BU77" s="307">
        <f t="shared" si="88"/>
        <v>-13.729207980323764</v>
      </c>
      <c r="BV77" s="307">
        <f t="shared" si="88"/>
        <v>-15.106664984690951</v>
      </c>
      <c r="BW77" s="307">
        <f t="shared" si="88"/>
        <v>-16.538208723459604</v>
      </c>
      <c r="BX77" s="307">
        <f t="shared" si="88"/>
        <v>-18.025564720866385</v>
      </c>
      <c r="BY77" s="307">
        <f t="shared" si="88"/>
        <v>-19.570508733015402</v>
      </c>
      <c r="BZ77" s="307">
        <f t="shared" si="88"/>
        <v>-21.174868138456588</v>
      </c>
      <c r="CA77" s="307">
        <f t="shared" si="88"/>
        <v>-22.840523366089002</v>
      </c>
      <c r="CB77" s="307">
        <f t="shared" si="88"/>
        <v>-24.569409361371441</v>
      </c>
      <c r="CC77" s="307">
        <f t="shared" si="88"/>
        <v>-26.363517091847427</v>
      </c>
      <c r="CD77" s="307">
        <f t="shared" si="88"/>
        <v>-28.224895093017693</v>
      </c>
      <c r="CE77" s="307">
        <f t="shared" si="88"/>
        <v>-30.155651055620865</v>
      </c>
      <c r="CF77" s="307">
        <f t="shared" si="88"/>
        <v>-32.15795345540937</v>
      </c>
      <c r="CG77" s="307">
        <f t="shared" si="88"/>
        <v>-34.23403322653715</v>
      </c>
      <c r="CH77" s="307">
        <f t="shared" si="88"/>
        <v>-36.386185479703215</v>
      </c>
      <c r="CI77" s="307">
        <f t="shared" si="88"/>
        <v>-38.61677126622601</v>
      </c>
      <c r="CJ77" s="307">
        <f t="shared" si="88"/>
        <v>-40.928219389252945</v>
      </c>
      <c r="CK77" s="307">
        <f t="shared" si="88"/>
        <v>-43.323028263341598</v>
      </c>
      <c r="CL77" s="307">
        <f t="shared" si="88"/>
        <v>-45.803767823680232</v>
      </c>
      <c r="CM77" s="307">
        <f t="shared" si="88"/>
        <v>-48.373081486248736</v>
      </c>
      <c r="CN77" s="307">
        <f t="shared" si="88"/>
        <v>-51.033688160253945</v>
      </c>
      <c r="CO77" s="307">
        <f t="shared" si="88"/>
        <v>-53.78838431420948</v>
      </c>
      <c r="CP77" s="307">
        <f t="shared" si="88"/>
        <v>-56.640046097062907</v>
      </c>
      <c r="CQ77" s="23" t="s">
        <v>77</v>
      </c>
    </row>
    <row r="78" spans="1:95" outlineLevel="1" x14ac:dyDescent="0.2">
      <c r="B78" s="12" t="s">
        <v>559</v>
      </c>
      <c r="K78" s="52"/>
      <c r="L78" s="52"/>
      <c r="M78" s="52"/>
      <c r="N78" s="52"/>
      <c r="O78" s="52"/>
      <c r="P78" s="52"/>
      <c r="Q78" s="52"/>
      <c r="R78" s="52"/>
      <c r="S78" s="52" t="s">
        <v>78</v>
      </c>
      <c r="T78" s="52" t="s">
        <v>78</v>
      </c>
      <c r="U78" s="52" t="s">
        <v>78</v>
      </c>
      <c r="V78" s="52" t="s">
        <v>78</v>
      </c>
      <c r="W78" s="52" t="s">
        <v>78</v>
      </c>
      <c r="X78" s="161" t="s">
        <v>78</v>
      </c>
      <c r="Y78" s="257">
        <f>(80*0.1)/(1-0.35)</f>
        <v>12.307692307692307</v>
      </c>
      <c r="Z78" s="307">
        <f>Z52+Z65</f>
        <v>12.615384615384613</v>
      </c>
      <c r="AA78" s="307">
        <f t="shared" si="83"/>
        <v>12.91105769230769</v>
      </c>
      <c r="AB78" s="307">
        <f t="shared" si="83"/>
        <v>13.213654447115381</v>
      </c>
      <c r="AC78" s="307">
        <f t="shared" si="83"/>
        <v>13.523336853215138</v>
      </c>
      <c r="AD78" s="307">
        <f t="shared" si="83"/>
        <v>13.840270669284287</v>
      </c>
      <c r="AE78" s="307">
        <f t="shared" si="83"/>
        <v>14.164625527630209</v>
      </c>
      <c r="AF78" s="307">
        <f t="shared" si="83"/>
        <v>14.496575024610607</v>
      </c>
      <c r="AG78" s="307">
        <f t="shared" si="83"/>
        <v>14.83629681316177</v>
      </c>
      <c r="AH78" s="307">
        <f t="shared" si="83"/>
        <v>15.18397269748394</v>
      </c>
      <c r="AI78" s="307">
        <f t="shared" si="83"/>
        <v>15.539788729933999</v>
      </c>
      <c r="AJ78" s="307">
        <f t="shared" si="83"/>
        <v>15.903935310176868</v>
      </c>
      <c r="AK78" s="307">
        <f t="shared" si="83"/>
        <v>16.276607286648179</v>
      </c>
      <c r="AL78" s="307">
        <f t="shared" si="83"/>
        <v>16.658004060382048</v>
      </c>
      <c r="AM78" s="307">
        <f t="shared" si="83"/>
        <v>17.048329691258996</v>
      </c>
      <c r="AN78" s="307">
        <f t="shared" si="83"/>
        <v>17.447793006730343</v>
      </c>
      <c r="AO78" s="307">
        <f t="shared" si="83"/>
        <v>17.856607713076734</v>
      </c>
      <c r="AP78" s="307">
        <f t="shared" si="83"/>
        <v>18.274992509259761</v>
      </c>
      <c r="AQ78" s="307">
        <f t="shared" si="83"/>
        <v>18.703171203427075</v>
      </c>
      <c r="AR78" s="307">
        <f t="shared" si="83"/>
        <v>10.407469048673011</v>
      </c>
      <c r="AS78" s="307">
        <f t="shared" si="83"/>
        <v>10.648497784018806</v>
      </c>
      <c r="AT78" s="307">
        <f t="shared" si="83"/>
        <v>10.895097235465059</v>
      </c>
      <c r="AU78" s="307">
        <f t="shared" si="83"/>
        <v>11.147395864610054</v>
      </c>
      <c r="AV78" s="307">
        <f t="shared" si="83"/>
        <v>11.405525087942312</v>
      </c>
      <c r="AW78" s="307">
        <f t="shared" si="83"/>
        <v>11.669619344617406</v>
      </c>
      <c r="AX78" s="307">
        <f t="shared" si="83"/>
        <v>11.939816165784443</v>
      </c>
      <c r="AY78" s="307">
        <f t="shared" si="83"/>
        <v>12.216256245497508</v>
      </c>
      <c r="AZ78" s="307">
        <f t="shared" si="83"/>
        <v>12.499083513248149</v>
      </c>
      <c r="BA78" s="307">
        <f t="shared" si="83"/>
        <v>12.788445208155871</v>
      </c>
      <c r="BB78" s="307">
        <f t="shared" si="83"/>
        <v>13.084491954854354</v>
      </c>
      <c r="BC78" s="307">
        <f t="shared" si="83"/>
        <v>13.387377841112045</v>
      </c>
      <c r="BD78" s="307">
        <f t="shared" si="83"/>
        <v>13.697260497226603</v>
      </c>
      <c r="BE78" s="307">
        <f t="shared" ref="BE78:CP78" si="89">BE52+BE65</f>
        <v>14.014301177233584</v>
      </c>
      <c r="BF78" s="307">
        <f t="shared" si="89"/>
        <v>14.338664841970676</v>
      </c>
      <c r="BG78" s="307">
        <f t="shared" si="89"/>
        <v>14.670520244039722</v>
      </c>
      <c r="BH78" s="307">
        <f t="shared" si="89"/>
        <v>15.010040014709711</v>
      </c>
      <c r="BI78" s="307">
        <f t="shared" si="89"/>
        <v>15.357400752804963</v>
      </c>
      <c r="BJ78" s="307">
        <f t="shared" si="89"/>
        <v>15.71278311562363</v>
      </c>
      <c r="BK78" s="307">
        <f t="shared" si="89"/>
        <v>16.076371911932725</v>
      </c>
      <c r="BL78" s="307">
        <f t="shared" si="89"/>
        <v>16.448356197086987</v>
      </c>
      <c r="BM78" s="307">
        <f t="shared" si="89"/>
        <v>16.828929370319809</v>
      </c>
      <c r="BN78" s="307">
        <f t="shared" si="89"/>
        <v>17.21828927425571</v>
      </c>
      <c r="BO78" s="307">
        <f t="shared" si="89"/>
        <v>17.616638296694866</v>
      </c>
      <c r="BP78" s="307">
        <f t="shared" si="89"/>
        <v>18.024183474721333</v>
      </c>
      <c r="BQ78" s="307">
        <f t="shared" si="89"/>
        <v>18.441136601187928</v>
      </c>
      <c r="BR78" s="307">
        <f t="shared" si="89"/>
        <v>18.86771433363166</v>
      </c>
      <c r="BS78" s="307">
        <f t="shared" si="89"/>
        <v>19.30413830567506</v>
      </c>
      <c r="BT78" s="307">
        <f t="shared" si="89"/>
        <v>19.750635240969991</v>
      </c>
      <c r="BU78" s="307">
        <f t="shared" si="89"/>
        <v>20.207437069741548</v>
      </c>
      <c r="BV78" s="307">
        <f t="shared" si="89"/>
        <v>20.674781047991395</v>
      </c>
      <c r="BW78" s="307">
        <f t="shared" si="89"/>
        <v>21.152909879420768</v>
      </c>
      <c r="BX78" s="307">
        <f t="shared" si="89"/>
        <v>21.642071840135074</v>
      </c>
      <c r="BY78" s="307">
        <f t="shared" si="89"/>
        <v>22.142520906193297</v>
      </c>
      <c r="BZ78" s="307">
        <f t="shared" si="89"/>
        <v>22.654516884066783</v>
      </c>
      <c r="CA78" s="307">
        <f t="shared" si="89"/>
        <v>23.178325544073545</v>
      </c>
      <c r="CB78" s="307">
        <f t="shared" si="89"/>
        <v>23.714218756855718</v>
      </c>
      <c r="CC78" s="307">
        <f t="shared" si="89"/>
        <v>24.262474632969234</v>
      </c>
      <c r="CD78" s="307">
        <f t="shared" si="89"/>
        <v>24.823377665656402</v>
      </c>
      <c r="CE78" s="307">
        <f t="shared" si="89"/>
        <v>25.397218876873737</v>
      </c>
      <c r="CF78" s="307">
        <f t="shared" si="89"/>
        <v>25.984295966648936</v>
      </c>
      <c r="CG78" s="307">
        <f t="shared" si="89"/>
        <v>26.584913465842526</v>
      </c>
      <c r="CH78" s="307">
        <f t="shared" si="89"/>
        <v>27.199382892391611</v>
      </c>
      <c r="CI78" s="307">
        <f t="shared" si="89"/>
        <v>27.828022911114623</v>
      </c>
      <c r="CJ78" s="307">
        <f t="shared" si="89"/>
        <v>28.47115949715802</v>
      </c>
      <c r="CK78" s="307">
        <f t="shared" si="89"/>
        <v>29.129126103167557</v>
      </c>
      <c r="CL78" s="307">
        <f t="shared" si="89"/>
        <v>29.802263830268625</v>
      </c>
      <c r="CM78" s="307">
        <f t="shared" si="89"/>
        <v>30.490921602942116</v>
      </c>
      <c r="CN78" s="307">
        <f t="shared" si="89"/>
        <v>31.195456347884218</v>
      </c>
      <c r="CO78" s="307">
        <f t="shared" si="89"/>
        <v>31.916233176940498</v>
      </c>
      <c r="CP78" s="307">
        <f t="shared" si="89"/>
        <v>0</v>
      </c>
      <c r="CQ78" s="23" t="s">
        <v>77</v>
      </c>
    </row>
    <row r="79" spans="1:95" outlineLevel="1" x14ac:dyDescent="0.2">
      <c r="B79" s="12" t="s">
        <v>567</v>
      </c>
      <c r="K79" s="52"/>
      <c r="L79" s="52"/>
      <c r="M79" s="52"/>
      <c r="N79" s="52"/>
      <c r="O79" s="52"/>
      <c r="P79" s="52"/>
      <c r="Q79" s="52"/>
      <c r="R79" s="52"/>
      <c r="S79" s="52" t="s">
        <v>78</v>
      </c>
      <c r="T79" s="52" t="s">
        <v>78</v>
      </c>
      <c r="U79" s="52" t="s">
        <v>78</v>
      </c>
      <c r="V79" s="52" t="s">
        <v>78</v>
      </c>
      <c r="W79" s="52" t="s">
        <v>78</v>
      </c>
      <c r="X79" s="161" t="s">
        <v>78</v>
      </c>
      <c r="Y79" s="257">
        <f>180/12/3</f>
        <v>5</v>
      </c>
      <c r="Z79" s="161">
        <f>Y79*3</f>
        <v>15</v>
      </c>
      <c r="AA79" s="161">
        <f>+(AA53-Z53)*70%+Z79</f>
        <v>15.356249999999999</v>
      </c>
      <c r="AB79" s="161">
        <f t="shared" ref="AB79:AJ79" si="90">+(AB53-AA53)*70%+AA79</f>
        <v>15.720960937499997</v>
      </c>
      <c r="AC79" s="161">
        <f t="shared" si="90"/>
        <v>16.094333759765622</v>
      </c>
      <c r="AD79" s="161">
        <f t="shared" si="90"/>
        <v>16.476574186560054</v>
      </c>
      <c r="AE79" s="161">
        <f t="shared" si="90"/>
        <v>16.867892823490852</v>
      </c>
      <c r="AF79" s="161">
        <f t="shared" si="90"/>
        <v>17.26850527804876</v>
      </c>
      <c r="AG79" s="161">
        <f t="shared" si="90"/>
        <v>17.678632278402418</v>
      </c>
      <c r="AH79" s="161">
        <f t="shared" si="90"/>
        <v>18.098499795014472</v>
      </c>
      <c r="AI79" s="161">
        <f t="shared" si="90"/>
        <v>18.528339165146065</v>
      </c>
      <c r="AJ79" s="161">
        <f t="shared" si="90"/>
        <v>18.968387220318284</v>
      </c>
      <c r="AK79" s="307">
        <f>AK53+AK66</f>
        <v>4.0072944152244627</v>
      </c>
      <c r="AL79" s="307">
        <f t="shared" ref="AL79:AV79" si="91">AL53+AL66</f>
        <v>4.0920519806748867</v>
      </c>
      <c r="AM79" s="307">
        <f t="shared" si="91"/>
        <v>4.178562146381978</v>
      </c>
      <c r="AN79" s="307">
        <f t="shared" si="91"/>
        <v>4.2668600268037657</v>
      </c>
      <c r="AO79" s="307">
        <f t="shared" si="91"/>
        <v>4.3569814076217011</v>
      </c>
      <c r="AP79" s="307">
        <f t="shared" si="91"/>
        <v>4.4489627576135966</v>
      </c>
      <c r="AQ79" s="307">
        <f t="shared" si="91"/>
        <v>4.5428412407068208</v>
      </c>
      <c r="AR79" s="307">
        <f t="shared" si="91"/>
        <v>4.6386547282135062</v>
      </c>
      <c r="AS79" s="307">
        <f t="shared" si="91"/>
        <v>4.7364418112494739</v>
      </c>
      <c r="AT79" s="307">
        <f t="shared" si="91"/>
        <v>4.8362418133385692</v>
      </c>
      <c r="AU79" s="307">
        <f t="shared" si="91"/>
        <v>4.9380948032040788</v>
      </c>
      <c r="AV79" s="307">
        <f t="shared" si="91"/>
        <v>5.0420416077488621</v>
      </c>
      <c r="AW79" s="307">
        <f>AW53+AW66</f>
        <v>0</v>
      </c>
      <c r="AX79" s="307">
        <f t="shared" ref="AX79:CP79" si="92">AX53+AX66</f>
        <v>0</v>
      </c>
      <c r="AY79" s="307">
        <f t="shared" si="92"/>
        <v>0</v>
      </c>
      <c r="AZ79" s="307">
        <f t="shared" si="92"/>
        <v>0</v>
      </c>
      <c r="BA79" s="307">
        <f t="shared" si="92"/>
        <v>0</v>
      </c>
      <c r="BB79" s="307">
        <f t="shared" si="92"/>
        <v>0</v>
      </c>
      <c r="BC79" s="307">
        <f t="shared" si="92"/>
        <v>0</v>
      </c>
      <c r="BD79" s="307">
        <f t="shared" si="92"/>
        <v>0</v>
      </c>
      <c r="BE79" s="307">
        <f t="shared" si="92"/>
        <v>0</v>
      </c>
      <c r="BF79" s="307">
        <f t="shared" si="92"/>
        <v>0</v>
      </c>
      <c r="BG79" s="307">
        <f t="shared" si="92"/>
        <v>0</v>
      </c>
      <c r="BH79" s="307">
        <f t="shared" si="92"/>
        <v>0</v>
      </c>
      <c r="BI79" s="307">
        <f t="shared" si="92"/>
        <v>0</v>
      </c>
      <c r="BJ79" s="307">
        <f t="shared" si="92"/>
        <v>0</v>
      </c>
      <c r="BK79" s="307">
        <f t="shared" si="92"/>
        <v>0</v>
      </c>
      <c r="BL79" s="307">
        <f t="shared" si="92"/>
        <v>0</v>
      </c>
      <c r="BM79" s="307">
        <f t="shared" si="92"/>
        <v>0</v>
      </c>
      <c r="BN79" s="307">
        <f t="shared" si="92"/>
        <v>0</v>
      </c>
      <c r="BO79" s="307">
        <f t="shared" si="92"/>
        <v>0</v>
      </c>
      <c r="BP79" s="307">
        <f t="shared" si="92"/>
        <v>0</v>
      </c>
      <c r="BQ79" s="307">
        <f t="shared" si="92"/>
        <v>0</v>
      </c>
      <c r="BR79" s="307">
        <f t="shared" si="92"/>
        <v>0</v>
      </c>
      <c r="BS79" s="307">
        <f t="shared" si="92"/>
        <v>0</v>
      </c>
      <c r="BT79" s="307">
        <f t="shared" si="92"/>
        <v>0</v>
      </c>
      <c r="BU79" s="307">
        <f t="shared" si="92"/>
        <v>0</v>
      </c>
      <c r="BV79" s="307">
        <f t="shared" si="92"/>
        <v>0</v>
      </c>
      <c r="BW79" s="307">
        <f t="shared" si="92"/>
        <v>0</v>
      </c>
      <c r="BX79" s="307">
        <f t="shared" si="92"/>
        <v>0</v>
      </c>
      <c r="BY79" s="307">
        <f t="shared" si="92"/>
        <v>0</v>
      </c>
      <c r="BZ79" s="307">
        <f t="shared" si="92"/>
        <v>0</v>
      </c>
      <c r="CA79" s="307">
        <f t="shared" si="92"/>
        <v>0</v>
      </c>
      <c r="CB79" s="307">
        <f t="shared" si="92"/>
        <v>0</v>
      </c>
      <c r="CC79" s="307">
        <f t="shared" si="92"/>
        <v>0</v>
      </c>
      <c r="CD79" s="307">
        <f t="shared" si="92"/>
        <v>0</v>
      </c>
      <c r="CE79" s="307">
        <f t="shared" si="92"/>
        <v>0</v>
      </c>
      <c r="CF79" s="307">
        <f t="shared" si="92"/>
        <v>0</v>
      </c>
      <c r="CG79" s="307">
        <f t="shared" si="92"/>
        <v>0</v>
      </c>
      <c r="CH79" s="307">
        <f t="shared" si="92"/>
        <v>0</v>
      </c>
      <c r="CI79" s="307">
        <f t="shared" si="92"/>
        <v>0</v>
      </c>
      <c r="CJ79" s="307">
        <f t="shared" si="92"/>
        <v>0</v>
      </c>
      <c r="CK79" s="307">
        <f t="shared" si="92"/>
        <v>0</v>
      </c>
      <c r="CL79" s="307">
        <f t="shared" si="92"/>
        <v>0</v>
      </c>
      <c r="CM79" s="307">
        <f t="shared" si="92"/>
        <v>0</v>
      </c>
      <c r="CN79" s="307">
        <f t="shared" si="92"/>
        <v>0</v>
      </c>
      <c r="CO79" s="307">
        <f t="shared" si="92"/>
        <v>0</v>
      </c>
      <c r="CP79" s="307">
        <f t="shared" si="92"/>
        <v>0</v>
      </c>
      <c r="CQ79" s="23" t="s">
        <v>77</v>
      </c>
    </row>
    <row r="80" spans="1:95" outlineLevel="1" x14ac:dyDescent="0.2">
      <c r="B80" s="485" t="s">
        <v>299</v>
      </c>
      <c r="D80" s="485"/>
      <c r="E80" s="485"/>
      <c r="F80" s="485"/>
      <c r="G80" s="485"/>
      <c r="H80" s="485"/>
      <c r="I80" s="485"/>
      <c r="J80" s="485"/>
      <c r="K80" s="85">
        <f>SUM(K71:K77)</f>
        <v>0</v>
      </c>
      <c r="L80" s="85">
        <f t="shared" ref="L80:W80" si="93">SUM(L71:L77)</f>
        <v>0</v>
      </c>
      <c r="M80" s="85">
        <f t="shared" si="93"/>
        <v>0</v>
      </c>
      <c r="N80" s="85">
        <f t="shared" si="93"/>
        <v>96.8</v>
      </c>
      <c r="O80" s="85">
        <f t="shared" si="93"/>
        <v>97.3</v>
      </c>
      <c r="P80" s="85">
        <f t="shared" si="93"/>
        <v>103.3</v>
      </c>
      <c r="Q80" s="85">
        <f t="shared" si="93"/>
        <v>71.685000000000002</v>
      </c>
      <c r="R80" s="85">
        <f t="shared" si="93"/>
        <v>79.566000000000003</v>
      </c>
      <c r="S80" s="85">
        <f t="shared" si="93"/>
        <v>163.74799999999999</v>
      </c>
      <c r="T80" s="85">
        <f t="shared" si="93"/>
        <v>234.50000000000003</v>
      </c>
      <c r="U80" s="85">
        <f>SUM(U71:U77)</f>
        <v>340.09999999999997</v>
      </c>
      <c r="V80" s="85">
        <f t="shared" si="93"/>
        <v>855.8</v>
      </c>
      <c r="W80" s="85">
        <f t="shared" si="93"/>
        <v>925.40000000000009</v>
      </c>
      <c r="X80" s="85">
        <f>SUM(X71:X78)</f>
        <v>947.24074016647421</v>
      </c>
      <c r="Y80" s="85">
        <f>SUM(Y71:Y79)</f>
        <v>988.37103893092797</v>
      </c>
      <c r="Z80" s="85">
        <f>SUM(Z71:Z79)</f>
        <v>1007.250983787222</v>
      </c>
      <c r="AA80" s="85">
        <f>SUM(AA71:AA79)</f>
        <v>999.41976653501831</v>
      </c>
      <c r="AB80" s="85">
        <f>SUM(AB71:AB79)</f>
        <v>1017.8218101825956</v>
      </c>
      <c r="AC80" s="85">
        <f>SUM(AC71:AC79)</f>
        <v>1039.5287990784118</v>
      </c>
      <c r="AD80" s="85">
        <f t="shared" ref="AD80:BD80" si="94">SUM(AD71:AD79)</f>
        <v>1062.1779006978691</v>
      </c>
      <c r="AE80" s="85">
        <f t="shared" si="94"/>
        <v>1085.3134057341501</v>
      </c>
      <c r="AF80" s="85">
        <f t="shared" si="94"/>
        <v>1108.9459515586257</v>
      </c>
      <c r="AG80" s="85">
        <f t="shared" si="94"/>
        <v>1134.4347394633198</v>
      </c>
      <c r="AH80" s="85">
        <f t="shared" si="94"/>
        <v>1158.7008455939858</v>
      </c>
      <c r="AI80" s="85">
        <f t="shared" si="94"/>
        <v>1023.0982002860235</v>
      </c>
      <c r="AJ80" s="85">
        <f t="shared" si="94"/>
        <v>935.20782515608528</v>
      </c>
      <c r="AK80" s="85">
        <f t="shared" si="94"/>
        <v>938.40527334166291</v>
      </c>
      <c r="AL80" s="85">
        <f t="shared" si="94"/>
        <v>957.0123552643829</v>
      </c>
      <c r="AM80" s="85">
        <f t="shared" si="94"/>
        <v>975.99274833462539</v>
      </c>
      <c r="AN80" s="85">
        <f t="shared" si="94"/>
        <v>995.35290457026269</v>
      </c>
      <c r="AO80" s="85">
        <f t="shared" si="94"/>
        <v>954.70207679547786</v>
      </c>
      <c r="AP80" s="85">
        <f t="shared" si="94"/>
        <v>392.84746648749683</v>
      </c>
      <c r="AQ80" s="85">
        <f t="shared" si="94"/>
        <v>401.19124495423841</v>
      </c>
      <c r="AR80" s="85">
        <f t="shared" si="94"/>
        <v>291.15497581076585</v>
      </c>
      <c r="AS80" s="85">
        <f t="shared" si="94"/>
        <v>297.30547928759665</v>
      </c>
      <c r="AT80" s="85">
        <f t="shared" si="94"/>
        <v>303.58579269385791</v>
      </c>
      <c r="AU80" s="85">
        <f t="shared" si="94"/>
        <v>309.99864647905451</v>
      </c>
      <c r="AV80" s="85">
        <f t="shared" si="94"/>
        <v>316.54682815491992</v>
      </c>
      <c r="AW80" s="85">
        <f t="shared" si="94"/>
        <v>318.08505965029167</v>
      </c>
      <c r="AX80" s="85">
        <f t="shared" si="94"/>
        <v>324.80423380276079</v>
      </c>
      <c r="AY80" s="85">
        <f t="shared" si="94"/>
        <v>331.66523169892821</v>
      </c>
      <c r="AZ80" s="85">
        <f t="shared" si="94"/>
        <v>338.67103714979697</v>
      </c>
      <c r="BA80" s="85">
        <f t="shared" si="94"/>
        <v>276.8187101654762</v>
      </c>
      <c r="BB80" s="85">
        <f t="shared" si="94"/>
        <v>282.53140392516195</v>
      </c>
      <c r="BC80" s="85">
        <f t="shared" si="94"/>
        <v>288.36160191630654</v>
      </c>
      <c r="BD80" s="85">
        <f t="shared" si="94"/>
        <v>294.31170461715078</v>
      </c>
      <c r="BE80" s="85">
        <f t="shared" ref="BE80:CP80" si="95">SUM(BE71:BE79)</f>
        <v>300.38416097823091</v>
      </c>
      <c r="BF80" s="85">
        <f t="shared" si="95"/>
        <v>306.5814693832441</v>
      </c>
      <c r="BG80" s="85">
        <f t="shared" si="95"/>
        <v>312.90617862841566</v>
      </c>
      <c r="BH80" s="85">
        <f t="shared" si="95"/>
        <v>319.36088892070688</v>
      </c>
      <c r="BI80" s="85">
        <f t="shared" si="95"/>
        <v>325.94825289520878</v>
      </c>
      <c r="BJ80" s="85">
        <f t="shared" si="95"/>
        <v>332.67097665207461</v>
      </c>
      <c r="BK80" s="85">
        <f t="shared" si="95"/>
        <v>339.53182081334649</v>
      </c>
      <c r="BL80" s="85">
        <f t="shared" si="95"/>
        <v>346.5336016000403</v>
      </c>
      <c r="BM80" s="85">
        <f t="shared" si="95"/>
        <v>353.67919192985875</v>
      </c>
      <c r="BN80" s="85">
        <f t="shared" si="95"/>
        <v>360.9715225359061</v>
      </c>
      <c r="BO80" s="85">
        <f t="shared" si="95"/>
        <v>368.41358310678879</v>
      </c>
      <c r="BP80" s="85">
        <f t="shared" si="95"/>
        <v>376.00842344848706</v>
      </c>
      <c r="BQ80" s="85">
        <f t="shared" si="95"/>
        <v>383.75915466839456</v>
      </c>
      <c r="BR80" s="85">
        <f t="shared" si="95"/>
        <v>391.66895038192519</v>
      </c>
      <c r="BS80" s="85">
        <f t="shared" si="95"/>
        <v>399.74104794209433</v>
      </c>
      <c r="BT80" s="85">
        <f t="shared" si="95"/>
        <v>407.97874969249102</v>
      </c>
      <c r="BU80" s="85">
        <f t="shared" si="95"/>
        <v>416.3854242440583</v>
      </c>
      <c r="BV80" s="85">
        <f t="shared" si="95"/>
        <v>424.9645077761117</v>
      </c>
      <c r="BW80" s="85">
        <f t="shared" si="95"/>
        <v>433.71950536203087</v>
      </c>
      <c r="BX80" s="85">
        <f t="shared" si="95"/>
        <v>442.65399232006376</v>
      </c>
      <c r="BY80" s="85">
        <f t="shared" si="95"/>
        <v>451.77161558969385</v>
      </c>
      <c r="BZ80" s="85">
        <f t="shared" si="95"/>
        <v>461.07609513402537</v>
      </c>
      <c r="CA80" s="85">
        <f t="shared" si="95"/>
        <v>470.57122536865063</v>
      </c>
      <c r="CB80" s="85">
        <f t="shared" si="95"/>
        <v>480.26087661746789</v>
      </c>
      <c r="CC80" s="85">
        <f t="shared" si="95"/>
        <v>490.14899659593016</v>
      </c>
      <c r="CD80" s="85">
        <f t="shared" si="95"/>
        <v>500.23961192220884</v>
      </c>
      <c r="CE80" s="85">
        <f t="shared" si="95"/>
        <v>510.53682965676575</v>
      </c>
      <c r="CF80" s="85">
        <f t="shared" si="95"/>
        <v>521.04483887083347</v>
      </c>
      <c r="CG80" s="85">
        <f t="shared" si="95"/>
        <v>531.76791224431463</v>
      </c>
      <c r="CH80" s="85">
        <f t="shared" si="95"/>
        <v>-9.1868025873116039</v>
      </c>
      <c r="CI80" s="85">
        <f t="shared" si="95"/>
        <v>-10.788748355111387</v>
      </c>
      <c r="CJ80" s="85">
        <f t="shared" si="95"/>
        <v>-12.457059892094925</v>
      </c>
      <c r="CK80" s="85">
        <f t="shared" si="95"/>
        <v>-14.193902160174041</v>
      </c>
      <c r="CL80" s="85">
        <f t="shared" si="95"/>
        <v>-16.001503993411607</v>
      </c>
      <c r="CM80" s="85">
        <f t="shared" si="95"/>
        <v>-17.88215988330662</v>
      </c>
      <c r="CN80" s="85">
        <f t="shared" si="95"/>
        <v>-19.838231812369727</v>
      </c>
      <c r="CO80" s="85">
        <f t="shared" si="95"/>
        <v>-21.872151137268983</v>
      </c>
      <c r="CP80" s="85">
        <f t="shared" si="95"/>
        <v>-56.640046097062907</v>
      </c>
      <c r="CQ80" s="23" t="s">
        <v>77</v>
      </c>
    </row>
    <row r="81" spans="1:95" s="514" customFormat="1" outlineLevel="1" x14ac:dyDescent="0.2">
      <c r="A81" s="8"/>
      <c r="B81" s="117" t="s">
        <v>46</v>
      </c>
      <c r="C81" s="513"/>
      <c r="K81" s="245" t="s">
        <v>78</v>
      </c>
      <c r="L81" s="245" t="s">
        <v>78</v>
      </c>
      <c r="M81" s="245" t="s">
        <v>78</v>
      </c>
      <c r="N81" s="245" t="b">
        <f t="shared" ref="N81:BD81" si="96">IF(ABS(N22-N80)&lt;0.1,TRUE,N22-N80)</f>
        <v>1</v>
      </c>
      <c r="O81" s="245" t="b">
        <f t="shared" si="96"/>
        <v>1</v>
      </c>
      <c r="P81" s="245" t="b">
        <f t="shared" si="96"/>
        <v>1</v>
      </c>
      <c r="Q81" s="245" t="b">
        <f t="shared" si="96"/>
        <v>1</v>
      </c>
      <c r="R81" s="245" t="b">
        <f t="shared" si="96"/>
        <v>1</v>
      </c>
      <c r="S81" s="245" t="b">
        <f t="shared" si="96"/>
        <v>1</v>
      </c>
      <c r="T81" s="245" t="b">
        <f>IF(ABS(T22-T80)&lt;0.1,TRUE,T22-T80)</f>
        <v>1</v>
      </c>
      <c r="U81" s="245" t="b">
        <f t="shared" si="96"/>
        <v>1</v>
      </c>
      <c r="V81" s="245" t="b">
        <f t="shared" si="96"/>
        <v>1</v>
      </c>
      <c r="W81" s="245" t="b">
        <f t="shared" si="96"/>
        <v>1</v>
      </c>
      <c r="X81" s="245" t="b">
        <f t="shared" si="96"/>
        <v>1</v>
      </c>
      <c r="Y81" s="245" t="b">
        <f t="shared" si="96"/>
        <v>1</v>
      </c>
      <c r="Z81" s="245" t="b">
        <f t="shared" si="96"/>
        <v>1</v>
      </c>
      <c r="AA81" s="245" t="b">
        <f t="shared" si="96"/>
        <v>1</v>
      </c>
      <c r="AB81" s="245" t="b">
        <f t="shared" si="96"/>
        <v>1</v>
      </c>
      <c r="AC81" s="245" t="b">
        <f t="shared" si="96"/>
        <v>1</v>
      </c>
      <c r="AD81" s="245" t="b">
        <f t="shared" si="96"/>
        <v>1</v>
      </c>
      <c r="AE81" s="245" t="b">
        <f t="shared" si="96"/>
        <v>1</v>
      </c>
      <c r="AF81" s="245" t="b">
        <f t="shared" si="96"/>
        <v>1</v>
      </c>
      <c r="AG81" s="245" t="b">
        <f t="shared" si="96"/>
        <v>1</v>
      </c>
      <c r="AH81" s="245" t="b">
        <f t="shared" si="96"/>
        <v>1</v>
      </c>
      <c r="AI81" s="245" t="b">
        <f t="shared" si="96"/>
        <v>1</v>
      </c>
      <c r="AJ81" s="245" t="b">
        <f t="shared" si="96"/>
        <v>1</v>
      </c>
      <c r="AK81" s="245" t="b">
        <f t="shared" si="96"/>
        <v>1</v>
      </c>
      <c r="AL81" s="245" t="b">
        <f t="shared" si="96"/>
        <v>1</v>
      </c>
      <c r="AM81" s="245" t="b">
        <f t="shared" si="96"/>
        <v>1</v>
      </c>
      <c r="AN81" s="245" t="b">
        <f t="shared" si="96"/>
        <v>1</v>
      </c>
      <c r="AO81" s="245" t="b">
        <f t="shared" si="96"/>
        <v>1</v>
      </c>
      <c r="AP81" s="245" t="b">
        <f t="shared" si="96"/>
        <v>1</v>
      </c>
      <c r="AQ81" s="245" t="b">
        <f t="shared" si="96"/>
        <v>1</v>
      </c>
      <c r="AR81" s="245" t="b">
        <f t="shared" si="96"/>
        <v>1</v>
      </c>
      <c r="AS81" s="245" t="b">
        <f t="shared" si="96"/>
        <v>1</v>
      </c>
      <c r="AT81" s="245" t="b">
        <f t="shared" si="96"/>
        <v>1</v>
      </c>
      <c r="AU81" s="245" t="b">
        <f t="shared" si="96"/>
        <v>1</v>
      </c>
      <c r="AV81" s="245" t="b">
        <f t="shared" si="96"/>
        <v>1</v>
      </c>
      <c r="AW81" s="245" t="b">
        <f t="shared" si="96"/>
        <v>1</v>
      </c>
      <c r="AX81" s="245" t="b">
        <f t="shared" si="96"/>
        <v>1</v>
      </c>
      <c r="AY81" s="245" t="b">
        <f t="shared" si="96"/>
        <v>1</v>
      </c>
      <c r="AZ81" s="245" t="b">
        <f t="shared" si="96"/>
        <v>1</v>
      </c>
      <c r="BA81" s="245" t="b">
        <f t="shared" si="96"/>
        <v>1</v>
      </c>
      <c r="BB81" s="245" t="b">
        <f t="shared" si="96"/>
        <v>1</v>
      </c>
      <c r="BC81" s="245" t="b">
        <f t="shared" si="96"/>
        <v>1</v>
      </c>
      <c r="BD81" s="245" t="b">
        <f t="shared" si="96"/>
        <v>1</v>
      </c>
      <c r="BE81" s="245" t="b">
        <f t="shared" ref="BE81:CP81" si="97">IF(ABS(BE22-BE80)&lt;0.1,TRUE,BE22-BE80)</f>
        <v>1</v>
      </c>
      <c r="BF81" s="245" t="b">
        <f t="shared" si="97"/>
        <v>1</v>
      </c>
      <c r="BG81" s="245" t="b">
        <f t="shared" si="97"/>
        <v>1</v>
      </c>
      <c r="BH81" s="245" t="b">
        <f t="shared" si="97"/>
        <v>1</v>
      </c>
      <c r="BI81" s="245" t="b">
        <f t="shared" si="97"/>
        <v>1</v>
      </c>
      <c r="BJ81" s="245" t="b">
        <f t="shared" si="97"/>
        <v>1</v>
      </c>
      <c r="BK81" s="245" t="b">
        <f t="shared" si="97"/>
        <v>1</v>
      </c>
      <c r="BL81" s="245" t="b">
        <f t="shared" si="97"/>
        <v>1</v>
      </c>
      <c r="BM81" s="245" t="b">
        <f t="shared" si="97"/>
        <v>1</v>
      </c>
      <c r="BN81" s="245" t="b">
        <f t="shared" si="97"/>
        <v>1</v>
      </c>
      <c r="BO81" s="245" t="b">
        <f t="shared" si="97"/>
        <v>1</v>
      </c>
      <c r="BP81" s="245" t="b">
        <f t="shared" si="97"/>
        <v>1</v>
      </c>
      <c r="BQ81" s="245" t="b">
        <f t="shared" si="97"/>
        <v>1</v>
      </c>
      <c r="BR81" s="245" t="b">
        <f t="shared" si="97"/>
        <v>1</v>
      </c>
      <c r="BS81" s="245" t="b">
        <f t="shared" si="97"/>
        <v>1</v>
      </c>
      <c r="BT81" s="245" t="b">
        <f t="shared" si="97"/>
        <v>1</v>
      </c>
      <c r="BU81" s="245" t="b">
        <f t="shared" si="97"/>
        <v>1</v>
      </c>
      <c r="BV81" s="245" t="b">
        <f t="shared" si="97"/>
        <v>1</v>
      </c>
      <c r="BW81" s="245" t="b">
        <f t="shared" si="97"/>
        <v>1</v>
      </c>
      <c r="BX81" s="245" t="b">
        <f t="shared" si="97"/>
        <v>1</v>
      </c>
      <c r="BY81" s="245" t="b">
        <f t="shared" si="97"/>
        <v>1</v>
      </c>
      <c r="BZ81" s="245" t="b">
        <f t="shared" si="97"/>
        <v>1</v>
      </c>
      <c r="CA81" s="245" t="b">
        <f t="shared" si="97"/>
        <v>1</v>
      </c>
      <c r="CB81" s="245" t="b">
        <f t="shared" si="97"/>
        <v>1</v>
      </c>
      <c r="CC81" s="245" t="b">
        <f t="shared" si="97"/>
        <v>1</v>
      </c>
      <c r="CD81" s="245" t="b">
        <f t="shared" si="97"/>
        <v>1</v>
      </c>
      <c r="CE81" s="245" t="b">
        <f t="shared" si="97"/>
        <v>1</v>
      </c>
      <c r="CF81" s="245" t="b">
        <f t="shared" si="97"/>
        <v>1</v>
      </c>
      <c r="CG81" s="245" t="b">
        <f t="shared" si="97"/>
        <v>1</v>
      </c>
      <c r="CH81" s="245" t="b">
        <f t="shared" si="97"/>
        <v>1</v>
      </c>
      <c r="CI81" s="245" t="b">
        <f t="shared" si="97"/>
        <v>1</v>
      </c>
      <c r="CJ81" s="245" t="b">
        <f t="shared" si="97"/>
        <v>1</v>
      </c>
      <c r="CK81" s="245" t="b">
        <f t="shared" si="97"/>
        <v>1</v>
      </c>
      <c r="CL81" s="245" t="b">
        <f t="shared" si="97"/>
        <v>1</v>
      </c>
      <c r="CM81" s="245" t="b">
        <f t="shared" si="97"/>
        <v>1</v>
      </c>
      <c r="CN81" s="245" t="b">
        <f t="shared" si="97"/>
        <v>1</v>
      </c>
      <c r="CO81" s="245" t="b">
        <f t="shared" si="97"/>
        <v>1</v>
      </c>
      <c r="CP81" s="245" t="b">
        <f t="shared" si="97"/>
        <v>1</v>
      </c>
      <c r="CQ81" s="515" t="s">
        <v>77</v>
      </c>
    </row>
    <row r="82" spans="1:95" ht="5.0999999999999996" customHeight="1" outlineLevel="2" x14ac:dyDescent="0.2">
      <c r="B82" s="24"/>
      <c r="T82" s="40"/>
      <c r="CQ82" s="23" t="s">
        <v>77</v>
      </c>
    </row>
    <row r="83" spans="1:95" outlineLevel="2" x14ac:dyDescent="0.2">
      <c r="B83" s="358" t="s">
        <v>573</v>
      </c>
      <c r="D83" s="218"/>
      <c r="E83" s="218"/>
      <c r="F83" s="218"/>
      <c r="G83" s="218"/>
      <c r="H83" s="218"/>
      <c r="I83" s="218"/>
      <c r="J83" s="218"/>
      <c r="K83" s="248"/>
      <c r="L83" s="248"/>
      <c r="M83" s="248"/>
      <c r="N83" s="248"/>
      <c r="O83" s="248"/>
      <c r="P83" s="248"/>
      <c r="Q83" s="248"/>
      <c r="R83" s="248"/>
      <c r="S83" s="246"/>
      <c r="T83" s="246"/>
      <c r="U83" s="246"/>
      <c r="V83" s="246"/>
      <c r="W83" s="246"/>
      <c r="X83" s="246"/>
      <c r="Y83" s="246"/>
      <c r="Z83" s="248"/>
      <c r="AA83" s="248"/>
      <c r="AB83" s="248"/>
      <c r="AC83" s="248"/>
      <c r="AD83" s="248"/>
      <c r="AE83" s="248"/>
      <c r="AF83" s="248"/>
      <c r="AG83" s="248"/>
      <c r="AH83" s="248"/>
      <c r="AI83" s="248"/>
      <c r="AJ83" s="248"/>
      <c r="AK83" s="248"/>
      <c r="AL83" s="248"/>
      <c r="AM83" s="248"/>
      <c r="AN83" s="248"/>
      <c r="AO83" s="248"/>
      <c r="AP83" s="248"/>
      <c r="AQ83" s="248"/>
      <c r="AR83" s="248"/>
      <c r="AS83" s="248"/>
      <c r="AT83" s="248"/>
      <c r="AU83" s="248"/>
      <c r="AV83" s="248"/>
      <c r="AW83" s="248"/>
      <c r="AX83" s="248"/>
      <c r="AY83" s="248"/>
      <c r="AZ83" s="248"/>
      <c r="BA83" s="248"/>
      <c r="BB83" s="248"/>
      <c r="BC83" s="248"/>
      <c r="BD83" s="248"/>
      <c r="BE83" s="248"/>
      <c r="BF83" s="248"/>
      <c r="BG83" s="248"/>
      <c r="BH83" s="248"/>
      <c r="BI83" s="248"/>
      <c r="BJ83" s="248"/>
      <c r="BK83" s="248"/>
      <c r="BL83" s="248"/>
      <c r="BM83" s="248"/>
      <c r="BN83" s="248"/>
      <c r="BO83" s="248"/>
      <c r="BP83" s="248"/>
      <c r="BQ83" s="248"/>
      <c r="BR83" s="248"/>
      <c r="BS83" s="248"/>
      <c r="BT83" s="248"/>
      <c r="BU83" s="248"/>
      <c r="BV83" s="248"/>
      <c r="BW83" s="248"/>
      <c r="BX83" s="248"/>
      <c r="BY83" s="248"/>
      <c r="BZ83" s="248"/>
      <c r="CA83" s="248"/>
      <c r="CB83" s="248"/>
      <c r="CC83" s="248"/>
      <c r="CD83" s="248"/>
      <c r="CE83" s="248"/>
      <c r="CF83" s="248"/>
      <c r="CG83" s="248"/>
      <c r="CH83" s="248"/>
      <c r="CI83" s="248"/>
      <c r="CJ83" s="248"/>
      <c r="CK83" s="248"/>
      <c r="CL83" s="248"/>
      <c r="CM83" s="248"/>
      <c r="CN83" s="248"/>
      <c r="CO83" s="248"/>
      <c r="CP83" s="248"/>
      <c r="CQ83" s="23" t="s">
        <v>77</v>
      </c>
    </row>
    <row r="84" spans="1:95" outlineLevel="2" x14ac:dyDescent="0.2">
      <c r="B84" s="998" t="str">
        <f>B71</f>
        <v>Roma Brisbane</v>
      </c>
      <c r="K84" s="52"/>
      <c r="L84" s="52"/>
      <c r="M84" s="52"/>
      <c r="N84" s="305">
        <f t="shared" ref="N84:BD84" si="98">IFERROR(N71/N45,"n.a.")</f>
        <v>0.70442188011791684</v>
      </c>
      <c r="O84" s="305">
        <f t="shared" si="98"/>
        <v>0.67576523877672945</v>
      </c>
      <c r="P84" s="305">
        <f t="shared" si="98"/>
        <v>0.6831962117404301</v>
      </c>
      <c r="Q84" s="305">
        <f t="shared" si="98"/>
        <v>0.66554944850893161</v>
      </c>
      <c r="R84" s="305">
        <f t="shared" si="98"/>
        <v>0.70898641122744488</v>
      </c>
      <c r="S84" s="305">
        <f t="shared" si="98"/>
        <v>0.7527605387762607</v>
      </c>
      <c r="T84" s="305">
        <f t="shared" si="98"/>
        <v>0.78488945782708697</v>
      </c>
      <c r="U84" s="305">
        <f t="shared" si="98"/>
        <v>0.9044943820224719</v>
      </c>
      <c r="V84" s="305">
        <f t="shared" si="98"/>
        <v>0.9104113672559454</v>
      </c>
      <c r="W84" s="305">
        <f t="shared" si="98"/>
        <v>0.83264761227920592</v>
      </c>
      <c r="X84" s="306">
        <f t="shared" si="98"/>
        <v>0.83088188090453841</v>
      </c>
      <c r="Y84" s="306">
        <f t="shared" si="98"/>
        <v>0.83063304765133683</v>
      </c>
      <c r="Z84" s="306">
        <f t="shared" si="98"/>
        <v>0.83033777520478058</v>
      </c>
      <c r="AA84" s="306">
        <f t="shared" si="98"/>
        <v>0.83106691842738334</v>
      </c>
      <c r="AB84" s="306">
        <f t="shared" si="98"/>
        <v>0.83232434524383969</v>
      </c>
      <c r="AC84" s="306">
        <f t="shared" si="98"/>
        <v>0.83178908662059525</v>
      </c>
      <c r="AD84" s="306">
        <f t="shared" si="98"/>
        <v>0.83086055419679783</v>
      </c>
      <c r="AE84" s="306">
        <f t="shared" si="98"/>
        <v>0.82996149985509704</v>
      </c>
      <c r="AF84" s="306">
        <f t="shared" si="98"/>
        <v>0.8290908282797439</v>
      </c>
      <c r="AG84" s="306">
        <f t="shared" si="98"/>
        <v>0.82537828768295729</v>
      </c>
      <c r="AH84" s="306">
        <f t="shared" si="98"/>
        <v>0.82481955222734393</v>
      </c>
      <c r="AI84" s="306">
        <f t="shared" si="98"/>
        <v>0.82427313095449162</v>
      </c>
      <c r="AJ84" s="306">
        <f t="shared" si="98"/>
        <v>0.82373885478958853</v>
      </c>
      <c r="AK84" s="306">
        <f t="shared" si="98"/>
        <v>0.82211477611960404</v>
      </c>
      <c r="AL84" s="306">
        <f t="shared" si="98"/>
        <v>0.8205266387230491</v>
      </c>
      <c r="AM84" s="306">
        <f t="shared" si="98"/>
        <v>0.81897317609474984</v>
      </c>
      <c r="AN84" s="306">
        <f t="shared" si="98"/>
        <v>0.81745467199532651</v>
      </c>
      <c r="AO84" s="306">
        <f t="shared" si="98"/>
        <v>0.81596848724216164</v>
      </c>
      <c r="AP84" s="306">
        <f t="shared" si="98"/>
        <v>0.81451563098626123</v>
      </c>
      <c r="AQ84" s="306">
        <f t="shared" si="98"/>
        <v>0.81309431287896705</v>
      </c>
      <c r="AR84" s="306" t="str">
        <f t="shared" si="98"/>
        <v>n.a.</v>
      </c>
      <c r="AS84" s="306" t="str">
        <f t="shared" si="98"/>
        <v>n.a.</v>
      </c>
      <c r="AT84" s="306" t="str">
        <f t="shared" si="98"/>
        <v>n.a.</v>
      </c>
      <c r="AU84" s="306" t="str">
        <f t="shared" si="98"/>
        <v>n.a.</v>
      </c>
      <c r="AV84" s="306" t="str">
        <f t="shared" si="98"/>
        <v>n.a.</v>
      </c>
      <c r="AW84" s="306" t="str">
        <f t="shared" si="98"/>
        <v>n.a.</v>
      </c>
      <c r="AX84" s="306" t="str">
        <f t="shared" si="98"/>
        <v>n.a.</v>
      </c>
      <c r="AY84" s="306" t="str">
        <f t="shared" si="98"/>
        <v>n.a.</v>
      </c>
      <c r="AZ84" s="306" t="str">
        <f t="shared" si="98"/>
        <v>n.a.</v>
      </c>
      <c r="BA84" s="306" t="str">
        <f t="shared" si="98"/>
        <v>n.a.</v>
      </c>
      <c r="BB84" s="306" t="str">
        <f t="shared" si="98"/>
        <v>n.a.</v>
      </c>
      <c r="BC84" s="306" t="str">
        <f t="shared" si="98"/>
        <v>n.a.</v>
      </c>
      <c r="BD84" s="306" t="str">
        <f t="shared" si="98"/>
        <v>n.a.</v>
      </c>
      <c r="BE84" s="306" t="str">
        <f t="shared" ref="BE84:CP84" si="99">IFERROR(BE71/BE45,"n.a.")</f>
        <v>n.a.</v>
      </c>
      <c r="BF84" s="306" t="str">
        <f t="shared" si="99"/>
        <v>n.a.</v>
      </c>
      <c r="BG84" s="306" t="str">
        <f t="shared" si="99"/>
        <v>n.a.</v>
      </c>
      <c r="BH84" s="306" t="str">
        <f t="shared" si="99"/>
        <v>n.a.</v>
      </c>
      <c r="BI84" s="306" t="str">
        <f t="shared" si="99"/>
        <v>n.a.</v>
      </c>
      <c r="BJ84" s="306" t="str">
        <f t="shared" si="99"/>
        <v>n.a.</v>
      </c>
      <c r="BK84" s="306" t="str">
        <f t="shared" si="99"/>
        <v>n.a.</v>
      </c>
      <c r="BL84" s="306" t="str">
        <f t="shared" si="99"/>
        <v>n.a.</v>
      </c>
      <c r="BM84" s="306" t="str">
        <f t="shared" si="99"/>
        <v>n.a.</v>
      </c>
      <c r="BN84" s="306" t="str">
        <f t="shared" si="99"/>
        <v>n.a.</v>
      </c>
      <c r="BO84" s="306" t="str">
        <f t="shared" si="99"/>
        <v>n.a.</v>
      </c>
      <c r="BP84" s="306" t="str">
        <f t="shared" si="99"/>
        <v>n.a.</v>
      </c>
      <c r="BQ84" s="306" t="str">
        <f t="shared" si="99"/>
        <v>n.a.</v>
      </c>
      <c r="BR84" s="306" t="str">
        <f t="shared" si="99"/>
        <v>n.a.</v>
      </c>
      <c r="BS84" s="306" t="str">
        <f t="shared" si="99"/>
        <v>n.a.</v>
      </c>
      <c r="BT84" s="306" t="str">
        <f t="shared" si="99"/>
        <v>n.a.</v>
      </c>
      <c r="BU84" s="306" t="str">
        <f t="shared" si="99"/>
        <v>n.a.</v>
      </c>
      <c r="BV84" s="306" t="str">
        <f t="shared" si="99"/>
        <v>n.a.</v>
      </c>
      <c r="BW84" s="306" t="str">
        <f t="shared" si="99"/>
        <v>n.a.</v>
      </c>
      <c r="BX84" s="306" t="str">
        <f t="shared" si="99"/>
        <v>n.a.</v>
      </c>
      <c r="BY84" s="306" t="str">
        <f t="shared" si="99"/>
        <v>n.a.</v>
      </c>
      <c r="BZ84" s="306" t="str">
        <f t="shared" si="99"/>
        <v>n.a.</v>
      </c>
      <c r="CA84" s="306" t="str">
        <f t="shared" si="99"/>
        <v>n.a.</v>
      </c>
      <c r="CB84" s="306" t="str">
        <f t="shared" si="99"/>
        <v>n.a.</v>
      </c>
      <c r="CC84" s="306" t="str">
        <f t="shared" si="99"/>
        <v>n.a.</v>
      </c>
      <c r="CD84" s="306" t="str">
        <f t="shared" si="99"/>
        <v>n.a.</v>
      </c>
      <c r="CE84" s="306" t="str">
        <f t="shared" si="99"/>
        <v>n.a.</v>
      </c>
      <c r="CF84" s="306" t="str">
        <f t="shared" si="99"/>
        <v>n.a.</v>
      </c>
      <c r="CG84" s="306" t="str">
        <f t="shared" si="99"/>
        <v>n.a.</v>
      </c>
      <c r="CH84" s="306" t="str">
        <f t="shared" si="99"/>
        <v>n.a.</v>
      </c>
      <c r="CI84" s="306" t="str">
        <f t="shared" si="99"/>
        <v>n.a.</v>
      </c>
      <c r="CJ84" s="306" t="str">
        <f t="shared" si="99"/>
        <v>n.a.</v>
      </c>
      <c r="CK84" s="306" t="str">
        <f t="shared" si="99"/>
        <v>n.a.</v>
      </c>
      <c r="CL84" s="306" t="str">
        <f t="shared" si="99"/>
        <v>n.a.</v>
      </c>
      <c r="CM84" s="306" t="str">
        <f t="shared" si="99"/>
        <v>n.a.</v>
      </c>
      <c r="CN84" s="306" t="str">
        <f t="shared" si="99"/>
        <v>n.a.</v>
      </c>
      <c r="CO84" s="306" t="str">
        <f t="shared" si="99"/>
        <v>n.a.</v>
      </c>
      <c r="CP84" s="306" t="str">
        <f t="shared" si="99"/>
        <v>n.a.</v>
      </c>
      <c r="CQ84" s="23" t="s">
        <v>77</v>
      </c>
    </row>
    <row r="85" spans="1:95" outlineLevel="2" x14ac:dyDescent="0.2">
      <c r="B85" s="474" t="s">
        <v>296</v>
      </c>
      <c r="K85" s="52"/>
      <c r="L85" s="52"/>
      <c r="M85" s="52"/>
      <c r="N85" s="305">
        <f t="shared" ref="N85:BD85" si="100">IFERROR(N72/N46,"n.a.")</f>
        <v>0.70442188011791684</v>
      </c>
      <c r="O85" s="305">
        <f t="shared" si="100"/>
        <v>0.67576523877672945</v>
      </c>
      <c r="P85" s="305">
        <f t="shared" si="100"/>
        <v>0.6831962117404301</v>
      </c>
      <c r="Q85" s="305">
        <f t="shared" si="100"/>
        <v>0.66554944850893161</v>
      </c>
      <c r="R85" s="305">
        <f t="shared" si="100"/>
        <v>0.70898641122744488</v>
      </c>
      <c r="S85" s="305">
        <f t="shared" si="100"/>
        <v>0.7527605387762607</v>
      </c>
      <c r="T85" s="305">
        <f t="shared" si="100"/>
        <v>0.75980881341893847</v>
      </c>
      <c r="U85" s="305">
        <f t="shared" si="100"/>
        <v>0.87245771807173189</v>
      </c>
      <c r="V85" s="305">
        <f t="shared" si="100"/>
        <v>0.7977025515909324</v>
      </c>
      <c r="W85" s="305">
        <f t="shared" si="100"/>
        <v>0.65890379966939061</v>
      </c>
      <c r="X85" s="306">
        <f t="shared" si="100"/>
        <v>0.65890379966939072</v>
      </c>
      <c r="Y85" s="306">
        <f t="shared" si="100"/>
        <v>0.65890379966939061</v>
      </c>
      <c r="Z85" s="306">
        <f t="shared" si="100"/>
        <v>0.65890379966939061</v>
      </c>
      <c r="AA85" s="306">
        <f t="shared" si="100"/>
        <v>0.6584873207923081</v>
      </c>
      <c r="AB85" s="306">
        <f t="shared" si="100"/>
        <v>0.65807033339400822</v>
      </c>
      <c r="AC85" s="306">
        <f t="shared" si="100"/>
        <v>0.65765283685358578</v>
      </c>
      <c r="AD85" s="306">
        <f t="shared" si="100"/>
        <v>0.65723483054937759</v>
      </c>
      <c r="AE85" s="306">
        <f t="shared" si="100"/>
        <v>0.65681631385896178</v>
      </c>
      <c r="AF85" s="306">
        <f t="shared" si="100"/>
        <v>0.65639728615915593</v>
      </c>
      <c r="AG85" s="306">
        <f t="shared" si="100"/>
        <v>0.65597774682601695</v>
      </c>
      <c r="AH85" s="306">
        <f t="shared" si="100"/>
        <v>0.65555769523483998</v>
      </c>
      <c r="AI85" s="306">
        <f t="shared" si="100"/>
        <v>0.65513713076015712</v>
      </c>
      <c r="AJ85" s="306">
        <f t="shared" si="100"/>
        <v>0.65471605277573741</v>
      </c>
      <c r="AK85" s="306">
        <f t="shared" si="100"/>
        <v>0.65429446065458452</v>
      </c>
      <c r="AL85" s="306">
        <f t="shared" si="100"/>
        <v>0.65387235376893682</v>
      </c>
      <c r="AM85" s="306">
        <f t="shared" si="100"/>
        <v>0.65344973149026631</v>
      </c>
      <c r="AN85" s="306">
        <f t="shared" si="100"/>
        <v>0.65302659318927758</v>
      </c>
      <c r="AO85" s="306">
        <f t="shared" si="100"/>
        <v>0.65260293823590676</v>
      </c>
      <c r="AP85" s="306">
        <f t="shared" si="100"/>
        <v>0.65217876599932068</v>
      </c>
      <c r="AQ85" s="306">
        <f t="shared" si="100"/>
        <v>0.65175407584791556</v>
      </c>
      <c r="AR85" s="306">
        <f t="shared" si="100"/>
        <v>0.65132886714931715</v>
      </c>
      <c r="AS85" s="306">
        <f t="shared" si="100"/>
        <v>0.65090313927037868</v>
      </c>
      <c r="AT85" s="306">
        <f t="shared" si="100"/>
        <v>0.65047689157718003</v>
      </c>
      <c r="AU85" s="306">
        <f t="shared" si="100"/>
        <v>0.65005012343502766</v>
      </c>
      <c r="AV85" s="306">
        <f t="shared" si="100"/>
        <v>0.64962283420845268</v>
      </c>
      <c r="AW85" s="306">
        <f t="shared" si="100"/>
        <v>0.64919502326121026</v>
      </c>
      <c r="AX85" s="306">
        <f t="shared" si="100"/>
        <v>0.64876668995627895</v>
      </c>
      <c r="AY85" s="306">
        <f t="shared" si="100"/>
        <v>0.64833783365585929</v>
      </c>
      <c r="AZ85" s="306">
        <f t="shared" si="100"/>
        <v>0.64790845372137318</v>
      </c>
      <c r="BA85" s="306" t="str">
        <f t="shared" si="100"/>
        <v>n.a.</v>
      </c>
      <c r="BB85" s="306" t="str">
        <f t="shared" si="100"/>
        <v>n.a.</v>
      </c>
      <c r="BC85" s="306" t="str">
        <f t="shared" si="100"/>
        <v>n.a.</v>
      </c>
      <c r="BD85" s="306" t="str">
        <f t="shared" si="100"/>
        <v>n.a.</v>
      </c>
      <c r="BE85" s="306" t="str">
        <f t="shared" ref="BE85:CP85" si="101">IFERROR(BE72/BE46,"n.a.")</f>
        <v>n.a.</v>
      </c>
      <c r="BF85" s="306" t="str">
        <f t="shared" si="101"/>
        <v>n.a.</v>
      </c>
      <c r="BG85" s="306" t="str">
        <f t="shared" si="101"/>
        <v>n.a.</v>
      </c>
      <c r="BH85" s="306" t="str">
        <f t="shared" si="101"/>
        <v>n.a.</v>
      </c>
      <c r="BI85" s="306" t="str">
        <f t="shared" si="101"/>
        <v>n.a.</v>
      </c>
      <c r="BJ85" s="306" t="str">
        <f t="shared" si="101"/>
        <v>n.a.</v>
      </c>
      <c r="BK85" s="306" t="str">
        <f t="shared" si="101"/>
        <v>n.a.</v>
      </c>
      <c r="BL85" s="306" t="str">
        <f t="shared" si="101"/>
        <v>n.a.</v>
      </c>
      <c r="BM85" s="306" t="str">
        <f t="shared" si="101"/>
        <v>n.a.</v>
      </c>
      <c r="BN85" s="306" t="str">
        <f t="shared" si="101"/>
        <v>n.a.</v>
      </c>
      <c r="BO85" s="306" t="str">
        <f t="shared" si="101"/>
        <v>n.a.</v>
      </c>
      <c r="BP85" s="306" t="str">
        <f t="shared" si="101"/>
        <v>n.a.</v>
      </c>
      <c r="BQ85" s="306" t="str">
        <f t="shared" si="101"/>
        <v>n.a.</v>
      </c>
      <c r="BR85" s="306" t="str">
        <f t="shared" si="101"/>
        <v>n.a.</v>
      </c>
      <c r="BS85" s="306" t="str">
        <f t="shared" si="101"/>
        <v>n.a.</v>
      </c>
      <c r="BT85" s="306" t="str">
        <f t="shared" si="101"/>
        <v>n.a.</v>
      </c>
      <c r="BU85" s="306" t="str">
        <f t="shared" si="101"/>
        <v>n.a.</v>
      </c>
      <c r="BV85" s="306" t="str">
        <f t="shared" si="101"/>
        <v>n.a.</v>
      </c>
      <c r="BW85" s="306" t="str">
        <f t="shared" si="101"/>
        <v>n.a.</v>
      </c>
      <c r="BX85" s="306" t="str">
        <f t="shared" si="101"/>
        <v>n.a.</v>
      </c>
      <c r="BY85" s="306" t="str">
        <f t="shared" si="101"/>
        <v>n.a.</v>
      </c>
      <c r="BZ85" s="306" t="str">
        <f t="shared" si="101"/>
        <v>n.a.</v>
      </c>
      <c r="CA85" s="306" t="str">
        <f t="shared" si="101"/>
        <v>n.a.</v>
      </c>
      <c r="CB85" s="306" t="str">
        <f t="shared" si="101"/>
        <v>n.a.</v>
      </c>
      <c r="CC85" s="306" t="str">
        <f t="shared" si="101"/>
        <v>n.a.</v>
      </c>
      <c r="CD85" s="306" t="str">
        <f t="shared" si="101"/>
        <v>n.a.</v>
      </c>
      <c r="CE85" s="306" t="str">
        <f t="shared" si="101"/>
        <v>n.a.</v>
      </c>
      <c r="CF85" s="306" t="str">
        <f t="shared" si="101"/>
        <v>n.a.</v>
      </c>
      <c r="CG85" s="306" t="str">
        <f t="shared" si="101"/>
        <v>n.a.</v>
      </c>
      <c r="CH85" s="306" t="str">
        <f t="shared" si="101"/>
        <v>n.a.</v>
      </c>
      <c r="CI85" s="306" t="str">
        <f t="shared" si="101"/>
        <v>n.a.</v>
      </c>
      <c r="CJ85" s="306" t="str">
        <f t="shared" si="101"/>
        <v>n.a.</v>
      </c>
      <c r="CK85" s="306" t="str">
        <f t="shared" si="101"/>
        <v>n.a.</v>
      </c>
      <c r="CL85" s="306" t="str">
        <f t="shared" si="101"/>
        <v>n.a.</v>
      </c>
      <c r="CM85" s="306" t="str">
        <f t="shared" si="101"/>
        <v>n.a.</v>
      </c>
      <c r="CN85" s="306" t="str">
        <f t="shared" si="101"/>
        <v>n.a.</v>
      </c>
      <c r="CO85" s="306" t="str">
        <f t="shared" si="101"/>
        <v>n.a.</v>
      </c>
      <c r="CP85" s="306" t="str">
        <f t="shared" si="101"/>
        <v>n.a.</v>
      </c>
      <c r="CQ85" s="23" t="s">
        <v>77</v>
      </c>
    </row>
    <row r="86" spans="1:95" outlineLevel="2" x14ac:dyDescent="0.2">
      <c r="B86" s="474" t="s">
        <v>297</v>
      </c>
      <c r="K86" s="52"/>
      <c r="L86" s="52"/>
      <c r="M86" s="52"/>
      <c r="N86" s="305">
        <f t="shared" ref="N86:BD86" si="102">IFERROR(N73/N47,"n.a.")</f>
        <v>0.70442188011791684</v>
      </c>
      <c r="O86" s="305">
        <f t="shared" si="102"/>
        <v>0.67576523877672945</v>
      </c>
      <c r="P86" s="305">
        <f t="shared" si="102"/>
        <v>0.6831962117404301</v>
      </c>
      <c r="Q86" s="305" t="str">
        <f t="shared" si="102"/>
        <v>n.a.</v>
      </c>
      <c r="R86" s="305" t="str">
        <f t="shared" si="102"/>
        <v>n.a.</v>
      </c>
      <c r="S86" s="305" t="str">
        <f t="shared" si="102"/>
        <v>n.a.</v>
      </c>
      <c r="T86" s="305" t="str">
        <f t="shared" si="102"/>
        <v>n.a.</v>
      </c>
      <c r="U86" s="305" t="str">
        <f t="shared" si="102"/>
        <v>n.a.</v>
      </c>
      <c r="V86" s="305" t="str">
        <f t="shared" si="102"/>
        <v>n.a.</v>
      </c>
      <c r="W86" s="305" t="str">
        <f t="shared" si="102"/>
        <v>n.a.</v>
      </c>
      <c r="X86" s="306" t="str">
        <f t="shared" si="102"/>
        <v>n.a.</v>
      </c>
      <c r="Y86" s="306" t="str">
        <f t="shared" si="102"/>
        <v>n.a.</v>
      </c>
      <c r="Z86" s="306" t="str">
        <f t="shared" si="102"/>
        <v>n.a.</v>
      </c>
      <c r="AA86" s="306" t="str">
        <f t="shared" si="102"/>
        <v>n.a.</v>
      </c>
      <c r="AB86" s="306" t="str">
        <f t="shared" si="102"/>
        <v>n.a.</v>
      </c>
      <c r="AC86" s="306" t="str">
        <f t="shared" si="102"/>
        <v>n.a.</v>
      </c>
      <c r="AD86" s="306" t="str">
        <f t="shared" si="102"/>
        <v>n.a.</v>
      </c>
      <c r="AE86" s="306" t="str">
        <f t="shared" si="102"/>
        <v>n.a.</v>
      </c>
      <c r="AF86" s="306" t="str">
        <f t="shared" si="102"/>
        <v>n.a.</v>
      </c>
      <c r="AG86" s="306" t="str">
        <f t="shared" si="102"/>
        <v>n.a.</v>
      </c>
      <c r="AH86" s="306" t="str">
        <f t="shared" si="102"/>
        <v>n.a.</v>
      </c>
      <c r="AI86" s="306" t="str">
        <f t="shared" si="102"/>
        <v>n.a.</v>
      </c>
      <c r="AJ86" s="306" t="str">
        <f t="shared" si="102"/>
        <v>n.a.</v>
      </c>
      <c r="AK86" s="306" t="str">
        <f t="shared" si="102"/>
        <v>n.a.</v>
      </c>
      <c r="AL86" s="306" t="str">
        <f t="shared" si="102"/>
        <v>n.a.</v>
      </c>
      <c r="AM86" s="306" t="str">
        <f t="shared" si="102"/>
        <v>n.a.</v>
      </c>
      <c r="AN86" s="306" t="str">
        <f t="shared" si="102"/>
        <v>n.a.</v>
      </c>
      <c r="AO86" s="306" t="str">
        <f t="shared" si="102"/>
        <v>n.a.</v>
      </c>
      <c r="AP86" s="306" t="str">
        <f t="shared" si="102"/>
        <v>n.a.</v>
      </c>
      <c r="AQ86" s="306" t="str">
        <f t="shared" si="102"/>
        <v>n.a.</v>
      </c>
      <c r="AR86" s="306" t="str">
        <f t="shared" si="102"/>
        <v>n.a.</v>
      </c>
      <c r="AS86" s="306" t="str">
        <f t="shared" si="102"/>
        <v>n.a.</v>
      </c>
      <c r="AT86" s="306" t="str">
        <f t="shared" si="102"/>
        <v>n.a.</v>
      </c>
      <c r="AU86" s="306" t="str">
        <f t="shared" si="102"/>
        <v>n.a.</v>
      </c>
      <c r="AV86" s="306" t="str">
        <f t="shared" si="102"/>
        <v>n.a.</v>
      </c>
      <c r="AW86" s="306" t="str">
        <f t="shared" si="102"/>
        <v>n.a.</v>
      </c>
      <c r="AX86" s="306" t="str">
        <f t="shared" si="102"/>
        <v>n.a.</v>
      </c>
      <c r="AY86" s="306" t="str">
        <f t="shared" si="102"/>
        <v>n.a.</v>
      </c>
      <c r="AZ86" s="306" t="str">
        <f t="shared" si="102"/>
        <v>n.a.</v>
      </c>
      <c r="BA86" s="306" t="str">
        <f t="shared" si="102"/>
        <v>n.a.</v>
      </c>
      <c r="BB86" s="306" t="str">
        <f t="shared" si="102"/>
        <v>n.a.</v>
      </c>
      <c r="BC86" s="306" t="str">
        <f t="shared" si="102"/>
        <v>n.a.</v>
      </c>
      <c r="BD86" s="306" t="str">
        <f t="shared" si="102"/>
        <v>n.a.</v>
      </c>
      <c r="BE86" s="306" t="str">
        <f t="shared" ref="BE86:CP86" si="103">IFERROR(BE73/BE47,"n.a.")</f>
        <v>n.a.</v>
      </c>
      <c r="BF86" s="306" t="str">
        <f t="shared" si="103"/>
        <v>n.a.</v>
      </c>
      <c r="BG86" s="306" t="str">
        <f t="shared" si="103"/>
        <v>n.a.</v>
      </c>
      <c r="BH86" s="306" t="str">
        <f t="shared" si="103"/>
        <v>n.a.</v>
      </c>
      <c r="BI86" s="306" t="str">
        <f t="shared" si="103"/>
        <v>n.a.</v>
      </c>
      <c r="BJ86" s="306" t="str">
        <f t="shared" si="103"/>
        <v>n.a.</v>
      </c>
      <c r="BK86" s="306" t="str">
        <f t="shared" si="103"/>
        <v>n.a.</v>
      </c>
      <c r="BL86" s="306" t="str">
        <f t="shared" si="103"/>
        <v>n.a.</v>
      </c>
      <c r="BM86" s="306" t="str">
        <f t="shared" si="103"/>
        <v>n.a.</v>
      </c>
      <c r="BN86" s="306" t="str">
        <f t="shared" si="103"/>
        <v>n.a.</v>
      </c>
      <c r="BO86" s="306" t="str">
        <f t="shared" si="103"/>
        <v>n.a.</v>
      </c>
      <c r="BP86" s="306" t="str">
        <f t="shared" si="103"/>
        <v>n.a.</v>
      </c>
      <c r="BQ86" s="306" t="str">
        <f t="shared" si="103"/>
        <v>n.a.</v>
      </c>
      <c r="BR86" s="306" t="str">
        <f t="shared" si="103"/>
        <v>n.a.</v>
      </c>
      <c r="BS86" s="306" t="str">
        <f t="shared" si="103"/>
        <v>n.a.</v>
      </c>
      <c r="BT86" s="306" t="str">
        <f t="shared" si="103"/>
        <v>n.a.</v>
      </c>
      <c r="BU86" s="306" t="str">
        <f t="shared" si="103"/>
        <v>n.a.</v>
      </c>
      <c r="BV86" s="306" t="str">
        <f t="shared" si="103"/>
        <v>n.a.</v>
      </c>
      <c r="BW86" s="306" t="str">
        <f t="shared" si="103"/>
        <v>n.a.</v>
      </c>
      <c r="BX86" s="306" t="str">
        <f t="shared" si="103"/>
        <v>n.a.</v>
      </c>
      <c r="BY86" s="306" t="str">
        <f t="shared" si="103"/>
        <v>n.a.</v>
      </c>
      <c r="BZ86" s="306" t="str">
        <f t="shared" si="103"/>
        <v>n.a.</v>
      </c>
      <c r="CA86" s="306" t="str">
        <f t="shared" si="103"/>
        <v>n.a.</v>
      </c>
      <c r="CB86" s="306" t="str">
        <f t="shared" si="103"/>
        <v>n.a.</v>
      </c>
      <c r="CC86" s="306" t="str">
        <f t="shared" si="103"/>
        <v>n.a.</v>
      </c>
      <c r="CD86" s="306" t="str">
        <f t="shared" si="103"/>
        <v>n.a.</v>
      </c>
      <c r="CE86" s="306" t="str">
        <f t="shared" si="103"/>
        <v>n.a.</v>
      </c>
      <c r="CF86" s="306" t="str">
        <f t="shared" si="103"/>
        <v>n.a.</v>
      </c>
      <c r="CG86" s="306" t="str">
        <f t="shared" si="103"/>
        <v>n.a.</v>
      </c>
      <c r="CH86" s="306" t="str">
        <f t="shared" si="103"/>
        <v>n.a.</v>
      </c>
      <c r="CI86" s="306" t="str">
        <f t="shared" si="103"/>
        <v>n.a.</v>
      </c>
      <c r="CJ86" s="306" t="str">
        <f t="shared" si="103"/>
        <v>n.a.</v>
      </c>
      <c r="CK86" s="306" t="str">
        <f t="shared" si="103"/>
        <v>n.a.</v>
      </c>
      <c r="CL86" s="306" t="str">
        <f t="shared" si="103"/>
        <v>n.a.</v>
      </c>
      <c r="CM86" s="306" t="str">
        <f t="shared" si="103"/>
        <v>n.a.</v>
      </c>
      <c r="CN86" s="306" t="str">
        <f t="shared" si="103"/>
        <v>n.a.</v>
      </c>
      <c r="CO86" s="306" t="str">
        <f t="shared" si="103"/>
        <v>n.a.</v>
      </c>
      <c r="CP86" s="306" t="str">
        <f t="shared" si="103"/>
        <v>n.a.</v>
      </c>
      <c r="CQ86" s="23" t="s">
        <v>77</v>
      </c>
    </row>
    <row r="87" spans="1:95" outlineLevel="2" x14ac:dyDescent="0.2">
      <c r="B87" s="474" t="s">
        <v>507</v>
      </c>
      <c r="K87" s="52"/>
      <c r="L87" s="52"/>
      <c r="M87" s="52"/>
      <c r="N87" s="305" t="str">
        <f t="shared" ref="N87:BD87" si="104">IFERROR(N74/N48,"n.a.")</f>
        <v>n.a.</v>
      </c>
      <c r="O87" s="305" t="str">
        <f t="shared" si="104"/>
        <v>n.a.</v>
      </c>
      <c r="P87" s="305">
        <f t="shared" si="104"/>
        <v>0.6831962117404301</v>
      </c>
      <c r="Q87" s="305">
        <f t="shared" si="104"/>
        <v>0.66554944850893161</v>
      </c>
      <c r="R87" s="305">
        <f t="shared" si="104"/>
        <v>0.70898641122744488</v>
      </c>
      <c r="S87" s="305">
        <f t="shared" si="104"/>
        <v>0.7527605387762607</v>
      </c>
      <c r="T87" s="305">
        <f t="shared" si="104"/>
        <v>1.5530565115751347</v>
      </c>
      <c r="U87" s="305">
        <f t="shared" si="104"/>
        <v>0.61447912677933836</v>
      </c>
      <c r="V87" s="305">
        <f t="shared" si="104"/>
        <v>0.35738498070345531</v>
      </c>
      <c r="W87" s="305">
        <f t="shared" si="104"/>
        <v>0.62550462462959366</v>
      </c>
      <c r="X87" s="306">
        <f t="shared" si="104"/>
        <v>0.62550462462959366</v>
      </c>
      <c r="Y87" s="306">
        <f t="shared" si="104"/>
        <v>0.62550462462959378</v>
      </c>
      <c r="Z87" s="306">
        <f t="shared" si="104"/>
        <v>0.62550462462959378</v>
      </c>
      <c r="AA87" s="306">
        <f t="shared" si="104"/>
        <v>0.62504736531900718</v>
      </c>
      <c r="AB87" s="306">
        <f t="shared" si="104"/>
        <v>0.62458954769424402</v>
      </c>
      <c r="AC87" s="306">
        <f t="shared" si="104"/>
        <v>0.62413117107360205</v>
      </c>
      <c r="AD87" s="306">
        <f t="shared" si="104"/>
        <v>0.6236722347745467</v>
      </c>
      <c r="AE87" s="306">
        <f t="shared" si="104"/>
        <v>0.6232127381137097</v>
      </c>
      <c r="AF87" s="306">
        <f t="shared" si="104"/>
        <v>0.6227526804068888</v>
      </c>
      <c r="AG87" s="306">
        <f t="shared" si="104"/>
        <v>0.53503786687627619</v>
      </c>
      <c r="AH87" s="306">
        <f t="shared" si="104"/>
        <v>0.53447014754401279</v>
      </c>
      <c r="AI87" s="306">
        <f t="shared" si="104"/>
        <v>0.53390173502575156</v>
      </c>
      <c r="AJ87" s="306">
        <f t="shared" si="104"/>
        <v>0.53333262847511154</v>
      </c>
      <c r="AK87" s="306">
        <f t="shared" si="104"/>
        <v>0.53276282704467814</v>
      </c>
      <c r="AL87" s="306">
        <f t="shared" si="104"/>
        <v>0.53219232988600262</v>
      </c>
      <c r="AM87" s="306">
        <f t="shared" si="104"/>
        <v>0.53162113614959972</v>
      </c>
      <c r="AN87" s="306">
        <f t="shared" si="104"/>
        <v>0.53104924498494721</v>
      </c>
      <c r="AO87" s="306">
        <f t="shared" si="104"/>
        <v>0.5304766555404844</v>
      </c>
      <c r="AP87" s="306">
        <f t="shared" si="104"/>
        <v>0.52990336696361073</v>
      </c>
      <c r="AQ87" s="306">
        <f t="shared" si="104"/>
        <v>0.52932937840068484</v>
      </c>
      <c r="AR87" s="306">
        <f t="shared" si="104"/>
        <v>0.52875468899702271</v>
      </c>
      <c r="AS87" s="306">
        <f t="shared" si="104"/>
        <v>0.52817929789689688</v>
      </c>
      <c r="AT87" s="306">
        <f t="shared" si="104"/>
        <v>0.52760320424353535</v>
      </c>
      <c r="AU87" s="306">
        <f t="shared" si="104"/>
        <v>0.52702640717911975</v>
      </c>
      <c r="AV87" s="306">
        <f t="shared" si="104"/>
        <v>0.5264489058447841</v>
      </c>
      <c r="AW87" s="306">
        <f t="shared" si="104"/>
        <v>0.52587069938061415</v>
      </c>
      <c r="AX87" s="306">
        <f t="shared" si="104"/>
        <v>0.52529178692564538</v>
      </c>
      <c r="AY87" s="306">
        <f t="shared" si="104"/>
        <v>0.52471216761786232</v>
      </c>
      <c r="AZ87" s="306">
        <f t="shared" si="104"/>
        <v>0.52413184059419682</v>
      </c>
      <c r="BA87" s="306">
        <f t="shared" si="104"/>
        <v>0.52355080499052664</v>
      </c>
      <c r="BB87" s="306">
        <f t="shared" si="104"/>
        <v>0.52296905994167509</v>
      </c>
      <c r="BC87" s="306">
        <f t="shared" si="104"/>
        <v>0.52238660458140851</v>
      </c>
      <c r="BD87" s="306">
        <f t="shared" si="104"/>
        <v>0.5218034380424359</v>
      </c>
      <c r="BE87" s="306">
        <f t="shared" ref="BE87:CP87" si="105">IFERROR(BE74/BE48,"n.a.")</f>
        <v>0.52121955945640708</v>
      </c>
      <c r="BF87" s="306">
        <f t="shared" si="105"/>
        <v>0.52063496795391184</v>
      </c>
      <c r="BG87" s="306">
        <f t="shared" si="105"/>
        <v>0.52004966266447827</v>
      </c>
      <c r="BH87" s="306">
        <f t="shared" si="105"/>
        <v>0.51946364271657164</v>
      </c>
      <c r="BI87" s="306">
        <f t="shared" si="105"/>
        <v>0.51887690723759317</v>
      </c>
      <c r="BJ87" s="306">
        <f t="shared" si="105"/>
        <v>0.51828945535387838</v>
      </c>
      <c r="BK87" s="306">
        <f t="shared" si="105"/>
        <v>0.51770128619069633</v>
      </c>
      <c r="BL87" s="306">
        <f t="shared" si="105"/>
        <v>0.5171123988722478</v>
      </c>
      <c r="BM87" s="306">
        <f t="shared" si="105"/>
        <v>0.51652279252166455</v>
      </c>
      <c r="BN87" s="306">
        <f t="shared" si="105"/>
        <v>0.51593246626100731</v>
      </c>
      <c r="BO87" s="306">
        <f t="shared" si="105"/>
        <v>0.51534141921126486</v>
      </c>
      <c r="BP87" s="306">
        <f t="shared" si="105"/>
        <v>0.51474965049235322</v>
      </c>
      <c r="BQ87" s="306">
        <f t="shared" si="105"/>
        <v>0.514157159223113</v>
      </c>
      <c r="BR87" s="306">
        <f t="shared" si="105"/>
        <v>0.51356394452130971</v>
      </c>
      <c r="BS87" s="306">
        <f t="shared" si="105"/>
        <v>0.51297000550363125</v>
      </c>
      <c r="BT87" s="306">
        <f t="shared" si="105"/>
        <v>0.51237534128568696</v>
      </c>
      <c r="BU87" s="306">
        <f t="shared" si="105"/>
        <v>0.51177995098200657</v>
      </c>
      <c r="BV87" s="306">
        <f t="shared" si="105"/>
        <v>0.51118383370603826</v>
      </c>
      <c r="BW87" s="306">
        <f t="shared" si="105"/>
        <v>0.51058698857014828</v>
      </c>
      <c r="BX87" s="306">
        <f t="shared" si="105"/>
        <v>0.50998941468561854</v>
      </c>
      <c r="BY87" s="306">
        <f t="shared" si="105"/>
        <v>0.50939111116264624</v>
      </c>
      <c r="BZ87" s="306">
        <f t="shared" si="105"/>
        <v>0.5087920771103418</v>
      </c>
      <c r="CA87" s="306">
        <f t="shared" si="105"/>
        <v>0.50819231163672807</v>
      </c>
      <c r="CB87" s="306">
        <f t="shared" si="105"/>
        <v>0.50759181384873864</v>
      </c>
      <c r="CC87" s="306">
        <f t="shared" si="105"/>
        <v>0.50699058285221699</v>
      </c>
      <c r="CD87" s="306">
        <f t="shared" si="105"/>
        <v>0.50638861775191435</v>
      </c>
      <c r="CE87" s="306">
        <f t="shared" si="105"/>
        <v>0.50578591765148939</v>
      </c>
      <c r="CF87" s="306">
        <f t="shared" si="105"/>
        <v>0.50518248165350588</v>
      </c>
      <c r="CG87" s="306">
        <f t="shared" si="105"/>
        <v>0.504578308859432</v>
      </c>
      <c r="CH87" s="306" t="str">
        <f t="shared" si="105"/>
        <v>n.a.</v>
      </c>
      <c r="CI87" s="306" t="str">
        <f t="shared" si="105"/>
        <v>n.a.</v>
      </c>
      <c r="CJ87" s="306" t="str">
        <f t="shared" si="105"/>
        <v>n.a.</v>
      </c>
      <c r="CK87" s="306" t="str">
        <f t="shared" si="105"/>
        <v>n.a.</v>
      </c>
      <c r="CL87" s="306" t="str">
        <f t="shared" si="105"/>
        <v>n.a.</v>
      </c>
      <c r="CM87" s="306" t="str">
        <f t="shared" si="105"/>
        <v>n.a.</v>
      </c>
      <c r="CN87" s="306" t="str">
        <f t="shared" si="105"/>
        <v>n.a.</v>
      </c>
      <c r="CO87" s="306" t="str">
        <f t="shared" si="105"/>
        <v>n.a.</v>
      </c>
      <c r="CP87" s="306" t="str">
        <f t="shared" si="105"/>
        <v>n.a.</v>
      </c>
      <c r="CQ87" s="23" t="s">
        <v>77</v>
      </c>
    </row>
    <row r="88" spans="1:95" outlineLevel="2" x14ac:dyDescent="0.2">
      <c r="B88" s="474" t="s">
        <v>298</v>
      </c>
      <c r="K88" s="52"/>
      <c r="L88" s="52"/>
      <c r="M88" s="52"/>
      <c r="N88" s="305" t="str">
        <f t="shared" ref="N88:BD88" si="106">IFERROR(N75/N49,"n.a.")</f>
        <v>n.a.</v>
      </c>
      <c r="O88" s="305" t="str">
        <f t="shared" si="106"/>
        <v>n.a.</v>
      </c>
      <c r="P88" s="305" t="str">
        <f t="shared" si="106"/>
        <v>n.a.</v>
      </c>
      <c r="Q88" s="305" t="str">
        <f t="shared" si="106"/>
        <v>n.a.</v>
      </c>
      <c r="R88" s="305" t="str">
        <f t="shared" si="106"/>
        <v>n.a.</v>
      </c>
      <c r="S88" s="305">
        <f t="shared" si="106"/>
        <v>0.7527605387762607</v>
      </c>
      <c r="T88" s="305">
        <f t="shared" si="106"/>
        <v>0.90806785842593607</v>
      </c>
      <c r="U88" s="305">
        <f t="shared" si="106"/>
        <v>0.88450457642643787</v>
      </c>
      <c r="V88" s="305">
        <f t="shared" si="106"/>
        <v>0.91041136725594518</v>
      </c>
      <c r="W88" s="305">
        <f t="shared" si="106"/>
        <v>0.83035063727759895</v>
      </c>
      <c r="X88" s="306">
        <f t="shared" si="106"/>
        <v>0.83035063727759895</v>
      </c>
      <c r="Y88" s="306">
        <f t="shared" si="106"/>
        <v>0.83035063727759895</v>
      </c>
      <c r="Z88" s="306">
        <f t="shared" si="106"/>
        <v>0.83035063727759884</v>
      </c>
      <c r="AA88" s="306">
        <f t="shared" si="106"/>
        <v>0.83014349519857289</v>
      </c>
      <c r="AB88" s="306">
        <f t="shared" si="106"/>
        <v>0.82993610019881514</v>
      </c>
      <c r="AC88" s="306">
        <f t="shared" si="106"/>
        <v>0.82972845196950973</v>
      </c>
      <c r="AD88" s="306">
        <f t="shared" si="106"/>
        <v>0.82952055020146287</v>
      </c>
      <c r="AE88" s="306">
        <f t="shared" si="106"/>
        <v>0.8293123945851032</v>
      </c>
      <c r="AF88" s="306">
        <f t="shared" si="106"/>
        <v>0.82910398481048186</v>
      </c>
      <c r="AG88" s="306">
        <f t="shared" si="106"/>
        <v>0.82889532056727122</v>
      </c>
      <c r="AH88" s="306">
        <f t="shared" si="106"/>
        <v>0.82868640154476481</v>
      </c>
      <c r="AI88" s="306">
        <f t="shared" si="106"/>
        <v>0.70641712540438772</v>
      </c>
      <c r="AJ88" s="306">
        <f t="shared" si="106"/>
        <v>0.70605866035604148</v>
      </c>
      <c r="AK88" s="306">
        <f t="shared" si="106"/>
        <v>0.70569975762143344</v>
      </c>
      <c r="AL88" s="306">
        <f t="shared" si="106"/>
        <v>0.70534041666614822</v>
      </c>
      <c r="AM88" s="306">
        <f t="shared" si="106"/>
        <v>0.70498063695511803</v>
      </c>
      <c r="AN88" s="306">
        <f t="shared" si="106"/>
        <v>0.7046204179526212</v>
      </c>
      <c r="AO88" s="306">
        <f t="shared" si="106"/>
        <v>0.70425975912228245</v>
      </c>
      <c r="AP88" s="306">
        <f t="shared" si="106"/>
        <v>0.70389865992707168</v>
      </c>
      <c r="AQ88" s="306">
        <f t="shared" si="106"/>
        <v>0.70353711982930245</v>
      </c>
      <c r="AR88" s="306">
        <f t="shared" si="106"/>
        <v>0.7031751382906325</v>
      </c>
      <c r="AS88" s="306">
        <f t="shared" si="106"/>
        <v>0.70281271477206186</v>
      </c>
      <c r="AT88" s="306">
        <f t="shared" si="106"/>
        <v>0.70244984873393257</v>
      </c>
      <c r="AU88" s="306">
        <f t="shared" si="106"/>
        <v>0.7020865396359276</v>
      </c>
      <c r="AV88" s="306">
        <f t="shared" si="106"/>
        <v>0.70172278693707035</v>
      </c>
      <c r="AW88" s="306">
        <f t="shared" si="106"/>
        <v>0.70135859009572366</v>
      </c>
      <c r="AX88" s="306">
        <f t="shared" si="106"/>
        <v>0.70099394856958908</v>
      </c>
      <c r="AY88" s="306">
        <f t="shared" si="106"/>
        <v>0.70062886181570583</v>
      </c>
      <c r="AZ88" s="306">
        <f t="shared" si="106"/>
        <v>0.7002633292904501</v>
      </c>
      <c r="BA88" s="306">
        <f t="shared" si="106"/>
        <v>0.69989735044953494</v>
      </c>
      <c r="BB88" s="306">
        <f t="shared" si="106"/>
        <v>0.69953092474800815</v>
      </c>
      <c r="BC88" s="306">
        <f t="shared" si="106"/>
        <v>0.69916405164025242</v>
      </c>
      <c r="BD88" s="306">
        <f t="shared" si="106"/>
        <v>0.69879673057998415</v>
      </c>
      <c r="BE88" s="306">
        <f t="shared" ref="BE88:CP88" si="107">IFERROR(BE75/BE49,"n.a.")</f>
        <v>0.69842896102025265</v>
      </c>
      <c r="BF88" s="306">
        <f t="shared" si="107"/>
        <v>0.69806074241343985</v>
      </c>
      <c r="BG88" s="306">
        <f t="shared" si="107"/>
        <v>0.69769207421125845</v>
      </c>
      <c r="BH88" s="306">
        <f t="shared" si="107"/>
        <v>0.69732295586475201</v>
      </c>
      <c r="BI88" s="306">
        <f t="shared" si="107"/>
        <v>0.69695338682429375</v>
      </c>
      <c r="BJ88" s="306">
        <f t="shared" si="107"/>
        <v>0.69658336653958597</v>
      </c>
      <c r="BK88" s="306">
        <f t="shared" si="107"/>
        <v>0.69621289445965873</v>
      </c>
      <c r="BL88" s="306">
        <f t="shared" si="107"/>
        <v>0.69584197003286963</v>
      </c>
      <c r="BM88" s="306">
        <f t="shared" si="107"/>
        <v>0.69547059270690248</v>
      </c>
      <c r="BN88" s="306">
        <f t="shared" si="107"/>
        <v>0.69509876192876674</v>
      </c>
      <c r="BO88" s="306">
        <f t="shared" si="107"/>
        <v>0.69472647714479707</v>
      </c>
      <c r="BP88" s="306">
        <f t="shared" si="107"/>
        <v>0.69435373780065146</v>
      </c>
      <c r="BQ88" s="306">
        <f t="shared" si="107"/>
        <v>0.69398054334131154</v>
      </c>
      <c r="BR88" s="306">
        <f t="shared" si="107"/>
        <v>0.69360689321108115</v>
      </c>
      <c r="BS88" s="306">
        <f t="shared" si="107"/>
        <v>0.69323278685358558</v>
      </c>
      <c r="BT88" s="306">
        <f t="shared" si="107"/>
        <v>0.69285822371177064</v>
      </c>
      <c r="BU88" s="306">
        <f t="shared" si="107"/>
        <v>0.69248320322790236</v>
      </c>
      <c r="BV88" s="306">
        <f t="shared" si="107"/>
        <v>0.6921077248435652</v>
      </c>
      <c r="BW88" s="306">
        <f t="shared" si="107"/>
        <v>0.6917317879996624</v>
      </c>
      <c r="BX88" s="306">
        <f t="shared" si="107"/>
        <v>0.69135539213641406</v>
      </c>
      <c r="BY88" s="306">
        <f t="shared" si="107"/>
        <v>0.69097853669335718</v>
      </c>
      <c r="BZ88" s="306">
        <f t="shared" si="107"/>
        <v>0.69060122110934419</v>
      </c>
      <c r="CA88" s="306">
        <f t="shared" si="107"/>
        <v>0.69022344482254239</v>
      </c>
      <c r="CB88" s="306">
        <f t="shared" si="107"/>
        <v>0.6898452072704333</v>
      </c>
      <c r="CC88" s="306">
        <f t="shared" si="107"/>
        <v>0.68946650788981112</v>
      </c>
      <c r="CD88" s="306">
        <f t="shared" si="107"/>
        <v>0.6890873461167828</v>
      </c>
      <c r="CE88" s="306">
        <f t="shared" si="107"/>
        <v>0.68870772138676672</v>
      </c>
      <c r="CF88" s="306">
        <f t="shared" si="107"/>
        <v>0.68832763313449163</v>
      </c>
      <c r="CG88" s="306">
        <f t="shared" si="107"/>
        <v>0.68794708079399647</v>
      </c>
      <c r="CH88" s="306" t="str">
        <f t="shared" si="107"/>
        <v>n.a.</v>
      </c>
      <c r="CI88" s="306" t="str">
        <f t="shared" si="107"/>
        <v>n.a.</v>
      </c>
      <c r="CJ88" s="306" t="str">
        <f t="shared" si="107"/>
        <v>n.a.</v>
      </c>
      <c r="CK88" s="306" t="str">
        <f t="shared" si="107"/>
        <v>n.a.</v>
      </c>
      <c r="CL88" s="306" t="str">
        <f t="shared" si="107"/>
        <v>n.a.</v>
      </c>
      <c r="CM88" s="306" t="str">
        <f t="shared" si="107"/>
        <v>n.a.</v>
      </c>
      <c r="CN88" s="306" t="str">
        <f t="shared" si="107"/>
        <v>n.a.</v>
      </c>
      <c r="CO88" s="306" t="str">
        <f t="shared" si="107"/>
        <v>n.a.</v>
      </c>
      <c r="CP88" s="306" t="str">
        <f t="shared" si="107"/>
        <v>n.a.</v>
      </c>
      <c r="CQ88" s="23" t="s">
        <v>77</v>
      </c>
    </row>
    <row r="89" spans="1:95" outlineLevel="2" x14ac:dyDescent="0.2">
      <c r="B89" s="474" t="s">
        <v>219</v>
      </c>
      <c r="K89" s="52"/>
      <c r="L89" s="52"/>
      <c r="M89" s="52"/>
      <c r="N89" s="305" t="str">
        <f t="shared" ref="N89:BD89" si="108">IFERROR(N76/N50,"n.a.")</f>
        <v>n.a.</v>
      </c>
      <c r="O89" s="305" t="str">
        <f t="shared" si="108"/>
        <v>n.a.</v>
      </c>
      <c r="P89" s="305" t="str">
        <f t="shared" si="108"/>
        <v>n.a.</v>
      </c>
      <c r="Q89" s="305" t="str">
        <f t="shared" si="108"/>
        <v>n.a.</v>
      </c>
      <c r="R89" s="305" t="str">
        <f t="shared" si="108"/>
        <v>n.a.</v>
      </c>
      <c r="S89" s="305" t="str">
        <f t="shared" si="108"/>
        <v>n.a.</v>
      </c>
      <c r="T89" s="305" t="str">
        <f t="shared" si="108"/>
        <v>n.a.</v>
      </c>
      <c r="U89" s="305">
        <f t="shared" si="108"/>
        <v>0.7</v>
      </c>
      <c r="V89" s="305">
        <f t="shared" si="108"/>
        <v>0.7</v>
      </c>
      <c r="W89" s="305">
        <f t="shared" si="108"/>
        <v>0.65</v>
      </c>
      <c r="X89" s="306">
        <f t="shared" si="108"/>
        <v>0.65609756097560967</v>
      </c>
      <c r="Y89" s="306">
        <f t="shared" si="108"/>
        <v>0.66204640095181422</v>
      </c>
      <c r="Z89" s="306">
        <f t="shared" si="108"/>
        <v>0.66785014727006264</v>
      </c>
      <c r="AA89" s="306">
        <f t="shared" si="108"/>
        <v>0.67323579708919434</v>
      </c>
      <c r="AB89" s="306">
        <f t="shared" si="108"/>
        <v>0.67849650509323001</v>
      </c>
      <c r="AC89" s="306">
        <f t="shared" si="108"/>
        <v>0.68363516981023686</v>
      </c>
      <c r="AD89" s="306">
        <f t="shared" si="108"/>
        <v>0.68749467136531073</v>
      </c>
      <c r="AE89" s="306">
        <f t="shared" si="108"/>
        <v>0.6912646362542717</v>
      </c>
      <c r="AF89" s="306">
        <f t="shared" si="108"/>
        <v>0.69494714164031424</v>
      </c>
      <c r="AG89" s="306">
        <f t="shared" si="108"/>
        <v>0.69854421649847542</v>
      </c>
      <c r="AH89" s="306">
        <f t="shared" si="108"/>
        <v>0.70205784273355354</v>
      </c>
      <c r="AI89" s="306">
        <f t="shared" si="108"/>
        <v>0.70548995627209132</v>
      </c>
      <c r="AJ89" s="306">
        <f t="shared" si="108"/>
        <v>0.69344448210222187</v>
      </c>
      <c r="AK89" s="306">
        <f t="shared" si="108"/>
        <v>0.69307017744056409</v>
      </c>
      <c r="AL89" s="306">
        <f t="shared" si="108"/>
        <v>0.6926954157524573</v>
      </c>
      <c r="AM89" s="306">
        <f t="shared" si="108"/>
        <v>0.69232019647987175</v>
      </c>
      <c r="AN89" s="306">
        <f t="shared" si="108"/>
        <v>0.69194451906409615</v>
      </c>
      <c r="AO89" s="306">
        <f t="shared" si="108"/>
        <v>0.6915683829457373</v>
      </c>
      <c r="AP89" s="306">
        <f t="shared" si="108"/>
        <v>0.69119178756471866</v>
      </c>
      <c r="AQ89" s="306">
        <f t="shared" si="108"/>
        <v>0.69081473236028001</v>
      </c>
      <c r="AR89" s="306" t="str">
        <f t="shared" si="108"/>
        <v>n.a.</v>
      </c>
      <c r="AS89" s="306" t="str">
        <f t="shared" si="108"/>
        <v>n.a.</v>
      </c>
      <c r="AT89" s="306" t="str">
        <f t="shared" si="108"/>
        <v>n.a.</v>
      </c>
      <c r="AU89" s="306" t="str">
        <f t="shared" si="108"/>
        <v>n.a.</v>
      </c>
      <c r="AV89" s="306" t="str">
        <f t="shared" si="108"/>
        <v>n.a.</v>
      </c>
      <c r="AW89" s="306" t="str">
        <f t="shared" si="108"/>
        <v>n.a.</v>
      </c>
      <c r="AX89" s="306" t="str">
        <f t="shared" si="108"/>
        <v>n.a.</v>
      </c>
      <c r="AY89" s="306" t="str">
        <f t="shared" si="108"/>
        <v>n.a.</v>
      </c>
      <c r="AZ89" s="306" t="str">
        <f t="shared" si="108"/>
        <v>n.a.</v>
      </c>
      <c r="BA89" s="306" t="str">
        <f t="shared" si="108"/>
        <v>n.a.</v>
      </c>
      <c r="BB89" s="306" t="str">
        <f t="shared" si="108"/>
        <v>n.a.</v>
      </c>
      <c r="BC89" s="306" t="str">
        <f t="shared" si="108"/>
        <v>n.a.</v>
      </c>
      <c r="BD89" s="306" t="str">
        <f t="shared" si="108"/>
        <v>n.a.</v>
      </c>
      <c r="BE89" s="306" t="str">
        <f t="shared" ref="BE89:CP89" si="109">IFERROR(BE76/BE50,"n.a.")</f>
        <v>n.a.</v>
      </c>
      <c r="BF89" s="306" t="str">
        <f t="shared" si="109"/>
        <v>n.a.</v>
      </c>
      <c r="BG89" s="306" t="str">
        <f t="shared" si="109"/>
        <v>n.a.</v>
      </c>
      <c r="BH89" s="306" t="str">
        <f t="shared" si="109"/>
        <v>n.a.</v>
      </c>
      <c r="BI89" s="306" t="str">
        <f t="shared" si="109"/>
        <v>n.a.</v>
      </c>
      <c r="BJ89" s="306" t="str">
        <f t="shared" si="109"/>
        <v>n.a.</v>
      </c>
      <c r="BK89" s="306" t="str">
        <f t="shared" si="109"/>
        <v>n.a.</v>
      </c>
      <c r="BL89" s="306" t="str">
        <f t="shared" si="109"/>
        <v>n.a.</v>
      </c>
      <c r="BM89" s="306" t="str">
        <f t="shared" si="109"/>
        <v>n.a.</v>
      </c>
      <c r="BN89" s="306" t="str">
        <f t="shared" si="109"/>
        <v>n.a.</v>
      </c>
      <c r="BO89" s="306" t="str">
        <f t="shared" si="109"/>
        <v>n.a.</v>
      </c>
      <c r="BP89" s="306" t="str">
        <f t="shared" si="109"/>
        <v>n.a.</v>
      </c>
      <c r="BQ89" s="306" t="str">
        <f t="shared" si="109"/>
        <v>n.a.</v>
      </c>
      <c r="BR89" s="306" t="str">
        <f t="shared" si="109"/>
        <v>n.a.</v>
      </c>
      <c r="BS89" s="306" t="str">
        <f t="shared" si="109"/>
        <v>n.a.</v>
      </c>
      <c r="BT89" s="306" t="str">
        <f t="shared" si="109"/>
        <v>n.a.</v>
      </c>
      <c r="BU89" s="306" t="str">
        <f t="shared" si="109"/>
        <v>n.a.</v>
      </c>
      <c r="BV89" s="306" t="str">
        <f t="shared" si="109"/>
        <v>n.a.</v>
      </c>
      <c r="BW89" s="306" t="str">
        <f t="shared" si="109"/>
        <v>n.a.</v>
      </c>
      <c r="BX89" s="306" t="str">
        <f t="shared" si="109"/>
        <v>n.a.</v>
      </c>
      <c r="BY89" s="306" t="str">
        <f t="shared" si="109"/>
        <v>n.a.</v>
      </c>
      <c r="BZ89" s="306" t="str">
        <f t="shared" si="109"/>
        <v>n.a.</v>
      </c>
      <c r="CA89" s="306" t="str">
        <f t="shared" si="109"/>
        <v>n.a.</v>
      </c>
      <c r="CB89" s="306" t="str">
        <f t="shared" si="109"/>
        <v>n.a.</v>
      </c>
      <c r="CC89" s="306" t="str">
        <f t="shared" si="109"/>
        <v>n.a.</v>
      </c>
      <c r="CD89" s="306" t="str">
        <f t="shared" si="109"/>
        <v>n.a.</v>
      </c>
      <c r="CE89" s="306" t="str">
        <f t="shared" si="109"/>
        <v>n.a.</v>
      </c>
      <c r="CF89" s="306" t="str">
        <f t="shared" si="109"/>
        <v>n.a.</v>
      </c>
      <c r="CG89" s="306" t="str">
        <f t="shared" si="109"/>
        <v>n.a.</v>
      </c>
      <c r="CH89" s="306" t="str">
        <f t="shared" si="109"/>
        <v>n.a.</v>
      </c>
      <c r="CI89" s="306" t="str">
        <f t="shared" si="109"/>
        <v>n.a.</v>
      </c>
      <c r="CJ89" s="306" t="str">
        <f t="shared" si="109"/>
        <v>n.a.</v>
      </c>
      <c r="CK89" s="306" t="str">
        <f t="shared" si="109"/>
        <v>n.a.</v>
      </c>
      <c r="CL89" s="306" t="str">
        <f t="shared" si="109"/>
        <v>n.a.</v>
      </c>
      <c r="CM89" s="306" t="str">
        <f t="shared" si="109"/>
        <v>n.a.</v>
      </c>
      <c r="CN89" s="306" t="str">
        <f t="shared" si="109"/>
        <v>n.a.</v>
      </c>
      <c r="CO89" s="306" t="str">
        <f t="shared" si="109"/>
        <v>n.a.</v>
      </c>
      <c r="CP89" s="306" t="str">
        <f t="shared" si="109"/>
        <v>n.a.</v>
      </c>
      <c r="CQ89" s="23" t="s">
        <v>77</v>
      </c>
    </row>
    <row r="90" spans="1:95" outlineLevel="2" x14ac:dyDescent="0.2">
      <c r="B90" s="474" t="s">
        <v>509</v>
      </c>
      <c r="K90" s="52"/>
      <c r="L90" s="52"/>
      <c r="M90" s="52"/>
      <c r="N90" s="305" t="str">
        <f t="shared" ref="N90:BD90" si="110">IFERROR(N77/N51,"n.a.")</f>
        <v>n.a.</v>
      </c>
      <c r="O90" s="305" t="str">
        <f t="shared" si="110"/>
        <v>n.a.</v>
      </c>
      <c r="P90" s="305" t="str">
        <f t="shared" si="110"/>
        <v>n.a.</v>
      </c>
      <c r="Q90" s="305" t="str">
        <f t="shared" si="110"/>
        <v>n.a.</v>
      </c>
      <c r="R90" s="305" t="str">
        <f t="shared" si="110"/>
        <v>n.a.</v>
      </c>
      <c r="S90" s="305" t="str">
        <f t="shared" si="110"/>
        <v>n.a.</v>
      </c>
      <c r="T90" s="305" t="str">
        <f t="shared" si="110"/>
        <v>n.a.</v>
      </c>
      <c r="U90" s="305">
        <f t="shared" si="110"/>
        <v>0.95</v>
      </c>
      <c r="V90" s="305">
        <f t="shared" si="110"/>
        <v>0.95000000000000007</v>
      </c>
      <c r="W90" s="305">
        <f t="shared" si="110"/>
        <v>0.9</v>
      </c>
      <c r="X90" s="306">
        <f t="shared" si="110"/>
        <v>0.90163788317115223</v>
      </c>
      <c r="Y90" s="306">
        <f t="shared" si="110"/>
        <v>0.90097365251585582</v>
      </c>
      <c r="Z90" s="306">
        <f t="shared" si="110"/>
        <v>0.89826096938445321</v>
      </c>
      <c r="AA90" s="306">
        <f t="shared" si="110"/>
        <v>0.892683307758526</v>
      </c>
      <c r="AB90" s="306">
        <f t="shared" si="110"/>
        <v>0.89205141359419937</v>
      </c>
      <c r="AC90" s="306">
        <f t="shared" si="110"/>
        <v>0.89141579875765886</v>
      </c>
      <c r="AD90" s="306">
        <f t="shared" si="110"/>
        <v>0.890776441341119</v>
      </c>
      <c r="AE90" s="306">
        <f t="shared" si="110"/>
        <v>0.89013331930779871</v>
      </c>
      <c r="AF90" s="306">
        <f t="shared" si="110"/>
        <v>0.88948641049116173</v>
      </c>
      <c r="AG90" s="306">
        <f t="shared" si="110"/>
        <v>0.88883569259415174</v>
      </c>
      <c r="AH90" s="306">
        <f t="shared" si="110"/>
        <v>0.88818114318842556</v>
      </c>
      <c r="AI90" s="306">
        <f t="shared" si="110"/>
        <v>0.88752273971357809</v>
      </c>
      <c r="AJ90" s="306">
        <f t="shared" si="110"/>
        <v>0.8868604594763666</v>
      </c>
      <c r="AK90" s="306">
        <f t="shared" si="110"/>
        <v>0.88619427964992725</v>
      </c>
      <c r="AL90" s="306">
        <f t="shared" si="110"/>
        <v>0.8855241772729886</v>
      </c>
      <c r="AM90" s="306">
        <f t="shared" si="110"/>
        <v>0.8848501292490808</v>
      </c>
      <c r="AN90" s="306">
        <f t="shared" si="110"/>
        <v>0.88417211234573878</v>
      </c>
      <c r="AO90" s="306">
        <f t="shared" si="110"/>
        <v>0.87289829439312938</v>
      </c>
      <c r="AP90" s="306">
        <f t="shared" si="110"/>
        <v>0.1</v>
      </c>
      <c r="AQ90" s="306">
        <f t="shared" si="110"/>
        <v>9.4700686947988305E-2</v>
      </c>
      <c r="AR90" s="306">
        <f t="shared" si="110"/>
        <v>8.9370170875061827E-2</v>
      </c>
      <c r="AS90" s="306">
        <f t="shared" si="110"/>
        <v>8.4008268053913968E-2</v>
      </c>
      <c r="AT90" s="306">
        <f t="shared" si="110"/>
        <v>7.8614793675428743E-2</v>
      </c>
      <c r="AU90" s="306">
        <f t="shared" si="110"/>
        <v>7.3189561842310638E-2</v>
      </c>
      <c r="AV90" s="306">
        <f t="shared" si="110"/>
        <v>6.7732385562677452E-2</v>
      </c>
      <c r="AW90" s="306">
        <f t="shared" si="110"/>
        <v>6.2243076743615622E-2</v>
      </c>
      <c r="AX90" s="306">
        <f t="shared" si="110"/>
        <v>5.6721446184696767E-2</v>
      </c>
      <c r="AY90" s="306">
        <f t="shared" si="110"/>
        <v>5.1167303571456532E-2</v>
      </c>
      <c r="AZ90" s="306">
        <f t="shared" si="110"/>
        <v>4.5580457468835142E-2</v>
      </c>
      <c r="BA90" s="306">
        <f t="shared" si="110"/>
        <v>3.996071531457903E-2</v>
      </c>
      <c r="BB90" s="306">
        <f t="shared" si="110"/>
        <v>3.4307883412603983E-2</v>
      </c>
      <c r="BC90" s="306">
        <f t="shared" si="110"/>
        <v>2.8621766926318935E-2</v>
      </c>
      <c r="BD90" s="306">
        <f t="shared" si="110"/>
        <v>2.2902169871910613E-2</v>
      </c>
      <c r="BE90" s="306">
        <f t="shared" ref="BE90:CP90" si="111">IFERROR(BE77/BE51,"n.a.")</f>
        <v>1.7148895111588146E-2</v>
      </c>
      <c r="BF90" s="306">
        <f t="shared" si="111"/>
        <v>1.1361744346788971E-2</v>
      </c>
      <c r="BG90" s="306">
        <f t="shared" si="111"/>
        <v>5.5405181113431477E-3</v>
      </c>
      <c r="BH90" s="306">
        <f t="shared" si="111"/>
        <v>-3.1498423540049156E-4</v>
      </c>
      <c r="BI90" s="306">
        <f t="shared" si="111"/>
        <v>-6.2049645154913591E-3</v>
      </c>
      <c r="BJ90" s="306">
        <f t="shared" si="111"/>
        <v>-1.2129625739331348E-2</v>
      </c>
      <c r="BK90" s="306">
        <f t="shared" si="111"/>
        <v>-1.808917211267386E-2</v>
      </c>
      <c r="BL90" s="306">
        <f t="shared" si="111"/>
        <v>-2.4083809043661246E-2</v>
      </c>
      <c r="BM90" s="306">
        <f t="shared" si="111"/>
        <v>-3.0113743149904604E-2</v>
      </c>
      <c r="BN90" s="306">
        <f t="shared" si="111"/>
        <v>-3.6179182265605757E-2</v>
      </c>
      <c r="BO90" s="306">
        <f t="shared" si="111"/>
        <v>-4.2280335448720244E-2</v>
      </c>
      <c r="BP90" s="306">
        <f t="shared" si="111"/>
        <v>-4.8417412988163121E-2</v>
      </c>
      <c r="BQ90" s="306">
        <f t="shared" si="111"/>
        <v>-5.4590626411057178E-2</v>
      </c>
      <c r="BR90" s="306">
        <f t="shared" si="111"/>
        <v>-6.0800188490023201E-2</v>
      </c>
      <c r="BS90" s="306">
        <f t="shared" si="111"/>
        <v>-6.7046313250514092E-2</v>
      </c>
      <c r="BT90" s="306">
        <f t="shared" si="111"/>
        <v>-7.3329215978191392E-2</v>
      </c>
      <c r="BU90" s="306">
        <f t="shared" si="111"/>
        <v>-7.9649113226345686E-2</v>
      </c>
      <c r="BV90" s="306">
        <f t="shared" si="111"/>
        <v>-8.6006222823360567E-2</v>
      </c>
      <c r="BW90" s="306">
        <f t="shared" si="111"/>
        <v>-9.2400763880220255E-2</v>
      </c>
      <c r="BX90" s="306">
        <f t="shared" si="111"/>
        <v>-9.8832956798062657E-2</v>
      </c>
      <c r="BY90" s="306">
        <f t="shared" si="111"/>
        <v>-0.10530302327577447</v>
      </c>
      <c r="BZ90" s="306">
        <f t="shared" si="111"/>
        <v>-0.1118111863176339</v>
      </c>
      <c r="CA90" s="306">
        <f t="shared" si="111"/>
        <v>-0.11835767024099592</v>
      </c>
      <c r="CB90" s="306">
        <f t="shared" si="111"/>
        <v>-0.12494270068402427</v>
      </c>
      <c r="CC90" s="306">
        <f t="shared" si="111"/>
        <v>-0.13156650461346894</v>
      </c>
      <c r="CD90" s="306">
        <f t="shared" si="111"/>
        <v>-0.13822931033248831</v>
      </c>
      <c r="CE90" s="306">
        <f t="shared" si="111"/>
        <v>-0.1449313474885188</v>
      </c>
      <c r="CF90" s="306">
        <f t="shared" si="111"/>
        <v>-0.15167284708118919</v>
      </c>
      <c r="CG90" s="306">
        <f t="shared" si="111"/>
        <v>-0.15845404147028355</v>
      </c>
      <c r="CH90" s="306">
        <f t="shared" si="111"/>
        <v>-0.16527516438374934</v>
      </c>
      <c r="CI90" s="306">
        <f t="shared" si="111"/>
        <v>-0.1721364509257538</v>
      </c>
      <c r="CJ90" s="306">
        <f t="shared" si="111"/>
        <v>-0.17903813758478676</v>
      </c>
      <c r="CK90" s="306">
        <f t="shared" si="111"/>
        <v>-0.18598046224181203</v>
      </c>
      <c r="CL90" s="306">
        <f t="shared" si="111"/>
        <v>-0.19296366417846639</v>
      </c>
      <c r="CM90" s="306">
        <f t="shared" si="111"/>
        <v>-0.19998798408530735</v>
      </c>
      <c r="CN90" s="306">
        <f t="shared" si="111"/>
        <v>-0.20705366407010786</v>
      </c>
      <c r="CO90" s="306">
        <f t="shared" si="111"/>
        <v>-0.21416094766620289</v>
      </c>
      <c r="CP90" s="306">
        <f t="shared" si="111"/>
        <v>-0.22131007984088125</v>
      </c>
      <c r="CQ90" s="23" t="s">
        <v>77</v>
      </c>
    </row>
    <row r="91" spans="1:95" outlineLevel="2" x14ac:dyDescent="0.2">
      <c r="B91" s="474" t="s">
        <v>559</v>
      </c>
      <c r="K91" s="52"/>
      <c r="L91" s="52"/>
      <c r="M91" s="52"/>
      <c r="N91" s="305" t="str">
        <f t="shared" ref="N91:BD91" si="112">IFERROR(N78/N52,"n.a.")</f>
        <v>n.a.</v>
      </c>
      <c r="O91" s="305" t="str">
        <f t="shared" si="112"/>
        <v>n.a.</v>
      </c>
      <c r="P91" s="305" t="str">
        <f t="shared" si="112"/>
        <v>n.a.</v>
      </c>
      <c r="Q91" s="305" t="str">
        <f t="shared" si="112"/>
        <v>n.a.</v>
      </c>
      <c r="R91" s="305" t="str">
        <f t="shared" si="112"/>
        <v>n.a.</v>
      </c>
      <c r="S91" s="305" t="str">
        <f t="shared" si="112"/>
        <v>n.a.</v>
      </c>
      <c r="T91" s="305" t="str">
        <f t="shared" si="112"/>
        <v>n.a.</v>
      </c>
      <c r="U91" s="305" t="str">
        <f t="shared" si="112"/>
        <v>n.a.</v>
      </c>
      <c r="V91" s="305" t="str">
        <f t="shared" si="112"/>
        <v>n.a.</v>
      </c>
      <c r="W91" s="305" t="str">
        <f t="shared" si="112"/>
        <v>n.a.</v>
      </c>
      <c r="X91" s="306" t="str">
        <f t="shared" si="112"/>
        <v>n.a.</v>
      </c>
      <c r="Y91" s="306">
        <f t="shared" si="112"/>
        <v>0.8</v>
      </c>
      <c r="Z91" s="306">
        <f t="shared" si="112"/>
        <v>0.8</v>
      </c>
      <c r="AA91" s="306">
        <f t="shared" si="112"/>
        <v>0.79975579975579969</v>
      </c>
      <c r="AB91" s="306">
        <f t="shared" si="112"/>
        <v>0.79951130134280324</v>
      </c>
      <c r="AC91" s="306">
        <f t="shared" si="112"/>
        <v>0.7992665043969458</v>
      </c>
      <c r="AD91" s="306">
        <f t="shared" si="112"/>
        <v>0.79902140855371862</v>
      </c>
      <c r="AE91" s="306">
        <f t="shared" si="112"/>
        <v>0.79877601344816762</v>
      </c>
      <c r="AF91" s="306">
        <f t="shared" si="112"/>
        <v>0.79853031871489311</v>
      </c>
      <c r="AG91" s="306">
        <f t="shared" si="112"/>
        <v>0.79828432398804927</v>
      </c>
      <c r="AH91" s="306">
        <f t="shared" si="112"/>
        <v>0.79803802890134368</v>
      </c>
      <c r="AI91" s="306">
        <f t="shared" si="112"/>
        <v>0.79779143308803635</v>
      </c>
      <c r="AJ91" s="306">
        <f t="shared" si="112"/>
        <v>0.79754453618094001</v>
      </c>
      <c r="AK91" s="306">
        <f t="shared" si="112"/>
        <v>0.79729733781241852</v>
      </c>
      <c r="AL91" s="306">
        <f t="shared" si="112"/>
        <v>0.7970498376143873</v>
      </c>
      <c r="AM91" s="306">
        <f t="shared" si="112"/>
        <v>0.79680203521831205</v>
      </c>
      <c r="AN91" s="306">
        <f t="shared" si="112"/>
        <v>0.79655393025520871</v>
      </c>
      <c r="AO91" s="306">
        <f t="shared" si="112"/>
        <v>0.79630552235564245</v>
      </c>
      <c r="AP91" s="306">
        <f t="shared" si="112"/>
        <v>0.79605681114972737</v>
      </c>
      <c r="AQ91" s="306">
        <f t="shared" si="112"/>
        <v>0.79580779626712639</v>
      </c>
      <c r="AR91" s="306">
        <f t="shared" si="112"/>
        <v>0.67905535598272215</v>
      </c>
      <c r="AS91" s="306">
        <f t="shared" si="112"/>
        <v>0.67866348218050332</v>
      </c>
      <c r="AT91" s="306">
        <f t="shared" si="112"/>
        <v>0.67827112989989347</v>
      </c>
      <c r="AU91" s="306">
        <f t="shared" si="112"/>
        <v>0.67787829855666992</v>
      </c>
      <c r="AV91" s="306">
        <f t="shared" si="112"/>
        <v>0.6774849875658967</v>
      </c>
      <c r="AW91" s="306">
        <f t="shared" si="112"/>
        <v>0.6770911963419235</v>
      </c>
      <c r="AX91" s="306">
        <f t="shared" si="112"/>
        <v>0.67669692429838491</v>
      </c>
      <c r="AY91" s="306">
        <f t="shared" si="112"/>
        <v>0.67630217084819977</v>
      </c>
      <c r="AZ91" s="306">
        <f t="shared" si="112"/>
        <v>0.67590693540356994</v>
      </c>
      <c r="BA91" s="306">
        <f t="shared" si="112"/>
        <v>0.67551121737597974</v>
      </c>
      <c r="BB91" s="306">
        <f t="shared" si="112"/>
        <v>0.67511501617619463</v>
      </c>
      <c r="BC91" s="306">
        <f t="shared" si="112"/>
        <v>0.67471833121426084</v>
      </c>
      <c r="BD91" s="306">
        <f t="shared" si="112"/>
        <v>0.6743211618995042</v>
      </c>
      <c r="BE91" s="306">
        <f t="shared" ref="BE91:CP91" si="113">IFERROR(BE78/BE52,"n.a.")</f>
        <v>0.67392350764052922</v>
      </c>
      <c r="BF91" s="306">
        <f t="shared" si="113"/>
        <v>0.67352536784521844</v>
      </c>
      <c r="BG91" s="306">
        <f t="shared" si="113"/>
        <v>0.67312674192073152</v>
      </c>
      <c r="BH91" s="306">
        <f t="shared" si="113"/>
        <v>0.67272762927350416</v>
      </c>
      <c r="BI91" s="306">
        <f t="shared" si="113"/>
        <v>0.67232802930924707</v>
      </c>
      <c r="BJ91" s="306">
        <f t="shared" si="113"/>
        <v>0.67192794143294587</v>
      </c>
      <c r="BK91" s="306">
        <f t="shared" si="113"/>
        <v>0.67152736504885913</v>
      </c>
      <c r="BL91" s="306">
        <f t="shared" si="113"/>
        <v>0.67112629956051828</v>
      </c>
      <c r="BM91" s="306">
        <f t="shared" si="113"/>
        <v>0.67072474437072649</v>
      </c>
      <c r="BN91" s="306">
        <f t="shared" si="113"/>
        <v>0.6703226988815576</v>
      </c>
      <c r="BO91" s="306">
        <f t="shared" si="113"/>
        <v>0.66992016249435571</v>
      </c>
      <c r="BP91" s="306">
        <f t="shared" si="113"/>
        <v>0.66951713460973339</v>
      </c>
      <c r="BQ91" s="306">
        <f t="shared" si="113"/>
        <v>0.6691136146275718</v>
      </c>
      <c r="BR91" s="306">
        <f t="shared" si="113"/>
        <v>0.66870960194701956</v>
      </c>
      <c r="BS91" s="306">
        <f t="shared" si="113"/>
        <v>0.66830509596649068</v>
      </c>
      <c r="BT91" s="306">
        <f t="shared" si="113"/>
        <v>0.66790009608366607</v>
      </c>
      <c r="BU91" s="306">
        <f t="shared" si="113"/>
        <v>0.66749460169548969</v>
      </c>
      <c r="BV91" s="306">
        <f t="shared" si="113"/>
        <v>0.66708861219817039</v>
      </c>
      <c r="BW91" s="306">
        <f t="shared" si="113"/>
        <v>0.66668212698717932</v>
      </c>
      <c r="BX91" s="306">
        <f t="shared" si="113"/>
        <v>0.66627514545724909</v>
      </c>
      <c r="BY91" s="306">
        <f t="shared" si="113"/>
        <v>0.66586766700237388</v>
      </c>
      <c r="BZ91" s="306">
        <f t="shared" si="113"/>
        <v>0.66545969101580793</v>
      </c>
      <c r="CA91" s="306">
        <f t="shared" si="113"/>
        <v>0.66505121689006419</v>
      </c>
      <c r="CB91" s="306">
        <f t="shared" si="113"/>
        <v>0.66464224401691396</v>
      </c>
      <c r="CC91" s="306">
        <f t="shared" si="113"/>
        <v>0.66423277178738649</v>
      </c>
      <c r="CD91" s="306">
        <f t="shared" si="113"/>
        <v>0.66382279959176671</v>
      </c>
      <c r="CE91" s="306">
        <f t="shared" si="113"/>
        <v>0.6634123268195955</v>
      </c>
      <c r="CF91" s="306">
        <f t="shared" si="113"/>
        <v>0.66300135285966832</v>
      </c>
      <c r="CG91" s="306">
        <f t="shared" si="113"/>
        <v>0.66258987710003414</v>
      </c>
      <c r="CH91" s="306">
        <f t="shared" si="113"/>
        <v>0.66217789892799517</v>
      </c>
      <c r="CI91" s="306">
        <f t="shared" si="113"/>
        <v>0.661765417730105</v>
      </c>
      <c r="CJ91" s="306">
        <f t="shared" si="113"/>
        <v>0.66135243289216861</v>
      </c>
      <c r="CK91" s="306">
        <f t="shared" si="113"/>
        <v>0.6609389437992409</v>
      </c>
      <c r="CL91" s="306">
        <f t="shared" si="113"/>
        <v>0.66052494983562582</v>
      </c>
      <c r="CM91" s="306">
        <f t="shared" si="113"/>
        <v>0.6601104503848757</v>
      </c>
      <c r="CN91" s="306">
        <f t="shared" si="113"/>
        <v>0.65969544482979015</v>
      </c>
      <c r="CO91" s="306">
        <f t="shared" si="113"/>
        <v>0.65927993255241502</v>
      </c>
      <c r="CP91" s="306" t="str">
        <f t="shared" si="113"/>
        <v>n.a.</v>
      </c>
      <c r="CQ91" s="23" t="s">
        <v>77</v>
      </c>
    </row>
    <row r="92" spans="1:95" outlineLevel="2" x14ac:dyDescent="0.2">
      <c r="B92" s="474" t="s">
        <v>567</v>
      </c>
      <c r="K92" s="52"/>
      <c r="L92" s="52"/>
      <c r="M92" s="52"/>
      <c r="N92" s="305" t="str">
        <f t="shared" ref="N92:BD92" si="114">IFERROR(N79/N53,"n.a.")</f>
        <v>n.a.</v>
      </c>
      <c r="O92" s="305" t="str">
        <f t="shared" si="114"/>
        <v>n.a.</v>
      </c>
      <c r="P92" s="305" t="str">
        <f t="shared" si="114"/>
        <v>n.a.</v>
      </c>
      <c r="Q92" s="305" t="str">
        <f t="shared" si="114"/>
        <v>n.a.</v>
      </c>
      <c r="R92" s="305" t="str">
        <f t="shared" si="114"/>
        <v>n.a.</v>
      </c>
      <c r="S92" s="305" t="str">
        <f t="shared" si="114"/>
        <v>n.a.</v>
      </c>
      <c r="T92" s="305" t="str">
        <f t="shared" si="114"/>
        <v>n.a.</v>
      </c>
      <c r="U92" s="305" t="str">
        <f t="shared" si="114"/>
        <v>n.a.</v>
      </c>
      <c r="V92" s="305" t="str">
        <f t="shared" si="114"/>
        <v>n.a.</v>
      </c>
      <c r="W92" s="305" t="str">
        <f t="shared" si="114"/>
        <v>n.a.</v>
      </c>
      <c r="X92" s="306" t="str">
        <f t="shared" si="114"/>
        <v>n.a.</v>
      </c>
      <c r="Y92" s="306">
        <f t="shared" si="114"/>
        <v>0.7</v>
      </c>
      <c r="Z92" s="306">
        <f t="shared" si="114"/>
        <v>0.7</v>
      </c>
      <c r="AA92" s="306">
        <f t="shared" si="114"/>
        <v>0.7</v>
      </c>
      <c r="AB92" s="306">
        <f t="shared" si="114"/>
        <v>0.7</v>
      </c>
      <c r="AC92" s="306">
        <f t="shared" si="114"/>
        <v>0.7</v>
      </c>
      <c r="AD92" s="306">
        <f t="shared" si="114"/>
        <v>0.7</v>
      </c>
      <c r="AE92" s="306">
        <f t="shared" si="114"/>
        <v>0.7</v>
      </c>
      <c r="AF92" s="306">
        <f t="shared" si="114"/>
        <v>0.7</v>
      </c>
      <c r="AG92" s="306">
        <f t="shared" si="114"/>
        <v>0.7</v>
      </c>
      <c r="AH92" s="306">
        <f t="shared" si="114"/>
        <v>0.69999999999999984</v>
      </c>
      <c r="AI92" s="306">
        <f t="shared" si="114"/>
        <v>0.69999999999999984</v>
      </c>
      <c r="AJ92" s="306">
        <f t="shared" si="114"/>
        <v>0.69999999999999984</v>
      </c>
      <c r="AK92" s="306">
        <f t="shared" si="114"/>
        <v>0.32474454549974946</v>
      </c>
      <c r="AL92" s="306">
        <f t="shared" si="114"/>
        <v>0.3239200577653169</v>
      </c>
      <c r="AM92" s="306">
        <f t="shared" si="114"/>
        <v>0.32309456333035386</v>
      </c>
      <c r="AN92" s="306">
        <f t="shared" si="114"/>
        <v>0.32226806096567789</v>
      </c>
      <c r="AO92" s="306">
        <f t="shared" si="114"/>
        <v>0.32144054944060546</v>
      </c>
      <c r="AP92" s="306">
        <f t="shared" si="114"/>
        <v>0.32061202752295059</v>
      </c>
      <c r="AQ92" s="306">
        <f t="shared" si="114"/>
        <v>0.31978249397902253</v>
      </c>
      <c r="AR92" s="306">
        <f t="shared" si="114"/>
        <v>0.31895194757362449</v>
      </c>
      <c r="AS92" s="306">
        <f t="shared" si="114"/>
        <v>0.31812038707005141</v>
      </c>
      <c r="AT92" s="306">
        <f t="shared" si="114"/>
        <v>0.31728781123008815</v>
      </c>
      <c r="AU92" s="306">
        <f t="shared" si="114"/>
        <v>0.31645421881400776</v>
      </c>
      <c r="AV92" s="306">
        <f t="shared" si="114"/>
        <v>0.31561960858056953</v>
      </c>
      <c r="AW92" s="306" t="str">
        <f t="shared" si="114"/>
        <v>n.a.</v>
      </c>
      <c r="AX92" s="306" t="str">
        <f t="shared" si="114"/>
        <v>n.a.</v>
      </c>
      <c r="AY92" s="306" t="str">
        <f t="shared" si="114"/>
        <v>n.a.</v>
      </c>
      <c r="AZ92" s="306" t="str">
        <f t="shared" si="114"/>
        <v>n.a.</v>
      </c>
      <c r="BA92" s="306" t="str">
        <f t="shared" si="114"/>
        <v>n.a.</v>
      </c>
      <c r="BB92" s="306" t="str">
        <f t="shared" si="114"/>
        <v>n.a.</v>
      </c>
      <c r="BC92" s="306" t="str">
        <f t="shared" si="114"/>
        <v>n.a.</v>
      </c>
      <c r="BD92" s="306" t="str">
        <f t="shared" si="114"/>
        <v>n.a.</v>
      </c>
      <c r="BE92" s="306" t="str">
        <f t="shared" ref="BE92:CP92" si="115">IFERROR(BE79/BE53,"n.a.")</f>
        <v>n.a.</v>
      </c>
      <c r="BF92" s="306" t="str">
        <f t="shared" si="115"/>
        <v>n.a.</v>
      </c>
      <c r="BG92" s="306" t="str">
        <f t="shared" si="115"/>
        <v>n.a.</v>
      </c>
      <c r="BH92" s="306" t="str">
        <f t="shared" si="115"/>
        <v>n.a.</v>
      </c>
      <c r="BI92" s="306" t="str">
        <f t="shared" si="115"/>
        <v>n.a.</v>
      </c>
      <c r="BJ92" s="306" t="str">
        <f t="shared" si="115"/>
        <v>n.a.</v>
      </c>
      <c r="BK92" s="306" t="str">
        <f t="shared" si="115"/>
        <v>n.a.</v>
      </c>
      <c r="BL92" s="306" t="str">
        <f t="shared" si="115"/>
        <v>n.a.</v>
      </c>
      <c r="BM92" s="306" t="str">
        <f t="shared" si="115"/>
        <v>n.a.</v>
      </c>
      <c r="BN92" s="306" t="str">
        <f t="shared" si="115"/>
        <v>n.a.</v>
      </c>
      <c r="BO92" s="306" t="str">
        <f t="shared" si="115"/>
        <v>n.a.</v>
      </c>
      <c r="BP92" s="306" t="str">
        <f t="shared" si="115"/>
        <v>n.a.</v>
      </c>
      <c r="BQ92" s="306" t="str">
        <f t="shared" si="115"/>
        <v>n.a.</v>
      </c>
      <c r="BR92" s="306" t="str">
        <f t="shared" si="115"/>
        <v>n.a.</v>
      </c>
      <c r="BS92" s="306" t="str">
        <f t="shared" si="115"/>
        <v>n.a.</v>
      </c>
      <c r="BT92" s="306" t="str">
        <f t="shared" si="115"/>
        <v>n.a.</v>
      </c>
      <c r="BU92" s="306" t="str">
        <f t="shared" si="115"/>
        <v>n.a.</v>
      </c>
      <c r="BV92" s="306" t="str">
        <f t="shared" si="115"/>
        <v>n.a.</v>
      </c>
      <c r="BW92" s="306" t="str">
        <f t="shared" si="115"/>
        <v>n.a.</v>
      </c>
      <c r="BX92" s="306" t="str">
        <f t="shared" si="115"/>
        <v>n.a.</v>
      </c>
      <c r="BY92" s="306" t="str">
        <f t="shared" si="115"/>
        <v>n.a.</v>
      </c>
      <c r="BZ92" s="306" t="str">
        <f t="shared" si="115"/>
        <v>n.a.</v>
      </c>
      <c r="CA92" s="306" t="str">
        <f t="shared" si="115"/>
        <v>n.a.</v>
      </c>
      <c r="CB92" s="306" t="str">
        <f t="shared" si="115"/>
        <v>n.a.</v>
      </c>
      <c r="CC92" s="306" t="str">
        <f t="shared" si="115"/>
        <v>n.a.</v>
      </c>
      <c r="CD92" s="306" t="str">
        <f t="shared" si="115"/>
        <v>n.a.</v>
      </c>
      <c r="CE92" s="306" t="str">
        <f t="shared" si="115"/>
        <v>n.a.</v>
      </c>
      <c r="CF92" s="306" t="str">
        <f t="shared" si="115"/>
        <v>n.a.</v>
      </c>
      <c r="CG92" s="306" t="str">
        <f t="shared" si="115"/>
        <v>n.a.</v>
      </c>
      <c r="CH92" s="306" t="str">
        <f t="shared" si="115"/>
        <v>n.a.</v>
      </c>
      <c r="CI92" s="306" t="str">
        <f t="shared" si="115"/>
        <v>n.a.</v>
      </c>
      <c r="CJ92" s="306" t="str">
        <f t="shared" si="115"/>
        <v>n.a.</v>
      </c>
      <c r="CK92" s="306" t="str">
        <f t="shared" si="115"/>
        <v>n.a.</v>
      </c>
      <c r="CL92" s="306" t="str">
        <f t="shared" si="115"/>
        <v>n.a.</v>
      </c>
      <c r="CM92" s="306" t="str">
        <f t="shared" si="115"/>
        <v>n.a.</v>
      </c>
      <c r="CN92" s="306" t="str">
        <f t="shared" si="115"/>
        <v>n.a.</v>
      </c>
      <c r="CO92" s="306" t="str">
        <f t="shared" si="115"/>
        <v>n.a.</v>
      </c>
      <c r="CP92" s="306" t="str">
        <f t="shared" si="115"/>
        <v>n.a.</v>
      </c>
      <c r="CQ92" s="23"/>
    </row>
    <row r="93" spans="1:95" outlineLevel="2" x14ac:dyDescent="0.2">
      <c r="B93" s="999" t="s">
        <v>299</v>
      </c>
      <c r="D93" s="485"/>
      <c r="E93" s="485"/>
      <c r="F93" s="485"/>
      <c r="G93" s="485"/>
      <c r="H93" s="485"/>
      <c r="I93" s="485"/>
      <c r="J93" s="485"/>
      <c r="K93" s="85"/>
      <c r="L93" s="85"/>
      <c r="M93" s="85"/>
      <c r="N93" s="217">
        <f t="shared" ref="N93:BD93" si="116">IFERROR(N80/N54,"n.a.")</f>
        <v>0.70442188011791684</v>
      </c>
      <c r="O93" s="217">
        <f t="shared" si="116"/>
        <v>0.67576523877672945</v>
      </c>
      <c r="P93" s="217">
        <f t="shared" si="116"/>
        <v>0.6831962117404301</v>
      </c>
      <c r="Q93" s="217">
        <f t="shared" si="116"/>
        <v>0.66554944850893161</v>
      </c>
      <c r="R93" s="217">
        <f t="shared" si="116"/>
        <v>0.70898641122744488</v>
      </c>
      <c r="S93" s="217">
        <f t="shared" si="116"/>
        <v>0.75276053877626059</v>
      </c>
      <c r="T93" s="217">
        <f t="shared" si="116"/>
        <v>0.86285461951072828</v>
      </c>
      <c r="U93" s="217">
        <f t="shared" si="116"/>
        <v>0.87452306381078038</v>
      </c>
      <c r="V93" s="217">
        <f t="shared" si="116"/>
        <v>0.91050306086067412</v>
      </c>
      <c r="W93" s="217">
        <f t="shared" si="116"/>
        <v>0.8303637657641294</v>
      </c>
      <c r="X93" s="217">
        <f t="shared" si="116"/>
        <v>0.83191368207688243</v>
      </c>
      <c r="Y93" s="217">
        <f t="shared" si="116"/>
        <v>0.83113214017934145</v>
      </c>
      <c r="Z93" s="217">
        <f t="shared" si="116"/>
        <v>0.82811777239343431</v>
      </c>
      <c r="AA93" s="217">
        <f t="shared" si="116"/>
        <v>0.82444603297975605</v>
      </c>
      <c r="AB93" s="217">
        <f t="shared" si="116"/>
        <v>0.82462106468350282</v>
      </c>
      <c r="AC93" s="217">
        <f t="shared" si="116"/>
        <v>0.82471141993800112</v>
      </c>
      <c r="AD93" s="217">
        <f t="shared" si="116"/>
        <v>0.82462786520345843</v>
      </c>
      <c r="AE93" s="217">
        <f t="shared" si="116"/>
        <v>0.82453522922651301</v>
      </c>
      <c r="AF93" s="217">
        <f t="shared" si="116"/>
        <v>0.82443369501115982</v>
      </c>
      <c r="AG93" s="217">
        <f t="shared" si="116"/>
        <v>0.8235246655990085</v>
      </c>
      <c r="AH93" s="217">
        <f t="shared" si="116"/>
        <v>0.82341353525644811</v>
      </c>
      <c r="AI93" s="217">
        <f t="shared" si="116"/>
        <v>0.80110293769088281</v>
      </c>
      <c r="AJ93" s="217">
        <f t="shared" si="116"/>
        <v>0.81276092919998477</v>
      </c>
      <c r="AK93" s="217">
        <f t="shared" si="116"/>
        <v>0.80942809449280062</v>
      </c>
      <c r="AL93" s="217">
        <f t="shared" si="116"/>
        <v>0.80857610109803213</v>
      </c>
      <c r="AM93" s="217">
        <f t="shared" si="116"/>
        <v>0.80772440373714549</v>
      </c>
      <c r="AN93" s="217">
        <f t="shared" si="116"/>
        <v>0.80687302424509266</v>
      </c>
      <c r="AO93" s="217">
        <f t="shared" si="116"/>
        <v>0.79625001301761233</v>
      </c>
      <c r="AP93" s="217">
        <f t="shared" si="116"/>
        <v>0.61062899188298558</v>
      </c>
      <c r="AQ93" s="217">
        <f t="shared" si="116"/>
        <v>0.60966475369879025</v>
      </c>
      <c r="AR93" s="217">
        <f t="shared" si="116"/>
        <v>0.55647841812326926</v>
      </c>
      <c r="AS93" s="217">
        <f t="shared" si="116"/>
        <v>0.55554326739241389</v>
      </c>
      <c r="AT93" s="217">
        <f t="shared" si="116"/>
        <v>0.55460762835813004</v>
      </c>
      <c r="AU93" s="217">
        <f t="shared" si="116"/>
        <v>0.55367150194860948</v>
      </c>
      <c r="AV93" s="217">
        <f t="shared" si="116"/>
        <v>0.55273488907441459</v>
      </c>
      <c r="AW93" s="217">
        <f t="shared" si="116"/>
        <v>0.55860503897736657</v>
      </c>
      <c r="AX93" s="217">
        <f t="shared" si="116"/>
        <v>0.55767064557565127</v>
      </c>
      <c r="AY93" s="217">
        <f t="shared" si="116"/>
        <v>0.55673576120626045</v>
      </c>
      <c r="AZ93" s="217">
        <f t="shared" si="116"/>
        <v>0.55580038684234201</v>
      </c>
      <c r="BA93" s="217">
        <f t="shared" si="116"/>
        <v>0.53576098615226997</v>
      </c>
      <c r="BB93" s="217">
        <f t="shared" si="116"/>
        <v>0.53469985113867957</v>
      </c>
      <c r="BC93" s="217">
        <f t="shared" si="116"/>
        <v>0.5336380667857632</v>
      </c>
      <c r="BD93" s="217">
        <f t="shared" si="116"/>
        <v>0.53257563520610174</v>
      </c>
      <c r="BE93" s="217">
        <f t="shared" ref="BE93:CP93" si="117">IFERROR(BE80/BE54,"n.a.")</f>
        <v>0.53151255849167589</v>
      </c>
      <c r="BF93" s="217">
        <f t="shared" si="117"/>
        <v>0.53044883871383908</v>
      </c>
      <c r="BG93" s="217">
        <f t="shared" si="117"/>
        <v>0.52938447792329246</v>
      </c>
      <c r="BH93" s="217">
        <f t="shared" si="117"/>
        <v>0.52831947815006042</v>
      </c>
      <c r="BI93" s="217">
        <f t="shared" si="117"/>
        <v>0.52725384140346776</v>
      </c>
      <c r="BJ93" s="217">
        <f t="shared" si="117"/>
        <v>0.52618756967211733</v>
      </c>
      <c r="BK93" s="217">
        <f t="shared" si="117"/>
        <v>0.52512066492387</v>
      </c>
      <c r="BL93" s="217">
        <f t="shared" si="117"/>
        <v>0.52405312910582424</v>
      </c>
      <c r="BM93" s="217">
        <f t="shared" si="117"/>
        <v>0.5229849641442994</v>
      </c>
      <c r="BN93" s="217">
        <f t="shared" si="117"/>
        <v>0.52191617194481754</v>
      </c>
      <c r="BO93" s="217">
        <f t="shared" si="117"/>
        <v>0.52084675439208861</v>
      </c>
      <c r="BP93" s="217">
        <f t="shared" si="117"/>
        <v>0.51977671334999431</v>
      </c>
      <c r="BQ93" s="217">
        <f t="shared" si="117"/>
        <v>0.51870605066157671</v>
      </c>
      <c r="BR93" s="217">
        <f t="shared" si="117"/>
        <v>0.51763476814902454</v>
      </c>
      <c r="BS93" s="217">
        <f t="shared" si="117"/>
        <v>0.51656286761366244</v>
      </c>
      <c r="BT93" s="217">
        <f t="shared" si="117"/>
        <v>0.51549035083594086</v>
      </c>
      <c r="BU93" s="217">
        <f t="shared" si="117"/>
        <v>0.51441721957542841</v>
      </c>
      <c r="BV93" s="217">
        <f t="shared" si="117"/>
        <v>0.51334347557080218</v>
      </c>
      <c r="BW93" s="217">
        <f t="shared" si="117"/>
        <v>0.51226912053984341</v>
      </c>
      <c r="BX93" s="217">
        <f t="shared" si="117"/>
        <v>0.51119415617943031</v>
      </c>
      <c r="BY93" s="217">
        <f t="shared" si="117"/>
        <v>0.51011858416553502</v>
      </c>
      <c r="BZ93" s="217">
        <f t="shared" si="117"/>
        <v>0.50904240615321961</v>
      </c>
      <c r="CA93" s="217">
        <f t="shared" si="117"/>
        <v>0.50796562377663501</v>
      </c>
      <c r="CB93" s="217">
        <f t="shared" si="117"/>
        <v>0.506888238649019</v>
      </c>
      <c r="CC93" s="217">
        <f t="shared" si="117"/>
        <v>0.50581025236269661</v>
      </c>
      <c r="CD93" s="217">
        <f t="shared" si="117"/>
        <v>0.50473166648908185</v>
      </c>
      <c r="CE93" s="217">
        <f t="shared" si="117"/>
        <v>0.50365248257867956</v>
      </c>
      <c r="CF93" s="217">
        <f t="shared" si="117"/>
        <v>0.50257270216108851</v>
      </c>
      <c r="CG93" s="217">
        <f t="shared" si="117"/>
        <v>0.50149232674500677</v>
      </c>
      <c r="CH93" s="217">
        <f t="shared" si="117"/>
        <v>-3.5167374503778152E-2</v>
      </c>
      <c r="CI93" s="217">
        <f t="shared" si="117"/>
        <v>-4.0499926820111588E-2</v>
      </c>
      <c r="CJ93" s="217">
        <f t="shared" si="117"/>
        <v>-4.585694216097571E-2</v>
      </c>
      <c r="CK93" s="217">
        <f t="shared" si="117"/>
        <v>-5.1238505964920252E-2</v>
      </c>
      <c r="CL93" s="217">
        <f t="shared" si="117"/>
        <v>-5.6644703736249913E-2</v>
      </c>
      <c r="CM93" s="217">
        <f t="shared" si="117"/>
        <v>-6.2075621042874195E-2</v>
      </c>
      <c r="CN93" s="217">
        <f t="shared" si="117"/>
        <v>-6.7531343514137226E-2</v>
      </c>
      <c r="CO93" s="217">
        <f t="shared" si="117"/>
        <v>-7.3011956838631986E-2</v>
      </c>
      <c r="CP93" s="217">
        <f t="shared" si="117"/>
        <v>-0.22131007984088125</v>
      </c>
      <c r="CQ93" s="23" t="s">
        <v>77</v>
      </c>
    </row>
    <row r="94" spans="1:95" s="514" customFormat="1" outlineLevel="1" x14ac:dyDescent="0.2">
      <c r="A94" s="8"/>
      <c r="B94" s="117"/>
      <c r="C94" s="513"/>
      <c r="K94" s="245"/>
      <c r="L94" s="245"/>
      <c r="M94" s="245"/>
      <c r="N94" s="245"/>
      <c r="O94" s="245"/>
      <c r="P94" s="245"/>
      <c r="Q94" s="245"/>
      <c r="R94" s="245"/>
      <c r="S94" s="245"/>
      <c r="T94" s="245"/>
      <c r="U94" s="245"/>
      <c r="V94" s="245"/>
      <c r="W94" s="245"/>
      <c r="X94" s="245"/>
      <c r="Y94" s="245"/>
      <c r="Z94" s="245"/>
      <c r="AA94" s="245"/>
      <c r="AB94" s="245"/>
      <c r="AC94" s="245"/>
      <c r="AD94" s="245"/>
      <c r="AE94" s="245"/>
      <c r="AF94" s="245"/>
      <c r="AG94" s="245"/>
      <c r="AH94" s="245"/>
      <c r="AI94" s="245"/>
      <c r="AJ94" s="245"/>
      <c r="AK94" s="245"/>
      <c r="AL94" s="245"/>
      <c r="AM94" s="245"/>
      <c r="AN94" s="245"/>
      <c r="AO94" s="245"/>
      <c r="AP94" s="245"/>
      <c r="AQ94" s="245"/>
      <c r="AR94" s="245"/>
      <c r="AS94" s="245"/>
      <c r="AT94" s="245"/>
      <c r="AU94" s="245"/>
      <c r="AV94" s="245"/>
      <c r="AW94" s="245"/>
      <c r="AX94" s="245"/>
      <c r="AY94" s="245"/>
      <c r="AZ94" s="245"/>
      <c r="BA94" s="245"/>
      <c r="BB94" s="245"/>
      <c r="BC94" s="245"/>
      <c r="BD94" s="245"/>
      <c r="BE94" s="245"/>
      <c r="BF94" s="245"/>
      <c r="BG94" s="245"/>
      <c r="BH94" s="245"/>
      <c r="BI94" s="245"/>
      <c r="BJ94" s="245"/>
      <c r="BK94" s="245"/>
      <c r="BL94" s="245"/>
      <c r="BM94" s="245"/>
      <c r="BN94" s="245"/>
      <c r="BO94" s="245"/>
      <c r="BP94" s="245"/>
      <c r="BQ94" s="245"/>
      <c r="BR94" s="245"/>
      <c r="BS94" s="245"/>
      <c r="BT94" s="245"/>
      <c r="BU94" s="245"/>
      <c r="BV94" s="245"/>
      <c r="BW94" s="245"/>
      <c r="BX94" s="245"/>
      <c r="BY94" s="245"/>
      <c r="BZ94" s="245"/>
      <c r="CA94" s="245"/>
      <c r="CB94" s="245"/>
      <c r="CC94" s="245"/>
      <c r="CD94" s="245"/>
      <c r="CE94" s="245"/>
      <c r="CF94" s="245"/>
      <c r="CG94" s="245"/>
      <c r="CH94" s="245"/>
      <c r="CI94" s="245"/>
      <c r="CJ94" s="245"/>
      <c r="CK94" s="245"/>
      <c r="CL94" s="245"/>
      <c r="CM94" s="245"/>
      <c r="CN94" s="245"/>
      <c r="CO94" s="245"/>
      <c r="CP94" s="245"/>
      <c r="CQ94" s="515"/>
    </row>
    <row r="95" spans="1:95" ht="5.0999999999999996" customHeight="1" outlineLevel="1" x14ac:dyDescent="0.2">
      <c r="B95" s="24"/>
      <c r="T95" s="447"/>
      <c r="U95" s="40"/>
      <c r="V95" s="40"/>
      <c r="W95" s="40"/>
      <c r="X95" s="40"/>
      <c r="CQ95" s="23" t="s">
        <v>77</v>
      </c>
    </row>
    <row r="96" spans="1:95" outlineLevel="1" x14ac:dyDescent="0.2">
      <c r="B96" s="358" t="s">
        <v>314</v>
      </c>
      <c r="D96" s="218"/>
      <c r="E96" s="218"/>
      <c r="F96" s="218"/>
      <c r="G96" s="218"/>
      <c r="H96" s="218"/>
      <c r="I96" s="218"/>
      <c r="J96" s="218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  <c r="Y96" s="66"/>
      <c r="Z96" s="66"/>
      <c r="AA96" s="66"/>
      <c r="AB96" s="66"/>
      <c r="AC96" s="66"/>
      <c r="AD96" s="66"/>
      <c r="AE96" s="66"/>
      <c r="AF96" s="66"/>
      <c r="AG96" s="66"/>
      <c r="AH96" s="66"/>
      <c r="AI96" s="66"/>
      <c r="AJ96" s="66"/>
      <c r="AK96" s="66"/>
      <c r="AL96" s="66"/>
      <c r="AM96" s="66"/>
      <c r="AN96" s="66"/>
      <c r="AO96" s="66"/>
      <c r="AP96" s="66"/>
      <c r="AQ96" s="66"/>
      <c r="AR96" s="66"/>
      <c r="AS96" s="66"/>
      <c r="AT96" s="66"/>
      <c r="AU96" s="66"/>
      <c r="AV96" s="66"/>
      <c r="AW96" s="66"/>
      <c r="AX96" s="66"/>
      <c r="AY96" s="66"/>
      <c r="AZ96" s="66"/>
      <c r="BA96" s="66"/>
      <c r="BB96" s="66"/>
      <c r="BC96" s="66"/>
      <c r="BD96" s="66"/>
      <c r="BE96" s="66"/>
      <c r="BF96" s="66"/>
      <c r="BG96" s="66"/>
      <c r="BH96" s="66"/>
      <c r="BI96" s="66"/>
      <c r="BJ96" s="66"/>
      <c r="BK96" s="66"/>
      <c r="BL96" s="66"/>
      <c r="BM96" s="66"/>
      <c r="BN96" s="66"/>
      <c r="BO96" s="66"/>
      <c r="BP96" s="66"/>
      <c r="BQ96" s="66"/>
      <c r="BR96" s="66"/>
      <c r="BS96" s="66"/>
      <c r="BT96" s="66"/>
      <c r="BU96" s="66"/>
      <c r="BV96" s="66"/>
      <c r="BW96" s="66"/>
      <c r="BX96" s="66"/>
      <c r="BY96" s="66"/>
      <c r="BZ96" s="66"/>
      <c r="CA96" s="66"/>
      <c r="CB96" s="66"/>
      <c r="CC96" s="66"/>
      <c r="CD96" s="66"/>
      <c r="CE96" s="66"/>
      <c r="CF96" s="66"/>
      <c r="CG96" s="66"/>
      <c r="CH96" s="66"/>
      <c r="CI96" s="66"/>
      <c r="CJ96" s="66"/>
      <c r="CK96" s="66"/>
      <c r="CL96" s="66"/>
      <c r="CM96" s="66"/>
      <c r="CN96" s="66"/>
      <c r="CO96" s="66"/>
      <c r="CP96" s="66"/>
      <c r="CQ96" s="23" t="s">
        <v>77</v>
      </c>
    </row>
    <row r="97" spans="1:95" outlineLevel="1" x14ac:dyDescent="0.2">
      <c r="B97" s="91" t="s">
        <v>295</v>
      </c>
      <c r="K97" s="93" t="str">
        <f t="shared" ref="K97:BD97" si="118">IF(ISERROR(+K71/J71-1),"n.a.",+K71/J71-1)</f>
        <v>n.a.</v>
      </c>
      <c r="L97" s="93" t="str">
        <f t="shared" si="118"/>
        <v>n.a.</v>
      </c>
      <c r="M97" s="93" t="str">
        <f t="shared" si="118"/>
        <v>n.a.</v>
      </c>
      <c r="N97" s="93" t="str">
        <f t="shared" si="118"/>
        <v>n.a.</v>
      </c>
      <c r="O97" s="93">
        <f t="shared" si="118"/>
        <v>-3.3333333333333326E-2</v>
      </c>
      <c r="P97" s="93">
        <f t="shared" si="118"/>
        <v>1.7241379310344751E-2</v>
      </c>
      <c r="Q97" s="93">
        <f t="shared" si="118"/>
        <v>-5.084745762711862E-2</v>
      </c>
      <c r="R97" s="93">
        <f t="shared" si="118"/>
        <v>0.125</v>
      </c>
      <c r="S97" s="93">
        <f t="shared" si="118"/>
        <v>0.31746031746031744</v>
      </c>
      <c r="T97" s="93">
        <f t="shared" si="118"/>
        <v>0.13346385542169181</v>
      </c>
      <c r="U97" s="92">
        <f t="shared" si="118"/>
        <v>2.6812999920273972E-2</v>
      </c>
      <c r="V97" s="92">
        <f t="shared" si="118"/>
        <v>0.26293995859213259</v>
      </c>
      <c r="W97" s="92">
        <f t="shared" si="118"/>
        <v>-1.3114754098360604E-2</v>
      </c>
      <c r="X97" s="92">
        <f t="shared" si="118"/>
        <v>-9.4283816931037046E-2</v>
      </c>
      <c r="Y97" s="92">
        <f t="shared" si="118"/>
        <v>7.8211192843795629E-3</v>
      </c>
      <c r="Z97" s="92">
        <f t="shared" si="118"/>
        <v>9.3738926252604493E-3</v>
      </c>
      <c r="AA97" s="92">
        <f t="shared" si="118"/>
        <v>-2.2612566507396625E-2</v>
      </c>
      <c r="AB97" s="92">
        <f t="shared" si="118"/>
        <v>-3.7446132816485456E-2</v>
      </c>
      <c r="AC97" s="92">
        <f t="shared" si="118"/>
        <v>1.6183893511065417E-2</v>
      </c>
      <c r="AD97" s="92">
        <f t="shared" si="118"/>
        <v>2.893810724267043E-2</v>
      </c>
      <c r="AE97" s="92">
        <f t="shared" si="118"/>
        <v>2.8892441232816424E-2</v>
      </c>
      <c r="AF97" s="92">
        <f t="shared" si="118"/>
        <v>2.8848970510981342E-2</v>
      </c>
      <c r="AG97" s="92">
        <f t="shared" si="118"/>
        <v>0.14115516414497975</v>
      </c>
      <c r="AH97" s="92">
        <f t="shared" si="118"/>
        <v>2.1819723150676706E-2</v>
      </c>
      <c r="AI97" s="92">
        <f t="shared" si="118"/>
        <v>2.183397654306618E-2</v>
      </c>
      <c r="AJ97" s="92">
        <f t="shared" si="118"/>
        <v>2.1843633427647502E-2</v>
      </c>
      <c r="AK97" s="92">
        <f t="shared" si="118"/>
        <v>2.0504751704912616E-2</v>
      </c>
      <c r="AL97" s="92">
        <f t="shared" si="118"/>
        <v>2.0542991941860489E-2</v>
      </c>
      <c r="AM97" s="92">
        <f t="shared" si="118"/>
        <v>2.0586815063189601E-2</v>
      </c>
      <c r="AN97" s="92">
        <f t="shared" si="118"/>
        <v>2.0615578195003037E-2</v>
      </c>
      <c r="AO97" s="92">
        <f t="shared" si="118"/>
        <v>2.0669685063106513E-2</v>
      </c>
      <c r="AP97" s="92">
        <f t="shared" si="118"/>
        <v>2.0698819404986191E-2</v>
      </c>
      <c r="AQ97" s="92">
        <f t="shared" si="118"/>
        <v>2.0742586704868282E-2</v>
      </c>
      <c r="AR97" s="92">
        <f t="shared" si="118"/>
        <v>-1</v>
      </c>
      <c r="AS97" s="92" t="str">
        <f t="shared" si="118"/>
        <v>n.a.</v>
      </c>
      <c r="AT97" s="92" t="str">
        <f t="shared" si="118"/>
        <v>n.a.</v>
      </c>
      <c r="AU97" s="92" t="str">
        <f t="shared" si="118"/>
        <v>n.a.</v>
      </c>
      <c r="AV97" s="92" t="str">
        <f t="shared" si="118"/>
        <v>n.a.</v>
      </c>
      <c r="AW97" s="92" t="str">
        <f t="shared" si="118"/>
        <v>n.a.</v>
      </c>
      <c r="AX97" s="92" t="str">
        <f t="shared" si="118"/>
        <v>n.a.</v>
      </c>
      <c r="AY97" s="92" t="str">
        <f t="shared" si="118"/>
        <v>n.a.</v>
      </c>
      <c r="AZ97" s="92" t="str">
        <f t="shared" si="118"/>
        <v>n.a.</v>
      </c>
      <c r="BA97" s="92" t="str">
        <f t="shared" si="118"/>
        <v>n.a.</v>
      </c>
      <c r="BB97" s="92" t="str">
        <f t="shared" si="118"/>
        <v>n.a.</v>
      </c>
      <c r="BC97" s="92" t="str">
        <f t="shared" si="118"/>
        <v>n.a.</v>
      </c>
      <c r="BD97" s="92" t="str">
        <f t="shared" si="118"/>
        <v>n.a.</v>
      </c>
      <c r="BE97" s="92" t="str">
        <f t="shared" ref="BE97:BE103" si="119">IF(ISERROR(+BE71/BD71-1),"n.a.",+BE71/BD71-1)</f>
        <v>n.a.</v>
      </c>
      <c r="BF97" s="92" t="str">
        <f t="shared" ref="BF97:BF103" si="120">IF(ISERROR(+BF71/BE71-1),"n.a.",+BF71/BE71-1)</f>
        <v>n.a.</v>
      </c>
      <c r="BG97" s="92" t="str">
        <f t="shared" ref="BG97:BG103" si="121">IF(ISERROR(+BG71/BF71-1),"n.a.",+BG71/BF71-1)</f>
        <v>n.a.</v>
      </c>
      <c r="BH97" s="92" t="str">
        <f t="shared" ref="BH97:BH103" si="122">IF(ISERROR(+BH71/BG71-1),"n.a.",+BH71/BG71-1)</f>
        <v>n.a.</v>
      </c>
      <c r="BI97" s="92" t="str">
        <f t="shared" ref="BI97:BI103" si="123">IF(ISERROR(+BI71/BH71-1),"n.a.",+BI71/BH71-1)</f>
        <v>n.a.</v>
      </c>
      <c r="BJ97" s="92" t="str">
        <f t="shared" ref="BJ97:BJ103" si="124">IF(ISERROR(+BJ71/BI71-1),"n.a.",+BJ71/BI71-1)</f>
        <v>n.a.</v>
      </c>
      <c r="BK97" s="92" t="str">
        <f t="shared" ref="BK97:BK103" si="125">IF(ISERROR(+BK71/BJ71-1),"n.a.",+BK71/BJ71-1)</f>
        <v>n.a.</v>
      </c>
      <c r="BL97" s="92" t="str">
        <f t="shared" ref="BL97:BL103" si="126">IF(ISERROR(+BL71/BK71-1),"n.a.",+BL71/BK71-1)</f>
        <v>n.a.</v>
      </c>
      <c r="BM97" s="92" t="str">
        <f t="shared" ref="BM97:BM103" si="127">IF(ISERROR(+BM71/BL71-1),"n.a.",+BM71/BL71-1)</f>
        <v>n.a.</v>
      </c>
      <c r="BN97" s="92" t="str">
        <f t="shared" ref="BN97:BN103" si="128">IF(ISERROR(+BN71/BM71-1),"n.a.",+BN71/BM71-1)</f>
        <v>n.a.</v>
      </c>
      <c r="BO97" s="92" t="str">
        <f t="shared" ref="BO97:BO103" si="129">IF(ISERROR(+BO71/BN71-1),"n.a.",+BO71/BN71-1)</f>
        <v>n.a.</v>
      </c>
      <c r="BP97" s="92" t="str">
        <f t="shared" ref="BP97:BP103" si="130">IF(ISERROR(+BP71/BO71-1),"n.a.",+BP71/BO71-1)</f>
        <v>n.a.</v>
      </c>
      <c r="BQ97" s="92" t="str">
        <f t="shared" ref="BQ97:BQ103" si="131">IF(ISERROR(+BQ71/BP71-1),"n.a.",+BQ71/BP71-1)</f>
        <v>n.a.</v>
      </c>
      <c r="BR97" s="92" t="str">
        <f t="shared" ref="BR97:BR103" si="132">IF(ISERROR(+BR71/BQ71-1),"n.a.",+BR71/BQ71-1)</f>
        <v>n.a.</v>
      </c>
      <c r="BS97" s="92" t="str">
        <f t="shared" ref="BS97:BS103" si="133">IF(ISERROR(+BS71/BR71-1),"n.a.",+BS71/BR71-1)</f>
        <v>n.a.</v>
      </c>
      <c r="BT97" s="92" t="str">
        <f t="shared" ref="BT97:BT103" si="134">IF(ISERROR(+BT71/BS71-1),"n.a.",+BT71/BS71-1)</f>
        <v>n.a.</v>
      </c>
      <c r="BU97" s="92" t="str">
        <f t="shared" ref="BU97:BU103" si="135">IF(ISERROR(+BU71/BT71-1),"n.a.",+BU71/BT71-1)</f>
        <v>n.a.</v>
      </c>
      <c r="BV97" s="92" t="str">
        <f t="shared" ref="BV97:BV103" si="136">IF(ISERROR(+BV71/BU71-1),"n.a.",+BV71/BU71-1)</f>
        <v>n.a.</v>
      </c>
      <c r="BW97" s="92" t="str">
        <f t="shared" ref="BW97:BW103" si="137">IF(ISERROR(+BW71/BV71-1),"n.a.",+BW71/BV71-1)</f>
        <v>n.a.</v>
      </c>
      <c r="BX97" s="92" t="str">
        <f t="shared" ref="BX97:BX103" si="138">IF(ISERROR(+BX71/BW71-1),"n.a.",+BX71/BW71-1)</f>
        <v>n.a.</v>
      </c>
      <c r="BY97" s="92" t="str">
        <f t="shared" ref="BY97:BY103" si="139">IF(ISERROR(+BY71/BX71-1),"n.a.",+BY71/BX71-1)</f>
        <v>n.a.</v>
      </c>
      <c r="BZ97" s="92" t="str">
        <f t="shared" ref="BZ97:BZ103" si="140">IF(ISERROR(+BZ71/BY71-1),"n.a.",+BZ71/BY71-1)</f>
        <v>n.a.</v>
      </c>
      <c r="CA97" s="92" t="str">
        <f t="shared" ref="CA97:CA103" si="141">IF(ISERROR(+CA71/BZ71-1),"n.a.",+CA71/BZ71-1)</f>
        <v>n.a.</v>
      </c>
      <c r="CB97" s="92" t="str">
        <f t="shared" ref="CB97:CB103" si="142">IF(ISERROR(+CB71/CA71-1),"n.a.",+CB71/CA71-1)</f>
        <v>n.a.</v>
      </c>
      <c r="CC97" s="92" t="str">
        <f t="shared" ref="CC97:CC103" si="143">IF(ISERROR(+CC71/CB71-1),"n.a.",+CC71/CB71-1)</f>
        <v>n.a.</v>
      </c>
      <c r="CD97" s="92" t="str">
        <f t="shared" ref="CD97:CD103" si="144">IF(ISERROR(+CD71/CC71-1),"n.a.",+CD71/CC71-1)</f>
        <v>n.a.</v>
      </c>
      <c r="CE97" s="92" t="str">
        <f t="shared" ref="CE97:CE103" si="145">IF(ISERROR(+CE71/CD71-1),"n.a.",+CE71/CD71-1)</f>
        <v>n.a.</v>
      </c>
      <c r="CF97" s="92" t="str">
        <f t="shared" ref="CF97:CF103" si="146">IF(ISERROR(+CF71/CE71-1),"n.a.",+CF71/CE71-1)</f>
        <v>n.a.</v>
      </c>
      <c r="CG97" s="92" t="str">
        <f t="shared" ref="CG97:CG103" si="147">IF(ISERROR(+CG71/CF71-1),"n.a.",+CG71/CF71-1)</f>
        <v>n.a.</v>
      </c>
      <c r="CH97" s="92" t="str">
        <f t="shared" ref="CH97:CH103" si="148">IF(ISERROR(+CH71/CG71-1),"n.a.",+CH71/CG71-1)</f>
        <v>n.a.</v>
      </c>
      <c r="CI97" s="92" t="str">
        <f t="shared" ref="CI97:CI103" si="149">IF(ISERROR(+CI71/CH71-1),"n.a.",+CI71/CH71-1)</f>
        <v>n.a.</v>
      </c>
      <c r="CJ97" s="92" t="str">
        <f t="shared" ref="CJ97:CJ103" si="150">IF(ISERROR(+CJ71/CI71-1),"n.a.",+CJ71/CI71-1)</f>
        <v>n.a.</v>
      </c>
      <c r="CK97" s="92" t="str">
        <f t="shared" ref="CK97:CK103" si="151">IF(ISERROR(+CK71/CJ71-1),"n.a.",+CK71/CJ71-1)</f>
        <v>n.a.</v>
      </c>
      <c r="CL97" s="92" t="str">
        <f t="shared" ref="CL97:CL103" si="152">IF(ISERROR(+CL71/CK71-1),"n.a.",+CL71/CK71-1)</f>
        <v>n.a.</v>
      </c>
      <c r="CM97" s="92" t="str">
        <f t="shared" ref="CM97:CM103" si="153">IF(ISERROR(+CM71/CL71-1),"n.a.",+CM71/CL71-1)</f>
        <v>n.a.</v>
      </c>
      <c r="CN97" s="92" t="str">
        <f t="shared" ref="CN97:CN103" si="154">IF(ISERROR(+CN71/CM71-1),"n.a.",+CN71/CM71-1)</f>
        <v>n.a.</v>
      </c>
      <c r="CO97" s="92" t="str">
        <f t="shared" ref="CO97:CO103" si="155">IF(ISERROR(+CO71/CN71-1),"n.a.",+CO71/CN71-1)</f>
        <v>n.a.</v>
      </c>
      <c r="CP97" s="92" t="str">
        <f t="shared" ref="CP97:CP103" si="156">IF(ISERROR(+CP71/CO71-1),"n.a.",+CP71/CO71-1)</f>
        <v>n.a.</v>
      </c>
      <c r="CQ97" s="23" t="s">
        <v>77</v>
      </c>
    </row>
    <row r="98" spans="1:95" outlineLevel="1" x14ac:dyDescent="0.2">
      <c r="B98" s="8" t="s">
        <v>296</v>
      </c>
      <c r="K98" s="93" t="str">
        <f t="shared" ref="K98:BD98" si="157">IF(ISERROR(+K72/J72-1),"n.a.",+K72/J72-1)</f>
        <v>n.a.</v>
      </c>
      <c r="L98" s="93" t="str">
        <f t="shared" si="157"/>
        <v>n.a.</v>
      </c>
      <c r="M98" s="93" t="str">
        <f t="shared" si="157"/>
        <v>n.a.</v>
      </c>
      <c r="N98" s="93" t="str">
        <f t="shared" si="157"/>
        <v>n.a.</v>
      </c>
      <c r="O98" s="93">
        <f t="shared" si="157"/>
        <v>4.2857142857142927E-2</v>
      </c>
      <c r="P98" s="93">
        <f t="shared" si="157"/>
        <v>6.8493150684931559E-2</v>
      </c>
      <c r="Q98" s="93">
        <f t="shared" si="157"/>
        <v>0.10256410256410264</v>
      </c>
      <c r="R98" s="93">
        <f t="shared" si="157"/>
        <v>-1.1627906976744207E-2</v>
      </c>
      <c r="S98" s="93">
        <f t="shared" si="157"/>
        <v>-1.1764705882352899E-2</v>
      </c>
      <c r="T98" s="93">
        <f t="shared" si="157"/>
        <v>6.9062500000000027E-2</v>
      </c>
      <c r="U98" s="92">
        <f t="shared" si="157"/>
        <v>0.16479447669158254</v>
      </c>
      <c r="V98" s="92">
        <f t="shared" si="157"/>
        <v>-0.21032504780114725</v>
      </c>
      <c r="W98" s="92">
        <f t="shared" si="157"/>
        <v>-0.16222760290556892</v>
      </c>
      <c r="X98" s="92">
        <f t="shared" si="157"/>
        <v>2.5000000000000133E-2</v>
      </c>
      <c r="Y98" s="92">
        <f t="shared" si="157"/>
        <v>2.4999999999999911E-2</v>
      </c>
      <c r="Z98" s="92">
        <f t="shared" si="157"/>
        <v>2.4999999999999911E-2</v>
      </c>
      <c r="AA98" s="92">
        <f t="shared" si="157"/>
        <v>2.310290971060236E-2</v>
      </c>
      <c r="AB98" s="92">
        <f t="shared" si="157"/>
        <v>2.3101709842346052E-2</v>
      </c>
      <c r="AC98" s="92">
        <f t="shared" si="157"/>
        <v>2.3100506987523417E-2</v>
      </c>
      <c r="AD98" s="92">
        <f t="shared" si="157"/>
        <v>2.309930113586911E-2</v>
      </c>
      <c r="AE98" s="92">
        <f t="shared" si="157"/>
        <v>2.3098092277070714E-2</v>
      </c>
      <c r="AF98" s="92">
        <f t="shared" si="157"/>
        <v>2.3096880400768516E-2</v>
      </c>
      <c r="AG98" s="92">
        <f t="shared" si="157"/>
        <v>2.309566549655595E-2</v>
      </c>
      <c r="AH98" s="92">
        <f t="shared" si="157"/>
        <v>2.3094447553978492E-2</v>
      </c>
      <c r="AI98" s="92">
        <f t="shared" si="157"/>
        <v>2.3093226562534097E-2</v>
      </c>
      <c r="AJ98" s="92">
        <f t="shared" si="157"/>
        <v>2.3092002511673204E-2</v>
      </c>
      <c r="AK98" s="92">
        <f t="shared" si="157"/>
        <v>2.3090775390796514E-2</v>
      </c>
      <c r="AL98" s="92">
        <f t="shared" si="157"/>
        <v>2.3089545189256766E-2</v>
      </c>
      <c r="AM98" s="92">
        <f t="shared" si="157"/>
        <v>2.3088311896358515E-2</v>
      </c>
      <c r="AN98" s="92">
        <f t="shared" si="157"/>
        <v>2.3087075501355914E-2</v>
      </c>
      <c r="AO98" s="92">
        <f t="shared" si="157"/>
        <v>2.3085835993454262E-2</v>
      </c>
      <c r="AP98" s="92">
        <f t="shared" si="157"/>
        <v>2.3084593361809125E-2</v>
      </c>
      <c r="AQ98" s="92">
        <f t="shared" si="157"/>
        <v>2.3083347595524994E-2</v>
      </c>
      <c r="AR98" s="92">
        <f t="shared" si="157"/>
        <v>2.3082098683657959E-2</v>
      </c>
      <c r="AS98" s="92">
        <f t="shared" si="157"/>
        <v>2.3080846615211703E-2</v>
      </c>
      <c r="AT98" s="92">
        <f t="shared" si="157"/>
        <v>2.3079591379139286E-2</v>
      </c>
      <c r="AU98" s="92">
        <f t="shared" si="157"/>
        <v>2.3078332964343806E-2</v>
      </c>
      <c r="AV98" s="92">
        <f t="shared" si="157"/>
        <v>2.3077071359675072E-2</v>
      </c>
      <c r="AW98" s="92">
        <f t="shared" si="157"/>
        <v>2.3075806553932043E-2</v>
      </c>
      <c r="AX98" s="92">
        <f t="shared" si="157"/>
        <v>2.30745385358615E-2</v>
      </c>
      <c r="AY98" s="92">
        <f t="shared" si="157"/>
        <v>2.3073267294157374E-2</v>
      </c>
      <c r="AZ98" s="92">
        <f t="shared" si="157"/>
        <v>2.3071992817461418E-2</v>
      </c>
      <c r="BA98" s="92">
        <f t="shared" si="157"/>
        <v>-1</v>
      </c>
      <c r="BB98" s="92" t="str">
        <f t="shared" si="157"/>
        <v>n.a.</v>
      </c>
      <c r="BC98" s="92" t="str">
        <f t="shared" si="157"/>
        <v>n.a.</v>
      </c>
      <c r="BD98" s="92" t="str">
        <f t="shared" si="157"/>
        <v>n.a.</v>
      </c>
      <c r="BE98" s="92" t="str">
        <f t="shared" si="119"/>
        <v>n.a.</v>
      </c>
      <c r="BF98" s="92" t="str">
        <f t="shared" si="120"/>
        <v>n.a.</v>
      </c>
      <c r="BG98" s="92" t="str">
        <f t="shared" si="121"/>
        <v>n.a.</v>
      </c>
      <c r="BH98" s="92" t="str">
        <f t="shared" si="122"/>
        <v>n.a.</v>
      </c>
      <c r="BI98" s="92" t="str">
        <f t="shared" si="123"/>
        <v>n.a.</v>
      </c>
      <c r="BJ98" s="92" t="str">
        <f t="shared" si="124"/>
        <v>n.a.</v>
      </c>
      <c r="BK98" s="92" t="str">
        <f t="shared" si="125"/>
        <v>n.a.</v>
      </c>
      <c r="BL98" s="92" t="str">
        <f t="shared" si="126"/>
        <v>n.a.</v>
      </c>
      <c r="BM98" s="92" t="str">
        <f t="shared" si="127"/>
        <v>n.a.</v>
      </c>
      <c r="BN98" s="92" t="str">
        <f t="shared" si="128"/>
        <v>n.a.</v>
      </c>
      <c r="BO98" s="92" t="str">
        <f t="shared" si="129"/>
        <v>n.a.</v>
      </c>
      <c r="BP98" s="92" t="str">
        <f t="shared" si="130"/>
        <v>n.a.</v>
      </c>
      <c r="BQ98" s="92" t="str">
        <f t="shared" si="131"/>
        <v>n.a.</v>
      </c>
      <c r="BR98" s="92" t="str">
        <f t="shared" si="132"/>
        <v>n.a.</v>
      </c>
      <c r="BS98" s="92" t="str">
        <f t="shared" si="133"/>
        <v>n.a.</v>
      </c>
      <c r="BT98" s="92" t="str">
        <f t="shared" si="134"/>
        <v>n.a.</v>
      </c>
      <c r="BU98" s="92" t="str">
        <f t="shared" si="135"/>
        <v>n.a.</v>
      </c>
      <c r="BV98" s="92" t="str">
        <f t="shared" si="136"/>
        <v>n.a.</v>
      </c>
      <c r="BW98" s="92" t="str">
        <f t="shared" si="137"/>
        <v>n.a.</v>
      </c>
      <c r="BX98" s="92" t="str">
        <f t="shared" si="138"/>
        <v>n.a.</v>
      </c>
      <c r="BY98" s="92" t="str">
        <f t="shared" si="139"/>
        <v>n.a.</v>
      </c>
      <c r="BZ98" s="92" t="str">
        <f t="shared" si="140"/>
        <v>n.a.</v>
      </c>
      <c r="CA98" s="92" t="str">
        <f t="shared" si="141"/>
        <v>n.a.</v>
      </c>
      <c r="CB98" s="92" t="str">
        <f t="shared" si="142"/>
        <v>n.a.</v>
      </c>
      <c r="CC98" s="92" t="str">
        <f t="shared" si="143"/>
        <v>n.a.</v>
      </c>
      <c r="CD98" s="92" t="str">
        <f t="shared" si="144"/>
        <v>n.a.</v>
      </c>
      <c r="CE98" s="92" t="str">
        <f t="shared" si="145"/>
        <v>n.a.</v>
      </c>
      <c r="CF98" s="92" t="str">
        <f t="shared" si="146"/>
        <v>n.a.</v>
      </c>
      <c r="CG98" s="92" t="str">
        <f t="shared" si="147"/>
        <v>n.a.</v>
      </c>
      <c r="CH98" s="92" t="str">
        <f t="shared" si="148"/>
        <v>n.a.</v>
      </c>
      <c r="CI98" s="92" t="str">
        <f t="shared" si="149"/>
        <v>n.a.</v>
      </c>
      <c r="CJ98" s="92" t="str">
        <f t="shared" si="150"/>
        <v>n.a.</v>
      </c>
      <c r="CK98" s="92" t="str">
        <f t="shared" si="151"/>
        <v>n.a.</v>
      </c>
      <c r="CL98" s="92" t="str">
        <f t="shared" si="152"/>
        <v>n.a.</v>
      </c>
      <c r="CM98" s="92" t="str">
        <f t="shared" si="153"/>
        <v>n.a.</v>
      </c>
      <c r="CN98" s="92" t="str">
        <f t="shared" si="154"/>
        <v>n.a.</v>
      </c>
      <c r="CO98" s="92" t="str">
        <f t="shared" si="155"/>
        <v>n.a.</v>
      </c>
      <c r="CP98" s="92" t="str">
        <f t="shared" si="156"/>
        <v>n.a.</v>
      </c>
      <c r="CQ98" s="23" t="s">
        <v>77</v>
      </c>
    </row>
    <row r="99" spans="1:95" outlineLevel="1" x14ac:dyDescent="0.2">
      <c r="B99" s="8" t="s">
        <v>297</v>
      </c>
      <c r="K99" s="93" t="str">
        <f t="shared" ref="K99:BD99" si="158">IF(ISERROR(+K73/J73-1),"n.a.",+K73/J73-1)</f>
        <v>n.a.</v>
      </c>
      <c r="L99" s="93" t="str">
        <f t="shared" si="158"/>
        <v>n.a.</v>
      </c>
      <c r="M99" s="93" t="str">
        <f t="shared" si="158"/>
        <v>n.a.</v>
      </c>
      <c r="N99" s="93" t="str">
        <f t="shared" si="158"/>
        <v>n.a.</v>
      </c>
      <c r="O99" s="93">
        <f t="shared" si="158"/>
        <v>0</v>
      </c>
      <c r="P99" s="93">
        <f t="shared" si="158"/>
        <v>3.7735849056603765E-2</v>
      </c>
      <c r="Q99" s="93">
        <f t="shared" si="158"/>
        <v>-1</v>
      </c>
      <c r="R99" s="93" t="str">
        <f t="shared" si="158"/>
        <v>n.a.</v>
      </c>
      <c r="S99" s="93" t="str">
        <f t="shared" si="158"/>
        <v>n.a.</v>
      </c>
      <c r="T99" s="93" t="str">
        <f t="shared" si="158"/>
        <v>n.a.</v>
      </c>
      <c r="U99" s="92" t="str">
        <f t="shared" si="158"/>
        <v>n.a.</v>
      </c>
      <c r="V99" s="92" t="str">
        <f t="shared" si="158"/>
        <v>n.a.</v>
      </c>
      <c r="W99" s="92" t="str">
        <f t="shared" si="158"/>
        <v>n.a.</v>
      </c>
      <c r="X99" s="92">
        <f t="shared" si="158"/>
        <v>-1</v>
      </c>
      <c r="Y99" s="92" t="str">
        <f t="shared" si="158"/>
        <v>n.a.</v>
      </c>
      <c r="Z99" s="92" t="str">
        <f t="shared" si="158"/>
        <v>n.a.</v>
      </c>
      <c r="AA99" s="92" t="str">
        <f t="shared" si="158"/>
        <v>n.a.</v>
      </c>
      <c r="AB99" s="92" t="str">
        <f t="shared" si="158"/>
        <v>n.a.</v>
      </c>
      <c r="AC99" s="92" t="str">
        <f t="shared" si="158"/>
        <v>n.a.</v>
      </c>
      <c r="AD99" s="92" t="str">
        <f t="shared" si="158"/>
        <v>n.a.</v>
      </c>
      <c r="AE99" s="92" t="str">
        <f t="shared" si="158"/>
        <v>n.a.</v>
      </c>
      <c r="AF99" s="92" t="str">
        <f t="shared" si="158"/>
        <v>n.a.</v>
      </c>
      <c r="AG99" s="92" t="str">
        <f t="shared" si="158"/>
        <v>n.a.</v>
      </c>
      <c r="AH99" s="92" t="str">
        <f t="shared" si="158"/>
        <v>n.a.</v>
      </c>
      <c r="AI99" s="92" t="str">
        <f t="shared" si="158"/>
        <v>n.a.</v>
      </c>
      <c r="AJ99" s="92" t="str">
        <f t="shared" si="158"/>
        <v>n.a.</v>
      </c>
      <c r="AK99" s="92" t="str">
        <f t="shared" si="158"/>
        <v>n.a.</v>
      </c>
      <c r="AL99" s="92" t="str">
        <f t="shared" si="158"/>
        <v>n.a.</v>
      </c>
      <c r="AM99" s="92" t="str">
        <f t="shared" si="158"/>
        <v>n.a.</v>
      </c>
      <c r="AN99" s="92" t="str">
        <f t="shared" si="158"/>
        <v>n.a.</v>
      </c>
      <c r="AO99" s="92" t="str">
        <f t="shared" si="158"/>
        <v>n.a.</v>
      </c>
      <c r="AP99" s="92" t="str">
        <f t="shared" si="158"/>
        <v>n.a.</v>
      </c>
      <c r="AQ99" s="92" t="str">
        <f t="shared" si="158"/>
        <v>n.a.</v>
      </c>
      <c r="AR99" s="92" t="str">
        <f t="shared" si="158"/>
        <v>n.a.</v>
      </c>
      <c r="AS99" s="92" t="str">
        <f t="shared" si="158"/>
        <v>n.a.</v>
      </c>
      <c r="AT99" s="92" t="str">
        <f t="shared" si="158"/>
        <v>n.a.</v>
      </c>
      <c r="AU99" s="92" t="str">
        <f t="shared" si="158"/>
        <v>n.a.</v>
      </c>
      <c r="AV99" s="92" t="str">
        <f t="shared" si="158"/>
        <v>n.a.</v>
      </c>
      <c r="AW99" s="92" t="str">
        <f t="shared" si="158"/>
        <v>n.a.</v>
      </c>
      <c r="AX99" s="92" t="str">
        <f t="shared" si="158"/>
        <v>n.a.</v>
      </c>
      <c r="AY99" s="92" t="str">
        <f t="shared" si="158"/>
        <v>n.a.</v>
      </c>
      <c r="AZ99" s="92" t="str">
        <f t="shared" si="158"/>
        <v>n.a.</v>
      </c>
      <c r="BA99" s="92" t="str">
        <f t="shared" si="158"/>
        <v>n.a.</v>
      </c>
      <c r="BB99" s="92" t="str">
        <f t="shared" si="158"/>
        <v>n.a.</v>
      </c>
      <c r="BC99" s="92" t="str">
        <f t="shared" si="158"/>
        <v>n.a.</v>
      </c>
      <c r="BD99" s="92" t="str">
        <f t="shared" si="158"/>
        <v>n.a.</v>
      </c>
      <c r="BE99" s="92" t="str">
        <f t="shared" si="119"/>
        <v>n.a.</v>
      </c>
      <c r="BF99" s="92" t="str">
        <f t="shared" si="120"/>
        <v>n.a.</v>
      </c>
      <c r="BG99" s="92" t="str">
        <f t="shared" si="121"/>
        <v>n.a.</v>
      </c>
      <c r="BH99" s="92" t="str">
        <f t="shared" si="122"/>
        <v>n.a.</v>
      </c>
      <c r="BI99" s="92" t="str">
        <f t="shared" si="123"/>
        <v>n.a.</v>
      </c>
      <c r="BJ99" s="92" t="str">
        <f t="shared" si="124"/>
        <v>n.a.</v>
      </c>
      <c r="BK99" s="92" t="str">
        <f t="shared" si="125"/>
        <v>n.a.</v>
      </c>
      <c r="BL99" s="92" t="str">
        <f t="shared" si="126"/>
        <v>n.a.</v>
      </c>
      <c r="BM99" s="92" t="str">
        <f t="shared" si="127"/>
        <v>n.a.</v>
      </c>
      <c r="BN99" s="92" t="str">
        <f t="shared" si="128"/>
        <v>n.a.</v>
      </c>
      <c r="BO99" s="92" t="str">
        <f t="shared" si="129"/>
        <v>n.a.</v>
      </c>
      <c r="BP99" s="92" t="str">
        <f t="shared" si="130"/>
        <v>n.a.</v>
      </c>
      <c r="BQ99" s="92" t="str">
        <f t="shared" si="131"/>
        <v>n.a.</v>
      </c>
      <c r="BR99" s="92" t="str">
        <f t="shared" si="132"/>
        <v>n.a.</v>
      </c>
      <c r="BS99" s="92" t="str">
        <f t="shared" si="133"/>
        <v>n.a.</v>
      </c>
      <c r="BT99" s="92" t="str">
        <f t="shared" si="134"/>
        <v>n.a.</v>
      </c>
      <c r="BU99" s="92" t="str">
        <f t="shared" si="135"/>
        <v>n.a.</v>
      </c>
      <c r="BV99" s="92" t="str">
        <f t="shared" si="136"/>
        <v>n.a.</v>
      </c>
      <c r="BW99" s="92" t="str">
        <f t="shared" si="137"/>
        <v>n.a.</v>
      </c>
      <c r="BX99" s="92" t="str">
        <f t="shared" si="138"/>
        <v>n.a.</v>
      </c>
      <c r="BY99" s="92" t="str">
        <f t="shared" si="139"/>
        <v>n.a.</v>
      </c>
      <c r="BZ99" s="92" t="str">
        <f t="shared" si="140"/>
        <v>n.a.</v>
      </c>
      <c r="CA99" s="92" t="str">
        <f t="shared" si="141"/>
        <v>n.a.</v>
      </c>
      <c r="CB99" s="92" t="str">
        <f t="shared" si="142"/>
        <v>n.a.</v>
      </c>
      <c r="CC99" s="92" t="str">
        <f t="shared" si="143"/>
        <v>n.a.</v>
      </c>
      <c r="CD99" s="92" t="str">
        <f t="shared" si="144"/>
        <v>n.a.</v>
      </c>
      <c r="CE99" s="92" t="str">
        <f t="shared" si="145"/>
        <v>n.a.</v>
      </c>
      <c r="CF99" s="92" t="str">
        <f t="shared" si="146"/>
        <v>n.a.</v>
      </c>
      <c r="CG99" s="92" t="str">
        <f t="shared" si="147"/>
        <v>n.a.</v>
      </c>
      <c r="CH99" s="92" t="str">
        <f t="shared" si="148"/>
        <v>n.a.</v>
      </c>
      <c r="CI99" s="92" t="str">
        <f t="shared" si="149"/>
        <v>n.a.</v>
      </c>
      <c r="CJ99" s="92" t="str">
        <f t="shared" si="150"/>
        <v>n.a.</v>
      </c>
      <c r="CK99" s="92" t="str">
        <f t="shared" si="151"/>
        <v>n.a.</v>
      </c>
      <c r="CL99" s="92" t="str">
        <f t="shared" si="152"/>
        <v>n.a.</v>
      </c>
      <c r="CM99" s="92" t="str">
        <f t="shared" si="153"/>
        <v>n.a.</v>
      </c>
      <c r="CN99" s="92" t="str">
        <f t="shared" si="154"/>
        <v>n.a.</v>
      </c>
      <c r="CO99" s="92" t="str">
        <f t="shared" si="155"/>
        <v>n.a.</v>
      </c>
      <c r="CP99" s="92" t="str">
        <f t="shared" si="156"/>
        <v>n.a.</v>
      </c>
      <c r="CQ99" s="23" t="s">
        <v>77</v>
      </c>
    </row>
    <row r="100" spans="1:95" outlineLevel="1" x14ac:dyDescent="0.2">
      <c r="B100" s="8" t="s">
        <v>507</v>
      </c>
      <c r="K100" s="93" t="str">
        <f t="shared" ref="K100:BD100" si="159">IF(ISERROR(+K74/J74-1),"n.a.",+K74/J74-1)</f>
        <v>n.a.</v>
      </c>
      <c r="L100" s="93" t="str">
        <f t="shared" si="159"/>
        <v>n.a.</v>
      </c>
      <c r="M100" s="93" t="str">
        <f t="shared" si="159"/>
        <v>n.a.</v>
      </c>
      <c r="N100" s="93" t="str">
        <f t="shared" si="159"/>
        <v>n.a.</v>
      </c>
      <c r="O100" s="93" t="str">
        <f t="shared" si="159"/>
        <v>n.a.</v>
      </c>
      <c r="P100" s="93" t="str">
        <f t="shared" si="159"/>
        <v>n.a.</v>
      </c>
      <c r="Q100" s="93">
        <f t="shared" si="159"/>
        <v>-0.61944444444444446</v>
      </c>
      <c r="R100" s="93">
        <f t="shared" si="159"/>
        <v>7.1255474452554779</v>
      </c>
      <c r="S100" s="93">
        <f t="shared" si="159"/>
        <v>-0.19151994250808513</v>
      </c>
      <c r="T100" s="93">
        <f t="shared" si="159"/>
        <v>1.0631481481480023</v>
      </c>
      <c r="U100" s="92">
        <f t="shared" si="159"/>
        <v>0.19558387936459409</v>
      </c>
      <c r="V100" s="92">
        <f t="shared" si="159"/>
        <v>-0.41010572876847828</v>
      </c>
      <c r="W100" s="92">
        <f t="shared" si="159"/>
        <v>1.0617528861182577</v>
      </c>
      <c r="X100" s="92">
        <f t="shared" si="159"/>
        <v>2.5000000000000133E-2</v>
      </c>
      <c r="Y100" s="92">
        <f t="shared" si="159"/>
        <v>2.4999999999999911E-2</v>
      </c>
      <c r="Z100" s="92">
        <f t="shared" si="159"/>
        <v>2.4999999999999911E-2</v>
      </c>
      <c r="AA100" s="92">
        <f t="shared" si="159"/>
        <v>2.3001613496078877E-2</v>
      </c>
      <c r="AB100" s="92">
        <f t="shared" si="159"/>
        <v>2.3000151557535098E-2</v>
      </c>
      <c r="AC100" s="92">
        <f t="shared" si="159"/>
        <v>2.2998685689482601E-2</v>
      </c>
      <c r="AD100" s="92">
        <f t="shared" si="159"/>
        <v>2.2997215877152977E-2</v>
      </c>
      <c r="AE100" s="92">
        <f t="shared" si="159"/>
        <v>2.2995742105704098E-2</v>
      </c>
      <c r="AF100" s="92">
        <f t="shared" si="159"/>
        <v>2.2994264360219008E-2</v>
      </c>
      <c r="AG100" s="92">
        <f t="shared" si="159"/>
        <v>-0.28550144050504633</v>
      </c>
      <c r="AH100" s="92">
        <f t="shared" si="159"/>
        <v>2.2663716762146402E-2</v>
      </c>
      <c r="AI100" s="92">
        <f t="shared" si="159"/>
        <v>2.2661235139616265E-2</v>
      </c>
      <c r="AJ100" s="92">
        <f t="shared" si="159"/>
        <v>2.2658745199732877E-2</v>
      </c>
      <c r="AK100" s="92">
        <f t="shared" si="159"/>
        <v>2.2656246902474475E-2</v>
      </c>
      <c r="AL100" s="92">
        <f t="shared" si="159"/>
        <v>2.2653740207563056E-2</v>
      </c>
      <c r="AM100" s="92">
        <f t="shared" si="159"/>
        <v>2.2651225074461712E-2</v>
      </c>
      <c r="AN100" s="92">
        <f t="shared" si="159"/>
        <v>2.26487014623733E-2</v>
      </c>
      <c r="AO100" s="92">
        <f t="shared" si="159"/>
        <v>2.2646169330237109E-2</v>
      </c>
      <c r="AP100" s="92">
        <f t="shared" si="159"/>
        <v>2.2643628636727753E-2</v>
      </c>
      <c r="AQ100" s="92">
        <f t="shared" si="159"/>
        <v>2.2641079340252945E-2</v>
      </c>
      <c r="AR100" s="92">
        <f t="shared" si="159"/>
        <v>2.2638521398950617E-2</v>
      </c>
      <c r="AS100" s="92">
        <f t="shared" si="159"/>
        <v>2.2635954770687583E-2</v>
      </c>
      <c r="AT100" s="92">
        <f t="shared" si="159"/>
        <v>2.2633379413056876E-2</v>
      </c>
      <c r="AU100" s="92">
        <f t="shared" si="159"/>
        <v>2.2630795283375527E-2</v>
      </c>
      <c r="AV100" s="92">
        <f t="shared" si="159"/>
        <v>2.2628202338682568E-2</v>
      </c>
      <c r="AW100" s="92">
        <f t="shared" si="159"/>
        <v>2.262560053573659E-2</v>
      </c>
      <c r="AX100" s="92">
        <f t="shared" si="159"/>
        <v>2.2622989831012852E-2</v>
      </c>
      <c r="AY100" s="92">
        <f t="shared" si="159"/>
        <v>2.2620370180703064E-2</v>
      </c>
      <c r="AZ100" s="92">
        <f t="shared" si="159"/>
        <v>2.2617741540710057E-2</v>
      </c>
      <c r="BA100" s="92">
        <f t="shared" si="159"/>
        <v>2.2615103866647335E-2</v>
      </c>
      <c r="BB100" s="92">
        <f t="shared" si="159"/>
        <v>2.2612457113837081E-2</v>
      </c>
      <c r="BC100" s="92">
        <f t="shared" si="159"/>
        <v>2.2609801237305716E-2</v>
      </c>
      <c r="BD100" s="92">
        <f t="shared" si="159"/>
        <v>2.260713619178345E-2</v>
      </c>
      <c r="BE100" s="92">
        <f t="shared" si="119"/>
        <v>2.2604461931700737E-2</v>
      </c>
      <c r="BF100" s="92">
        <f t="shared" si="120"/>
        <v>2.2601778411186935E-2</v>
      </c>
      <c r="BG100" s="92">
        <f t="shared" si="121"/>
        <v>2.2599085584065648E-2</v>
      </c>
      <c r="BH100" s="92">
        <f t="shared" si="122"/>
        <v>2.2596383403854947E-2</v>
      </c>
      <c r="BI100" s="92">
        <f t="shared" si="123"/>
        <v>2.2593671823762262E-2</v>
      </c>
      <c r="BJ100" s="92">
        <f t="shared" si="124"/>
        <v>2.2590950796683495E-2</v>
      </c>
      <c r="BK100" s="92">
        <f t="shared" si="125"/>
        <v>2.2588220275200133E-2</v>
      </c>
      <c r="BL100" s="92">
        <f t="shared" si="126"/>
        <v>2.2585480211575915E-2</v>
      </c>
      <c r="BM100" s="92">
        <f t="shared" si="127"/>
        <v>2.2582730557754838E-2</v>
      </c>
      <c r="BN100" s="92">
        <f t="shared" si="128"/>
        <v>2.2579971265358045E-2</v>
      </c>
      <c r="BO100" s="92">
        <f t="shared" si="129"/>
        <v>2.2577202285681164E-2</v>
      </c>
      <c r="BP100" s="92">
        <f t="shared" si="130"/>
        <v>2.2574423569692526E-2</v>
      </c>
      <c r="BQ100" s="92">
        <f t="shared" si="131"/>
        <v>2.257163506802895E-2</v>
      </c>
      <c r="BR100" s="92">
        <f t="shared" si="132"/>
        <v>2.2568836730993302E-2</v>
      </c>
      <c r="BS100" s="92">
        <f t="shared" si="133"/>
        <v>2.2566028508552716E-2</v>
      </c>
      <c r="BT100" s="92">
        <f t="shared" si="134"/>
        <v>2.2563210350334817E-2</v>
      </c>
      <c r="BU100" s="92">
        <f t="shared" si="135"/>
        <v>2.2560382205624174E-2</v>
      </c>
      <c r="BV100" s="92">
        <f t="shared" si="136"/>
        <v>2.2557544023360965E-2</v>
      </c>
      <c r="BW100" s="92">
        <f t="shared" si="137"/>
        <v>2.2554695752137643E-2</v>
      </c>
      <c r="BX100" s="92">
        <f t="shared" si="138"/>
        <v>2.2551837340194503E-2</v>
      </c>
      <c r="BY100" s="92">
        <f t="shared" si="139"/>
        <v>2.2548968735418784E-2</v>
      </c>
      <c r="BZ100" s="92">
        <f t="shared" si="140"/>
        <v>2.2546089885340015E-2</v>
      </c>
      <c r="CA100" s="92">
        <f t="shared" si="141"/>
        <v>2.2543200737127567E-2</v>
      </c>
      <c r="CB100" s="92">
        <f t="shared" si="142"/>
        <v>2.254030123758799E-2</v>
      </c>
      <c r="CC100" s="92">
        <f t="shared" si="143"/>
        <v>2.2537391333161905E-2</v>
      </c>
      <c r="CD100" s="92">
        <f t="shared" si="144"/>
        <v>2.2534470969918452E-2</v>
      </c>
      <c r="CE100" s="92">
        <f t="shared" si="145"/>
        <v>2.2531540093556179E-2</v>
      </c>
      <c r="CF100" s="92">
        <f t="shared" si="146"/>
        <v>2.2528598649396825E-2</v>
      </c>
      <c r="CG100" s="92">
        <f t="shared" si="147"/>
        <v>2.2525646582382208E-2</v>
      </c>
      <c r="CH100" s="92">
        <f t="shared" si="148"/>
        <v>-1</v>
      </c>
      <c r="CI100" s="92" t="str">
        <f t="shared" si="149"/>
        <v>n.a.</v>
      </c>
      <c r="CJ100" s="92" t="str">
        <f t="shared" si="150"/>
        <v>n.a.</v>
      </c>
      <c r="CK100" s="92" t="str">
        <f t="shared" si="151"/>
        <v>n.a.</v>
      </c>
      <c r="CL100" s="92" t="str">
        <f t="shared" si="152"/>
        <v>n.a.</v>
      </c>
      <c r="CM100" s="92" t="str">
        <f t="shared" si="153"/>
        <v>n.a.</v>
      </c>
      <c r="CN100" s="92" t="str">
        <f t="shared" si="154"/>
        <v>n.a.</v>
      </c>
      <c r="CO100" s="92" t="str">
        <f t="shared" si="155"/>
        <v>n.a.</v>
      </c>
      <c r="CP100" s="92" t="str">
        <f t="shared" si="156"/>
        <v>n.a.</v>
      </c>
      <c r="CQ100" s="23" t="s">
        <v>77</v>
      </c>
    </row>
    <row r="101" spans="1:95" outlineLevel="1" x14ac:dyDescent="0.2">
      <c r="B101" s="8" t="s">
        <v>298</v>
      </c>
      <c r="K101" s="93" t="str">
        <f t="shared" ref="K101:BD101" si="160">IF(ISERROR(+K75/J75-1),"n.a.",+K75/J75-1)</f>
        <v>n.a.</v>
      </c>
      <c r="L101" s="93" t="str">
        <f t="shared" si="160"/>
        <v>n.a.</v>
      </c>
      <c r="M101" s="93" t="str">
        <f t="shared" si="160"/>
        <v>n.a.</v>
      </c>
      <c r="N101" s="93" t="str">
        <f t="shared" si="160"/>
        <v>n.a.</v>
      </c>
      <c r="O101" s="93" t="str">
        <f t="shared" si="160"/>
        <v>n.a.</v>
      </c>
      <c r="P101" s="93" t="str">
        <f t="shared" si="160"/>
        <v>n.a.</v>
      </c>
      <c r="Q101" s="93" t="str">
        <f t="shared" si="160"/>
        <v>n.a.</v>
      </c>
      <c r="R101" s="93" t="str">
        <f t="shared" si="160"/>
        <v>n.a.</v>
      </c>
      <c r="S101" s="93" t="str">
        <f t="shared" si="160"/>
        <v>n.a.</v>
      </c>
      <c r="T101" s="93">
        <f t="shared" si="160"/>
        <v>0.75947164721621419</v>
      </c>
      <c r="U101" s="92">
        <f t="shared" si="160"/>
        <v>0.38959274815663059</v>
      </c>
      <c r="V101" s="92">
        <f t="shared" si="160"/>
        <v>0.32991360691144722</v>
      </c>
      <c r="W101" s="92">
        <f t="shared" si="160"/>
        <v>-2.2330491270807995E-2</v>
      </c>
      <c r="X101" s="92">
        <f t="shared" si="160"/>
        <v>2.4999999999999911E-2</v>
      </c>
      <c r="Y101" s="92">
        <f t="shared" si="160"/>
        <v>2.4999999999999911E-2</v>
      </c>
      <c r="Z101" s="92">
        <f t="shared" si="160"/>
        <v>2.4999999999999689E-2</v>
      </c>
      <c r="AA101" s="92">
        <f t="shared" si="160"/>
        <v>2.3494611861685222E-2</v>
      </c>
      <c r="AB101" s="92">
        <f t="shared" si="160"/>
        <v>2.3494236228760457E-2</v>
      </c>
      <c r="AC101" s="92">
        <f t="shared" si="160"/>
        <v>2.3493859949337725E-2</v>
      </c>
      <c r="AD101" s="92">
        <f t="shared" si="160"/>
        <v>2.3493483022026362E-2</v>
      </c>
      <c r="AE101" s="92">
        <f t="shared" si="160"/>
        <v>2.3493105445433038E-2</v>
      </c>
      <c r="AF101" s="92">
        <f t="shared" si="160"/>
        <v>2.3492727218160869E-2</v>
      </c>
      <c r="AG101" s="92">
        <f t="shared" si="160"/>
        <v>2.3492348338808311E-2</v>
      </c>
      <c r="AH101" s="92">
        <f t="shared" si="160"/>
        <v>2.3491968805971153E-2</v>
      </c>
      <c r="AI101" s="92">
        <f t="shared" si="160"/>
        <v>-0.49013407169776402</v>
      </c>
      <c r="AJ101" s="92">
        <f t="shared" si="160"/>
        <v>2.323050722434794E-2</v>
      </c>
      <c r="AK101" s="92">
        <f t="shared" si="160"/>
        <v>2.3229608855205086E-2</v>
      </c>
      <c r="AL101" s="92">
        <f t="shared" si="160"/>
        <v>2.3228708474815063E-2</v>
      </c>
      <c r="AM101" s="92">
        <f t="shared" si="160"/>
        <v>2.3227806077088076E-2</v>
      </c>
      <c r="AN101" s="92">
        <f t="shared" si="160"/>
        <v>2.3226901655910792E-2</v>
      </c>
      <c r="AO101" s="92">
        <f t="shared" si="160"/>
        <v>2.32259952051459E-2</v>
      </c>
      <c r="AP101" s="92">
        <f t="shared" si="160"/>
        <v>2.3225086718630994E-2</v>
      </c>
      <c r="AQ101" s="92">
        <f t="shared" si="160"/>
        <v>2.3224176190178136E-2</v>
      </c>
      <c r="AR101" s="92">
        <f t="shared" si="160"/>
        <v>2.3223263613576739E-2</v>
      </c>
      <c r="AS101" s="92">
        <f t="shared" si="160"/>
        <v>2.3222348982589569E-2</v>
      </c>
      <c r="AT101" s="92">
        <f t="shared" si="160"/>
        <v>2.3221432290954747E-2</v>
      </c>
      <c r="AU101" s="92">
        <f t="shared" si="160"/>
        <v>2.3220513532385301E-2</v>
      </c>
      <c r="AV101" s="92">
        <f t="shared" si="160"/>
        <v>2.3219592700569169E-2</v>
      </c>
      <c r="AW101" s="92">
        <f t="shared" si="160"/>
        <v>2.3218669789168089E-2</v>
      </c>
      <c r="AX101" s="92">
        <f t="shared" si="160"/>
        <v>2.3217744791819817E-2</v>
      </c>
      <c r="AY101" s="92">
        <f t="shared" si="160"/>
        <v>2.3216817702134795E-2</v>
      </c>
      <c r="AZ101" s="92">
        <f t="shared" si="160"/>
        <v>2.3215888513697935E-2</v>
      </c>
      <c r="BA101" s="92">
        <f t="shared" si="160"/>
        <v>2.3214957220069499E-2</v>
      </c>
      <c r="BB101" s="92">
        <f t="shared" si="160"/>
        <v>2.3214023814782214E-2</v>
      </c>
      <c r="BC101" s="92">
        <f t="shared" si="160"/>
        <v>2.3213088291342832E-2</v>
      </c>
      <c r="BD101" s="92">
        <f t="shared" si="160"/>
        <v>2.3212150643232343E-2</v>
      </c>
      <c r="BE101" s="92">
        <f t="shared" si="119"/>
        <v>2.3211210863905096E-2</v>
      </c>
      <c r="BF101" s="92">
        <f t="shared" si="120"/>
        <v>2.3210268946788792E-2</v>
      </c>
      <c r="BG101" s="92">
        <f t="shared" si="121"/>
        <v>2.3209324885283822E-2</v>
      </c>
      <c r="BH101" s="92">
        <f t="shared" si="122"/>
        <v>2.3208378672764596E-2</v>
      </c>
      <c r="BI101" s="92">
        <f t="shared" si="123"/>
        <v>2.320743030257777E-2</v>
      </c>
      <c r="BJ101" s="92">
        <f t="shared" si="124"/>
        <v>2.3206479768043353E-2</v>
      </c>
      <c r="BK101" s="92">
        <f t="shared" si="125"/>
        <v>2.3205527062454046E-2</v>
      </c>
      <c r="BL101" s="92">
        <f t="shared" si="126"/>
        <v>2.3204572179074567E-2</v>
      </c>
      <c r="BM101" s="92">
        <f t="shared" si="127"/>
        <v>2.3203615111142328E-2</v>
      </c>
      <c r="BN101" s="92">
        <f t="shared" si="128"/>
        <v>2.3202655851867426E-2</v>
      </c>
      <c r="BO101" s="92">
        <f t="shared" si="129"/>
        <v>2.3201694394431982E-2</v>
      </c>
      <c r="BP101" s="92">
        <f t="shared" si="130"/>
        <v>2.3200730731989028E-2</v>
      </c>
      <c r="BQ101" s="92">
        <f t="shared" si="131"/>
        <v>2.3199764857665395E-2</v>
      </c>
      <c r="BR101" s="92">
        <f t="shared" si="132"/>
        <v>2.3198796764558383E-2</v>
      </c>
      <c r="BS101" s="92">
        <f t="shared" si="133"/>
        <v>2.3197826445736203E-2</v>
      </c>
      <c r="BT101" s="92">
        <f t="shared" si="134"/>
        <v>2.3196853894240199E-2</v>
      </c>
      <c r="BU101" s="92">
        <f t="shared" si="135"/>
        <v>2.3195879103081962E-2</v>
      </c>
      <c r="BV101" s="92">
        <f t="shared" si="136"/>
        <v>2.319490206524355E-2</v>
      </c>
      <c r="BW101" s="92">
        <f t="shared" si="137"/>
        <v>2.3193922773680153E-2</v>
      </c>
      <c r="BX101" s="92">
        <f t="shared" si="138"/>
        <v>2.3192941221315211E-2</v>
      </c>
      <c r="BY101" s="92">
        <f t="shared" si="139"/>
        <v>2.3191957401044849E-2</v>
      </c>
      <c r="BZ101" s="92">
        <f t="shared" si="140"/>
        <v>2.3190971305734109E-2</v>
      </c>
      <c r="CA101" s="92">
        <f t="shared" si="141"/>
        <v>2.3189982928220054E-2</v>
      </c>
      <c r="CB101" s="92">
        <f t="shared" si="142"/>
        <v>2.3188992261308439E-2</v>
      </c>
      <c r="CC101" s="92">
        <f t="shared" si="143"/>
        <v>2.318799929777593E-2</v>
      </c>
      <c r="CD101" s="92">
        <f t="shared" si="144"/>
        <v>2.3187004030368552E-2</v>
      </c>
      <c r="CE101" s="92">
        <f t="shared" si="145"/>
        <v>2.3186006451803021E-2</v>
      </c>
      <c r="CF101" s="92">
        <f t="shared" si="146"/>
        <v>2.318500655476452E-2</v>
      </c>
      <c r="CG101" s="92">
        <f t="shared" si="147"/>
        <v>2.3184004331908259E-2</v>
      </c>
      <c r="CH101" s="92">
        <f t="shared" si="148"/>
        <v>-1</v>
      </c>
      <c r="CI101" s="92" t="str">
        <f t="shared" si="149"/>
        <v>n.a.</v>
      </c>
      <c r="CJ101" s="92" t="str">
        <f t="shared" si="150"/>
        <v>n.a.</v>
      </c>
      <c r="CK101" s="92" t="str">
        <f t="shared" si="151"/>
        <v>n.a.</v>
      </c>
      <c r="CL101" s="92" t="str">
        <f t="shared" si="152"/>
        <v>n.a.</v>
      </c>
      <c r="CM101" s="92" t="str">
        <f t="shared" si="153"/>
        <v>n.a.</v>
      </c>
      <c r="CN101" s="92" t="str">
        <f t="shared" si="154"/>
        <v>n.a.</v>
      </c>
      <c r="CO101" s="92" t="str">
        <f t="shared" si="155"/>
        <v>n.a.</v>
      </c>
      <c r="CP101" s="92" t="str">
        <f t="shared" si="156"/>
        <v>n.a.</v>
      </c>
      <c r="CQ101" s="23" t="s">
        <v>77</v>
      </c>
    </row>
    <row r="102" spans="1:95" outlineLevel="1" x14ac:dyDescent="0.2">
      <c r="B102" s="8" t="s">
        <v>219</v>
      </c>
      <c r="K102" s="93" t="str">
        <f t="shared" ref="K102:BD102" si="161">IF(ISERROR(+K76/J76-1),"n.a.",+K76/J76-1)</f>
        <v>n.a.</v>
      </c>
      <c r="L102" s="93" t="str">
        <f t="shared" si="161"/>
        <v>n.a.</v>
      </c>
      <c r="M102" s="93" t="str">
        <f t="shared" si="161"/>
        <v>n.a.</v>
      </c>
      <c r="N102" s="93" t="str">
        <f t="shared" si="161"/>
        <v>n.a.</v>
      </c>
      <c r="O102" s="93" t="str">
        <f t="shared" si="161"/>
        <v>n.a.</v>
      </c>
      <c r="P102" s="93" t="str">
        <f t="shared" si="161"/>
        <v>n.a.</v>
      </c>
      <c r="Q102" s="93" t="str">
        <f t="shared" si="161"/>
        <v>n.a.</v>
      </c>
      <c r="R102" s="93" t="str">
        <f t="shared" si="161"/>
        <v>n.a.</v>
      </c>
      <c r="S102" s="93" t="str">
        <f t="shared" si="161"/>
        <v>n.a.</v>
      </c>
      <c r="T102" s="93" t="str">
        <f t="shared" si="161"/>
        <v>n.a.</v>
      </c>
      <c r="U102" s="92" t="str">
        <f t="shared" si="161"/>
        <v>n.a.</v>
      </c>
      <c r="V102" s="92">
        <f t="shared" si="161"/>
        <v>1.0074533699043013</v>
      </c>
      <c r="W102" s="92">
        <f t="shared" si="161"/>
        <v>5.3193070762679957</v>
      </c>
      <c r="X102" s="92">
        <f t="shared" si="161"/>
        <v>3.4615384615384492E-2</v>
      </c>
      <c r="Y102" s="92">
        <f t="shared" si="161"/>
        <v>3.4293680297397433E-2</v>
      </c>
      <c r="Z102" s="92">
        <f t="shared" si="161"/>
        <v>3.3985533291400749E-2</v>
      </c>
      <c r="AA102" s="92">
        <f t="shared" si="161"/>
        <v>3.200568284273575E-2</v>
      </c>
      <c r="AB102" s="92">
        <f t="shared" si="161"/>
        <v>3.1749648625959859E-2</v>
      </c>
      <c r="AC102" s="92">
        <f t="shared" si="161"/>
        <v>3.1503478410788377E-2</v>
      </c>
      <c r="AD102" s="92">
        <f t="shared" si="161"/>
        <v>2.9529639333218505E-2</v>
      </c>
      <c r="AE102" s="92">
        <f t="shared" si="161"/>
        <v>2.9363863955351288E-2</v>
      </c>
      <c r="AF102" s="92">
        <f t="shared" si="161"/>
        <v>2.9203721615775224E-2</v>
      </c>
      <c r="AG102" s="92">
        <f t="shared" si="161"/>
        <v>2.9048971915116351E-2</v>
      </c>
      <c r="AH102" s="92">
        <f t="shared" si="161"/>
        <v>2.8899387502185236E-2</v>
      </c>
      <c r="AI102" s="92">
        <f t="shared" si="161"/>
        <v>2.87547532001029E-2</v>
      </c>
      <c r="AJ102" s="92">
        <f t="shared" si="161"/>
        <v>-0.82457623478925357</v>
      </c>
      <c r="AK102" s="92">
        <f t="shared" si="161"/>
        <v>2.3197404360028262E-2</v>
      </c>
      <c r="AL102" s="92">
        <f t="shared" si="161"/>
        <v>2.3196430836749826E-2</v>
      </c>
      <c r="AM102" s="92">
        <f t="shared" si="161"/>
        <v>2.3195455070765369E-2</v>
      </c>
      <c r="AN102" s="92">
        <f t="shared" si="161"/>
        <v>2.3194477055045182E-2</v>
      </c>
      <c r="AO102" s="92">
        <f t="shared" si="161"/>
        <v>2.3193496782529799E-2</v>
      </c>
      <c r="AP102" s="92">
        <f t="shared" si="161"/>
        <v>2.3192514246131779E-2</v>
      </c>
      <c r="AQ102" s="92">
        <f t="shared" si="161"/>
        <v>2.319152943873326E-2</v>
      </c>
      <c r="AR102" s="92">
        <f t="shared" si="161"/>
        <v>-1</v>
      </c>
      <c r="AS102" s="92" t="str">
        <f t="shared" si="161"/>
        <v>n.a.</v>
      </c>
      <c r="AT102" s="92" t="str">
        <f t="shared" si="161"/>
        <v>n.a.</v>
      </c>
      <c r="AU102" s="92" t="str">
        <f t="shared" si="161"/>
        <v>n.a.</v>
      </c>
      <c r="AV102" s="92" t="str">
        <f t="shared" si="161"/>
        <v>n.a.</v>
      </c>
      <c r="AW102" s="92" t="str">
        <f t="shared" si="161"/>
        <v>n.a.</v>
      </c>
      <c r="AX102" s="92" t="str">
        <f t="shared" si="161"/>
        <v>n.a.</v>
      </c>
      <c r="AY102" s="92" t="str">
        <f t="shared" si="161"/>
        <v>n.a.</v>
      </c>
      <c r="AZ102" s="92" t="str">
        <f t="shared" si="161"/>
        <v>n.a.</v>
      </c>
      <c r="BA102" s="92" t="str">
        <f t="shared" si="161"/>
        <v>n.a.</v>
      </c>
      <c r="BB102" s="92" t="str">
        <f t="shared" si="161"/>
        <v>n.a.</v>
      </c>
      <c r="BC102" s="92" t="str">
        <f t="shared" si="161"/>
        <v>n.a.</v>
      </c>
      <c r="BD102" s="92" t="str">
        <f t="shared" si="161"/>
        <v>n.a.</v>
      </c>
      <c r="BE102" s="92" t="str">
        <f t="shared" si="119"/>
        <v>n.a.</v>
      </c>
      <c r="BF102" s="92" t="str">
        <f t="shared" si="120"/>
        <v>n.a.</v>
      </c>
      <c r="BG102" s="92" t="str">
        <f t="shared" si="121"/>
        <v>n.a.</v>
      </c>
      <c r="BH102" s="92" t="str">
        <f t="shared" si="122"/>
        <v>n.a.</v>
      </c>
      <c r="BI102" s="92" t="str">
        <f t="shared" si="123"/>
        <v>n.a.</v>
      </c>
      <c r="BJ102" s="92" t="str">
        <f t="shared" si="124"/>
        <v>n.a.</v>
      </c>
      <c r="BK102" s="92" t="str">
        <f t="shared" si="125"/>
        <v>n.a.</v>
      </c>
      <c r="BL102" s="92" t="str">
        <f t="shared" si="126"/>
        <v>n.a.</v>
      </c>
      <c r="BM102" s="92" t="str">
        <f t="shared" si="127"/>
        <v>n.a.</v>
      </c>
      <c r="BN102" s="92" t="str">
        <f t="shared" si="128"/>
        <v>n.a.</v>
      </c>
      <c r="BO102" s="92" t="str">
        <f t="shared" si="129"/>
        <v>n.a.</v>
      </c>
      <c r="BP102" s="92" t="str">
        <f t="shared" si="130"/>
        <v>n.a.</v>
      </c>
      <c r="BQ102" s="92" t="str">
        <f t="shared" si="131"/>
        <v>n.a.</v>
      </c>
      <c r="BR102" s="92" t="str">
        <f t="shared" si="132"/>
        <v>n.a.</v>
      </c>
      <c r="BS102" s="92" t="str">
        <f t="shared" si="133"/>
        <v>n.a.</v>
      </c>
      <c r="BT102" s="92" t="str">
        <f t="shared" si="134"/>
        <v>n.a.</v>
      </c>
      <c r="BU102" s="92" t="str">
        <f t="shared" si="135"/>
        <v>n.a.</v>
      </c>
      <c r="BV102" s="92" t="str">
        <f t="shared" si="136"/>
        <v>n.a.</v>
      </c>
      <c r="BW102" s="92" t="str">
        <f t="shared" si="137"/>
        <v>n.a.</v>
      </c>
      <c r="BX102" s="92" t="str">
        <f t="shared" si="138"/>
        <v>n.a.</v>
      </c>
      <c r="BY102" s="92" t="str">
        <f t="shared" si="139"/>
        <v>n.a.</v>
      </c>
      <c r="BZ102" s="92" t="str">
        <f t="shared" si="140"/>
        <v>n.a.</v>
      </c>
      <c r="CA102" s="92" t="str">
        <f t="shared" si="141"/>
        <v>n.a.</v>
      </c>
      <c r="CB102" s="92" t="str">
        <f t="shared" si="142"/>
        <v>n.a.</v>
      </c>
      <c r="CC102" s="92" t="str">
        <f t="shared" si="143"/>
        <v>n.a.</v>
      </c>
      <c r="CD102" s="92" t="str">
        <f t="shared" si="144"/>
        <v>n.a.</v>
      </c>
      <c r="CE102" s="92" t="str">
        <f t="shared" si="145"/>
        <v>n.a.</v>
      </c>
      <c r="CF102" s="92" t="str">
        <f t="shared" si="146"/>
        <v>n.a.</v>
      </c>
      <c r="CG102" s="92" t="str">
        <f t="shared" si="147"/>
        <v>n.a.</v>
      </c>
      <c r="CH102" s="92" t="str">
        <f t="shared" si="148"/>
        <v>n.a.</v>
      </c>
      <c r="CI102" s="92" t="str">
        <f t="shared" si="149"/>
        <v>n.a.</v>
      </c>
      <c r="CJ102" s="92" t="str">
        <f t="shared" si="150"/>
        <v>n.a.</v>
      </c>
      <c r="CK102" s="92" t="str">
        <f t="shared" si="151"/>
        <v>n.a.</v>
      </c>
      <c r="CL102" s="92" t="str">
        <f t="shared" si="152"/>
        <v>n.a.</v>
      </c>
      <c r="CM102" s="92" t="str">
        <f t="shared" si="153"/>
        <v>n.a.</v>
      </c>
      <c r="CN102" s="92" t="str">
        <f t="shared" si="154"/>
        <v>n.a.</v>
      </c>
      <c r="CO102" s="92" t="str">
        <f t="shared" si="155"/>
        <v>n.a.</v>
      </c>
      <c r="CP102" s="92" t="str">
        <f t="shared" si="156"/>
        <v>n.a.</v>
      </c>
      <c r="CQ102" s="23" t="s">
        <v>77</v>
      </c>
    </row>
    <row r="103" spans="1:95" outlineLevel="1" x14ac:dyDescent="0.2">
      <c r="B103" s="12" t="s">
        <v>509</v>
      </c>
      <c r="K103" s="93" t="str">
        <f t="shared" ref="K103:BD103" si="162">IF(ISERROR(+K77/J77-1),"n.a.",+K77/J77-1)</f>
        <v>n.a.</v>
      </c>
      <c r="L103" s="93" t="str">
        <f t="shared" si="162"/>
        <v>n.a.</v>
      </c>
      <c r="M103" s="93" t="str">
        <f t="shared" si="162"/>
        <v>n.a.</v>
      </c>
      <c r="N103" s="93" t="str">
        <f t="shared" si="162"/>
        <v>n.a.</v>
      </c>
      <c r="O103" s="93" t="str">
        <f t="shared" si="162"/>
        <v>n.a.</v>
      </c>
      <c r="P103" s="93" t="str">
        <f t="shared" si="162"/>
        <v>n.a.</v>
      </c>
      <c r="Q103" s="93" t="str">
        <f t="shared" si="162"/>
        <v>n.a.</v>
      </c>
      <c r="R103" s="93" t="str">
        <f t="shared" si="162"/>
        <v>n.a.</v>
      </c>
      <c r="S103" s="93" t="str">
        <f t="shared" si="162"/>
        <v>n.a.</v>
      </c>
      <c r="T103" s="93" t="str">
        <f t="shared" si="162"/>
        <v>n.a.</v>
      </c>
      <c r="U103" s="93" t="str">
        <f t="shared" si="162"/>
        <v>n.a.</v>
      </c>
      <c r="V103" s="93">
        <f t="shared" si="162"/>
        <v>12.441988950276242</v>
      </c>
      <c r="W103" s="93">
        <f t="shared" si="162"/>
        <v>1.4385532264693524E-3</v>
      </c>
      <c r="X103" s="93">
        <f t="shared" si="162"/>
        <v>3.5748573346760626E-2</v>
      </c>
      <c r="Y103" s="93">
        <f t="shared" si="162"/>
        <v>2.5444612713341419E-2</v>
      </c>
      <c r="Z103" s="93">
        <f t="shared" si="162"/>
        <v>-5.3335504355924712E-3</v>
      </c>
      <c r="AA103" s="93">
        <f t="shared" si="162"/>
        <v>-3.43070362533896E-2</v>
      </c>
      <c r="AB103" s="93">
        <f t="shared" si="162"/>
        <v>1.827869139273397E-2</v>
      </c>
      <c r="AC103" s="93">
        <f t="shared" si="162"/>
        <v>1.8273930281859752E-2</v>
      </c>
      <c r="AD103" s="93">
        <f t="shared" si="162"/>
        <v>1.826913432725541E-2</v>
      </c>
      <c r="AE103" s="93">
        <f t="shared" si="162"/>
        <v>1.8264303228577861E-2</v>
      </c>
      <c r="AF103" s="93">
        <f t="shared" si="162"/>
        <v>1.8259436682287244E-2</v>
      </c>
      <c r="AG103" s="93">
        <f t="shared" si="162"/>
        <v>1.8254534381602072E-2</v>
      </c>
      <c r="AH103" s="93">
        <f t="shared" si="162"/>
        <v>1.8249596016460146E-2</v>
      </c>
      <c r="AI103" s="93">
        <f t="shared" si="162"/>
        <v>1.8244621273470152E-2</v>
      </c>
      <c r="AJ103" s="93">
        <f t="shared" si="162"/>
        <v>1.8239609835871473E-2</v>
      </c>
      <c r="AK103" s="93">
        <f t="shared" si="162"/>
        <v>1.8234561383486891E-2</v>
      </c>
      <c r="AL103" s="93">
        <f t="shared" si="162"/>
        <v>1.8229475592676625E-2</v>
      </c>
      <c r="AM103" s="93">
        <f t="shared" si="162"/>
        <v>1.8224352136293476E-2</v>
      </c>
      <c r="AN103" s="93">
        <f t="shared" si="162"/>
        <v>1.8219190683633979E-2</v>
      </c>
      <c r="AO103" s="93">
        <f t="shared" si="162"/>
        <v>-7.7826887884375417E-2</v>
      </c>
      <c r="AP103" s="93">
        <f t="shared" si="162"/>
        <v>-0.98341677132326966</v>
      </c>
      <c r="AQ103" s="93">
        <f t="shared" si="162"/>
        <v>-3.4999999999999143E-2</v>
      </c>
      <c r="AR103" s="93">
        <f t="shared" si="162"/>
        <v>-3.8357512953368089E-2</v>
      </c>
      <c r="AS103" s="93">
        <f t="shared" si="162"/>
        <v>-4.2136494663168489E-2</v>
      </c>
      <c r="AT103" s="93">
        <f t="shared" si="162"/>
        <v>-4.642154146243449E-2</v>
      </c>
      <c r="AU103" s="93">
        <f t="shared" si="162"/>
        <v>-5.1321513031907351E-2</v>
      </c>
      <c r="AV103" s="93">
        <f t="shared" si="162"/>
        <v>-5.6978903124564106E-2</v>
      </c>
      <c r="AW103" s="93">
        <f t="shared" si="162"/>
        <v>-6.3583916691489772E-2</v>
      </c>
      <c r="AX103" s="93">
        <f t="shared" si="162"/>
        <v>-7.1396263068975618E-2</v>
      </c>
      <c r="AY103" s="93">
        <f t="shared" si="162"/>
        <v>-8.078009560022037E-2</v>
      </c>
      <c r="AZ103" s="93">
        <f t="shared" si="162"/>
        <v>-9.2262384007020803E-2</v>
      </c>
      <c r="BA103" s="93">
        <f t="shared" si="162"/>
        <v>-0.10663536158237086</v>
      </c>
      <c r="BB103" s="93">
        <f t="shared" si="162"/>
        <v>-0.12514746239567542</v>
      </c>
      <c r="BC103" s="93">
        <f t="shared" si="162"/>
        <v>-0.14988691820014233</v>
      </c>
      <c r="BD103" s="93">
        <f t="shared" si="162"/>
        <v>-0.18463066380373405</v>
      </c>
      <c r="BE103" s="93">
        <f t="shared" si="119"/>
        <v>-0.23698390954033688</v>
      </c>
      <c r="BF103" s="93">
        <f t="shared" si="120"/>
        <v>-0.32487676820913469</v>
      </c>
      <c r="BG103" s="93">
        <f t="shared" si="121"/>
        <v>-0.50308792531014257</v>
      </c>
      <c r="BH103" s="93">
        <f t="shared" si="122"/>
        <v>-1.0579312131867196</v>
      </c>
      <c r="BI103" s="93">
        <f t="shared" si="123"/>
        <v>19.07357235909409</v>
      </c>
      <c r="BJ103" s="93">
        <f t="shared" si="124"/>
        <v>0.99196765711074697</v>
      </c>
      <c r="BK103" s="93">
        <f t="shared" si="125"/>
        <v>0.51965664719930449</v>
      </c>
      <c r="BL103" s="93">
        <f t="shared" si="126"/>
        <v>0.35669013831187457</v>
      </c>
      <c r="BM103" s="93">
        <f t="shared" si="127"/>
        <v>0.27413002711168688</v>
      </c>
      <c r="BN103" s="93">
        <f t="shared" si="128"/>
        <v>0.22424457647567619</v>
      </c>
      <c r="BO103" s="93">
        <f t="shared" si="129"/>
        <v>0.19084122758639599</v>
      </c>
      <c r="BP103" s="93">
        <f t="shared" si="130"/>
        <v>0.16690994315258156</v>
      </c>
      <c r="BQ103" s="93">
        <f t="shared" si="131"/>
        <v>0.14892235829425471</v>
      </c>
      <c r="BR103" s="93">
        <f t="shared" si="132"/>
        <v>0.13490897878366814</v>
      </c>
      <c r="BS103" s="93">
        <f t="shared" si="133"/>
        <v>0.12368390458994405</v>
      </c>
      <c r="BT103" s="93">
        <f t="shared" si="134"/>
        <v>0.11449037924846772</v>
      </c>
      <c r="BU103" s="93">
        <f t="shared" si="135"/>
        <v>0.10682277581945665</v>
      </c>
      <c r="BV103" s="93">
        <f t="shared" si="136"/>
        <v>0.10033040553696271</v>
      </c>
      <c r="BW103" s="93">
        <f t="shared" si="137"/>
        <v>9.4762393964476832E-2</v>
      </c>
      <c r="BX103" s="93">
        <f t="shared" si="138"/>
        <v>8.9934528114701484E-2</v>
      </c>
      <c r="BY103" s="93">
        <f t="shared" si="139"/>
        <v>8.570849435638439E-2</v>
      </c>
      <c r="BZ103" s="93">
        <f t="shared" si="140"/>
        <v>8.1978421068566121E-2</v>
      </c>
      <c r="CA103" s="93">
        <f t="shared" si="141"/>
        <v>7.8661893747869138E-2</v>
      </c>
      <c r="CB103" s="93">
        <f t="shared" si="142"/>
        <v>7.5693799462112743E-2</v>
      </c>
      <c r="CC103" s="93">
        <f t="shared" si="143"/>
        <v>7.3022013027985944E-2</v>
      </c>
      <c r="CD103" s="93">
        <f t="shared" si="144"/>
        <v>7.060431256897326E-2</v>
      </c>
      <c r="CE103" s="93">
        <f t="shared" si="145"/>
        <v>6.8406134238592875E-2</v>
      </c>
      <c r="CF103" s="93">
        <f t="shared" si="146"/>
        <v>6.6398911305059816E-2</v>
      </c>
      <c r="CG103" s="93">
        <f t="shared" si="147"/>
        <v>6.4558827538776731E-2</v>
      </c>
      <c r="CH103" s="93">
        <f t="shared" si="148"/>
        <v>6.2865869146197628E-2</v>
      </c>
      <c r="CI103" s="93">
        <f t="shared" si="149"/>
        <v>6.1303095037732236E-2</v>
      </c>
      <c r="CJ103" s="93">
        <f t="shared" si="150"/>
        <v>5.9856068936775975E-2</v>
      </c>
      <c r="CK103" s="93">
        <f t="shared" si="151"/>
        <v>5.8512412946982284E-2</v>
      </c>
      <c r="CL103" s="93">
        <f t="shared" si="152"/>
        <v>5.7261453314373822E-2</v>
      </c>
      <c r="CM103" s="93">
        <f t="shared" si="153"/>
        <v>5.6093936910582842E-2</v>
      </c>
      <c r="CN103" s="93">
        <f t="shared" si="154"/>
        <v>5.5001802495496355E-2</v>
      </c>
      <c r="CO103" s="93">
        <f t="shared" si="155"/>
        <v>5.3977994796404749E-2</v>
      </c>
      <c r="CP103" s="93">
        <f t="shared" si="156"/>
        <v>5.3016312336046312E-2</v>
      </c>
      <c r="CQ103" s="23" t="s">
        <v>77</v>
      </c>
    </row>
    <row r="104" spans="1:95" outlineLevel="1" x14ac:dyDescent="0.2">
      <c r="B104" s="12" t="s">
        <v>559</v>
      </c>
      <c r="K104" s="93"/>
      <c r="L104" s="93"/>
      <c r="M104" s="93"/>
      <c r="N104" s="93"/>
      <c r="O104" s="93"/>
      <c r="P104" s="93"/>
      <c r="Q104" s="93"/>
      <c r="R104" s="93"/>
      <c r="S104" s="93" t="str">
        <f>IF(ISERROR(+S78/R78-1),"n.a.",+S78/R78-1)</f>
        <v>n.a.</v>
      </c>
      <c r="T104" s="93" t="str">
        <f>IF(ISERROR(+T78/S78-1),"n.a.",+T78/S78-1)</f>
        <v>n.a.</v>
      </c>
      <c r="U104" s="93" t="str">
        <f>IF(ISERROR(+U78/T78-1),"n.a.",+U78/T78-1)</f>
        <v>n.a.</v>
      </c>
      <c r="V104" s="93" t="str">
        <f>IF(ISERROR(+V78/U78-1),"n.a.",+V78/U78-1)</f>
        <v>n.a.</v>
      </c>
      <c r="W104" s="93" t="s">
        <v>78</v>
      </c>
      <c r="X104" s="93" t="s">
        <v>78</v>
      </c>
      <c r="Y104" s="93" t="s">
        <v>78</v>
      </c>
      <c r="Z104" s="93">
        <f t="shared" ref="Z104:BD104" si="163">Z78/Y78-1</f>
        <v>2.4999999999999911E-2</v>
      </c>
      <c r="AA104" s="93">
        <f t="shared" si="163"/>
        <v>2.34375E-2</v>
      </c>
      <c r="AB104" s="93">
        <f t="shared" si="163"/>
        <v>2.3437022900763216E-2</v>
      </c>
      <c r="AC104" s="93">
        <f t="shared" si="163"/>
        <v>2.343654492700642E-2</v>
      </c>
      <c r="AD104" s="93">
        <f t="shared" si="163"/>
        <v>2.3436066076679696E-2</v>
      </c>
      <c r="AE104" s="93">
        <f t="shared" si="163"/>
        <v>2.3435586347726689E-2</v>
      </c>
      <c r="AF104" s="93">
        <f t="shared" si="163"/>
        <v>2.3435105738085493E-2</v>
      </c>
      <c r="AG104" s="93">
        <f t="shared" si="163"/>
        <v>2.3434624245687097E-2</v>
      </c>
      <c r="AH104" s="93">
        <f t="shared" si="163"/>
        <v>2.3434141868456937E-2</v>
      </c>
      <c r="AI104" s="93">
        <f t="shared" si="163"/>
        <v>2.343365860431379E-2</v>
      </c>
      <c r="AJ104" s="93">
        <f t="shared" si="163"/>
        <v>2.3433174451169991E-2</v>
      </c>
      <c r="AK104" s="93">
        <f t="shared" si="163"/>
        <v>2.3432689406931884E-2</v>
      </c>
      <c r="AL104" s="93">
        <f t="shared" si="163"/>
        <v>2.3432203469498925E-2</v>
      </c>
      <c r="AM104" s="93">
        <f t="shared" si="163"/>
        <v>2.3431716636764799E-2</v>
      </c>
      <c r="AN104" s="93">
        <f t="shared" si="163"/>
        <v>2.3431228906616086E-2</v>
      </c>
      <c r="AO104" s="93">
        <f t="shared" si="163"/>
        <v>2.3430740276933149E-2</v>
      </c>
      <c r="AP104" s="93">
        <f t="shared" si="163"/>
        <v>2.3430250745590131E-2</v>
      </c>
      <c r="AQ104" s="93">
        <f t="shared" si="163"/>
        <v>2.3429760310454961E-2</v>
      </c>
      <c r="AR104" s="93">
        <f t="shared" si="163"/>
        <v>-0.44354521832286931</v>
      </c>
      <c r="AS104" s="93">
        <f t="shared" si="163"/>
        <v>2.3159207509392266E-2</v>
      </c>
      <c r="AT104" s="93">
        <f t="shared" si="163"/>
        <v>2.3158144599170427E-2</v>
      </c>
      <c r="AU104" s="93">
        <f t="shared" si="163"/>
        <v>2.3157079160682326E-2</v>
      </c>
      <c r="AV104" s="93">
        <f t="shared" si="163"/>
        <v>2.3156011185692993E-2</v>
      </c>
      <c r="AW104" s="93">
        <f t="shared" si="163"/>
        <v>2.3154940665931267E-2</v>
      </c>
      <c r="AX104" s="93">
        <f t="shared" si="163"/>
        <v>2.3153867593090238E-2</v>
      </c>
      <c r="AY104" s="93">
        <f t="shared" si="163"/>
        <v>2.3152791958828578E-2</v>
      </c>
      <c r="AZ104" s="93">
        <f t="shared" si="163"/>
        <v>2.3151713754766767E-2</v>
      </c>
      <c r="BA104" s="93">
        <f t="shared" si="163"/>
        <v>2.3150632972491092E-2</v>
      </c>
      <c r="BB104" s="93">
        <f t="shared" si="163"/>
        <v>2.3149549603549868E-2</v>
      </c>
      <c r="BC104" s="93">
        <f t="shared" si="163"/>
        <v>2.3148463639455219E-2</v>
      </c>
      <c r="BD104" s="93">
        <f t="shared" si="163"/>
        <v>2.3147375071683074E-2</v>
      </c>
      <c r="BE104" s="93">
        <f t="shared" ref="BE104:CP104" si="164">BE78/BD78-1</f>
        <v>2.3146283891671171E-2</v>
      </c>
      <c r="BF104" s="93">
        <f t="shared" si="164"/>
        <v>2.3145190090821277E-2</v>
      </c>
      <c r="BG104" s="93">
        <f t="shared" si="164"/>
        <v>2.3144093660496967E-2</v>
      </c>
      <c r="BH104" s="93">
        <f t="shared" si="164"/>
        <v>2.3142994592024069E-2</v>
      </c>
      <c r="BI104" s="93">
        <f t="shared" si="164"/>
        <v>2.3141892876690662E-2</v>
      </c>
      <c r="BJ104" s="93">
        <f t="shared" si="164"/>
        <v>2.3140788505747523E-2</v>
      </c>
      <c r="BK104" s="93">
        <f t="shared" si="164"/>
        <v>2.313968147040546E-2</v>
      </c>
      <c r="BL104" s="93">
        <f t="shared" si="164"/>
        <v>2.3138571761838644E-2</v>
      </c>
      <c r="BM104" s="93">
        <f t="shared" si="164"/>
        <v>2.3137459371181501E-2</v>
      </c>
      <c r="BN104" s="93">
        <f t="shared" si="164"/>
        <v>2.313634428952982E-2</v>
      </c>
      <c r="BO104" s="93">
        <f t="shared" si="164"/>
        <v>2.3135226507940976E-2</v>
      </c>
      <c r="BP104" s="93">
        <f t="shared" si="164"/>
        <v>2.31341060174306E-2</v>
      </c>
      <c r="BQ104" s="93">
        <f t="shared" si="164"/>
        <v>2.3132982808978131E-2</v>
      </c>
      <c r="BR104" s="93">
        <f t="shared" si="164"/>
        <v>2.3131856873521262E-2</v>
      </c>
      <c r="BS104" s="93">
        <f t="shared" si="164"/>
        <v>2.3130728201956829E-2</v>
      </c>
      <c r="BT104" s="93">
        <f t="shared" si="164"/>
        <v>2.3129596785144813E-2</v>
      </c>
      <c r="BU104" s="93">
        <f t="shared" si="164"/>
        <v>2.3128462613900336E-2</v>
      </c>
      <c r="BV104" s="93">
        <f t="shared" si="164"/>
        <v>2.3127325679001887E-2</v>
      </c>
      <c r="BW104" s="93">
        <f t="shared" si="164"/>
        <v>2.3126185971184654E-2</v>
      </c>
      <c r="BX104" s="93">
        <f t="shared" si="164"/>
        <v>2.3125043481142971E-2</v>
      </c>
      <c r="BY104" s="93">
        <f t="shared" si="164"/>
        <v>2.3123898199531201E-2</v>
      </c>
      <c r="BZ104" s="93">
        <f t="shared" si="164"/>
        <v>2.3122750116960633E-2</v>
      </c>
      <c r="CA104" s="93">
        <f t="shared" si="164"/>
        <v>2.3121599224001255E-2</v>
      </c>
      <c r="CB104" s="93">
        <f t="shared" si="164"/>
        <v>2.3120445511181309E-2</v>
      </c>
      <c r="CC104" s="93">
        <f t="shared" si="164"/>
        <v>2.3119288968986851E-2</v>
      </c>
      <c r="CD104" s="93">
        <f t="shared" si="164"/>
        <v>2.3118129587860858E-2</v>
      </c>
      <c r="CE104" s="93">
        <f t="shared" si="164"/>
        <v>2.3116967358203455E-2</v>
      </c>
      <c r="CF104" s="93">
        <f t="shared" si="164"/>
        <v>2.311580227037302E-2</v>
      </c>
      <c r="CG104" s="93">
        <f t="shared" si="164"/>
        <v>2.3114634314683302E-2</v>
      </c>
      <c r="CH104" s="93">
        <f t="shared" si="164"/>
        <v>2.311346348140586E-2</v>
      </c>
      <c r="CI104" s="93">
        <f t="shared" si="164"/>
        <v>2.311228976076718E-2</v>
      </c>
      <c r="CJ104" s="93">
        <f t="shared" si="164"/>
        <v>2.311111314295089E-2</v>
      </c>
      <c r="CK104" s="93">
        <f t="shared" si="164"/>
        <v>2.3109933618095768E-2</v>
      </c>
      <c r="CL104" s="93">
        <f t="shared" si="164"/>
        <v>2.3108751176296627E-2</v>
      </c>
      <c r="CM104" s="93">
        <f t="shared" si="164"/>
        <v>2.3107565807603425E-2</v>
      </c>
      <c r="CN104" s="93">
        <f t="shared" si="164"/>
        <v>2.3106377502020825E-2</v>
      </c>
      <c r="CO104" s="93">
        <f t="shared" si="164"/>
        <v>2.3105186249508636E-2</v>
      </c>
      <c r="CP104" s="93">
        <f t="shared" si="164"/>
        <v>-1</v>
      </c>
      <c r="CQ104" s="23" t="s">
        <v>77</v>
      </c>
    </row>
    <row r="105" spans="1:95" outlineLevel="1" x14ac:dyDescent="0.2">
      <c r="B105" s="12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  <c r="AA105" s="93"/>
      <c r="AB105" s="93"/>
      <c r="AC105" s="93"/>
      <c r="AD105" s="93"/>
      <c r="AE105" s="93"/>
      <c r="AF105" s="93"/>
      <c r="AG105" s="93"/>
      <c r="AH105" s="93"/>
      <c r="AI105" s="93"/>
      <c r="AJ105" s="93"/>
      <c r="AK105" s="93"/>
      <c r="AL105" s="93"/>
      <c r="AM105" s="93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23"/>
    </row>
    <row r="106" spans="1:95" outlineLevel="1" x14ac:dyDescent="0.2">
      <c r="B106" s="485" t="s">
        <v>299</v>
      </c>
      <c r="D106" s="485"/>
      <c r="E106" s="485"/>
      <c r="F106" s="485"/>
      <c r="G106" s="485"/>
      <c r="H106" s="485"/>
      <c r="I106" s="485"/>
      <c r="J106" s="485"/>
      <c r="K106" s="94" t="str">
        <f t="shared" ref="K106:BD106" si="165">IF(ISERROR(+K80/J80-1),"n.a.",+K80/J80-1)</f>
        <v>n.a.</v>
      </c>
      <c r="L106" s="94" t="str">
        <f t="shared" si="165"/>
        <v>n.a.</v>
      </c>
      <c r="M106" s="94" t="str">
        <f t="shared" si="165"/>
        <v>n.a.</v>
      </c>
      <c r="N106" s="94" t="str">
        <f t="shared" si="165"/>
        <v>n.a.</v>
      </c>
      <c r="O106" s="94">
        <f t="shared" si="165"/>
        <v>5.1652892561984132E-3</v>
      </c>
      <c r="P106" s="94">
        <f t="shared" si="165"/>
        <v>6.1664953751284779E-2</v>
      </c>
      <c r="Q106" s="94">
        <f t="shared" si="165"/>
        <v>-0.30605033881897381</v>
      </c>
      <c r="R106" s="94">
        <f t="shared" si="165"/>
        <v>0.1099393178489223</v>
      </c>
      <c r="S106" s="94">
        <f t="shared" si="165"/>
        <v>1.0580147299097602</v>
      </c>
      <c r="T106" s="94">
        <f t="shared" si="165"/>
        <v>0.43207855973813447</v>
      </c>
      <c r="U106" s="94">
        <f t="shared" si="165"/>
        <v>0.45031982942430671</v>
      </c>
      <c r="V106" s="94">
        <f t="shared" si="165"/>
        <v>1.5163187297853575</v>
      </c>
      <c r="W106" s="94">
        <f t="shared" si="165"/>
        <v>8.1327412946950339E-2</v>
      </c>
      <c r="X106" s="94">
        <f t="shared" si="165"/>
        <v>2.3601404977819485E-2</v>
      </c>
      <c r="Y106" s="94">
        <f t="shared" si="165"/>
        <v>4.3421167418564943E-2</v>
      </c>
      <c r="Z106" s="94">
        <f t="shared" si="165"/>
        <v>1.9102082226848394E-2</v>
      </c>
      <c r="AA106" s="94">
        <f t="shared" si="165"/>
        <v>-7.7748419989213113E-3</v>
      </c>
      <c r="AB106" s="94">
        <f t="shared" si="165"/>
        <v>1.8412727328154688E-2</v>
      </c>
      <c r="AC106" s="94">
        <f t="shared" si="165"/>
        <v>2.1326904845870853E-2</v>
      </c>
      <c r="AD106" s="94">
        <f t="shared" si="165"/>
        <v>2.1787853919522648E-2</v>
      </c>
      <c r="AE106" s="94">
        <f t="shared" si="165"/>
        <v>2.178119599464523E-2</v>
      </c>
      <c r="AF106" s="94">
        <f t="shared" si="165"/>
        <v>2.1774858487525472E-2</v>
      </c>
      <c r="AG106" s="94">
        <f t="shared" si="165"/>
        <v>2.2984698099009826E-2</v>
      </c>
      <c r="AH106" s="94">
        <f t="shared" si="165"/>
        <v>2.1390482225664087E-2</v>
      </c>
      <c r="AI106" s="94">
        <f t="shared" si="165"/>
        <v>-0.11702990105133504</v>
      </c>
      <c r="AJ106" s="94">
        <f t="shared" si="165"/>
        <v>-8.5906098852844281E-2</v>
      </c>
      <c r="AK106" s="94">
        <f t="shared" si="165"/>
        <v>3.4189707352416665E-3</v>
      </c>
      <c r="AL106" s="94">
        <f t="shared" si="165"/>
        <v>1.9828407247180158E-2</v>
      </c>
      <c r="AM106" s="94">
        <f t="shared" si="165"/>
        <v>1.9832965547241121E-2</v>
      </c>
      <c r="AN106" s="94">
        <f t="shared" si="165"/>
        <v>1.9836373035222232E-2</v>
      </c>
      <c r="AO106" s="94">
        <f t="shared" si="165"/>
        <v>-4.0840618024152509E-2</v>
      </c>
      <c r="AP106" s="94">
        <f t="shared" si="165"/>
        <v>-0.58851302826729368</v>
      </c>
      <c r="AQ106" s="94">
        <f t="shared" si="165"/>
        <v>2.1239231962838945E-2</v>
      </c>
      <c r="AR106" s="94">
        <f t="shared" si="165"/>
        <v>-0.27427385449556296</v>
      </c>
      <c r="AS106" s="94">
        <f t="shared" si="165"/>
        <v>2.1124500653659783E-2</v>
      </c>
      <c r="AT106" s="94">
        <f t="shared" si="165"/>
        <v>2.1124109186652529E-2</v>
      </c>
      <c r="AU106" s="94">
        <f t="shared" si="165"/>
        <v>2.1123695309626767E-2</v>
      </c>
      <c r="AV106" s="94">
        <f t="shared" si="165"/>
        <v>2.1123258924641286E-2</v>
      </c>
      <c r="AW106" s="94">
        <f t="shared" si="165"/>
        <v>4.859412126596796E-3</v>
      </c>
      <c r="AX106" s="94">
        <f t="shared" si="165"/>
        <v>2.1123828198206906E-2</v>
      </c>
      <c r="AY106" s="94">
        <f t="shared" si="165"/>
        <v>2.1123486648680245E-2</v>
      </c>
      <c r="AZ106" s="94">
        <f t="shared" si="165"/>
        <v>2.1123122900106539E-2</v>
      </c>
      <c r="BA106" s="94">
        <f t="shared" si="165"/>
        <v>-0.18263246690611745</v>
      </c>
      <c r="BB106" s="94">
        <f t="shared" si="165"/>
        <v>2.0636949562660822E-2</v>
      </c>
      <c r="BC106" s="94">
        <f t="shared" si="165"/>
        <v>2.0635575055185429E-2</v>
      </c>
      <c r="BD106" s="94">
        <f t="shared" si="165"/>
        <v>2.0634171336623375E-2</v>
      </c>
      <c r="BE106" s="94">
        <f t="shared" ref="BE106:CP106" si="166">IF(ISERROR(+BE80/BD80-1),"n.a.",+BE80/BD80-1)</f>
        <v>2.0632738235740078E-2</v>
      </c>
      <c r="BF106" s="94">
        <f t="shared" si="166"/>
        <v>2.0631275580013986E-2</v>
      </c>
      <c r="BG106" s="94">
        <f t="shared" si="166"/>
        <v>2.0629783195622142E-2</v>
      </c>
      <c r="BH106" s="94">
        <f t="shared" si="166"/>
        <v>2.0628260907421536E-2</v>
      </c>
      <c r="BI106" s="94">
        <f t="shared" si="166"/>
        <v>2.062670853893267E-2</v>
      </c>
      <c r="BJ106" s="94">
        <f t="shared" si="166"/>
        <v>2.062512591232446E-2</v>
      </c>
      <c r="BK106" s="94">
        <f t="shared" si="166"/>
        <v>2.0623512848394032E-2</v>
      </c>
      <c r="BL106" s="94">
        <f t="shared" si="166"/>
        <v>2.0621869166551399E-2</v>
      </c>
      <c r="BM106" s="94">
        <f t="shared" si="166"/>
        <v>2.0620194684801918E-2</v>
      </c>
      <c r="BN106" s="94">
        <f t="shared" si="166"/>
        <v>2.0618489219726532E-2</v>
      </c>
      <c r="BO106" s="94">
        <f t="shared" si="166"/>
        <v>2.0616752586466003E-2</v>
      </c>
      <c r="BP106" s="94">
        <f t="shared" si="166"/>
        <v>2.0614984598699815E-2</v>
      </c>
      <c r="BQ106" s="94">
        <f t="shared" si="166"/>
        <v>2.0613185068630191E-2</v>
      </c>
      <c r="BR106" s="94">
        <f t="shared" si="166"/>
        <v>2.0611353806961219E-2</v>
      </c>
      <c r="BS106" s="94">
        <f t="shared" si="166"/>
        <v>2.060949062287909E-2</v>
      </c>
      <c r="BT106" s="94">
        <f t="shared" si="166"/>
        <v>2.0607595324035888E-2</v>
      </c>
      <c r="BU106" s="94">
        <f t="shared" si="166"/>
        <v>2.0605667716526277E-2</v>
      </c>
      <c r="BV106" s="94">
        <f t="shared" si="166"/>
        <v>2.0603707604867738E-2</v>
      </c>
      <c r="BW106" s="94">
        <f t="shared" si="166"/>
        <v>2.0601714791983694E-2</v>
      </c>
      <c r="BX106" s="94">
        <f t="shared" si="166"/>
        <v>2.0599689079178418E-2</v>
      </c>
      <c r="BY106" s="94">
        <f t="shared" si="166"/>
        <v>2.0597630266118827E-2</v>
      </c>
      <c r="BZ106" s="94">
        <f t="shared" si="166"/>
        <v>2.0595538150812054E-2</v>
      </c>
      <c r="CA106" s="94">
        <f t="shared" si="166"/>
        <v>2.0593412529585242E-2</v>
      </c>
      <c r="CB106" s="94">
        <f t="shared" si="166"/>
        <v>2.0591253197061343E-2</v>
      </c>
      <c r="CC106" s="94">
        <f t="shared" si="166"/>
        <v>2.058905994613891E-2</v>
      </c>
      <c r="CD106" s="94">
        <f t="shared" si="166"/>
        <v>2.0586832567969449E-2</v>
      </c>
      <c r="CE106" s="94">
        <f t="shared" si="166"/>
        <v>2.0584570851934547E-2</v>
      </c>
      <c r="CF106" s="94">
        <f t="shared" si="166"/>
        <v>2.0582274585620564E-2</v>
      </c>
      <c r="CG106" s="94">
        <f t="shared" si="166"/>
        <v>2.0579943554799085E-2</v>
      </c>
      <c r="CH106" s="94">
        <f t="shared" si="166"/>
        <v>-1.0172759626441898</v>
      </c>
      <c r="CI106" s="94">
        <f t="shared" si="166"/>
        <v>0.17437468069819184</v>
      </c>
      <c r="CJ106" s="94">
        <f t="shared" si="166"/>
        <v>0.15463439150410263</v>
      </c>
      <c r="CK106" s="94">
        <f t="shared" si="166"/>
        <v>0.13942634001312704</v>
      </c>
      <c r="CL106" s="94">
        <f t="shared" si="166"/>
        <v>0.12735059132008297</v>
      </c>
      <c r="CM106" s="94">
        <f t="shared" si="166"/>
        <v>0.11752994535197114</v>
      </c>
      <c r="CN106" s="94">
        <f t="shared" si="166"/>
        <v>0.10938678223591669</v>
      </c>
      <c r="CO106" s="94">
        <f t="shared" si="166"/>
        <v>0.10252523229570509</v>
      </c>
      <c r="CP106" s="94">
        <f t="shared" si="166"/>
        <v>1.5895965029498758</v>
      </c>
      <c r="CQ106" s="23" t="s">
        <v>77</v>
      </c>
    </row>
    <row r="107" spans="1:95" x14ac:dyDescent="0.2">
      <c r="CQ107" s="23" t="s">
        <v>77</v>
      </c>
    </row>
    <row r="108" spans="1:95" s="233" customFormat="1" x14ac:dyDescent="0.2">
      <c r="B108" s="728" t="s">
        <v>295</v>
      </c>
      <c r="C108" s="312"/>
      <c r="D108" s="312"/>
      <c r="E108" s="312"/>
      <c r="F108" s="312">
        <f t="shared" ref="F108:BQ108" si="167">Fiscal_Year</f>
        <v>36707</v>
      </c>
      <c r="G108" s="312">
        <f t="shared" si="167"/>
        <v>37072</v>
      </c>
      <c r="H108" s="312">
        <f t="shared" si="167"/>
        <v>37437</v>
      </c>
      <c r="I108" s="312">
        <f t="shared" si="167"/>
        <v>37802</v>
      </c>
      <c r="J108" s="312">
        <f t="shared" si="167"/>
        <v>38168</v>
      </c>
      <c r="K108" s="312">
        <f t="shared" si="167"/>
        <v>38533</v>
      </c>
      <c r="L108" s="312">
        <f t="shared" si="167"/>
        <v>38898</v>
      </c>
      <c r="M108" s="312">
        <f t="shared" si="167"/>
        <v>39263</v>
      </c>
      <c r="N108" s="312">
        <f t="shared" si="167"/>
        <v>39629</v>
      </c>
      <c r="O108" s="312">
        <f t="shared" si="167"/>
        <v>39994</v>
      </c>
      <c r="P108" s="312">
        <f t="shared" si="167"/>
        <v>40359</v>
      </c>
      <c r="Q108" s="312">
        <f t="shared" si="167"/>
        <v>40724</v>
      </c>
      <c r="R108" s="312">
        <f t="shared" si="167"/>
        <v>41090</v>
      </c>
      <c r="S108" s="312">
        <f t="shared" si="167"/>
        <v>41455</v>
      </c>
      <c r="T108" s="312">
        <f t="shared" si="167"/>
        <v>41820</v>
      </c>
      <c r="U108" s="312">
        <f t="shared" si="167"/>
        <v>42185</v>
      </c>
      <c r="V108" s="312">
        <f t="shared" si="167"/>
        <v>42551</v>
      </c>
      <c r="W108" s="312">
        <f t="shared" si="167"/>
        <v>42916</v>
      </c>
      <c r="X108" s="312">
        <f t="shared" si="167"/>
        <v>43281</v>
      </c>
      <c r="Y108" s="312">
        <f t="shared" si="167"/>
        <v>43646</v>
      </c>
      <c r="Z108" s="312">
        <f t="shared" si="167"/>
        <v>44012</v>
      </c>
      <c r="AA108" s="312">
        <f t="shared" si="167"/>
        <v>44377</v>
      </c>
      <c r="AB108" s="312">
        <f t="shared" si="167"/>
        <v>44742</v>
      </c>
      <c r="AC108" s="312">
        <f t="shared" si="167"/>
        <v>45107</v>
      </c>
      <c r="AD108" s="312">
        <f t="shared" si="167"/>
        <v>45473</v>
      </c>
      <c r="AE108" s="312">
        <f t="shared" si="167"/>
        <v>45838</v>
      </c>
      <c r="AF108" s="312">
        <f t="shared" si="167"/>
        <v>46203</v>
      </c>
      <c r="AG108" s="312">
        <f t="shared" si="167"/>
        <v>46568</v>
      </c>
      <c r="AH108" s="312">
        <f t="shared" si="167"/>
        <v>46934</v>
      </c>
      <c r="AI108" s="312">
        <f t="shared" si="167"/>
        <v>47299</v>
      </c>
      <c r="AJ108" s="312">
        <f t="shared" si="167"/>
        <v>47664</v>
      </c>
      <c r="AK108" s="312">
        <f t="shared" si="167"/>
        <v>48029</v>
      </c>
      <c r="AL108" s="312">
        <f t="shared" si="167"/>
        <v>48395</v>
      </c>
      <c r="AM108" s="312">
        <f t="shared" si="167"/>
        <v>48760</v>
      </c>
      <c r="AN108" s="312">
        <f t="shared" si="167"/>
        <v>49125</v>
      </c>
      <c r="AO108" s="312">
        <f t="shared" si="167"/>
        <v>49490</v>
      </c>
      <c r="AP108" s="312">
        <f t="shared" si="167"/>
        <v>49856</v>
      </c>
      <c r="AQ108" s="312">
        <f t="shared" si="167"/>
        <v>50221</v>
      </c>
      <c r="AR108" s="312">
        <f t="shared" si="167"/>
        <v>50586</v>
      </c>
      <c r="AS108" s="312">
        <f t="shared" si="167"/>
        <v>50951</v>
      </c>
      <c r="AT108" s="312">
        <f t="shared" si="167"/>
        <v>51317</v>
      </c>
      <c r="AU108" s="312">
        <f t="shared" si="167"/>
        <v>51682</v>
      </c>
      <c r="AV108" s="312">
        <f t="shared" si="167"/>
        <v>52047</v>
      </c>
      <c r="AW108" s="312">
        <f t="shared" si="167"/>
        <v>52412</v>
      </c>
      <c r="AX108" s="312">
        <f t="shared" si="167"/>
        <v>52778</v>
      </c>
      <c r="AY108" s="312">
        <f t="shared" si="167"/>
        <v>53143</v>
      </c>
      <c r="AZ108" s="312">
        <f t="shared" si="167"/>
        <v>53508</v>
      </c>
      <c r="BA108" s="312">
        <f t="shared" si="167"/>
        <v>53873</v>
      </c>
      <c r="BB108" s="312">
        <f t="shared" si="167"/>
        <v>54239</v>
      </c>
      <c r="BC108" s="312">
        <f t="shared" si="167"/>
        <v>54604</v>
      </c>
      <c r="BD108" s="312">
        <f t="shared" si="167"/>
        <v>54969</v>
      </c>
      <c r="BE108" s="312">
        <f t="shared" si="167"/>
        <v>55334</v>
      </c>
      <c r="BF108" s="312">
        <f t="shared" si="167"/>
        <v>55700</v>
      </c>
      <c r="BG108" s="312">
        <f t="shared" si="167"/>
        <v>56065</v>
      </c>
      <c r="BH108" s="312">
        <f t="shared" si="167"/>
        <v>56430</v>
      </c>
      <c r="BI108" s="312">
        <f t="shared" si="167"/>
        <v>56795</v>
      </c>
      <c r="BJ108" s="312">
        <f t="shared" si="167"/>
        <v>57161</v>
      </c>
      <c r="BK108" s="312">
        <f t="shared" si="167"/>
        <v>57526</v>
      </c>
      <c r="BL108" s="312">
        <f t="shared" si="167"/>
        <v>57891</v>
      </c>
      <c r="BM108" s="312">
        <f t="shared" si="167"/>
        <v>58256</v>
      </c>
      <c r="BN108" s="312">
        <f t="shared" si="167"/>
        <v>58622</v>
      </c>
      <c r="BO108" s="312">
        <f t="shared" si="167"/>
        <v>58987</v>
      </c>
      <c r="BP108" s="312">
        <f t="shared" si="167"/>
        <v>59352</v>
      </c>
      <c r="BQ108" s="312">
        <f t="shared" si="167"/>
        <v>59717</v>
      </c>
      <c r="BR108" s="312">
        <f t="shared" ref="BR108:CP108" si="168">Fiscal_Year</f>
        <v>60083</v>
      </c>
      <c r="BS108" s="312">
        <f t="shared" si="168"/>
        <v>60448</v>
      </c>
      <c r="BT108" s="312">
        <f t="shared" si="168"/>
        <v>60813</v>
      </c>
      <c r="BU108" s="312">
        <f t="shared" si="168"/>
        <v>61178</v>
      </c>
      <c r="BV108" s="312">
        <f t="shared" si="168"/>
        <v>61544</v>
      </c>
      <c r="BW108" s="312">
        <f t="shared" si="168"/>
        <v>61909</v>
      </c>
      <c r="BX108" s="312">
        <f t="shared" si="168"/>
        <v>62274</v>
      </c>
      <c r="BY108" s="312">
        <f t="shared" si="168"/>
        <v>62639</v>
      </c>
      <c r="BZ108" s="312">
        <f t="shared" si="168"/>
        <v>63005</v>
      </c>
      <c r="CA108" s="312">
        <f t="shared" si="168"/>
        <v>63370</v>
      </c>
      <c r="CB108" s="312">
        <f t="shared" si="168"/>
        <v>63735</v>
      </c>
      <c r="CC108" s="312">
        <f t="shared" si="168"/>
        <v>64100</v>
      </c>
      <c r="CD108" s="312">
        <f t="shared" si="168"/>
        <v>64466</v>
      </c>
      <c r="CE108" s="312">
        <f t="shared" si="168"/>
        <v>64831</v>
      </c>
      <c r="CF108" s="312">
        <f t="shared" si="168"/>
        <v>65196</v>
      </c>
      <c r="CG108" s="312">
        <f t="shared" si="168"/>
        <v>65561</v>
      </c>
      <c r="CH108" s="312">
        <f t="shared" si="168"/>
        <v>65927</v>
      </c>
      <c r="CI108" s="312">
        <f t="shared" si="168"/>
        <v>66292</v>
      </c>
      <c r="CJ108" s="312">
        <f t="shared" si="168"/>
        <v>66657</v>
      </c>
      <c r="CK108" s="312">
        <f t="shared" si="168"/>
        <v>67022</v>
      </c>
      <c r="CL108" s="312">
        <f t="shared" si="168"/>
        <v>67388</v>
      </c>
      <c r="CM108" s="312">
        <f t="shared" si="168"/>
        <v>67753</v>
      </c>
      <c r="CN108" s="312">
        <f t="shared" si="168"/>
        <v>68118</v>
      </c>
      <c r="CO108" s="312">
        <f t="shared" si="168"/>
        <v>68483</v>
      </c>
      <c r="CP108" s="312">
        <f t="shared" si="168"/>
        <v>68849</v>
      </c>
      <c r="CQ108" s="23" t="s">
        <v>77</v>
      </c>
    </row>
    <row r="109" spans="1:95" ht="5.0999999999999996" customHeight="1" x14ac:dyDescent="0.2">
      <c r="B109" s="107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108"/>
      <c r="AU109" s="108"/>
      <c r="AV109" s="108"/>
      <c r="AW109" s="108"/>
      <c r="AX109" s="108"/>
      <c r="AY109" s="108"/>
      <c r="AZ109" s="108"/>
      <c r="BA109" s="108"/>
      <c r="BB109" s="108"/>
      <c r="BC109" s="108"/>
      <c r="BD109" s="108"/>
      <c r="BE109" s="108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Q109" s="108"/>
      <c r="BR109" s="10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M109" s="108"/>
      <c r="CN109" s="108"/>
      <c r="CO109" s="108"/>
      <c r="CP109" s="108"/>
      <c r="CQ109" s="23" t="s">
        <v>77</v>
      </c>
    </row>
    <row r="110" spans="1:95" outlineLevel="1" x14ac:dyDescent="0.2">
      <c r="B110" s="1" t="s">
        <v>317</v>
      </c>
      <c r="D110" s="3"/>
      <c r="E110" s="3"/>
      <c r="F110" s="3"/>
      <c r="G110" s="3"/>
      <c r="H110" s="3"/>
      <c r="I110" s="3"/>
      <c r="J110" s="3"/>
      <c r="K110" s="3">
        <f>+K117+K125</f>
        <v>0</v>
      </c>
      <c r="L110" s="3">
        <f>+K115</f>
        <v>0</v>
      </c>
      <c r="M110" s="3">
        <v>296.41000000000003</v>
      </c>
      <c r="N110" s="3">
        <f t="shared" ref="N110:T110" si="169">+M115</f>
        <v>300.20999999999998</v>
      </c>
      <c r="O110" s="3">
        <f t="shared" si="169"/>
        <v>335.21</v>
      </c>
      <c r="P110" s="3">
        <f t="shared" si="169"/>
        <v>339.51</v>
      </c>
      <c r="Q110" s="3">
        <f t="shared" si="169"/>
        <v>346.51</v>
      </c>
      <c r="R110" s="3">
        <f t="shared" si="169"/>
        <v>362.71</v>
      </c>
      <c r="S110" s="3">
        <f t="shared" si="169"/>
        <v>417.60999999999996</v>
      </c>
      <c r="T110" s="3">
        <f t="shared" si="169"/>
        <v>417.10999999999996</v>
      </c>
      <c r="U110" s="3">
        <f t="shared" ref="U110:BD110" si="170">+T115</f>
        <v>415.91</v>
      </c>
      <c r="V110" s="3">
        <f t="shared" si="170"/>
        <v>412.11</v>
      </c>
      <c r="W110" s="3">
        <f t="shared" si="170"/>
        <v>408.61</v>
      </c>
      <c r="X110" s="4">
        <v>452.1206267934482</v>
      </c>
      <c r="Y110" s="3">
        <f t="shared" si="170"/>
        <v>473.32617956735987</v>
      </c>
      <c r="Z110" s="3">
        <f t="shared" si="170"/>
        <v>483.66703101683521</v>
      </c>
      <c r="AA110" s="3">
        <f t="shared" si="170"/>
        <v>484.03884383036905</v>
      </c>
      <c r="AB110" s="3">
        <f t="shared" si="170"/>
        <v>492.15603193961493</v>
      </c>
      <c r="AC110" s="3">
        <f t="shared" si="170"/>
        <v>502.51708448764668</v>
      </c>
      <c r="AD110" s="3">
        <f t="shared" si="170"/>
        <v>513.09626178258031</v>
      </c>
      <c r="AE110" s="3">
        <f t="shared" si="170"/>
        <v>523.89815586803218</v>
      </c>
      <c r="AF110" s="3">
        <f t="shared" si="170"/>
        <v>534.92745546103527</v>
      </c>
      <c r="AG110" s="3">
        <f t="shared" si="170"/>
        <v>546.18894798724432</v>
      </c>
      <c r="AH110" s="3">
        <f t="shared" si="170"/>
        <v>557.68752165898661</v>
      </c>
      <c r="AI110" s="3">
        <f t="shared" si="170"/>
        <v>569.42816759706045</v>
      </c>
      <c r="AJ110" s="3">
        <f t="shared" si="170"/>
        <v>581.41598199720261</v>
      </c>
      <c r="AK110" s="3">
        <f t="shared" si="170"/>
        <v>593.65616834216564</v>
      </c>
      <c r="AL110" s="3">
        <f t="shared" si="170"/>
        <v>606.15403966036388</v>
      </c>
      <c r="AM110" s="3">
        <f t="shared" si="170"/>
        <v>618.91502083206933</v>
      </c>
      <c r="AN110" s="3">
        <f t="shared" si="170"/>
        <v>631.94465094415955</v>
      </c>
      <c r="AO110" s="3">
        <f t="shared" si="170"/>
        <v>645.24858569443677</v>
      </c>
      <c r="AP110" s="3">
        <f t="shared" si="170"/>
        <v>658.83259984656547</v>
      </c>
      <c r="AQ110" s="3">
        <f t="shared" si="170"/>
        <v>672.7025897366907</v>
      </c>
      <c r="AR110" s="3">
        <f t="shared" si="170"/>
        <v>686.86457583282788</v>
      </c>
      <c r="AS110" s="3">
        <f t="shared" si="170"/>
        <v>701.32470534813297</v>
      </c>
      <c r="AT110" s="3">
        <f t="shared" si="170"/>
        <v>716.08925490918841</v>
      </c>
      <c r="AU110" s="3">
        <f t="shared" si="170"/>
        <v>731.16463328046336</v>
      </c>
      <c r="AV110" s="3">
        <f t="shared" si="170"/>
        <v>746.55738414612938</v>
      </c>
      <c r="AW110" s="3">
        <f t="shared" si="170"/>
        <v>762.27418895044036</v>
      </c>
      <c r="AX110" s="3">
        <f t="shared" si="170"/>
        <v>778.32186979790947</v>
      </c>
      <c r="AY110" s="3">
        <f t="shared" si="170"/>
        <v>794.70739241454157</v>
      </c>
      <c r="AZ110" s="3">
        <f t="shared" si="170"/>
        <v>811.43786917140596</v>
      </c>
      <c r="BA110" s="3">
        <f t="shared" si="170"/>
        <v>828.5205621718635</v>
      </c>
      <c r="BB110" s="3">
        <f t="shared" si="170"/>
        <v>845.96288640378657</v>
      </c>
      <c r="BC110" s="3">
        <f t="shared" si="170"/>
        <v>863.77241295814088</v>
      </c>
      <c r="BD110" s="3">
        <f t="shared" si="170"/>
        <v>881.956872315326</v>
      </c>
      <c r="BE110" s="3">
        <f t="shared" ref="BE110:CP110" si="171">+BD115</f>
        <v>900.52415770070149</v>
      </c>
      <c r="BF110" s="3">
        <f t="shared" si="171"/>
        <v>919.4823285107542</v>
      </c>
      <c r="BG110" s="3">
        <f t="shared" si="171"/>
        <v>938.83961381139522</v>
      </c>
      <c r="BH110" s="3">
        <f t="shared" si="171"/>
        <v>958.60441590990354</v>
      </c>
      <c r="BI110" s="3">
        <f t="shared" si="171"/>
        <v>978.78531400206873</v>
      </c>
      <c r="BJ110" s="3">
        <f t="shared" si="171"/>
        <v>999.3910678961131</v>
      </c>
      <c r="BK110" s="3">
        <f t="shared" si="171"/>
        <v>1020.4306218150126</v>
      </c>
      <c r="BL110" s="3">
        <f t="shared" si="171"/>
        <v>1041.9131082788647</v>
      </c>
      <c r="BM110" s="3">
        <f t="shared" si="171"/>
        <v>1063.8478520689905</v>
      </c>
      <c r="BN110" s="3">
        <f t="shared" si="171"/>
        <v>1086.2443742754886</v>
      </c>
      <c r="BO110" s="3">
        <f t="shared" si="171"/>
        <v>1109.1123964300011</v>
      </c>
      <c r="BP110" s="3">
        <f t="shared" si="171"/>
        <v>1132.4618447254852</v>
      </c>
      <c r="BQ110" s="3">
        <f t="shared" si="171"/>
        <v>1156.3028543248174</v>
      </c>
      <c r="BR110" s="3">
        <f t="shared" si="171"/>
        <v>1180.6457737601083</v>
      </c>
      <c r="BS110" s="3">
        <f t="shared" si="171"/>
        <v>1205.50116942463</v>
      </c>
      <c r="BT110" s="3">
        <f t="shared" si="171"/>
        <v>1230.879830159311</v>
      </c>
      <c r="BU110" s="3">
        <f t="shared" si="171"/>
        <v>1256.7927719357874</v>
      </c>
      <c r="BV110" s="3">
        <f t="shared" si="171"/>
        <v>1283.251242638044</v>
      </c>
      <c r="BW110" s="3">
        <f t="shared" si="171"/>
        <v>1310.2667269447186</v>
      </c>
      <c r="BX110" s="3">
        <f t="shared" si="171"/>
        <v>1337.8509513141914</v>
      </c>
      <c r="BY110" s="3">
        <f t="shared" si="171"/>
        <v>1366.0158890746238</v>
      </c>
      <c r="BZ110" s="3">
        <f t="shared" si="171"/>
        <v>1394.7737656211516</v>
      </c>
      <c r="CA110" s="3">
        <f t="shared" si="171"/>
        <v>1424.1370637224943</v>
      </c>
      <c r="CB110" s="3">
        <f t="shared" si="171"/>
        <v>1454.118528939279</v>
      </c>
      <c r="CC110" s="3">
        <f t="shared" si="171"/>
        <v>1484.7311751564343</v>
      </c>
      <c r="CD110" s="3">
        <f t="shared" si="171"/>
        <v>1515.9882902320537</v>
      </c>
      <c r="CE110" s="3">
        <f t="shared" si="171"/>
        <v>1547.9034417651803</v>
      </c>
      <c r="CF110" s="3">
        <f t="shared" si="171"/>
        <v>1580.4904829850184</v>
      </c>
      <c r="CG110" s="3">
        <f t="shared" si="171"/>
        <v>1613.7635587641259</v>
      </c>
      <c r="CH110" s="3">
        <f t="shared" si="171"/>
        <v>1647.7371117581999</v>
      </c>
      <c r="CI110" s="3">
        <f t="shared" si="171"/>
        <v>1682.4258886751177</v>
      </c>
      <c r="CJ110" s="3">
        <f t="shared" si="171"/>
        <v>1717.8449466759564</v>
      </c>
      <c r="CK110" s="3">
        <f t="shared" si="171"/>
        <v>1754.0096599107708</v>
      </c>
      <c r="CL110" s="3">
        <f t="shared" si="171"/>
        <v>1790.9357261919627</v>
      </c>
      <c r="CM110" s="3">
        <f t="shared" si="171"/>
        <v>1828.6391738081427</v>
      </c>
      <c r="CN110" s="3">
        <f t="shared" si="171"/>
        <v>1867.1363684814371</v>
      </c>
      <c r="CO110" s="3">
        <f t="shared" si="171"/>
        <v>1906.4440204712655</v>
      </c>
      <c r="CP110" s="3">
        <f t="shared" si="171"/>
        <v>1946.5791918276682</v>
      </c>
      <c r="CQ110" s="23" t="s">
        <v>77</v>
      </c>
    </row>
    <row r="111" spans="1:95" outlineLevel="1" x14ac:dyDescent="0.2">
      <c r="A111" s="98"/>
      <c r="B111" s="7" t="s">
        <v>318</v>
      </c>
      <c r="D111" s="9"/>
      <c r="E111" s="9"/>
      <c r="F111" s="9"/>
      <c r="G111" s="9"/>
      <c r="H111" s="9"/>
      <c r="I111" s="9"/>
      <c r="J111" s="9"/>
      <c r="K111" s="52"/>
      <c r="L111" s="52"/>
      <c r="M111" s="52">
        <v>2.7</v>
      </c>
      <c r="N111" s="52">
        <v>28.7</v>
      </c>
      <c r="O111" s="52">
        <v>2.8</v>
      </c>
      <c r="P111" s="52">
        <v>4.3</v>
      </c>
      <c r="Q111" s="52">
        <v>12.4</v>
      </c>
      <c r="R111" s="52">
        <v>57.2</v>
      </c>
      <c r="S111" s="52">
        <v>4.2</v>
      </c>
      <c r="T111" s="521">
        <v>4.8</v>
      </c>
      <c r="U111" s="198">
        <v>3.7</v>
      </c>
      <c r="V111" s="198">
        <v>4</v>
      </c>
      <c r="W111" s="198">
        <v>3.5</v>
      </c>
      <c r="X111" s="26">
        <v>26.95630184227813</v>
      </c>
      <c r="Y111" s="26">
        <v>16.945338708144366</v>
      </c>
      <c r="Z111" s="26">
        <v>7.4886301575331347</v>
      </c>
      <c r="AA111" s="26">
        <v>9.3491537621456651</v>
      </c>
      <c r="AB111" s="26">
        <v>9.5225011907591082</v>
      </c>
      <c r="AC111" s="272">
        <f t="shared" ref="AC111:BD111" si="172">+AB111/AB110*AC110</f>
        <v>9.7229724413852825</v>
      </c>
      <c r="AD111" s="272">
        <f t="shared" si="172"/>
        <v>9.9276640876325786</v>
      </c>
      <c r="AE111" s="272">
        <f t="shared" si="172"/>
        <v>10.136664978845449</v>
      </c>
      <c r="AF111" s="272">
        <f t="shared" si="172"/>
        <v>10.350065834857912</v>
      </c>
      <c r="AG111" s="272">
        <f t="shared" si="172"/>
        <v>10.56795928537181</v>
      </c>
      <c r="AH111" s="272">
        <f t="shared" si="172"/>
        <v>10.790439910164054</v>
      </c>
      <c r="AI111" s="272">
        <f t="shared" si="172"/>
        <v>11.017604280140334</v>
      </c>
      <c r="AJ111" s="272">
        <f t="shared" si="172"/>
        <v>11.249550999253104</v>
      </c>
      <c r="AK111" s="272">
        <f t="shared" si="172"/>
        <v>11.486380747302041</v>
      </c>
      <c r="AL111" s="272">
        <f t="shared" si="172"/>
        <v>11.728196323635562</v>
      </c>
      <c r="AM111" s="272">
        <f t="shared" si="172"/>
        <v>11.975102691772342</v>
      </c>
      <c r="AN111" s="272">
        <f t="shared" si="172"/>
        <v>12.227207024962254</v>
      </c>
      <c r="AO111" s="272">
        <f t="shared" si="172"/>
        <v>12.484618752706435</v>
      </c>
      <c r="AP111" s="272">
        <f t="shared" si="172"/>
        <v>12.747449608256744</v>
      </c>
      <c r="AQ111" s="272">
        <f t="shared" si="172"/>
        <v>13.015813677115174</v>
      </c>
      <c r="AR111" s="272">
        <f t="shared" si="172"/>
        <v>13.289827446554307</v>
      </c>
      <c r="AS111" s="272">
        <f t="shared" si="172"/>
        <v>13.569609856180282</v>
      </c>
      <c r="AT111" s="272">
        <f t="shared" si="172"/>
        <v>13.855282349560232</v>
      </c>
      <c r="AU111" s="272">
        <f t="shared" si="172"/>
        <v>14.146968926936619</v>
      </c>
      <c r="AV111" s="272">
        <f t="shared" si="172"/>
        <v>14.444796199051304</v>
      </c>
      <c r="AW111" s="272">
        <f t="shared" si="172"/>
        <v>14.748893442102755</v>
      </c>
      <c r="AX111" s="272">
        <f t="shared" si="172"/>
        <v>15.05939265386025</v>
      </c>
      <c r="AY111" s="272">
        <f t="shared" si="172"/>
        <v>15.376428610959389</v>
      </c>
      <c r="AZ111" s="272">
        <f t="shared" si="172"/>
        <v>15.70013892740382</v>
      </c>
      <c r="BA111" s="272">
        <f t="shared" si="172"/>
        <v>16.030664114298588</v>
      </c>
      <c r="BB111" s="272">
        <f t="shared" si="172"/>
        <v>16.368147640840988</v>
      </c>
      <c r="BC111" s="272">
        <f t="shared" si="172"/>
        <v>16.712735996595416</v>
      </c>
      <c r="BD111" s="272">
        <f t="shared" si="172"/>
        <v>17.064578755079278</v>
      </c>
      <c r="BE111" s="272">
        <f t="shared" ref="BE111:CP111" si="173">+BD111/BD110*BE110</f>
        <v>17.423828638687521</v>
      </c>
      <c r="BF111" s="272">
        <f t="shared" si="173"/>
        <v>17.790641584983973</v>
      </c>
      <c r="BG111" s="272">
        <f t="shared" si="173"/>
        <v>18.165176814388282</v>
      </c>
      <c r="BH111" s="272">
        <f t="shared" si="173"/>
        <v>18.547596899287811</v>
      </c>
      <c r="BI111" s="272">
        <f t="shared" si="173"/>
        <v>18.938067834604539</v>
      </c>
      <c r="BJ111" s="272">
        <f t="shared" si="173"/>
        <v>19.33675910984751</v>
      </c>
      <c r="BK111" s="272">
        <f t="shared" si="173"/>
        <v>19.743843782682209</v>
      </c>
      <c r="BL111" s="272">
        <f t="shared" si="173"/>
        <v>20.159498554048692</v>
      </c>
      <c r="BM111" s="272">
        <f t="shared" si="173"/>
        <v>20.583903844861215</v>
      </c>
      <c r="BN111" s="272">
        <f t="shared" si="173"/>
        <v>21.017243874322457</v>
      </c>
      <c r="BO111" s="272">
        <f t="shared" si="173"/>
        <v>21.459706739886542</v>
      </c>
      <c r="BP111" s="272">
        <f t="shared" si="173"/>
        <v>21.911484498905445</v>
      </c>
      <c r="BQ111" s="272">
        <f t="shared" si="173"/>
        <v>22.372773251994214</v>
      </c>
      <c r="BR111" s="272">
        <f t="shared" si="173"/>
        <v>22.843773228151271</v>
      </c>
      <c r="BS111" s="272">
        <f t="shared" si="173"/>
        <v>23.324688871670674</v>
      </c>
      <c r="BT111" s="272">
        <f t="shared" si="173"/>
        <v>23.815728930884099</v>
      </c>
      <c r="BU111" s="272">
        <f t="shared" si="173"/>
        <v>24.317106548771026</v>
      </c>
      <c r="BV111" s="272">
        <f t="shared" si="173"/>
        <v>24.829039355476556</v>
      </c>
      <c r="BW111" s="272">
        <f t="shared" si="173"/>
        <v>25.351749562776842</v>
      </c>
      <c r="BX111" s="272">
        <f t="shared" si="173"/>
        <v>25.885464060533319</v>
      </c>
      <c r="BY111" s="272">
        <f t="shared" si="173"/>
        <v>26.430414515177507</v>
      </c>
      <c r="BZ111" s="272">
        <f t="shared" si="173"/>
        <v>26.986837470269144</v>
      </c>
      <c r="CA111" s="272">
        <f t="shared" si="173"/>
        <v>27.554974449171311</v>
      </c>
      <c r="CB111" s="272">
        <f t="shared" si="173"/>
        <v>28.135072059887101</v>
      </c>
      <c r="CC111" s="272">
        <f t="shared" si="173"/>
        <v>28.727382102103377</v>
      </c>
      <c r="CD111" s="272">
        <f t="shared" si="173"/>
        <v>29.332161676488031</v>
      </c>
      <c r="CE111" s="272">
        <f t="shared" si="173"/>
        <v>29.9496732962882</v>
      </c>
      <c r="CF111" s="272">
        <f t="shared" si="173"/>
        <v>30.580185001277925</v>
      </c>
      <c r="CG111" s="272">
        <f t="shared" si="173"/>
        <v>31.22397047410465</v>
      </c>
      <c r="CH111" s="272">
        <f t="shared" si="173"/>
        <v>31.881309159085109</v>
      </c>
      <c r="CI111" s="272">
        <f t="shared" si="173"/>
        <v>32.552486383502128</v>
      </c>
      <c r="CJ111" s="272">
        <f t="shared" si="173"/>
        <v>33.237793481455029</v>
      </c>
      <c r="CK111" s="272">
        <f t="shared" si="173"/>
        <v>33.937527920317372</v>
      </c>
      <c r="CL111" s="272">
        <f t="shared" si="173"/>
        <v>34.651993429856915</v>
      </c>
      <c r="CM111" s="272">
        <f t="shared" si="173"/>
        <v>35.381500134073946</v>
      </c>
      <c r="CN111" s="272">
        <f t="shared" si="173"/>
        <v>36.126364685814949</v>
      </c>
      <c r="CO111" s="272">
        <f t="shared" si="173"/>
        <v>36.886910404220387</v>
      </c>
      <c r="CP111" s="272">
        <f t="shared" si="173"/>
        <v>37.663467415066002</v>
      </c>
      <c r="CQ111" s="23" t="s">
        <v>77</v>
      </c>
    </row>
    <row r="112" spans="1:95" outlineLevel="1" x14ac:dyDescent="0.2">
      <c r="B112" s="7" t="s">
        <v>328</v>
      </c>
      <c r="D112" s="9"/>
      <c r="E112" s="9"/>
      <c r="F112" s="9"/>
      <c r="G112" s="9"/>
      <c r="H112" s="9"/>
      <c r="I112" s="9"/>
      <c r="J112" s="9"/>
      <c r="K112" s="52"/>
      <c r="L112" s="52"/>
      <c r="M112" s="52">
        <v>7.2</v>
      </c>
      <c r="N112" s="52">
        <v>12.7</v>
      </c>
      <c r="O112" s="52">
        <v>8.3000000000000007</v>
      </c>
      <c r="P112" s="52">
        <v>9.8000000000000007</v>
      </c>
      <c r="Q112" s="52">
        <v>11.5</v>
      </c>
      <c r="R112" s="52">
        <v>5.7</v>
      </c>
      <c r="S112" s="52">
        <v>10.7</v>
      </c>
      <c r="T112" s="521">
        <v>10.6</v>
      </c>
      <c r="U112" s="198">
        <v>10.6</v>
      </c>
      <c r="V112" s="198">
        <v>10.5</v>
      </c>
      <c r="W112" s="198">
        <v>10.4</v>
      </c>
      <c r="X112" s="26">
        <v>10.963358500623819</v>
      </c>
      <c r="Y112" s="26">
        <v>11.477566575829604</v>
      </c>
      <c r="Z112" s="26">
        <v>11.728319262001753</v>
      </c>
      <c r="AA112" s="26">
        <v>11.737335256690621</v>
      </c>
      <c r="AB112" s="26">
        <v>11.934166894056547</v>
      </c>
      <c r="AC112" s="272">
        <f t="shared" ref="AC112:BD112" si="174">+AC110*AC119</f>
        <v>12.185409431548138</v>
      </c>
      <c r="AD112" s="272">
        <f t="shared" si="174"/>
        <v>12.441941220749174</v>
      </c>
      <c r="AE112" s="272">
        <f t="shared" si="174"/>
        <v>12.703873612961573</v>
      </c>
      <c r="AF112" s="272">
        <f t="shared" si="174"/>
        <v>12.97132030369643</v>
      </c>
      <c r="AG112" s="272">
        <f t="shared" si="174"/>
        <v>13.244397382025197</v>
      </c>
      <c r="AH112" s="272">
        <f t="shared" si="174"/>
        <v>13.523223380969803</v>
      </c>
      <c r="AI112" s="272">
        <f t="shared" si="174"/>
        <v>13.807919328953616</v>
      </c>
      <c r="AJ112" s="272">
        <f t="shared" si="174"/>
        <v>14.098608802335555</v>
      </c>
      <c r="AK112" s="272">
        <f t="shared" si="174"/>
        <v>14.395417979050194</v>
      </c>
      <c r="AL112" s="272">
        <f t="shared" si="174"/>
        <v>14.698475693377102</v>
      </c>
      <c r="AM112" s="272">
        <f t="shared" si="174"/>
        <v>15.007913491863196</v>
      </c>
      <c r="AN112" s="272">
        <f t="shared" si="174"/>
        <v>15.323865690422428</v>
      </c>
      <c r="AO112" s="272">
        <f t="shared" si="174"/>
        <v>15.646469432637513</v>
      </c>
      <c r="AP112" s="272">
        <f t="shared" si="174"/>
        <v>15.975864749289084</v>
      </c>
      <c r="AQ112" s="272">
        <f t="shared" si="174"/>
        <v>16.312194619138044</v>
      </c>
      <c r="AR112" s="272">
        <f t="shared" si="174"/>
        <v>16.655605030987566</v>
      </c>
      <c r="AS112" s="272">
        <f t="shared" si="174"/>
        <v>17.006245047051614</v>
      </c>
      <c r="AT112" s="272">
        <f t="shared" si="174"/>
        <v>17.36426686765753</v>
      </c>
      <c r="AU112" s="272">
        <f t="shared" si="174"/>
        <v>17.729825897310793</v>
      </c>
      <c r="AV112" s="272">
        <f t="shared" si="174"/>
        <v>18.103080812150544</v>
      </c>
      <c r="AW112" s="272">
        <f t="shared" si="174"/>
        <v>18.48419362882526</v>
      </c>
      <c r="AX112" s="272">
        <f t="shared" si="174"/>
        <v>18.873329774818384</v>
      </c>
      <c r="AY112" s="272">
        <f t="shared" si="174"/>
        <v>19.270658160254527</v>
      </c>
      <c r="AZ112" s="272">
        <f t="shared" si="174"/>
        <v>19.676351251217294</v>
      </c>
      <c r="BA112" s="272">
        <f t="shared" si="174"/>
        <v>20.090585144610692</v>
      </c>
      <c r="BB112" s="272">
        <f t="shared" si="174"/>
        <v>20.513539644596495</v>
      </c>
      <c r="BC112" s="272">
        <f t="shared" si="174"/>
        <v>20.945398340640832</v>
      </c>
      <c r="BD112" s="272">
        <f t="shared" si="174"/>
        <v>21.386348687203814</v>
      </c>
      <c r="BE112" s="272">
        <f t="shared" ref="BE112:CP112" si="175">+BE110*BE119</f>
        <v>21.836582085106848</v>
      </c>
      <c r="BF112" s="272">
        <f t="shared" si="175"/>
        <v>22.2962939646129</v>
      </c>
      <c r="BG112" s="272">
        <f t="shared" si="175"/>
        <v>22.765683870255796</v>
      </c>
      <c r="BH112" s="272">
        <f t="shared" si="175"/>
        <v>23.24495554745539</v>
      </c>
      <c r="BI112" s="272">
        <f t="shared" si="175"/>
        <v>23.734317030956213</v>
      </c>
      <c r="BJ112" s="272">
        <f t="shared" si="175"/>
        <v>24.233980735127886</v>
      </c>
      <c r="BK112" s="272">
        <f t="shared" si="175"/>
        <v>24.744163546166675</v>
      </c>
      <c r="BL112" s="272">
        <f t="shared" si="175"/>
        <v>25.265086916238012</v>
      </c>
      <c r="BM112" s="272">
        <f t="shared" si="175"/>
        <v>25.796976959601029</v>
      </c>
      <c r="BN112" s="272">
        <f t="shared" si="175"/>
        <v>26.340064550756644</v>
      </c>
      <c r="BO112" s="272">
        <f t="shared" si="175"/>
        <v>26.894585424661976</v>
      </c>
      <c r="BP112" s="272">
        <f t="shared" si="175"/>
        <v>27.460780279054497</v>
      </c>
      <c r="BQ112" s="272">
        <f t="shared" si="175"/>
        <v>28.038894878930304</v>
      </c>
      <c r="BR112" s="272">
        <f t="shared" si="175"/>
        <v>28.629180163221971</v>
      </c>
      <c r="BS112" s="272">
        <f t="shared" si="175"/>
        <v>29.23189235372217</v>
      </c>
      <c r="BT112" s="272">
        <f t="shared" si="175"/>
        <v>29.84729306630042</v>
      </c>
      <c r="BU112" s="272">
        <f t="shared" si="175"/>
        <v>30.475649424461203</v>
      </c>
      <c r="BV112" s="272">
        <f t="shared" si="175"/>
        <v>31.117234175292783</v>
      </c>
      <c r="BW112" s="272">
        <f t="shared" si="175"/>
        <v>31.772325807856937</v>
      </c>
      <c r="BX112" s="272">
        <f t="shared" si="175"/>
        <v>32.44120867407117</v>
      </c>
      <c r="BY112" s="272">
        <f t="shared" si="175"/>
        <v>33.124173112135715</v>
      </c>
      <c r="BZ112" s="272">
        <f t="shared" si="175"/>
        <v>33.821515572559008</v>
      </c>
      <c r="CA112" s="272">
        <f t="shared" si="175"/>
        <v>34.533538746836292</v>
      </c>
      <c r="CB112" s="272">
        <f t="shared" si="175"/>
        <v>35.260551698837176</v>
      </c>
      <c r="CC112" s="272">
        <f t="shared" si="175"/>
        <v>36.002869998959248</v>
      </c>
      <c r="CD112" s="272">
        <f t="shared" si="175"/>
        <v>36.760815861105954</v>
      </c>
      <c r="CE112" s="272">
        <f t="shared" si="175"/>
        <v>37.534718282548127</v>
      </c>
      <c r="CF112" s="272">
        <f t="shared" si="175"/>
        <v>38.324913186729979</v>
      </c>
      <c r="CG112" s="272">
        <f t="shared" si="175"/>
        <v>39.131743569081529</v>
      </c>
      <c r="CH112" s="272">
        <f t="shared" si="175"/>
        <v>39.955559645900635</v>
      </c>
      <c r="CI112" s="272">
        <f t="shared" si="175"/>
        <v>40.796719006369443</v>
      </c>
      <c r="CJ112" s="272">
        <f t="shared" si="175"/>
        <v>41.655586767771062</v>
      </c>
      <c r="CK112" s="272">
        <f t="shared" si="175"/>
        <v>42.532535733973965</v>
      </c>
      <c r="CL112" s="272">
        <f t="shared" si="175"/>
        <v>43.427946557252888</v>
      </c>
      <c r="CM112" s="272">
        <f t="shared" si="175"/>
        <v>44.342207903516382</v>
      </c>
      <c r="CN112" s="272">
        <f t="shared" si="175"/>
        <v>45.275716621012812</v>
      </c>
      <c r="CO112" s="272">
        <f t="shared" si="175"/>
        <v>46.228877912588047</v>
      </c>
      <c r="CP112" s="272">
        <f t="shared" si="175"/>
        <v>47.20210551156957</v>
      </c>
      <c r="CQ112" s="23"/>
    </row>
    <row r="113" spans="1:96" outlineLevel="1" x14ac:dyDescent="0.2">
      <c r="B113" s="7" t="s">
        <v>14</v>
      </c>
      <c r="D113" s="9"/>
      <c r="E113" s="9"/>
      <c r="F113" s="9"/>
      <c r="G113" s="9"/>
      <c r="H113" s="9"/>
      <c r="I113" s="9"/>
      <c r="J113" s="9"/>
      <c r="K113" s="52"/>
      <c r="L113" s="52"/>
      <c r="M113" s="52">
        <v>-6</v>
      </c>
      <c r="N113" s="52">
        <v>-6.5</v>
      </c>
      <c r="O113" s="52">
        <v>-6.8</v>
      </c>
      <c r="P113" s="52">
        <v>-7.1</v>
      </c>
      <c r="Q113" s="52">
        <v>-7.7</v>
      </c>
      <c r="R113" s="52">
        <v>-8</v>
      </c>
      <c r="S113" s="52">
        <v>-15.4</v>
      </c>
      <c r="T113" s="521">
        <v>-16.7</v>
      </c>
      <c r="U113" s="198">
        <v>-18.100000000000001</v>
      </c>
      <c r="V113" s="198">
        <v>-18</v>
      </c>
      <c r="W113" s="198">
        <v>-17.3</v>
      </c>
      <c r="X113" s="26">
        <v>-16.7141075689903</v>
      </c>
      <c r="Y113" s="26">
        <v>-18.082053834498648</v>
      </c>
      <c r="Z113" s="26">
        <v>-18.845136606001059</v>
      </c>
      <c r="AA113" s="26">
        <v>-12.96930090959038</v>
      </c>
      <c r="AB113" s="26">
        <v>-11.095615536783933</v>
      </c>
      <c r="AC113" s="272">
        <f t="shared" ref="AC113:BD113" si="176">+AB113/AB110*AC110</f>
        <v>-11.329204577999791</v>
      </c>
      <c r="AD113" s="272">
        <f t="shared" si="176"/>
        <v>-11.567711222929949</v>
      </c>
      <c r="AE113" s="272">
        <f t="shared" si="176"/>
        <v>-11.811238998803962</v>
      </c>
      <c r="AF113" s="272">
        <f t="shared" si="176"/>
        <v>-12.059893612345272</v>
      </c>
      <c r="AG113" s="272">
        <f t="shared" si="176"/>
        <v>-12.313782995654735</v>
      </c>
      <c r="AH113" s="272">
        <f t="shared" si="176"/>
        <v>-12.573017353060097</v>
      </c>
      <c r="AI113" s="272">
        <f t="shared" si="176"/>
        <v>-12.837709208951756</v>
      </c>
      <c r="AJ113" s="272">
        <f t="shared" si="176"/>
        <v>-13.10797345662559</v>
      </c>
      <c r="AK113" s="272">
        <f t="shared" si="176"/>
        <v>-13.383927408154047</v>
      </c>
      <c r="AL113" s="272">
        <f t="shared" si="176"/>
        <v>-13.665690845307127</v>
      </c>
      <c r="AM113" s="272">
        <f t="shared" si="176"/>
        <v>-13.953386071545367</v>
      </c>
      <c r="AN113" s="272">
        <f t="shared" si="176"/>
        <v>-14.247137965107436</v>
      </c>
      <c r="AO113" s="272">
        <f t="shared" si="176"/>
        <v>-14.547074033215299</v>
      </c>
      <c r="AP113" s="272">
        <f t="shared" si="176"/>
        <v>-14.853324467420572</v>
      </c>
      <c r="AQ113" s="272">
        <f t="shared" si="176"/>
        <v>-15.166022200116029</v>
      </c>
      <c r="AR113" s="272">
        <f t="shared" si="176"/>
        <v>-15.485302962236805</v>
      </c>
      <c r="AS113" s="272">
        <f t="shared" si="176"/>
        <v>-15.81130534217637</v>
      </c>
      <c r="AT113" s="272">
        <f t="shared" si="176"/>
        <v>-16.144170845942792</v>
      </c>
      <c r="AU113" s="272">
        <f t="shared" si="176"/>
        <v>-16.484043958581463</v>
      </c>
      <c r="AV113" s="272">
        <f t="shared" si="176"/>
        <v>-16.831072206890898</v>
      </c>
      <c r="AW113" s="272">
        <f t="shared" si="176"/>
        <v>-17.185406223458859</v>
      </c>
      <c r="AX113" s="272">
        <f t="shared" si="176"/>
        <v>-17.547199812046586</v>
      </c>
      <c r="AY113" s="272">
        <f t="shared" si="176"/>
        <v>-17.91661001434953</v>
      </c>
      <c r="AZ113" s="272">
        <f t="shared" si="176"/>
        <v>-18.293797178163551</v>
      </c>
      <c r="BA113" s="272">
        <f t="shared" si="176"/>
        <v>-18.678925026986185</v>
      </c>
      <c r="BB113" s="272">
        <f t="shared" si="176"/>
        <v>-19.072160731083162</v>
      </c>
      <c r="BC113" s="272">
        <f t="shared" si="176"/>
        <v>-19.473674980051069</v>
      </c>
      <c r="BD113" s="272">
        <f t="shared" si="176"/>
        <v>-19.883642056907611</v>
      </c>
      <c r="BE113" s="272">
        <f t="shared" ref="BE113:CP113" si="177">+BD113/BD110*BE110</f>
        <v>-20.302239913741662</v>
      </c>
      <c r="BF113" s="272">
        <f t="shared" si="177"/>
        <v>-20.72965024895591</v>
      </c>
      <c r="BG113" s="272">
        <f t="shared" si="177"/>
        <v>-21.166058586135659</v>
      </c>
      <c r="BH113" s="272">
        <f t="shared" si="177"/>
        <v>-21.611654354578004</v>
      </c>
      <c r="BI113" s="272">
        <f t="shared" si="177"/>
        <v>-22.066630971516339</v>
      </c>
      <c r="BJ113" s="272">
        <f t="shared" si="177"/>
        <v>-22.531185926075867</v>
      </c>
      <c r="BK113" s="272">
        <f t="shared" si="177"/>
        <v>-23.005520864996594</v>
      </c>
      <c r="BL113" s="272">
        <f t="shared" si="177"/>
        <v>-23.489841680160989</v>
      </c>
      <c r="BM113" s="272">
        <f t="shared" si="177"/>
        <v>-23.984358597964317</v>
      </c>
      <c r="BN113" s="272">
        <f t="shared" si="177"/>
        <v>-24.489286270566399</v>
      </c>
      <c r="BO113" s="272">
        <f t="shared" si="177"/>
        <v>-25.004843869064473</v>
      </c>
      <c r="BP113" s="272">
        <f t="shared" si="177"/>
        <v>-25.531255178627561</v>
      </c>
      <c r="BQ113" s="272">
        <f t="shared" si="177"/>
        <v>-26.068748695633612</v>
      </c>
      <c r="BR113" s="272">
        <f t="shared" si="177"/>
        <v>-26.617557726851647</v>
      </c>
      <c r="BS113" s="272">
        <f t="shared" si="177"/>
        <v>-27.177920490711905</v>
      </c>
      <c r="BT113" s="272">
        <f t="shared" si="177"/>
        <v>-27.75008022070795</v>
      </c>
      <c r="BU113" s="272">
        <f t="shared" si="177"/>
        <v>-28.334285270975677</v>
      </c>
      <c r="BV113" s="272">
        <f t="shared" si="177"/>
        <v>-28.930789224095001</v>
      </c>
      <c r="BW113" s="272">
        <f t="shared" si="177"/>
        <v>-29.539851001160976</v>
      </c>
      <c r="BX113" s="272">
        <f t="shared" si="177"/>
        <v>-30.161734974172223</v>
      </c>
      <c r="BY113" s="272">
        <f t="shared" si="177"/>
        <v>-30.796711080785396</v>
      </c>
      <c r="BZ113" s="272">
        <f t="shared" si="177"/>
        <v>-31.445054941485488</v>
      </c>
      <c r="CA113" s="272">
        <f t="shared" si="177"/>
        <v>-32.107047979222862</v>
      </c>
      <c r="CB113" s="272">
        <f t="shared" si="177"/>
        <v>-32.78297754156889</v>
      </c>
      <c r="CC113" s="272">
        <f t="shared" si="177"/>
        <v>-33.473137025443336</v>
      </c>
      <c r="CD113" s="272">
        <f t="shared" si="177"/>
        <v>-34.177826004467448</v>
      </c>
      <c r="CE113" s="272">
        <f t="shared" si="177"/>
        <v>-34.89735035899821</v>
      </c>
      <c r="CF113" s="272">
        <f t="shared" si="177"/>
        <v>-35.632022408900092</v>
      </c>
      <c r="CG113" s="272">
        <f t="shared" si="177"/>
        <v>-36.382161049111971</v>
      </c>
      <c r="CH113" s="272">
        <f t="shared" si="177"/>
        <v>-37.148091888068045</v>
      </c>
      <c r="CI113" s="272">
        <f t="shared" si="177"/>
        <v>-37.930147389032847</v>
      </c>
      <c r="CJ113" s="272">
        <f t="shared" si="177"/>
        <v>-38.728667014411684</v>
      </c>
      <c r="CK113" s="272">
        <f t="shared" si="177"/>
        <v>-39.543997373099181</v>
      </c>
      <c r="CL113" s="272">
        <f t="shared" si="177"/>
        <v>-40.376492370929824</v>
      </c>
      <c r="CM113" s="272">
        <f t="shared" si="177"/>
        <v>-41.226513364295876</v>
      </c>
      <c r="CN113" s="272">
        <f t="shared" si="177"/>
        <v>-42.094429316999289</v>
      </c>
      <c r="CO113" s="272">
        <f t="shared" si="177"/>
        <v>-42.98061696040574</v>
      </c>
      <c r="CP113" s="272">
        <f t="shared" si="177"/>
        <v>-43.885460956970284</v>
      </c>
      <c r="CQ113" s="23" t="s">
        <v>77</v>
      </c>
    </row>
    <row r="114" spans="1:96" outlineLevel="1" x14ac:dyDescent="0.2">
      <c r="B114" s="7" t="s">
        <v>319</v>
      </c>
      <c r="D114" s="9"/>
      <c r="E114" s="9"/>
      <c r="F114" s="9"/>
      <c r="G114" s="9"/>
      <c r="H114" s="9"/>
      <c r="I114" s="9"/>
      <c r="J114" s="9"/>
      <c r="K114" s="52"/>
      <c r="L114" s="52"/>
      <c r="M114" s="52">
        <v>-0.1</v>
      </c>
      <c r="N114" s="52">
        <v>0.1</v>
      </c>
      <c r="O114" s="52">
        <v>0</v>
      </c>
      <c r="P114" s="52">
        <v>0</v>
      </c>
      <c r="Q114" s="52">
        <v>0</v>
      </c>
      <c r="R114" s="52">
        <v>0</v>
      </c>
      <c r="S114" s="52">
        <v>0</v>
      </c>
      <c r="T114" s="521">
        <v>0.1</v>
      </c>
      <c r="U114" s="198">
        <v>0</v>
      </c>
      <c r="V114" s="198">
        <v>0</v>
      </c>
      <c r="W114" s="198">
        <f>W115-SUM(W110:W113)</f>
        <v>38.79000000000002</v>
      </c>
      <c r="X114" s="26">
        <v>0</v>
      </c>
      <c r="Y114" s="26">
        <v>0</v>
      </c>
      <c r="Z114" s="26">
        <v>0</v>
      </c>
      <c r="AA114" s="26">
        <v>0</v>
      </c>
      <c r="AB114" s="26">
        <v>0</v>
      </c>
      <c r="AC114" s="157">
        <v>0</v>
      </c>
      <c r="AD114" s="157">
        <v>0</v>
      </c>
      <c r="AE114" s="157">
        <v>0</v>
      </c>
      <c r="AF114" s="157">
        <v>0</v>
      </c>
      <c r="AG114" s="157">
        <v>0</v>
      </c>
      <c r="AH114" s="157">
        <v>0</v>
      </c>
      <c r="AI114" s="157">
        <v>0</v>
      </c>
      <c r="AJ114" s="157">
        <v>0</v>
      </c>
      <c r="AK114" s="157">
        <v>0</v>
      </c>
      <c r="AL114" s="157">
        <v>0</v>
      </c>
      <c r="AM114" s="157">
        <v>0</v>
      </c>
      <c r="AN114" s="157">
        <v>0</v>
      </c>
      <c r="AO114" s="157">
        <v>0</v>
      </c>
      <c r="AP114" s="157">
        <v>0</v>
      </c>
      <c r="AQ114" s="157">
        <v>0</v>
      </c>
      <c r="AR114" s="157">
        <v>0</v>
      </c>
      <c r="AS114" s="157">
        <v>0</v>
      </c>
      <c r="AT114" s="157">
        <v>0</v>
      </c>
      <c r="AU114" s="157">
        <v>0</v>
      </c>
      <c r="AV114" s="157">
        <v>0</v>
      </c>
      <c r="AW114" s="157">
        <v>0</v>
      </c>
      <c r="AX114" s="157">
        <v>0</v>
      </c>
      <c r="AY114" s="157">
        <v>0</v>
      </c>
      <c r="AZ114" s="157">
        <v>0</v>
      </c>
      <c r="BA114" s="157">
        <v>0</v>
      </c>
      <c r="BB114" s="157">
        <v>0</v>
      </c>
      <c r="BC114" s="157">
        <v>0</v>
      </c>
      <c r="BD114" s="157">
        <v>0</v>
      </c>
      <c r="BE114" s="157">
        <v>0</v>
      </c>
      <c r="BF114" s="157">
        <v>0</v>
      </c>
      <c r="BG114" s="157">
        <v>0</v>
      </c>
      <c r="BH114" s="157">
        <v>0</v>
      </c>
      <c r="BI114" s="157">
        <v>0</v>
      </c>
      <c r="BJ114" s="157">
        <v>0</v>
      </c>
      <c r="BK114" s="157">
        <v>0</v>
      </c>
      <c r="BL114" s="157">
        <v>0</v>
      </c>
      <c r="BM114" s="157">
        <v>0</v>
      </c>
      <c r="BN114" s="157">
        <v>0</v>
      </c>
      <c r="BO114" s="157">
        <v>0</v>
      </c>
      <c r="BP114" s="157">
        <v>0</v>
      </c>
      <c r="BQ114" s="157">
        <v>0</v>
      </c>
      <c r="BR114" s="157">
        <v>0</v>
      </c>
      <c r="BS114" s="157">
        <v>0</v>
      </c>
      <c r="BT114" s="157">
        <v>0</v>
      </c>
      <c r="BU114" s="157">
        <v>0</v>
      </c>
      <c r="BV114" s="157">
        <v>0</v>
      </c>
      <c r="BW114" s="157">
        <v>0</v>
      </c>
      <c r="BX114" s="157">
        <v>0</v>
      </c>
      <c r="BY114" s="157">
        <v>0</v>
      </c>
      <c r="BZ114" s="157">
        <v>0</v>
      </c>
      <c r="CA114" s="157">
        <v>0</v>
      </c>
      <c r="CB114" s="157">
        <v>0</v>
      </c>
      <c r="CC114" s="157">
        <v>0</v>
      </c>
      <c r="CD114" s="157">
        <v>0</v>
      </c>
      <c r="CE114" s="157">
        <v>0</v>
      </c>
      <c r="CF114" s="157">
        <v>0</v>
      </c>
      <c r="CG114" s="157">
        <v>0</v>
      </c>
      <c r="CH114" s="157">
        <v>0</v>
      </c>
      <c r="CI114" s="157">
        <v>0</v>
      </c>
      <c r="CJ114" s="157">
        <v>0</v>
      </c>
      <c r="CK114" s="157">
        <v>0</v>
      </c>
      <c r="CL114" s="157">
        <v>0</v>
      </c>
      <c r="CM114" s="157">
        <v>0</v>
      </c>
      <c r="CN114" s="157">
        <v>0</v>
      </c>
      <c r="CO114" s="157">
        <v>0</v>
      </c>
      <c r="CP114" s="157">
        <v>0</v>
      </c>
      <c r="CQ114" s="23" t="s">
        <v>77</v>
      </c>
    </row>
    <row r="115" spans="1:96" outlineLevel="1" x14ac:dyDescent="0.2">
      <c r="A115" s="233"/>
      <c r="B115" s="1" t="s">
        <v>320</v>
      </c>
      <c r="D115" s="3"/>
      <c r="E115" s="3"/>
      <c r="F115" s="3"/>
      <c r="G115" s="3">
        <f t="shared" ref="G115:AL115" si="178">SUM(G110:G114)</f>
        <v>0</v>
      </c>
      <c r="H115" s="3">
        <f t="shared" si="178"/>
        <v>0</v>
      </c>
      <c r="I115" s="3">
        <f t="shared" si="178"/>
        <v>0</v>
      </c>
      <c r="J115" s="3">
        <f t="shared" si="178"/>
        <v>0</v>
      </c>
      <c r="K115" s="3">
        <f t="shared" si="178"/>
        <v>0</v>
      </c>
      <c r="L115" s="3">
        <f t="shared" si="178"/>
        <v>0</v>
      </c>
      <c r="M115" s="3">
        <f t="shared" si="178"/>
        <v>300.20999999999998</v>
      </c>
      <c r="N115" s="3">
        <f t="shared" si="178"/>
        <v>335.21</v>
      </c>
      <c r="O115" s="3">
        <f t="shared" si="178"/>
        <v>339.51</v>
      </c>
      <c r="P115" s="3">
        <f t="shared" si="178"/>
        <v>346.51</v>
      </c>
      <c r="Q115" s="3">
        <f t="shared" si="178"/>
        <v>362.71</v>
      </c>
      <c r="R115" s="3">
        <f t="shared" si="178"/>
        <v>417.60999999999996</v>
      </c>
      <c r="S115" s="3">
        <f t="shared" si="178"/>
        <v>417.10999999999996</v>
      </c>
      <c r="T115" s="33">
        <f t="shared" si="178"/>
        <v>415.91</v>
      </c>
      <c r="U115" s="4">
        <f t="shared" si="178"/>
        <v>412.11</v>
      </c>
      <c r="V115" s="4">
        <f t="shared" si="178"/>
        <v>408.61</v>
      </c>
      <c r="W115" s="4">
        <v>444</v>
      </c>
      <c r="X115" s="33">
        <f t="shared" si="178"/>
        <v>473.32617956735987</v>
      </c>
      <c r="Y115" s="33">
        <f t="shared" si="178"/>
        <v>483.66703101683521</v>
      </c>
      <c r="Z115" s="33">
        <f t="shared" si="178"/>
        <v>484.03884383036905</v>
      </c>
      <c r="AA115" s="33">
        <f t="shared" si="178"/>
        <v>492.15603193961493</v>
      </c>
      <c r="AB115" s="33">
        <f t="shared" si="178"/>
        <v>502.51708448764668</v>
      </c>
      <c r="AC115" s="287">
        <f t="shared" si="178"/>
        <v>513.09626178258031</v>
      </c>
      <c r="AD115" s="287">
        <f t="shared" si="178"/>
        <v>523.89815586803218</v>
      </c>
      <c r="AE115" s="287">
        <f t="shared" si="178"/>
        <v>534.92745546103527</v>
      </c>
      <c r="AF115" s="287">
        <f t="shared" si="178"/>
        <v>546.18894798724432</v>
      </c>
      <c r="AG115" s="287">
        <f t="shared" si="178"/>
        <v>557.68752165898661</v>
      </c>
      <c r="AH115" s="287">
        <f t="shared" si="178"/>
        <v>569.42816759706045</v>
      </c>
      <c r="AI115" s="287">
        <f t="shared" si="178"/>
        <v>581.41598199720261</v>
      </c>
      <c r="AJ115" s="287">
        <f t="shared" si="178"/>
        <v>593.65616834216564</v>
      </c>
      <c r="AK115" s="287">
        <f t="shared" si="178"/>
        <v>606.15403966036388</v>
      </c>
      <c r="AL115" s="287">
        <f t="shared" si="178"/>
        <v>618.91502083206933</v>
      </c>
      <c r="AM115" s="287">
        <f t="shared" ref="AM115:BD115" si="179">SUM(AM110:AM114)</f>
        <v>631.94465094415955</v>
      </c>
      <c r="AN115" s="287">
        <f t="shared" si="179"/>
        <v>645.24858569443677</v>
      </c>
      <c r="AO115" s="287">
        <f t="shared" si="179"/>
        <v>658.83259984656547</v>
      </c>
      <c r="AP115" s="287">
        <f t="shared" si="179"/>
        <v>672.7025897366907</v>
      </c>
      <c r="AQ115" s="287">
        <f t="shared" si="179"/>
        <v>686.86457583282788</v>
      </c>
      <c r="AR115" s="287">
        <f t="shared" si="179"/>
        <v>701.32470534813297</v>
      </c>
      <c r="AS115" s="287">
        <f t="shared" si="179"/>
        <v>716.08925490918841</v>
      </c>
      <c r="AT115" s="287">
        <f t="shared" si="179"/>
        <v>731.16463328046336</v>
      </c>
      <c r="AU115" s="287">
        <f t="shared" si="179"/>
        <v>746.55738414612938</v>
      </c>
      <c r="AV115" s="287">
        <f t="shared" si="179"/>
        <v>762.27418895044036</v>
      </c>
      <c r="AW115" s="287">
        <f t="shared" si="179"/>
        <v>778.32186979790947</v>
      </c>
      <c r="AX115" s="287">
        <f t="shared" si="179"/>
        <v>794.70739241454157</v>
      </c>
      <c r="AY115" s="287">
        <f t="shared" si="179"/>
        <v>811.43786917140596</v>
      </c>
      <c r="AZ115" s="287">
        <f t="shared" si="179"/>
        <v>828.5205621718635</v>
      </c>
      <c r="BA115" s="287">
        <f t="shared" si="179"/>
        <v>845.96288640378657</v>
      </c>
      <c r="BB115" s="287">
        <f t="shared" si="179"/>
        <v>863.77241295814088</v>
      </c>
      <c r="BC115" s="287">
        <f t="shared" si="179"/>
        <v>881.956872315326</v>
      </c>
      <c r="BD115" s="287">
        <f t="shared" si="179"/>
        <v>900.52415770070149</v>
      </c>
      <c r="BE115" s="287">
        <f t="shared" ref="BE115:CP115" si="180">SUM(BE110:BE114)</f>
        <v>919.4823285107542</v>
      </c>
      <c r="BF115" s="287">
        <f t="shared" si="180"/>
        <v>938.83961381139522</v>
      </c>
      <c r="BG115" s="287">
        <f t="shared" si="180"/>
        <v>958.60441590990354</v>
      </c>
      <c r="BH115" s="287">
        <f t="shared" si="180"/>
        <v>978.78531400206873</v>
      </c>
      <c r="BI115" s="287">
        <f t="shared" si="180"/>
        <v>999.3910678961131</v>
      </c>
      <c r="BJ115" s="287">
        <f t="shared" si="180"/>
        <v>1020.4306218150126</v>
      </c>
      <c r="BK115" s="287">
        <f t="shared" si="180"/>
        <v>1041.9131082788647</v>
      </c>
      <c r="BL115" s="287">
        <f t="shared" si="180"/>
        <v>1063.8478520689905</v>
      </c>
      <c r="BM115" s="287">
        <f t="shared" si="180"/>
        <v>1086.2443742754886</v>
      </c>
      <c r="BN115" s="287">
        <f t="shared" si="180"/>
        <v>1109.1123964300011</v>
      </c>
      <c r="BO115" s="287">
        <f t="shared" si="180"/>
        <v>1132.4618447254852</v>
      </c>
      <c r="BP115" s="287">
        <f t="shared" si="180"/>
        <v>1156.3028543248174</v>
      </c>
      <c r="BQ115" s="287">
        <f t="shared" si="180"/>
        <v>1180.6457737601083</v>
      </c>
      <c r="BR115" s="287">
        <f t="shared" si="180"/>
        <v>1205.50116942463</v>
      </c>
      <c r="BS115" s="287">
        <f t="shared" si="180"/>
        <v>1230.879830159311</v>
      </c>
      <c r="BT115" s="287">
        <f t="shared" si="180"/>
        <v>1256.7927719357874</v>
      </c>
      <c r="BU115" s="287">
        <f t="shared" si="180"/>
        <v>1283.251242638044</v>
      </c>
      <c r="BV115" s="287">
        <f t="shared" si="180"/>
        <v>1310.2667269447186</v>
      </c>
      <c r="BW115" s="287">
        <f t="shared" si="180"/>
        <v>1337.8509513141914</v>
      </c>
      <c r="BX115" s="287">
        <f t="shared" si="180"/>
        <v>1366.0158890746238</v>
      </c>
      <c r="BY115" s="287">
        <f t="shared" si="180"/>
        <v>1394.7737656211516</v>
      </c>
      <c r="BZ115" s="287">
        <f t="shared" si="180"/>
        <v>1424.1370637224943</v>
      </c>
      <c r="CA115" s="287">
        <f t="shared" si="180"/>
        <v>1454.118528939279</v>
      </c>
      <c r="CB115" s="287">
        <f t="shared" si="180"/>
        <v>1484.7311751564343</v>
      </c>
      <c r="CC115" s="287">
        <f t="shared" si="180"/>
        <v>1515.9882902320537</v>
      </c>
      <c r="CD115" s="287">
        <f t="shared" si="180"/>
        <v>1547.9034417651803</v>
      </c>
      <c r="CE115" s="287">
        <f t="shared" si="180"/>
        <v>1580.4904829850184</v>
      </c>
      <c r="CF115" s="287">
        <f t="shared" si="180"/>
        <v>1613.7635587641259</v>
      </c>
      <c r="CG115" s="287">
        <f t="shared" si="180"/>
        <v>1647.7371117581999</v>
      </c>
      <c r="CH115" s="287">
        <f t="shared" si="180"/>
        <v>1682.4258886751177</v>
      </c>
      <c r="CI115" s="287">
        <f t="shared" si="180"/>
        <v>1717.8449466759564</v>
      </c>
      <c r="CJ115" s="287">
        <f t="shared" si="180"/>
        <v>1754.0096599107708</v>
      </c>
      <c r="CK115" s="287">
        <f t="shared" si="180"/>
        <v>1790.9357261919627</v>
      </c>
      <c r="CL115" s="287">
        <f t="shared" si="180"/>
        <v>1828.6391738081427</v>
      </c>
      <c r="CM115" s="287">
        <f t="shared" si="180"/>
        <v>1867.1363684814371</v>
      </c>
      <c r="CN115" s="287">
        <f t="shared" si="180"/>
        <v>1906.4440204712655</v>
      </c>
      <c r="CO115" s="287">
        <f t="shared" si="180"/>
        <v>1946.5791918276682</v>
      </c>
      <c r="CP115" s="287">
        <f t="shared" si="180"/>
        <v>1987.5593037973333</v>
      </c>
      <c r="CQ115" s="23" t="s">
        <v>77</v>
      </c>
    </row>
    <row r="116" spans="1:96" ht="5.0999999999999996" customHeight="1" outlineLevel="1" x14ac:dyDescent="0.2">
      <c r="CQ116" s="23" t="s">
        <v>77</v>
      </c>
    </row>
    <row r="117" spans="1:96" outlineLevel="1" x14ac:dyDescent="0.2">
      <c r="A117" s="233"/>
      <c r="B117" s="358" t="s">
        <v>323</v>
      </c>
      <c r="D117" s="66"/>
      <c r="E117" s="66"/>
      <c r="F117" s="66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  <c r="AB117" s="66"/>
      <c r="AC117" s="66"/>
      <c r="AD117" s="66"/>
      <c r="AE117" s="66"/>
      <c r="AF117" s="66"/>
      <c r="AG117" s="66"/>
      <c r="AH117" s="66"/>
      <c r="AI117" s="66"/>
      <c r="AJ117" s="66"/>
      <c r="AK117" s="66"/>
      <c r="AL117" s="66"/>
      <c r="AM117" s="66"/>
      <c r="AN117" s="66"/>
      <c r="AO117" s="66"/>
      <c r="AP117" s="66"/>
      <c r="AQ117" s="66"/>
      <c r="AR117" s="66"/>
      <c r="AS117" s="66"/>
      <c r="AT117" s="66"/>
      <c r="AU117" s="66"/>
      <c r="AV117" s="66"/>
      <c r="AW117" s="66"/>
      <c r="AX117" s="66"/>
      <c r="AY117" s="66"/>
      <c r="AZ117" s="66"/>
      <c r="BA117" s="66"/>
      <c r="BB117" s="66"/>
      <c r="BC117" s="66"/>
      <c r="BD117" s="66"/>
      <c r="BE117" s="66"/>
      <c r="BF117" s="66"/>
      <c r="BG117" s="66"/>
      <c r="BH117" s="66"/>
      <c r="BI117" s="66"/>
      <c r="BJ117" s="66"/>
      <c r="BK117" s="66"/>
      <c r="BL117" s="66"/>
      <c r="BM117" s="66"/>
      <c r="BN117" s="66"/>
      <c r="BO117" s="66"/>
      <c r="BP117" s="66"/>
      <c r="BQ117" s="66"/>
      <c r="BR117" s="66"/>
      <c r="BS117" s="66"/>
      <c r="BT117" s="66"/>
      <c r="BU117" s="66"/>
      <c r="BV117" s="66"/>
      <c r="BW117" s="66"/>
      <c r="BX117" s="66"/>
      <c r="BY117" s="66"/>
      <c r="BZ117" s="66"/>
      <c r="CA117" s="66"/>
      <c r="CB117" s="66"/>
      <c r="CC117" s="66"/>
      <c r="CD117" s="66"/>
      <c r="CE117" s="66"/>
      <c r="CF117" s="66"/>
      <c r="CG117" s="66"/>
      <c r="CH117" s="66"/>
      <c r="CI117" s="66"/>
      <c r="CJ117" s="66"/>
      <c r="CK117" s="66"/>
      <c r="CL117" s="66"/>
      <c r="CM117" s="66"/>
      <c r="CN117" s="66"/>
      <c r="CO117" s="66"/>
      <c r="CP117" s="66"/>
      <c r="CQ117" s="23" t="s">
        <v>77</v>
      </c>
      <c r="CR117" s="233"/>
    </row>
    <row r="118" spans="1:96" outlineLevel="1" x14ac:dyDescent="0.2">
      <c r="B118" s="8" t="s">
        <v>51</v>
      </c>
      <c r="D118" s="71"/>
      <c r="E118" s="71"/>
      <c r="F118" s="71"/>
      <c r="G118" s="72"/>
      <c r="H118" s="72"/>
      <c r="I118" s="72"/>
      <c r="J118" s="72"/>
      <c r="K118" s="72"/>
      <c r="L118" s="125">
        <v>5.7000000000000002E-2</v>
      </c>
      <c r="M118" s="72">
        <f t="shared" ref="M118:P127" si="181">+L118</f>
        <v>5.7000000000000002E-2</v>
      </c>
      <c r="N118" s="72">
        <f t="shared" si="181"/>
        <v>5.7000000000000002E-2</v>
      </c>
      <c r="O118" s="72">
        <f t="shared" si="181"/>
        <v>5.7000000000000002E-2</v>
      </c>
      <c r="P118" s="72">
        <f t="shared" si="181"/>
        <v>5.7000000000000002E-2</v>
      </c>
      <c r="Q118" s="72">
        <f t="shared" ref="Q118:Q127" si="182">+P118</f>
        <v>5.7000000000000002E-2</v>
      </c>
      <c r="R118" s="125">
        <v>2.9499999999999998E-2</v>
      </c>
      <c r="S118" s="72">
        <f t="shared" ref="S118:U127" si="183">+R118</f>
        <v>2.9499999999999998E-2</v>
      </c>
      <c r="T118" s="72">
        <f t="shared" si="183"/>
        <v>2.9499999999999998E-2</v>
      </c>
      <c r="U118" s="72">
        <f t="shared" si="183"/>
        <v>2.9499999999999998E-2</v>
      </c>
      <c r="V118" s="72">
        <f t="shared" ref="V118:W127" si="184">+U118</f>
        <v>2.9499999999999998E-2</v>
      </c>
      <c r="W118" s="72">
        <f t="shared" si="184"/>
        <v>2.9499999999999998E-2</v>
      </c>
      <c r="X118" s="338">
        <v>2.4400000000000002E-2</v>
      </c>
      <c r="Y118" s="335">
        <f>X118</f>
        <v>2.4400000000000002E-2</v>
      </c>
      <c r="Z118" s="335">
        <f>Y118</f>
        <v>2.4400000000000002E-2</v>
      </c>
      <c r="AA118" s="335">
        <f>Z118</f>
        <v>2.4400000000000002E-2</v>
      </c>
      <c r="AB118" s="335">
        <f>AA118</f>
        <v>2.4400000000000002E-2</v>
      </c>
      <c r="AC118" s="162">
        <f>+($AG$118-$X$118)/9+AB118</f>
        <v>2.668888888888889E-2</v>
      </c>
      <c r="AD118" s="224">
        <f>+($AG$118-$X$118)/9+AC118</f>
        <v>2.8977777777777779E-2</v>
      </c>
      <c r="AE118" s="224">
        <f>+($AG$118-$X$118)/9+AD118</f>
        <v>3.1266666666666665E-2</v>
      </c>
      <c r="AF118" s="224">
        <f>+($AG$118-$X$118)/9+AE118</f>
        <v>3.3555555555555554E-2</v>
      </c>
      <c r="AG118" s="162">
        <v>4.4999999999999998E-2</v>
      </c>
      <c r="AH118" s="288">
        <f t="shared" ref="Y118:BD125" si="185">+AG118</f>
        <v>4.4999999999999998E-2</v>
      </c>
      <c r="AI118" s="288">
        <f t="shared" si="185"/>
        <v>4.4999999999999998E-2</v>
      </c>
      <c r="AJ118" s="288">
        <f t="shared" si="185"/>
        <v>4.4999999999999998E-2</v>
      </c>
      <c r="AK118" s="288">
        <f t="shared" si="185"/>
        <v>4.4999999999999998E-2</v>
      </c>
      <c r="AL118" s="288">
        <f t="shared" si="185"/>
        <v>4.4999999999999998E-2</v>
      </c>
      <c r="AM118" s="288">
        <f t="shared" si="185"/>
        <v>4.4999999999999998E-2</v>
      </c>
      <c r="AN118" s="288">
        <f t="shared" si="185"/>
        <v>4.4999999999999998E-2</v>
      </c>
      <c r="AO118" s="288">
        <f t="shared" si="185"/>
        <v>4.4999999999999998E-2</v>
      </c>
      <c r="AP118" s="288">
        <f t="shared" si="185"/>
        <v>4.4999999999999998E-2</v>
      </c>
      <c r="AQ118" s="288">
        <f t="shared" si="185"/>
        <v>4.4999999999999998E-2</v>
      </c>
      <c r="AR118" s="288">
        <f t="shared" si="185"/>
        <v>4.4999999999999998E-2</v>
      </c>
      <c r="AS118" s="288">
        <f t="shared" si="185"/>
        <v>4.4999999999999998E-2</v>
      </c>
      <c r="AT118" s="288">
        <f t="shared" si="185"/>
        <v>4.4999999999999998E-2</v>
      </c>
      <c r="AU118" s="288">
        <f t="shared" si="185"/>
        <v>4.4999999999999998E-2</v>
      </c>
      <c r="AV118" s="288">
        <f t="shared" si="185"/>
        <v>4.4999999999999998E-2</v>
      </c>
      <c r="AW118" s="288">
        <f t="shared" si="185"/>
        <v>4.4999999999999998E-2</v>
      </c>
      <c r="AX118" s="288">
        <f t="shared" si="185"/>
        <v>4.4999999999999998E-2</v>
      </c>
      <c r="AY118" s="288">
        <f t="shared" si="185"/>
        <v>4.4999999999999998E-2</v>
      </c>
      <c r="AZ118" s="288">
        <f t="shared" si="185"/>
        <v>4.4999999999999998E-2</v>
      </c>
      <c r="BA118" s="288">
        <f t="shared" si="185"/>
        <v>4.4999999999999998E-2</v>
      </c>
      <c r="BB118" s="288">
        <f t="shared" si="185"/>
        <v>4.4999999999999998E-2</v>
      </c>
      <c r="BC118" s="288">
        <f t="shared" si="185"/>
        <v>4.4999999999999998E-2</v>
      </c>
      <c r="BD118" s="288">
        <f t="shared" si="185"/>
        <v>4.4999999999999998E-2</v>
      </c>
      <c r="BE118" s="288">
        <f t="shared" ref="BE118:CP118" si="186">+BD118</f>
        <v>4.4999999999999998E-2</v>
      </c>
      <c r="BF118" s="288">
        <f t="shared" si="186"/>
        <v>4.4999999999999998E-2</v>
      </c>
      <c r="BG118" s="288">
        <f t="shared" si="186"/>
        <v>4.4999999999999998E-2</v>
      </c>
      <c r="BH118" s="288">
        <f t="shared" si="186"/>
        <v>4.4999999999999998E-2</v>
      </c>
      <c r="BI118" s="288">
        <f t="shared" si="186"/>
        <v>4.4999999999999998E-2</v>
      </c>
      <c r="BJ118" s="288">
        <f t="shared" si="186"/>
        <v>4.4999999999999998E-2</v>
      </c>
      <c r="BK118" s="288">
        <f t="shared" si="186"/>
        <v>4.4999999999999998E-2</v>
      </c>
      <c r="BL118" s="288">
        <f t="shared" si="186"/>
        <v>4.4999999999999998E-2</v>
      </c>
      <c r="BM118" s="288">
        <f t="shared" si="186"/>
        <v>4.4999999999999998E-2</v>
      </c>
      <c r="BN118" s="288">
        <f t="shared" si="186"/>
        <v>4.4999999999999998E-2</v>
      </c>
      <c r="BO118" s="288">
        <f t="shared" si="186"/>
        <v>4.4999999999999998E-2</v>
      </c>
      <c r="BP118" s="288">
        <f t="shared" si="186"/>
        <v>4.4999999999999998E-2</v>
      </c>
      <c r="BQ118" s="288">
        <f t="shared" si="186"/>
        <v>4.4999999999999998E-2</v>
      </c>
      <c r="BR118" s="288">
        <f t="shared" si="186"/>
        <v>4.4999999999999998E-2</v>
      </c>
      <c r="BS118" s="288">
        <f t="shared" si="186"/>
        <v>4.4999999999999998E-2</v>
      </c>
      <c r="BT118" s="288">
        <f t="shared" si="186"/>
        <v>4.4999999999999998E-2</v>
      </c>
      <c r="BU118" s="288">
        <f t="shared" si="186"/>
        <v>4.4999999999999998E-2</v>
      </c>
      <c r="BV118" s="288">
        <f t="shared" si="186"/>
        <v>4.4999999999999998E-2</v>
      </c>
      <c r="BW118" s="288">
        <f t="shared" si="186"/>
        <v>4.4999999999999998E-2</v>
      </c>
      <c r="BX118" s="288">
        <f t="shared" si="186"/>
        <v>4.4999999999999998E-2</v>
      </c>
      <c r="BY118" s="288">
        <f t="shared" si="186"/>
        <v>4.4999999999999998E-2</v>
      </c>
      <c r="BZ118" s="288">
        <f t="shared" si="186"/>
        <v>4.4999999999999998E-2</v>
      </c>
      <c r="CA118" s="288">
        <f t="shared" si="186"/>
        <v>4.4999999999999998E-2</v>
      </c>
      <c r="CB118" s="288">
        <f t="shared" si="186"/>
        <v>4.4999999999999998E-2</v>
      </c>
      <c r="CC118" s="288">
        <f t="shared" si="186"/>
        <v>4.4999999999999998E-2</v>
      </c>
      <c r="CD118" s="288">
        <f t="shared" si="186"/>
        <v>4.4999999999999998E-2</v>
      </c>
      <c r="CE118" s="288">
        <f t="shared" si="186"/>
        <v>4.4999999999999998E-2</v>
      </c>
      <c r="CF118" s="288">
        <f t="shared" si="186"/>
        <v>4.4999999999999998E-2</v>
      </c>
      <c r="CG118" s="288">
        <f t="shared" si="186"/>
        <v>4.4999999999999998E-2</v>
      </c>
      <c r="CH118" s="288">
        <f t="shared" si="186"/>
        <v>4.4999999999999998E-2</v>
      </c>
      <c r="CI118" s="288">
        <f t="shared" si="186"/>
        <v>4.4999999999999998E-2</v>
      </c>
      <c r="CJ118" s="288">
        <f t="shared" si="186"/>
        <v>4.4999999999999998E-2</v>
      </c>
      <c r="CK118" s="288">
        <f t="shared" si="186"/>
        <v>4.4999999999999998E-2</v>
      </c>
      <c r="CL118" s="288">
        <f t="shared" si="186"/>
        <v>4.4999999999999998E-2</v>
      </c>
      <c r="CM118" s="288">
        <f t="shared" si="186"/>
        <v>4.4999999999999998E-2</v>
      </c>
      <c r="CN118" s="288">
        <f t="shared" si="186"/>
        <v>4.4999999999999998E-2</v>
      </c>
      <c r="CO118" s="288">
        <f t="shared" si="186"/>
        <v>4.4999999999999998E-2</v>
      </c>
      <c r="CP118" s="288">
        <f t="shared" si="186"/>
        <v>4.4999999999999998E-2</v>
      </c>
      <c r="CQ118" s="23" t="s">
        <v>77</v>
      </c>
    </row>
    <row r="119" spans="1:96" outlineLevel="1" x14ac:dyDescent="0.2">
      <c r="B119" s="8" t="s">
        <v>53</v>
      </c>
      <c r="D119" s="72"/>
      <c r="E119" s="72"/>
      <c r="F119" s="72"/>
      <c r="G119" s="72"/>
      <c r="H119" s="72"/>
      <c r="I119" s="72"/>
      <c r="J119" s="72"/>
      <c r="K119" s="72"/>
      <c r="L119" s="125">
        <v>3.2099999999999997E-2</v>
      </c>
      <c r="M119" s="72">
        <f t="shared" si="181"/>
        <v>3.2099999999999997E-2</v>
      </c>
      <c r="N119" s="72">
        <f t="shared" si="181"/>
        <v>3.2099999999999997E-2</v>
      </c>
      <c r="O119" s="72">
        <f t="shared" si="181"/>
        <v>3.2099999999999997E-2</v>
      </c>
      <c r="P119" s="72">
        <f t="shared" si="181"/>
        <v>3.2099999999999997E-2</v>
      </c>
      <c r="Q119" s="72">
        <f t="shared" si="182"/>
        <v>3.2099999999999997E-2</v>
      </c>
      <c r="R119" s="125">
        <v>2.5499999999999998E-2</v>
      </c>
      <c r="S119" s="72">
        <f t="shared" si="183"/>
        <v>2.5499999999999998E-2</v>
      </c>
      <c r="T119" s="72">
        <f t="shared" si="183"/>
        <v>2.5499999999999998E-2</v>
      </c>
      <c r="U119" s="72">
        <f t="shared" si="183"/>
        <v>2.5499999999999998E-2</v>
      </c>
      <c r="V119" s="72">
        <f t="shared" si="184"/>
        <v>2.5499999999999998E-2</v>
      </c>
      <c r="W119" s="72">
        <f t="shared" si="184"/>
        <v>2.5499999999999998E-2</v>
      </c>
      <c r="X119" s="339">
        <v>2.4248746575396662E-2</v>
      </c>
      <c r="Y119" s="335">
        <f t="shared" si="185"/>
        <v>2.4248746575396662E-2</v>
      </c>
      <c r="Z119" s="335">
        <f t="shared" si="185"/>
        <v>2.4248746575396662E-2</v>
      </c>
      <c r="AA119" s="335">
        <f t="shared" si="185"/>
        <v>2.4248746575396662E-2</v>
      </c>
      <c r="AB119" s="335">
        <f t="shared" si="185"/>
        <v>2.4248746575396662E-2</v>
      </c>
      <c r="AC119" s="292">
        <f t="shared" si="185"/>
        <v>2.4248746575396662E-2</v>
      </c>
      <c r="AD119" s="288">
        <f t="shared" si="185"/>
        <v>2.4248746575396662E-2</v>
      </c>
      <c r="AE119" s="288">
        <f t="shared" si="185"/>
        <v>2.4248746575396662E-2</v>
      </c>
      <c r="AF119" s="288">
        <f t="shared" si="185"/>
        <v>2.4248746575396662E-2</v>
      </c>
      <c r="AG119" s="292">
        <f t="shared" si="185"/>
        <v>2.4248746575396662E-2</v>
      </c>
      <c r="AH119" s="288">
        <f t="shared" si="185"/>
        <v>2.4248746575396662E-2</v>
      </c>
      <c r="AI119" s="288">
        <f t="shared" si="185"/>
        <v>2.4248746575396662E-2</v>
      </c>
      <c r="AJ119" s="288">
        <f t="shared" si="185"/>
        <v>2.4248746575396662E-2</v>
      </c>
      <c r="AK119" s="288">
        <f t="shared" si="185"/>
        <v>2.4248746575396662E-2</v>
      </c>
      <c r="AL119" s="288">
        <f t="shared" si="185"/>
        <v>2.4248746575396662E-2</v>
      </c>
      <c r="AM119" s="288">
        <f t="shared" si="185"/>
        <v>2.4248746575396662E-2</v>
      </c>
      <c r="AN119" s="288">
        <f t="shared" si="185"/>
        <v>2.4248746575396662E-2</v>
      </c>
      <c r="AO119" s="288">
        <f t="shared" si="185"/>
        <v>2.4248746575396662E-2</v>
      </c>
      <c r="AP119" s="288">
        <f t="shared" si="185"/>
        <v>2.4248746575396662E-2</v>
      </c>
      <c r="AQ119" s="288">
        <f t="shared" si="185"/>
        <v>2.4248746575396662E-2</v>
      </c>
      <c r="AR119" s="288">
        <f t="shared" si="185"/>
        <v>2.4248746575396662E-2</v>
      </c>
      <c r="AS119" s="288">
        <f t="shared" si="185"/>
        <v>2.4248746575396662E-2</v>
      </c>
      <c r="AT119" s="288">
        <f t="shared" si="185"/>
        <v>2.4248746575396662E-2</v>
      </c>
      <c r="AU119" s="288">
        <f t="shared" si="185"/>
        <v>2.4248746575396662E-2</v>
      </c>
      <c r="AV119" s="288">
        <f t="shared" si="185"/>
        <v>2.4248746575396662E-2</v>
      </c>
      <c r="AW119" s="288">
        <f t="shared" si="185"/>
        <v>2.4248746575396662E-2</v>
      </c>
      <c r="AX119" s="288">
        <f t="shared" si="185"/>
        <v>2.4248746575396662E-2</v>
      </c>
      <c r="AY119" s="288">
        <f t="shared" si="185"/>
        <v>2.4248746575396662E-2</v>
      </c>
      <c r="AZ119" s="288">
        <f t="shared" si="185"/>
        <v>2.4248746575396662E-2</v>
      </c>
      <c r="BA119" s="288">
        <f t="shared" si="185"/>
        <v>2.4248746575396662E-2</v>
      </c>
      <c r="BB119" s="288">
        <f t="shared" si="185"/>
        <v>2.4248746575396662E-2</v>
      </c>
      <c r="BC119" s="288">
        <f t="shared" si="185"/>
        <v>2.4248746575396662E-2</v>
      </c>
      <c r="BD119" s="288">
        <f t="shared" si="185"/>
        <v>2.4248746575396662E-2</v>
      </c>
      <c r="BE119" s="288">
        <f t="shared" ref="BE119:CP119" si="187">+BD119</f>
        <v>2.4248746575396662E-2</v>
      </c>
      <c r="BF119" s="288">
        <f t="shared" si="187"/>
        <v>2.4248746575396662E-2</v>
      </c>
      <c r="BG119" s="288">
        <f t="shared" si="187"/>
        <v>2.4248746575396662E-2</v>
      </c>
      <c r="BH119" s="288">
        <f t="shared" si="187"/>
        <v>2.4248746575396662E-2</v>
      </c>
      <c r="BI119" s="288">
        <f t="shared" si="187"/>
        <v>2.4248746575396662E-2</v>
      </c>
      <c r="BJ119" s="288">
        <f t="shared" si="187"/>
        <v>2.4248746575396662E-2</v>
      </c>
      <c r="BK119" s="288">
        <f t="shared" si="187"/>
        <v>2.4248746575396662E-2</v>
      </c>
      <c r="BL119" s="288">
        <f t="shared" si="187"/>
        <v>2.4248746575396662E-2</v>
      </c>
      <c r="BM119" s="288">
        <f t="shared" si="187"/>
        <v>2.4248746575396662E-2</v>
      </c>
      <c r="BN119" s="288">
        <f t="shared" si="187"/>
        <v>2.4248746575396662E-2</v>
      </c>
      <c r="BO119" s="288">
        <f t="shared" si="187"/>
        <v>2.4248746575396662E-2</v>
      </c>
      <c r="BP119" s="288">
        <f t="shared" si="187"/>
        <v>2.4248746575396662E-2</v>
      </c>
      <c r="BQ119" s="288">
        <f t="shared" si="187"/>
        <v>2.4248746575396662E-2</v>
      </c>
      <c r="BR119" s="288">
        <f t="shared" si="187"/>
        <v>2.4248746575396662E-2</v>
      </c>
      <c r="BS119" s="288">
        <f t="shared" si="187"/>
        <v>2.4248746575396662E-2</v>
      </c>
      <c r="BT119" s="288">
        <f t="shared" si="187"/>
        <v>2.4248746575396662E-2</v>
      </c>
      <c r="BU119" s="288">
        <f t="shared" si="187"/>
        <v>2.4248746575396662E-2</v>
      </c>
      <c r="BV119" s="288">
        <f t="shared" si="187"/>
        <v>2.4248746575396662E-2</v>
      </c>
      <c r="BW119" s="288">
        <f t="shared" si="187"/>
        <v>2.4248746575396662E-2</v>
      </c>
      <c r="BX119" s="288">
        <f t="shared" si="187"/>
        <v>2.4248746575396662E-2</v>
      </c>
      <c r="BY119" s="288">
        <f t="shared" si="187"/>
        <v>2.4248746575396662E-2</v>
      </c>
      <c r="BZ119" s="288">
        <f t="shared" si="187"/>
        <v>2.4248746575396662E-2</v>
      </c>
      <c r="CA119" s="288">
        <f t="shared" si="187"/>
        <v>2.4248746575396662E-2</v>
      </c>
      <c r="CB119" s="288">
        <f t="shared" si="187"/>
        <v>2.4248746575396662E-2</v>
      </c>
      <c r="CC119" s="288">
        <f t="shared" si="187"/>
        <v>2.4248746575396662E-2</v>
      </c>
      <c r="CD119" s="288">
        <f t="shared" si="187"/>
        <v>2.4248746575396662E-2</v>
      </c>
      <c r="CE119" s="288">
        <f t="shared" si="187"/>
        <v>2.4248746575396662E-2</v>
      </c>
      <c r="CF119" s="288">
        <f t="shared" si="187"/>
        <v>2.4248746575396662E-2</v>
      </c>
      <c r="CG119" s="288">
        <f t="shared" si="187"/>
        <v>2.4248746575396662E-2</v>
      </c>
      <c r="CH119" s="288">
        <f t="shared" si="187"/>
        <v>2.4248746575396662E-2</v>
      </c>
      <c r="CI119" s="288">
        <f t="shared" si="187"/>
        <v>2.4248746575396662E-2</v>
      </c>
      <c r="CJ119" s="288">
        <f t="shared" si="187"/>
        <v>2.4248746575396662E-2</v>
      </c>
      <c r="CK119" s="288">
        <f t="shared" si="187"/>
        <v>2.4248746575396662E-2</v>
      </c>
      <c r="CL119" s="288">
        <f t="shared" si="187"/>
        <v>2.4248746575396662E-2</v>
      </c>
      <c r="CM119" s="288">
        <f t="shared" si="187"/>
        <v>2.4248746575396662E-2</v>
      </c>
      <c r="CN119" s="288">
        <f t="shared" si="187"/>
        <v>2.4248746575396662E-2</v>
      </c>
      <c r="CO119" s="288">
        <f t="shared" si="187"/>
        <v>2.4248746575396662E-2</v>
      </c>
      <c r="CP119" s="288">
        <f t="shared" si="187"/>
        <v>2.4248746575396662E-2</v>
      </c>
      <c r="CQ119" s="23" t="s">
        <v>77</v>
      </c>
    </row>
    <row r="120" spans="1:96" outlineLevel="1" x14ac:dyDescent="0.2">
      <c r="B120" s="8" t="s">
        <v>52</v>
      </c>
      <c r="D120" s="72"/>
      <c r="E120" s="72"/>
      <c r="F120" s="72"/>
      <c r="G120" s="72"/>
      <c r="H120" s="72"/>
      <c r="I120" s="72"/>
      <c r="J120" s="72"/>
      <c r="K120" s="72"/>
      <c r="L120" s="79">
        <f>(1+L118)/(1+L119)-1</f>
        <v>2.4125569227787969E-2</v>
      </c>
      <c r="M120" s="72">
        <f t="shared" si="181"/>
        <v>2.4125569227787969E-2</v>
      </c>
      <c r="N120" s="72">
        <f t="shared" si="181"/>
        <v>2.4125569227787969E-2</v>
      </c>
      <c r="O120" s="72">
        <f t="shared" si="181"/>
        <v>2.4125569227787969E-2</v>
      </c>
      <c r="P120" s="72">
        <f t="shared" si="181"/>
        <v>2.4125569227787969E-2</v>
      </c>
      <c r="Q120" s="72">
        <f t="shared" si="182"/>
        <v>2.4125569227787969E-2</v>
      </c>
      <c r="R120" s="79">
        <f>(1+R118)/(1+R119)-1</f>
        <v>3.9005363237445412E-3</v>
      </c>
      <c r="S120" s="72">
        <f t="shared" si="183"/>
        <v>3.9005363237445412E-3</v>
      </c>
      <c r="T120" s="72">
        <f t="shared" si="183"/>
        <v>3.9005363237445412E-3</v>
      </c>
      <c r="U120" s="72">
        <f t="shared" si="183"/>
        <v>3.9005363237445412E-3</v>
      </c>
      <c r="V120" s="72">
        <f t="shared" si="184"/>
        <v>3.9005363237445412E-3</v>
      </c>
      <c r="W120" s="72">
        <f t="shared" si="184"/>
        <v>3.9005363237445412E-3</v>
      </c>
      <c r="X120" s="79">
        <f>(1+X118)/(1+X119)-1</f>
        <v>1.4767255035375015E-4</v>
      </c>
      <c r="Y120" s="337">
        <f t="shared" si="185"/>
        <v>1.4767255035375015E-4</v>
      </c>
      <c r="Z120" s="337">
        <f t="shared" si="185"/>
        <v>1.4767255035375015E-4</v>
      </c>
      <c r="AA120" s="337">
        <f t="shared" si="185"/>
        <v>1.4767255035375015E-4</v>
      </c>
      <c r="AB120" s="337">
        <f t="shared" si="185"/>
        <v>1.4767255035375015E-4</v>
      </c>
      <c r="AC120" s="79">
        <f t="shared" si="185"/>
        <v>1.4767255035375015E-4</v>
      </c>
      <c r="AD120" s="522">
        <f t="shared" si="185"/>
        <v>1.4767255035375015E-4</v>
      </c>
      <c r="AE120" s="522">
        <f t="shared" si="185"/>
        <v>1.4767255035375015E-4</v>
      </c>
      <c r="AF120" s="522">
        <f t="shared" si="185"/>
        <v>1.4767255035375015E-4</v>
      </c>
      <c r="AG120" s="79">
        <f t="shared" si="185"/>
        <v>1.4767255035375015E-4</v>
      </c>
      <c r="AH120" s="72">
        <f t="shared" si="185"/>
        <v>1.4767255035375015E-4</v>
      </c>
      <c r="AI120" s="72">
        <f t="shared" si="185"/>
        <v>1.4767255035375015E-4</v>
      </c>
      <c r="AJ120" s="72">
        <f t="shared" si="185"/>
        <v>1.4767255035375015E-4</v>
      </c>
      <c r="AK120" s="72">
        <f t="shared" si="185"/>
        <v>1.4767255035375015E-4</v>
      </c>
      <c r="AL120" s="72">
        <f t="shared" si="185"/>
        <v>1.4767255035375015E-4</v>
      </c>
      <c r="AM120" s="72">
        <f t="shared" si="185"/>
        <v>1.4767255035375015E-4</v>
      </c>
      <c r="AN120" s="72">
        <f t="shared" si="185"/>
        <v>1.4767255035375015E-4</v>
      </c>
      <c r="AO120" s="72">
        <f t="shared" si="185"/>
        <v>1.4767255035375015E-4</v>
      </c>
      <c r="AP120" s="72">
        <f t="shared" si="185"/>
        <v>1.4767255035375015E-4</v>
      </c>
      <c r="AQ120" s="72">
        <f t="shared" si="185"/>
        <v>1.4767255035375015E-4</v>
      </c>
      <c r="AR120" s="72">
        <f t="shared" si="185"/>
        <v>1.4767255035375015E-4</v>
      </c>
      <c r="AS120" s="72">
        <f t="shared" si="185"/>
        <v>1.4767255035375015E-4</v>
      </c>
      <c r="AT120" s="72">
        <f t="shared" si="185"/>
        <v>1.4767255035375015E-4</v>
      </c>
      <c r="AU120" s="72">
        <f t="shared" si="185"/>
        <v>1.4767255035375015E-4</v>
      </c>
      <c r="AV120" s="72">
        <f t="shared" si="185"/>
        <v>1.4767255035375015E-4</v>
      </c>
      <c r="AW120" s="72">
        <f t="shared" si="185"/>
        <v>1.4767255035375015E-4</v>
      </c>
      <c r="AX120" s="72">
        <f t="shared" si="185"/>
        <v>1.4767255035375015E-4</v>
      </c>
      <c r="AY120" s="72">
        <f t="shared" si="185"/>
        <v>1.4767255035375015E-4</v>
      </c>
      <c r="AZ120" s="72">
        <f t="shared" si="185"/>
        <v>1.4767255035375015E-4</v>
      </c>
      <c r="BA120" s="72">
        <f t="shared" si="185"/>
        <v>1.4767255035375015E-4</v>
      </c>
      <c r="BB120" s="72">
        <f t="shared" si="185"/>
        <v>1.4767255035375015E-4</v>
      </c>
      <c r="BC120" s="72">
        <f t="shared" si="185"/>
        <v>1.4767255035375015E-4</v>
      </c>
      <c r="BD120" s="72">
        <f t="shared" si="185"/>
        <v>1.4767255035375015E-4</v>
      </c>
      <c r="BE120" s="72">
        <f t="shared" ref="BE120:CP120" si="188">+BD120</f>
        <v>1.4767255035375015E-4</v>
      </c>
      <c r="BF120" s="72">
        <f t="shared" si="188"/>
        <v>1.4767255035375015E-4</v>
      </c>
      <c r="BG120" s="72">
        <f t="shared" si="188"/>
        <v>1.4767255035375015E-4</v>
      </c>
      <c r="BH120" s="72">
        <f t="shared" si="188"/>
        <v>1.4767255035375015E-4</v>
      </c>
      <c r="BI120" s="72">
        <f t="shared" si="188"/>
        <v>1.4767255035375015E-4</v>
      </c>
      <c r="BJ120" s="72">
        <f t="shared" si="188"/>
        <v>1.4767255035375015E-4</v>
      </c>
      <c r="BK120" s="72">
        <f t="shared" si="188"/>
        <v>1.4767255035375015E-4</v>
      </c>
      <c r="BL120" s="72">
        <f t="shared" si="188"/>
        <v>1.4767255035375015E-4</v>
      </c>
      <c r="BM120" s="72">
        <f t="shared" si="188"/>
        <v>1.4767255035375015E-4</v>
      </c>
      <c r="BN120" s="72">
        <f t="shared" si="188"/>
        <v>1.4767255035375015E-4</v>
      </c>
      <c r="BO120" s="72">
        <f t="shared" si="188"/>
        <v>1.4767255035375015E-4</v>
      </c>
      <c r="BP120" s="72">
        <f t="shared" si="188"/>
        <v>1.4767255035375015E-4</v>
      </c>
      <c r="BQ120" s="72">
        <f t="shared" si="188"/>
        <v>1.4767255035375015E-4</v>
      </c>
      <c r="BR120" s="72">
        <f t="shared" si="188"/>
        <v>1.4767255035375015E-4</v>
      </c>
      <c r="BS120" s="72">
        <f t="shared" si="188"/>
        <v>1.4767255035375015E-4</v>
      </c>
      <c r="BT120" s="72">
        <f t="shared" si="188"/>
        <v>1.4767255035375015E-4</v>
      </c>
      <c r="BU120" s="72">
        <f t="shared" si="188"/>
        <v>1.4767255035375015E-4</v>
      </c>
      <c r="BV120" s="72">
        <f t="shared" si="188"/>
        <v>1.4767255035375015E-4</v>
      </c>
      <c r="BW120" s="72">
        <f t="shared" si="188"/>
        <v>1.4767255035375015E-4</v>
      </c>
      <c r="BX120" s="72">
        <f t="shared" si="188"/>
        <v>1.4767255035375015E-4</v>
      </c>
      <c r="BY120" s="72">
        <f t="shared" si="188"/>
        <v>1.4767255035375015E-4</v>
      </c>
      <c r="BZ120" s="72">
        <f t="shared" si="188"/>
        <v>1.4767255035375015E-4</v>
      </c>
      <c r="CA120" s="72">
        <f t="shared" si="188"/>
        <v>1.4767255035375015E-4</v>
      </c>
      <c r="CB120" s="72">
        <f t="shared" si="188"/>
        <v>1.4767255035375015E-4</v>
      </c>
      <c r="CC120" s="72">
        <f t="shared" si="188"/>
        <v>1.4767255035375015E-4</v>
      </c>
      <c r="CD120" s="72">
        <f t="shared" si="188"/>
        <v>1.4767255035375015E-4</v>
      </c>
      <c r="CE120" s="72">
        <f t="shared" si="188"/>
        <v>1.4767255035375015E-4</v>
      </c>
      <c r="CF120" s="72">
        <f t="shared" si="188"/>
        <v>1.4767255035375015E-4</v>
      </c>
      <c r="CG120" s="72">
        <f t="shared" si="188"/>
        <v>1.4767255035375015E-4</v>
      </c>
      <c r="CH120" s="72">
        <f t="shared" si="188"/>
        <v>1.4767255035375015E-4</v>
      </c>
      <c r="CI120" s="72">
        <f t="shared" si="188"/>
        <v>1.4767255035375015E-4</v>
      </c>
      <c r="CJ120" s="72">
        <f t="shared" si="188"/>
        <v>1.4767255035375015E-4</v>
      </c>
      <c r="CK120" s="72">
        <f t="shared" si="188"/>
        <v>1.4767255035375015E-4</v>
      </c>
      <c r="CL120" s="72">
        <f t="shared" si="188"/>
        <v>1.4767255035375015E-4</v>
      </c>
      <c r="CM120" s="72">
        <f t="shared" si="188"/>
        <v>1.4767255035375015E-4</v>
      </c>
      <c r="CN120" s="72">
        <f t="shared" si="188"/>
        <v>1.4767255035375015E-4</v>
      </c>
      <c r="CO120" s="72">
        <f t="shared" si="188"/>
        <v>1.4767255035375015E-4</v>
      </c>
      <c r="CP120" s="72">
        <f t="shared" si="188"/>
        <v>1.4767255035375015E-4</v>
      </c>
      <c r="CQ120" s="23" t="s">
        <v>77</v>
      </c>
    </row>
    <row r="121" spans="1:96" s="523" customFormat="1" outlineLevel="1" x14ac:dyDescent="0.2">
      <c r="A121" s="234"/>
      <c r="B121" s="234" t="s">
        <v>54</v>
      </c>
      <c r="C121" s="86"/>
      <c r="D121" s="73"/>
      <c r="E121" s="73"/>
      <c r="F121" s="73"/>
      <c r="G121" s="73"/>
      <c r="H121" s="73"/>
      <c r="I121" s="73"/>
      <c r="J121" s="73"/>
      <c r="K121" s="73"/>
      <c r="L121" s="200">
        <v>0.6</v>
      </c>
      <c r="M121" s="73">
        <f t="shared" si="181"/>
        <v>0.6</v>
      </c>
      <c r="N121" s="73">
        <f t="shared" si="181"/>
        <v>0.6</v>
      </c>
      <c r="O121" s="73">
        <f t="shared" si="181"/>
        <v>0.6</v>
      </c>
      <c r="P121" s="73">
        <f t="shared" si="181"/>
        <v>0.6</v>
      </c>
      <c r="Q121" s="73">
        <f t="shared" si="182"/>
        <v>0.6</v>
      </c>
      <c r="R121" s="200">
        <v>0.6</v>
      </c>
      <c r="S121" s="73">
        <f t="shared" si="183"/>
        <v>0.6</v>
      </c>
      <c r="T121" s="73">
        <f t="shared" si="183"/>
        <v>0.6</v>
      </c>
      <c r="U121" s="73">
        <f t="shared" si="183"/>
        <v>0.6</v>
      </c>
      <c r="V121" s="73">
        <f t="shared" si="184"/>
        <v>0.6</v>
      </c>
      <c r="W121" s="73">
        <f t="shared" si="184"/>
        <v>0.6</v>
      </c>
      <c r="X121" s="340">
        <v>0.6</v>
      </c>
      <c r="Y121" s="336">
        <f t="shared" si="185"/>
        <v>0.6</v>
      </c>
      <c r="Z121" s="336">
        <f t="shared" si="185"/>
        <v>0.6</v>
      </c>
      <c r="AA121" s="336">
        <f t="shared" si="185"/>
        <v>0.6</v>
      </c>
      <c r="AB121" s="336">
        <f t="shared" si="185"/>
        <v>0.6</v>
      </c>
      <c r="AC121" s="293">
        <f t="shared" si="185"/>
        <v>0.6</v>
      </c>
      <c r="AD121" s="289">
        <f t="shared" si="185"/>
        <v>0.6</v>
      </c>
      <c r="AE121" s="289">
        <f t="shared" si="185"/>
        <v>0.6</v>
      </c>
      <c r="AF121" s="289">
        <f t="shared" si="185"/>
        <v>0.6</v>
      </c>
      <c r="AG121" s="293">
        <f t="shared" si="185"/>
        <v>0.6</v>
      </c>
      <c r="AH121" s="294">
        <f t="shared" si="185"/>
        <v>0.6</v>
      </c>
      <c r="AI121" s="294">
        <f t="shared" si="185"/>
        <v>0.6</v>
      </c>
      <c r="AJ121" s="294">
        <f t="shared" si="185"/>
        <v>0.6</v>
      </c>
      <c r="AK121" s="294">
        <f t="shared" si="185"/>
        <v>0.6</v>
      </c>
      <c r="AL121" s="294">
        <f t="shared" si="185"/>
        <v>0.6</v>
      </c>
      <c r="AM121" s="294">
        <f t="shared" si="185"/>
        <v>0.6</v>
      </c>
      <c r="AN121" s="294">
        <f t="shared" si="185"/>
        <v>0.6</v>
      </c>
      <c r="AO121" s="294">
        <f t="shared" si="185"/>
        <v>0.6</v>
      </c>
      <c r="AP121" s="294">
        <f t="shared" si="185"/>
        <v>0.6</v>
      </c>
      <c r="AQ121" s="294">
        <f t="shared" si="185"/>
        <v>0.6</v>
      </c>
      <c r="AR121" s="294">
        <f t="shared" si="185"/>
        <v>0.6</v>
      </c>
      <c r="AS121" s="294">
        <f t="shared" si="185"/>
        <v>0.6</v>
      </c>
      <c r="AT121" s="294">
        <f t="shared" si="185"/>
        <v>0.6</v>
      </c>
      <c r="AU121" s="294">
        <f t="shared" si="185"/>
        <v>0.6</v>
      </c>
      <c r="AV121" s="294">
        <f t="shared" si="185"/>
        <v>0.6</v>
      </c>
      <c r="AW121" s="294">
        <f t="shared" si="185"/>
        <v>0.6</v>
      </c>
      <c r="AX121" s="294">
        <f t="shared" si="185"/>
        <v>0.6</v>
      </c>
      <c r="AY121" s="294">
        <f t="shared" si="185"/>
        <v>0.6</v>
      </c>
      <c r="AZ121" s="294">
        <f t="shared" si="185"/>
        <v>0.6</v>
      </c>
      <c r="BA121" s="294">
        <f t="shared" si="185"/>
        <v>0.6</v>
      </c>
      <c r="BB121" s="294">
        <f t="shared" si="185"/>
        <v>0.6</v>
      </c>
      <c r="BC121" s="294">
        <f t="shared" si="185"/>
        <v>0.6</v>
      </c>
      <c r="BD121" s="294">
        <f t="shared" si="185"/>
        <v>0.6</v>
      </c>
      <c r="BE121" s="294">
        <f t="shared" ref="BE121:CP121" si="189">+BD121</f>
        <v>0.6</v>
      </c>
      <c r="BF121" s="294">
        <f t="shared" si="189"/>
        <v>0.6</v>
      </c>
      <c r="BG121" s="294">
        <f t="shared" si="189"/>
        <v>0.6</v>
      </c>
      <c r="BH121" s="294">
        <f t="shared" si="189"/>
        <v>0.6</v>
      </c>
      <c r="BI121" s="294">
        <f t="shared" si="189"/>
        <v>0.6</v>
      </c>
      <c r="BJ121" s="294">
        <f t="shared" si="189"/>
        <v>0.6</v>
      </c>
      <c r="BK121" s="294">
        <f t="shared" si="189"/>
        <v>0.6</v>
      </c>
      <c r="BL121" s="294">
        <f t="shared" si="189"/>
        <v>0.6</v>
      </c>
      <c r="BM121" s="294">
        <f t="shared" si="189"/>
        <v>0.6</v>
      </c>
      <c r="BN121" s="294">
        <f t="shared" si="189"/>
        <v>0.6</v>
      </c>
      <c r="BO121" s="294">
        <f t="shared" si="189"/>
        <v>0.6</v>
      </c>
      <c r="BP121" s="294">
        <f t="shared" si="189"/>
        <v>0.6</v>
      </c>
      <c r="BQ121" s="294">
        <f t="shared" si="189"/>
        <v>0.6</v>
      </c>
      <c r="BR121" s="294">
        <f t="shared" si="189"/>
        <v>0.6</v>
      </c>
      <c r="BS121" s="294">
        <f t="shared" si="189"/>
        <v>0.6</v>
      </c>
      <c r="BT121" s="294">
        <f t="shared" si="189"/>
        <v>0.6</v>
      </c>
      <c r="BU121" s="294">
        <f t="shared" si="189"/>
        <v>0.6</v>
      </c>
      <c r="BV121" s="294">
        <f t="shared" si="189"/>
        <v>0.6</v>
      </c>
      <c r="BW121" s="294">
        <f t="shared" si="189"/>
        <v>0.6</v>
      </c>
      <c r="BX121" s="294">
        <f t="shared" si="189"/>
        <v>0.6</v>
      </c>
      <c r="BY121" s="294">
        <f t="shared" si="189"/>
        <v>0.6</v>
      </c>
      <c r="BZ121" s="294">
        <f t="shared" si="189"/>
        <v>0.6</v>
      </c>
      <c r="CA121" s="294">
        <f t="shared" si="189"/>
        <v>0.6</v>
      </c>
      <c r="CB121" s="294">
        <f t="shared" si="189"/>
        <v>0.6</v>
      </c>
      <c r="CC121" s="294">
        <f t="shared" si="189"/>
        <v>0.6</v>
      </c>
      <c r="CD121" s="294">
        <f t="shared" si="189"/>
        <v>0.6</v>
      </c>
      <c r="CE121" s="294">
        <f t="shared" si="189"/>
        <v>0.6</v>
      </c>
      <c r="CF121" s="294">
        <f t="shared" si="189"/>
        <v>0.6</v>
      </c>
      <c r="CG121" s="294">
        <f t="shared" si="189"/>
        <v>0.6</v>
      </c>
      <c r="CH121" s="294">
        <f t="shared" si="189"/>
        <v>0.6</v>
      </c>
      <c r="CI121" s="294">
        <f t="shared" si="189"/>
        <v>0.6</v>
      </c>
      <c r="CJ121" s="294">
        <f t="shared" si="189"/>
        <v>0.6</v>
      </c>
      <c r="CK121" s="294">
        <f t="shared" si="189"/>
        <v>0.6</v>
      </c>
      <c r="CL121" s="294">
        <f t="shared" si="189"/>
        <v>0.6</v>
      </c>
      <c r="CM121" s="294">
        <f t="shared" si="189"/>
        <v>0.6</v>
      </c>
      <c r="CN121" s="294">
        <f t="shared" si="189"/>
        <v>0.6</v>
      </c>
      <c r="CO121" s="294">
        <f t="shared" si="189"/>
        <v>0.6</v>
      </c>
      <c r="CP121" s="294">
        <f t="shared" si="189"/>
        <v>0.6</v>
      </c>
      <c r="CQ121" s="290" t="s">
        <v>77</v>
      </c>
    </row>
    <row r="122" spans="1:96" s="234" customFormat="1" outlineLevel="1" x14ac:dyDescent="0.2">
      <c r="B122" s="234" t="s">
        <v>56</v>
      </c>
      <c r="C122" s="86"/>
      <c r="D122" s="73"/>
      <c r="E122" s="73"/>
      <c r="F122" s="73"/>
      <c r="G122" s="73"/>
      <c r="H122" s="73"/>
      <c r="I122" s="73"/>
      <c r="J122" s="73"/>
      <c r="K122" s="73"/>
      <c r="L122" s="201">
        <f>1-L121</f>
        <v>0.4</v>
      </c>
      <c r="M122" s="73">
        <f t="shared" si="181"/>
        <v>0.4</v>
      </c>
      <c r="N122" s="73">
        <f t="shared" si="181"/>
        <v>0.4</v>
      </c>
      <c r="O122" s="73">
        <f t="shared" si="181"/>
        <v>0.4</v>
      </c>
      <c r="P122" s="73">
        <f t="shared" si="181"/>
        <v>0.4</v>
      </c>
      <c r="Q122" s="73">
        <f t="shared" si="182"/>
        <v>0.4</v>
      </c>
      <c r="R122" s="201">
        <f>1-R121</f>
        <v>0.4</v>
      </c>
      <c r="S122" s="73">
        <f t="shared" si="183"/>
        <v>0.4</v>
      </c>
      <c r="T122" s="73">
        <f t="shared" si="183"/>
        <v>0.4</v>
      </c>
      <c r="U122" s="73">
        <f t="shared" si="183"/>
        <v>0.4</v>
      </c>
      <c r="V122" s="73">
        <f t="shared" si="184"/>
        <v>0.4</v>
      </c>
      <c r="W122" s="73">
        <f t="shared" si="184"/>
        <v>0.4</v>
      </c>
      <c r="X122" s="201">
        <f>1-X121</f>
        <v>0.4</v>
      </c>
      <c r="Y122" s="336">
        <f t="shared" si="185"/>
        <v>0.4</v>
      </c>
      <c r="Z122" s="336">
        <f t="shared" si="185"/>
        <v>0.4</v>
      </c>
      <c r="AA122" s="336">
        <f t="shared" si="185"/>
        <v>0.4</v>
      </c>
      <c r="AB122" s="336">
        <f t="shared" si="185"/>
        <v>0.4</v>
      </c>
      <c r="AC122" s="201">
        <f t="shared" si="185"/>
        <v>0.4</v>
      </c>
      <c r="AD122" s="73">
        <f t="shared" si="185"/>
        <v>0.4</v>
      </c>
      <c r="AE122" s="73">
        <f t="shared" si="185"/>
        <v>0.4</v>
      </c>
      <c r="AF122" s="73">
        <f t="shared" si="185"/>
        <v>0.4</v>
      </c>
      <c r="AG122" s="201">
        <f t="shared" si="185"/>
        <v>0.4</v>
      </c>
      <c r="AH122" s="73">
        <f t="shared" si="185"/>
        <v>0.4</v>
      </c>
      <c r="AI122" s="73">
        <f t="shared" si="185"/>
        <v>0.4</v>
      </c>
      <c r="AJ122" s="73">
        <f t="shared" si="185"/>
        <v>0.4</v>
      </c>
      <c r="AK122" s="73">
        <f t="shared" si="185"/>
        <v>0.4</v>
      </c>
      <c r="AL122" s="73">
        <f t="shared" si="185"/>
        <v>0.4</v>
      </c>
      <c r="AM122" s="73">
        <f t="shared" si="185"/>
        <v>0.4</v>
      </c>
      <c r="AN122" s="73">
        <f t="shared" si="185"/>
        <v>0.4</v>
      </c>
      <c r="AO122" s="73">
        <f t="shared" si="185"/>
        <v>0.4</v>
      </c>
      <c r="AP122" s="73">
        <f t="shared" si="185"/>
        <v>0.4</v>
      </c>
      <c r="AQ122" s="73">
        <f t="shared" si="185"/>
        <v>0.4</v>
      </c>
      <c r="AR122" s="73">
        <f t="shared" si="185"/>
        <v>0.4</v>
      </c>
      <c r="AS122" s="73">
        <f t="shared" si="185"/>
        <v>0.4</v>
      </c>
      <c r="AT122" s="73">
        <f t="shared" si="185"/>
        <v>0.4</v>
      </c>
      <c r="AU122" s="73">
        <f t="shared" si="185"/>
        <v>0.4</v>
      </c>
      <c r="AV122" s="73">
        <f t="shared" si="185"/>
        <v>0.4</v>
      </c>
      <c r="AW122" s="73">
        <f t="shared" si="185"/>
        <v>0.4</v>
      </c>
      <c r="AX122" s="73">
        <f t="shared" si="185"/>
        <v>0.4</v>
      </c>
      <c r="AY122" s="73">
        <f t="shared" si="185"/>
        <v>0.4</v>
      </c>
      <c r="AZ122" s="73">
        <f t="shared" si="185"/>
        <v>0.4</v>
      </c>
      <c r="BA122" s="73">
        <f t="shared" si="185"/>
        <v>0.4</v>
      </c>
      <c r="BB122" s="73">
        <f t="shared" si="185"/>
        <v>0.4</v>
      </c>
      <c r="BC122" s="73">
        <f t="shared" si="185"/>
        <v>0.4</v>
      </c>
      <c r="BD122" s="73">
        <f t="shared" si="185"/>
        <v>0.4</v>
      </c>
      <c r="BE122" s="73">
        <f t="shared" ref="BE122:CP122" si="190">+BD122</f>
        <v>0.4</v>
      </c>
      <c r="BF122" s="73">
        <f t="shared" si="190"/>
        <v>0.4</v>
      </c>
      <c r="BG122" s="73">
        <f t="shared" si="190"/>
        <v>0.4</v>
      </c>
      <c r="BH122" s="73">
        <f t="shared" si="190"/>
        <v>0.4</v>
      </c>
      <c r="BI122" s="73">
        <f t="shared" si="190"/>
        <v>0.4</v>
      </c>
      <c r="BJ122" s="73">
        <f t="shared" si="190"/>
        <v>0.4</v>
      </c>
      <c r="BK122" s="73">
        <f t="shared" si="190"/>
        <v>0.4</v>
      </c>
      <c r="BL122" s="73">
        <f t="shared" si="190"/>
        <v>0.4</v>
      </c>
      <c r="BM122" s="73">
        <f t="shared" si="190"/>
        <v>0.4</v>
      </c>
      <c r="BN122" s="73">
        <f t="shared" si="190"/>
        <v>0.4</v>
      </c>
      <c r="BO122" s="73">
        <f t="shared" si="190"/>
        <v>0.4</v>
      </c>
      <c r="BP122" s="73">
        <f t="shared" si="190"/>
        <v>0.4</v>
      </c>
      <c r="BQ122" s="73">
        <f t="shared" si="190"/>
        <v>0.4</v>
      </c>
      <c r="BR122" s="73">
        <f t="shared" si="190"/>
        <v>0.4</v>
      </c>
      <c r="BS122" s="73">
        <f t="shared" si="190"/>
        <v>0.4</v>
      </c>
      <c r="BT122" s="73">
        <f t="shared" si="190"/>
        <v>0.4</v>
      </c>
      <c r="BU122" s="73">
        <f t="shared" si="190"/>
        <v>0.4</v>
      </c>
      <c r="BV122" s="73">
        <f t="shared" si="190"/>
        <v>0.4</v>
      </c>
      <c r="BW122" s="73">
        <f t="shared" si="190"/>
        <v>0.4</v>
      </c>
      <c r="BX122" s="73">
        <f t="shared" si="190"/>
        <v>0.4</v>
      </c>
      <c r="BY122" s="73">
        <f t="shared" si="190"/>
        <v>0.4</v>
      </c>
      <c r="BZ122" s="73">
        <f t="shared" si="190"/>
        <v>0.4</v>
      </c>
      <c r="CA122" s="73">
        <f t="shared" si="190"/>
        <v>0.4</v>
      </c>
      <c r="CB122" s="73">
        <f t="shared" si="190"/>
        <v>0.4</v>
      </c>
      <c r="CC122" s="73">
        <f t="shared" si="190"/>
        <v>0.4</v>
      </c>
      <c r="CD122" s="73">
        <f t="shared" si="190"/>
        <v>0.4</v>
      </c>
      <c r="CE122" s="73">
        <f t="shared" si="190"/>
        <v>0.4</v>
      </c>
      <c r="CF122" s="73">
        <f t="shared" si="190"/>
        <v>0.4</v>
      </c>
      <c r="CG122" s="73">
        <f t="shared" si="190"/>
        <v>0.4</v>
      </c>
      <c r="CH122" s="73">
        <f t="shared" si="190"/>
        <v>0.4</v>
      </c>
      <c r="CI122" s="73">
        <f t="shared" si="190"/>
        <v>0.4</v>
      </c>
      <c r="CJ122" s="73">
        <f t="shared" si="190"/>
        <v>0.4</v>
      </c>
      <c r="CK122" s="73">
        <f t="shared" si="190"/>
        <v>0.4</v>
      </c>
      <c r="CL122" s="73">
        <f t="shared" si="190"/>
        <v>0.4</v>
      </c>
      <c r="CM122" s="73">
        <f t="shared" si="190"/>
        <v>0.4</v>
      </c>
      <c r="CN122" s="73">
        <f t="shared" si="190"/>
        <v>0.4</v>
      </c>
      <c r="CO122" s="73">
        <f t="shared" si="190"/>
        <v>0.4</v>
      </c>
      <c r="CP122" s="73">
        <f t="shared" si="190"/>
        <v>0.4</v>
      </c>
      <c r="CQ122" s="73" t="s">
        <v>77</v>
      </c>
    </row>
    <row r="123" spans="1:96" outlineLevel="1" x14ac:dyDescent="0.2">
      <c r="B123" s="12" t="s">
        <v>469</v>
      </c>
      <c r="D123" s="72"/>
      <c r="E123" s="72"/>
      <c r="F123" s="72"/>
      <c r="G123" s="72"/>
      <c r="H123" s="72"/>
      <c r="I123" s="72"/>
      <c r="J123" s="72"/>
      <c r="K123" s="72"/>
      <c r="L123" s="125">
        <v>1.14E-2</v>
      </c>
      <c r="M123" s="72">
        <f t="shared" si="181"/>
        <v>1.14E-2</v>
      </c>
      <c r="N123" s="72">
        <f t="shared" si="181"/>
        <v>1.14E-2</v>
      </c>
      <c r="O123" s="72">
        <f t="shared" si="181"/>
        <v>1.14E-2</v>
      </c>
      <c r="P123" s="72">
        <f t="shared" si="181"/>
        <v>1.14E-2</v>
      </c>
      <c r="Q123" s="72">
        <f t="shared" si="182"/>
        <v>1.14E-2</v>
      </c>
      <c r="R123" s="125">
        <v>4.0599999999999997E-2</v>
      </c>
      <c r="S123" s="72">
        <f t="shared" si="183"/>
        <v>4.0599999999999997E-2</v>
      </c>
      <c r="T123" s="72">
        <f t="shared" si="183"/>
        <v>4.0599999999999997E-2</v>
      </c>
      <c r="U123" s="72">
        <f t="shared" si="183"/>
        <v>4.0599999999999997E-2</v>
      </c>
      <c r="V123" s="72">
        <f t="shared" si="184"/>
        <v>4.0599999999999997E-2</v>
      </c>
      <c r="W123" s="72">
        <f>+V123</f>
        <v>4.0599999999999997E-2</v>
      </c>
      <c r="X123" s="79">
        <f>X129-X118</f>
        <v>2.1953192682871898E-2</v>
      </c>
      <c r="Y123" s="337">
        <f>Y129-Y118</f>
        <v>2.1953192682871898E-2</v>
      </c>
      <c r="Z123" s="337">
        <f t="shared" ref="Z123:BD123" si="191">Z129-Z118</f>
        <v>2.1953192682871898E-2</v>
      </c>
      <c r="AA123" s="337">
        <f>AA129-AA118</f>
        <v>2.1953192682871898E-2</v>
      </c>
      <c r="AB123" s="337">
        <f>AB129-AB118</f>
        <v>2.1953192682871898E-2</v>
      </c>
      <c r="AC123" s="79">
        <f>AC129-AC118</f>
        <v>1.9664303793983009E-2</v>
      </c>
      <c r="AD123" s="72">
        <f t="shared" si="191"/>
        <v>1.737541490509412E-2</v>
      </c>
      <c r="AE123" s="72">
        <f>AE129-AE118</f>
        <v>1.5086526016205234E-2</v>
      </c>
      <c r="AF123" s="72">
        <f t="shared" si="191"/>
        <v>1.2797637127316346E-2</v>
      </c>
      <c r="AG123" s="79">
        <f>AG129-AG118</f>
        <v>3.2178734145847099E-3</v>
      </c>
      <c r="AH123" s="72">
        <f t="shared" si="191"/>
        <v>4.8960860731262421E-3</v>
      </c>
      <c r="AI123" s="72">
        <f t="shared" si="191"/>
        <v>6.4064774658136175E-3</v>
      </c>
      <c r="AJ123" s="72">
        <f t="shared" si="191"/>
        <v>7.765829719232259E-3</v>
      </c>
      <c r="AK123" s="72">
        <f t="shared" si="191"/>
        <v>8.9892467473090334E-3</v>
      </c>
      <c r="AL123" s="72">
        <f t="shared" si="191"/>
        <v>1.009032207257813E-2</v>
      </c>
      <c r="AM123" s="72">
        <f t="shared" si="191"/>
        <v>1.1081289865320317E-2</v>
      </c>
      <c r="AN123" s="72">
        <f t="shared" si="191"/>
        <v>1.1973160878788282E-2</v>
      </c>
      <c r="AO123" s="72">
        <f t="shared" si="191"/>
        <v>1.2775844790909451E-2</v>
      </c>
      <c r="AP123" s="72">
        <f t="shared" si="191"/>
        <v>1.3498260311818507E-2</v>
      </c>
      <c r="AQ123" s="72">
        <f t="shared" si="191"/>
        <v>1.4148434280636654E-2</v>
      </c>
      <c r="AR123" s="72">
        <f t="shared" si="191"/>
        <v>1.4733590852572989E-2</v>
      </c>
      <c r="AS123" s="72">
        <f t="shared" si="191"/>
        <v>1.5260231767315689E-2</v>
      </c>
      <c r="AT123" s="72">
        <f t="shared" si="191"/>
        <v>1.5734208590584123E-2</v>
      </c>
      <c r="AU123" s="72">
        <f t="shared" si="191"/>
        <v>1.6160787731525711E-2</v>
      </c>
      <c r="AV123" s="72">
        <f t="shared" si="191"/>
        <v>1.6544708958373143E-2</v>
      </c>
      <c r="AW123" s="72">
        <f t="shared" si="191"/>
        <v>1.6890238062535826E-2</v>
      </c>
      <c r="AX123" s="72">
        <f t="shared" si="191"/>
        <v>1.7201214256282245E-2</v>
      </c>
      <c r="AY123" s="72">
        <f t="shared" si="191"/>
        <v>1.7481092830654021E-2</v>
      </c>
      <c r="AZ123" s="72">
        <f t="shared" si="191"/>
        <v>1.7732983547588621E-2</v>
      </c>
      <c r="BA123" s="72">
        <f t="shared" si="191"/>
        <v>1.7959685192829769E-2</v>
      </c>
      <c r="BB123" s="72">
        <f t="shared" si="191"/>
        <v>1.8163716673546798E-2</v>
      </c>
      <c r="BC123" s="72">
        <f t="shared" si="191"/>
        <v>1.8347345006192117E-2</v>
      </c>
      <c r="BD123" s="72">
        <f t="shared" si="191"/>
        <v>1.8512610505572916E-2</v>
      </c>
      <c r="BE123" s="72">
        <f t="shared" ref="BE123:CP123" si="192">BE129-BE118</f>
        <v>1.866134945501563E-2</v>
      </c>
      <c r="BF123" s="72">
        <f t="shared" si="192"/>
        <v>1.8795214509514074E-2</v>
      </c>
      <c r="BG123" s="72">
        <f t="shared" si="192"/>
        <v>1.8915693058562666E-2</v>
      </c>
      <c r="BH123" s="72">
        <f t="shared" si="192"/>
        <v>1.9024123752706401E-2</v>
      </c>
      <c r="BI123" s="72">
        <f t="shared" si="192"/>
        <v>1.9121711377435763E-2</v>
      </c>
      <c r="BJ123" s="72">
        <f t="shared" si="192"/>
        <v>1.9209540239692194E-2</v>
      </c>
      <c r="BK123" s="72">
        <f t="shared" si="192"/>
        <v>1.9288586215722978E-2</v>
      </c>
      <c r="BL123" s="72">
        <f t="shared" si="192"/>
        <v>1.935972759415068E-2</v>
      </c>
      <c r="BM123" s="72">
        <f t="shared" si="192"/>
        <v>1.9423754834735615E-2</v>
      </c>
      <c r="BN123" s="72">
        <f t="shared" si="192"/>
        <v>1.9481379351262054E-2</v>
      </c>
      <c r="BO123" s="72">
        <f t="shared" si="192"/>
        <v>1.9533241416135855E-2</v>
      </c>
      <c r="BP123" s="72">
        <f t="shared" si="192"/>
        <v>1.9579917274522268E-2</v>
      </c>
      <c r="BQ123" s="72">
        <f t="shared" si="192"/>
        <v>1.962192554707004E-2</v>
      </c>
      <c r="BR123" s="72">
        <f t="shared" si="192"/>
        <v>1.9659732992363038E-2</v>
      </c>
      <c r="BS123" s="72">
        <f t="shared" si="192"/>
        <v>1.9693759693126742E-2</v>
      </c>
      <c r="BT123" s="72">
        <f t="shared" si="192"/>
        <v>1.9724383723814076E-2</v>
      </c>
      <c r="BU123" s="72">
        <f t="shared" si="192"/>
        <v>1.9751945351432668E-2</v>
      </c>
      <c r="BV123" s="72">
        <f t="shared" si="192"/>
        <v>1.9776750816289407E-2</v>
      </c>
      <c r="BW123" s="72">
        <f t="shared" si="192"/>
        <v>1.9799075734660471E-2</v>
      </c>
      <c r="BX123" s="72">
        <f t="shared" si="192"/>
        <v>1.9819168161194431E-2</v>
      </c>
      <c r="BY123" s="72">
        <f t="shared" si="192"/>
        <v>1.9837251345074997E-2</v>
      </c>
      <c r="BZ123" s="72">
        <f t="shared" si="192"/>
        <v>1.9853526210567504E-2</v>
      </c>
      <c r="CA123" s="72">
        <f t="shared" si="192"/>
        <v>1.9868173589510763E-2</v>
      </c>
      <c r="CB123" s="72">
        <f t="shared" si="192"/>
        <v>1.9881356230559685E-2</v>
      </c>
      <c r="CC123" s="72">
        <f t="shared" si="192"/>
        <v>1.9893220607503717E-2</v>
      </c>
      <c r="CD123" s="72">
        <f t="shared" si="192"/>
        <v>1.9903898546753354E-2</v>
      </c>
      <c r="CE123" s="72">
        <f t="shared" si="192"/>
        <v>1.9913508692078016E-2</v>
      </c>
      <c r="CF123" s="72">
        <f t="shared" si="192"/>
        <v>1.9922157822870212E-2</v>
      </c>
      <c r="CG123" s="72">
        <f t="shared" si="192"/>
        <v>1.9929942040583196E-2</v>
      </c>
      <c r="CH123" s="72">
        <f t="shared" si="192"/>
        <v>1.9936947836524874E-2</v>
      </c>
      <c r="CI123" s="72">
        <f t="shared" si="192"/>
        <v>1.9943253052872395E-2</v>
      </c>
      <c r="CJ123" s="72">
        <f t="shared" si="192"/>
        <v>1.9948927747585166E-2</v>
      </c>
      <c r="CK123" s="72">
        <f t="shared" si="192"/>
        <v>1.9954034972826648E-2</v>
      </c>
      <c r="CL123" s="72">
        <f t="shared" si="192"/>
        <v>1.9958631475543984E-2</v>
      </c>
      <c r="CM123" s="72">
        <f t="shared" si="192"/>
        <v>1.9962768327989586E-2</v>
      </c>
      <c r="CN123" s="72">
        <f t="shared" si="192"/>
        <v>1.9966491495190627E-2</v>
      </c>
      <c r="CO123" s="72">
        <f t="shared" si="192"/>
        <v>1.9969842345671562E-2</v>
      </c>
      <c r="CP123" s="72">
        <f t="shared" si="192"/>
        <v>1.9972858111104413E-2</v>
      </c>
      <c r="CQ123" s="23" t="s">
        <v>77</v>
      </c>
    </row>
    <row r="124" spans="1:96" outlineLevel="1" x14ac:dyDescent="0.2">
      <c r="B124" s="8" t="s">
        <v>57</v>
      </c>
      <c r="D124" s="71"/>
      <c r="E124" s="71"/>
      <c r="F124" s="71"/>
      <c r="G124" s="71"/>
      <c r="H124" s="71"/>
      <c r="I124" s="71"/>
      <c r="J124" s="71"/>
      <c r="K124" s="71"/>
      <c r="L124" s="125">
        <v>0.06</v>
      </c>
      <c r="M124" s="72">
        <f t="shared" si="181"/>
        <v>0.06</v>
      </c>
      <c r="N124" s="72">
        <f t="shared" si="181"/>
        <v>0.06</v>
      </c>
      <c r="O124" s="72">
        <f t="shared" si="181"/>
        <v>0.06</v>
      </c>
      <c r="P124" s="72">
        <f t="shared" si="181"/>
        <v>0.06</v>
      </c>
      <c r="Q124" s="72">
        <f t="shared" si="182"/>
        <v>0.06</v>
      </c>
      <c r="R124" s="125">
        <v>0.06</v>
      </c>
      <c r="S124" s="72">
        <f t="shared" si="183"/>
        <v>0.06</v>
      </c>
      <c r="T124" s="72">
        <f t="shared" si="183"/>
        <v>0.06</v>
      </c>
      <c r="U124" s="72">
        <f t="shared" si="183"/>
        <v>0.06</v>
      </c>
      <c r="V124" s="72">
        <f t="shared" si="184"/>
        <v>0.06</v>
      </c>
      <c r="W124" s="72">
        <f t="shared" si="184"/>
        <v>0.06</v>
      </c>
      <c r="X124" s="339">
        <v>6.5000000000000002E-2</v>
      </c>
      <c r="Y124" s="335">
        <f t="shared" si="185"/>
        <v>6.5000000000000002E-2</v>
      </c>
      <c r="Z124" s="335">
        <f t="shared" si="185"/>
        <v>6.5000000000000002E-2</v>
      </c>
      <c r="AA124" s="335">
        <f t="shared" si="185"/>
        <v>6.5000000000000002E-2</v>
      </c>
      <c r="AB124" s="335">
        <f t="shared" si="185"/>
        <v>6.5000000000000002E-2</v>
      </c>
      <c r="AC124" s="292">
        <f t="shared" si="185"/>
        <v>6.5000000000000002E-2</v>
      </c>
      <c r="AD124" s="288">
        <f t="shared" si="185"/>
        <v>6.5000000000000002E-2</v>
      </c>
      <c r="AE124" s="288">
        <f>+AD124</f>
        <v>6.5000000000000002E-2</v>
      </c>
      <c r="AF124" s="288">
        <f t="shared" si="185"/>
        <v>6.5000000000000002E-2</v>
      </c>
      <c r="AG124" s="292">
        <f>+AF124</f>
        <v>6.5000000000000002E-2</v>
      </c>
      <c r="AH124" s="288">
        <f t="shared" si="185"/>
        <v>6.5000000000000002E-2</v>
      </c>
      <c r="AI124" s="288">
        <f t="shared" si="185"/>
        <v>6.5000000000000002E-2</v>
      </c>
      <c r="AJ124" s="288">
        <f t="shared" si="185"/>
        <v>6.5000000000000002E-2</v>
      </c>
      <c r="AK124" s="288">
        <f t="shared" si="185"/>
        <v>6.5000000000000002E-2</v>
      </c>
      <c r="AL124" s="288">
        <f t="shared" si="185"/>
        <v>6.5000000000000002E-2</v>
      </c>
      <c r="AM124" s="288">
        <f t="shared" si="185"/>
        <v>6.5000000000000002E-2</v>
      </c>
      <c r="AN124" s="288">
        <f t="shared" si="185"/>
        <v>6.5000000000000002E-2</v>
      </c>
      <c r="AO124" s="288">
        <f t="shared" si="185"/>
        <v>6.5000000000000002E-2</v>
      </c>
      <c r="AP124" s="288">
        <f t="shared" si="185"/>
        <v>6.5000000000000002E-2</v>
      </c>
      <c r="AQ124" s="288">
        <f t="shared" si="185"/>
        <v>6.5000000000000002E-2</v>
      </c>
      <c r="AR124" s="288">
        <f t="shared" si="185"/>
        <v>6.5000000000000002E-2</v>
      </c>
      <c r="AS124" s="288">
        <f t="shared" si="185"/>
        <v>6.5000000000000002E-2</v>
      </c>
      <c r="AT124" s="288">
        <f t="shared" si="185"/>
        <v>6.5000000000000002E-2</v>
      </c>
      <c r="AU124" s="288">
        <f t="shared" si="185"/>
        <v>6.5000000000000002E-2</v>
      </c>
      <c r="AV124" s="288">
        <f t="shared" si="185"/>
        <v>6.5000000000000002E-2</v>
      </c>
      <c r="AW124" s="288">
        <f t="shared" si="185"/>
        <v>6.5000000000000002E-2</v>
      </c>
      <c r="AX124" s="288">
        <f t="shared" si="185"/>
        <v>6.5000000000000002E-2</v>
      </c>
      <c r="AY124" s="288">
        <f t="shared" si="185"/>
        <v>6.5000000000000002E-2</v>
      </c>
      <c r="AZ124" s="288">
        <f t="shared" si="185"/>
        <v>6.5000000000000002E-2</v>
      </c>
      <c r="BA124" s="288">
        <f t="shared" si="185"/>
        <v>6.5000000000000002E-2</v>
      </c>
      <c r="BB124" s="288">
        <f t="shared" si="185"/>
        <v>6.5000000000000002E-2</v>
      </c>
      <c r="BC124" s="288">
        <f t="shared" si="185"/>
        <v>6.5000000000000002E-2</v>
      </c>
      <c r="BD124" s="288">
        <f t="shared" si="185"/>
        <v>6.5000000000000002E-2</v>
      </c>
      <c r="BE124" s="288">
        <f t="shared" ref="BE124:CP124" si="193">+BD124</f>
        <v>6.5000000000000002E-2</v>
      </c>
      <c r="BF124" s="288">
        <f t="shared" si="193"/>
        <v>6.5000000000000002E-2</v>
      </c>
      <c r="BG124" s="288">
        <f t="shared" si="193"/>
        <v>6.5000000000000002E-2</v>
      </c>
      <c r="BH124" s="288">
        <f t="shared" si="193"/>
        <v>6.5000000000000002E-2</v>
      </c>
      <c r="BI124" s="288">
        <f t="shared" si="193"/>
        <v>6.5000000000000002E-2</v>
      </c>
      <c r="BJ124" s="288">
        <f t="shared" si="193"/>
        <v>6.5000000000000002E-2</v>
      </c>
      <c r="BK124" s="288">
        <f t="shared" si="193"/>
        <v>6.5000000000000002E-2</v>
      </c>
      <c r="BL124" s="288">
        <f t="shared" si="193"/>
        <v>6.5000000000000002E-2</v>
      </c>
      <c r="BM124" s="288">
        <f t="shared" si="193"/>
        <v>6.5000000000000002E-2</v>
      </c>
      <c r="BN124" s="288">
        <f t="shared" si="193"/>
        <v>6.5000000000000002E-2</v>
      </c>
      <c r="BO124" s="288">
        <f t="shared" si="193"/>
        <v>6.5000000000000002E-2</v>
      </c>
      <c r="BP124" s="288">
        <f t="shared" si="193"/>
        <v>6.5000000000000002E-2</v>
      </c>
      <c r="BQ124" s="288">
        <f t="shared" si="193"/>
        <v>6.5000000000000002E-2</v>
      </c>
      <c r="BR124" s="288">
        <f t="shared" si="193"/>
        <v>6.5000000000000002E-2</v>
      </c>
      <c r="BS124" s="288">
        <f t="shared" si="193"/>
        <v>6.5000000000000002E-2</v>
      </c>
      <c r="BT124" s="288">
        <f t="shared" si="193"/>
        <v>6.5000000000000002E-2</v>
      </c>
      <c r="BU124" s="288">
        <f t="shared" si="193"/>
        <v>6.5000000000000002E-2</v>
      </c>
      <c r="BV124" s="288">
        <f t="shared" si="193"/>
        <v>6.5000000000000002E-2</v>
      </c>
      <c r="BW124" s="288">
        <f t="shared" si="193"/>
        <v>6.5000000000000002E-2</v>
      </c>
      <c r="BX124" s="288">
        <f t="shared" si="193"/>
        <v>6.5000000000000002E-2</v>
      </c>
      <c r="BY124" s="288">
        <f t="shared" si="193"/>
        <v>6.5000000000000002E-2</v>
      </c>
      <c r="BZ124" s="288">
        <f t="shared" si="193"/>
        <v>6.5000000000000002E-2</v>
      </c>
      <c r="CA124" s="288">
        <f t="shared" si="193"/>
        <v>6.5000000000000002E-2</v>
      </c>
      <c r="CB124" s="288">
        <f t="shared" si="193"/>
        <v>6.5000000000000002E-2</v>
      </c>
      <c r="CC124" s="288">
        <f t="shared" si="193"/>
        <v>6.5000000000000002E-2</v>
      </c>
      <c r="CD124" s="288">
        <f t="shared" si="193"/>
        <v>6.5000000000000002E-2</v>
      </c>
      <c r="CE124" s="288">
        <f t="shared" si="193"/>
        <v>6.5000000000000002E-2</v>
      </c>
      <c r="CF124" s="288">
        <f t="shared" si="193"/>
        <v>6.5000000000000002E-2</v>
      </c>
      <c r="CG124" s="288">
        <f t="shared" si="193"/>
        <v>6.5000000000000002E-2</v>
      </c>
      <c r="CH124" s="288">
        <f t="shared" si="193"/>
        <v>6.5000000000000002E-2</v>
      </c>
      <c r="CI124" s="288">
        <f t="shared" si="193"/>
        <v>6.5000000000000002E-2</v>
      </c>
      <c r="CJ124" s="288">
        <f t="shared" si="193"/>
        <v>6.5000000000000002E-2</v>
      </c>
      <c r="CK124" s="288">
        <f t="shared" si="193"/>
        <v>6.5000000000000002E-2</v>
      </c>
      <c r="CL124" s="288">
        <f t="shared" si="193"/>
        <v>6.5000000000000002E-2</v>
      </c>
      <c r="CM124" s="288">
        <f t="shared" si="193"/>
        <v>6.5000000000000002E-2</v>
      </c>
      <c r="CN124" s="288">
        <f t="shared" si="193"/>
        <v>6.5000000000000002E-2</v>
      </c>
      <c r="CO124" s="288">
        <f t="shared" si="193"/>
        <v>6.5000000000000002E-2</v>
      </c>
      <c r="CP124" s="288">
        <f t="shared" si="193"/>
        <v>6.5000000000000002E-2</v>
      </c>
      <c r="CQ124" s="23" t="s">
        <v>77</v>
      </c>
    </row>
    <row r="125" spans="1:96" outlineLevel="1" x14ac:dyDescent="0.2">
      <c r="B125" s="8" t="s">
        <v>58</v>
      </c>
      <c r="D125" s="71"/>
      <c r="E125" s="71"/>
      <c r="F125" s="71"/>
      <c r="G125" s="71"/>
      <c r="H125" s="71"/>
      <c r="I125" s="71"/>
      <c r="J125" s="71"/>
      <c r="K125" s="71"/>
      <c r="L125" s="202">
        <v>1</v>
      </c>
      <c r="M125" s="90">
        <f t="shared" si="181"/>
        <v>1</v>
      </c>
      <c r="N125" s="90">
        <f t="shared" si="181"/>
        <v>1</v>
      </c>
      <c r="O125" s="90">
        <f t="shared" si="181"/>
        <v>1</v>
      </c>
      <c r="P125" s="90">
        <f t="shared" si="181"/>
        <v>1</v>
      </c>
      <c r="Q125" s="90">
        <f t="shared" si="182"/>
        <v>1</v>
      </c>
      <c r="R125" s="202">
        <v>0.8</v>
      </c>
      <c r="S125" s="90">
        <f>+R125</f>
        <v>0.8</v>
      </c>
      <c r="T125" s="90">
        <f>+S125</f>
        <v>0.8</v>
      </c>
      <c r="U125" s="90">
        <f>+T125</f>
        <v>0.8</v>
      </c>
      <c r="V125" s="90">
        <f t="shared" si="184"/>
        <v>0.8</v>
      </c>
      <c r="W125" s="90">
        <f t="shared" si="184"/>
        <v>0.8</v>
      </c>
      <c r="X125" s="341">
        <v>0.7</v>
      </c>
      <c r="Y125" s="286">
        <f t="shared" si="185"/>
        <v>0.7</v>
      </c>
      <c r="Z125" s="286">
        <f t="shared" si="185"/>
        <v>0.7</v>
      </c>
      <c r="AA125" s="286">
        <f t="shared" si="185"/>
        <v>0.7</v>
      </c>
      <c r="AB125" s="286">
        <f t="shared" si="185"/>
        <v>0.7</v>
      </c>
      <c r="AC125" s="295">
        <f t="shared" si="185"/>
        <v>0.7</v>
      </c>
      <c r="AD125" s="291">
        <f t="shared" si="185"/>
        <v>0.7</v>
      </c>
      <c r="AE125" s="291">
        <f t="shared" si="185"/>
        <v>0.7</v>
      </c>
      <c r="AF125" s="291">
        <f t="shared" si="185"/>
        <v>0.7</v>
      </c>
      <c r="AG125" s="295">
        <f t="shared" si="185"/>
        <v>0.7</v>
      </c>
      <c r="AH125" s="291">
        <f t="shared" si="185"/>
        <v>0.7</v>
      </c>
      <c r="AI125" s="291">
        <f t="shared" si="185"/>
        <v>0.7</v>
      </c>
      <c r="AJ125" s="291">
        <f t="shared" si="185"/>
        <v>0.7</v>
      </c>
      <c r="AK125" s="291">
        <f t="shared" si="185"/>
        <v>0.7</v>
      </c>
      <c r="AL125" s="291">
        <f t="shared" si="185"/>
        <v>0.7</v>
      </c>
      <c r="AM125" s="291">
        <f t="shared" si="185"/>
        <v>0.7</v>
      </c>
      <c r="AN125" s="291">
        <f t="shared" ref="Y125:BD127" si="194">+AM125</f>
        <v>0.7</v>
      </c>
      <c r="AO125" s="291">
        <f t="shared" si="194"/>
        <v>0.7</v>
      </c>
      <c r="AP125" s="291">
        <f t="shared" si="194"/>
        <v>0.7</v>
      </c>
      <c r="AQ125" s="291">
        <f t="shared" si="194"/>
        <v>0.7</v>
      </c>
      <c r="AR125" s="291">
        <f t="shared" si="194"/>
        <v>0.7</v>
      </c>
      <c r="AS125" s="291">
        <f t="shared" si="194"/>
        <v>0.7</v>
      </c>
      <c r="AT125" s="291">
        <f t="shared" si="194"/>
        <v>0.7</v>
      </c>
      <c r="AU125" s="291">
        <f t="shared" si="194"/>
        <v>0.7</v>
      </c>
      <c r="AV125" s="291">
        <f t="shared" si="194"/>
        <v>0.7</v>
      </c>
      <c r="AW125" s="291">
        <f t="shared" si="194"/>
        <v>0.7</v>
      </c>
      <c r="AX125" s="291">
        <f t="shared" si="194"/>
        <v>0.7</v>
      </c>
      <c r="AY125" s="291">
        <f t="shared" si="194"/>
        <v>0.7</v>
      </c>
      <c r="AZ125" s="291">
        <f t="shared" si="194"/>
        <v>0.7</v>
      </c>
      <c r="BA125" s="291">
        <f t="shared" si="194"/>
        <v>0.7</v>
      </c>
      <c r="BB125" s="291">
        <f t="shared" si="194"/>
        <v>0.7</v>
      </c>
      <c r="BC125" s="291">
        <f t="shared" si="194"/>
        <v>0.7</v>
      </c>
      <c r="BD125" s="291">
        <f t="shared" si="194"/>
        <v>0.7</v>
      </c>
      <c r="BE125" s="291">
        <f t="shared" ref="BE125:CP125" si="195">+BD125</f>
        <v>0.7</v>
      </c>
      <c r="BF125" s="291">
        <f t="shared" si="195"/>
        <v>0.7</v>
      </c>
      <c r="BG125" s="291">
        <f t="shared" si="195"/>
        <v>0.7</v>
      </c>
      <c r="BH125" s="291">
        <f t="shared" si="195"/>
        <v>0.7</v>
      </c>
      <c r="BI125" s="291">
        <f t="shared" si="195"/>
        <v>0.7</v>
      </c>
      <c r="BJ125" s="291">
        <f t="shared" si="195"/>
        <v>0.7</v>
      </c>
      <c r="BK125" s="291">
        <f t="shared" si="195"/>
        <v>0.7</v>
      </c>
      <c r="BL125" s="291">
        <f t="shared" si="195"/>
        <v>0.7</v>
      </c>
      <c r="BM125" s="291">
        <f t="shared" si="195"/>
        <v>0.7</v>
      </c>
      <c r="BN125" s="291">
        <f t="shared" si="195"/>
        <v>0.7</v>
      </c>
      <c r="BO125" s="291">
        <f t="shared" si="195"/>
        <v>0.7</v>
      </c>
      <c r="BP125" s="291">
        <f t="shared" si="195"/>
        <v>0.7</v>
      </c>
      <c r="BQ125" s="291">
        <f t="shared" si="195"/>
        <v>0.7</v>
      </c>
      <c r="BR125" s="291">
        <f t="shared" si="195"/>
        <v>0.7</v>
      </c>
      <c r="BS125" s="291">
        <f t="shared" si="195"/>
        <v>0.7</v>
      </c>
      <c r="BT125" s="291">
        <f t="shared" si="195"/>
        <v>0.7</v>
      </c>
      <c r="BU125" s="291">
        <f t="shared" si="195"/>
        <v>0.7</v>
      </c>
      <c r="BV125" s="291">
        <f t="shared" si="195"/>
        <v>0.7</v>
      </c>
      <c r="BW125" s="291">
        <f t="shared" si="195"/>
        <v>0.7</v>
      </c>
      <c r="BX125" s="291">
        <f t="shared" si="195"/>
        <v>0.7</v>
      </c>
      <c r="BY125" s="291">
        <f t="shared" si="195"/>
        <v>0.7</v>
      </c>
      <c r="BZ125" s="291">
        <f t="shared" si="195"/>
        <v>0.7</v>
      </c>
      <c r="CA125" s="291">
        <f t="shared" si="195"/>
        <v>0.7</v>
      </c>
      <c r="CB125" s="291">
        <f t="shared" si="195"/>
        <v>0.7</v>
      </c>
      <c r="CC125" s="291">
        <f t="shared" si="195"/>
        <v>0.7</v>
      </c>
      <c r="CD125" s="291">
        <f t="shared" si="195"/>
        <v>0.7</v>
      </c>
      <c r="CE125" s="291">
        <f t="shared" si="195"/>
        <v>0.7</v>
      </c>
      <c r="CF125" s="291">
        <f t="shared" si="195"/>
        <v>0.7</v>
      </c>
      <c r="CG125" s="291">
        <f t="shared" si="195"/>
        <v>0.7</v>
      </c>
      <c r="CH125" s="291">
        <f t="shared" si="195"/>
        <v>0.7</v>
      </c>
      <c r="CI125" s="291">
        <f t="shared" si="195"/>
        <v>0.7</v>
      </c>
      <c r="CJ125" s="291">
        <f t="shared" si="195"/>
        <v>0.7</v>
      </c>
      <c r="CK125" s="291">
        <f t="shared" si="195"/>
        <v>0.7</v>
      </c>
      <c r="CL125" s="291">
        <f t="shared" si="195"/>
        <v>0.7</v>
      </c>
      <c r="CM125" s="291">
        <f t="shared" si="195"/>
        <v>0.7</v>
      </c>
      <c r="CN125" s="291">
        <f t="shared" si="195"/>
        <v>0.7</v>
      </c>
      <c r="CO125" s="291">
        <f t="shared" si="195"/>
        <v>0.7</v>
      </c>
      <c r="CP125" s="291">
        <f t="shared" si="195"/>
        <v>0.7</v>
      </c>
      <c r="CQ125" s="23" t="s">
        <v>77</v>
      </c>
    </row>
    <row r="126" spans="1:96" outlineLevel="1" x14ac:dyDescent="0.2">
      <c r="B126" s="8" t="s">
        <v>59</v>
      </c>
      <c r="D126" s="71"/>
      <c r="E126" s="71"/>
      <c r="F126" s="71"/>
      <c r="G126" s="71"/>
      <c r="H126" s="71"/>
      <c r="I126" s="71"/>
      <c r="J126" s="71"/>
      <c r="K126" s="71"/>
      <c r="L126" s="203">
        <v>0.3</v>
      </c>
      <c r="M126" s="199">
        <f t="shared" si="181"/>
        <v>0.3</v>
      </c>
      <c r="N126" s="199">
        <f t="shared" si="181"/>
        <v>0.3</v>
      </c>
      <c r="O126" s="199">
        <f t="shared" si="181"/>
        <v>0.3</v>
      </c>
      <c r="P126" s="199">
        <f t="shared" si="181"/>
        <v>0.3</v>
      </c>
      <c r="Q126" s="199">
        <f t="shared" si="182"/>
        <v>0.3</v>
      </c>
      <c r="R126" s="203">
        <v>0.3</v>
      </c>
      <c r="S126" s="199">
        <f t="shared" si="183"/>
        <v>0.3</v>
      </c>
      <c r="T126" s="199">
        <f t="shared" si="183"/>
        <v>0.3</v>
      </c>
      <c r="U126" s="199">
        <f t="shared" si="183"/>
        <v>0.3</v>
      </c>
      <c r="V126" s="199">
        <f t="shared" si="184"/>
        <v>0.3</v>
      </c>
      <c r="W126" s="199">
        <f t="shared" si="184"/>
        <v>0.3</v>
      </c>
      <c r="X126" s="342">
        <v>0.3</v>
      </c>
      <c r="Y126" s="336">
        <f t="shared" si="194"/>
        <v>0.3</v>
      </c>
      <c r="Z126" s="336">
        <f t="shared" si="194"/>
        <v>0.3</v>
      </c>
      <c r="AA126" s="336">
        <f t="shared" si="194"/>
        <v>0.3</v>
      </c>
      <c r="AB126" s="336">
        <f t="shared" si="194"/>
        <v>0.3</v>
      </c>
      <c r="AC126" s="296">
        <f t="shared" si="194"/>
        <v>0.3</v>
      </c>
      <c r="AD126" s="289">
        <f t="shared" si="194"/>
        <v>0.3</v>
      </c>
      <c r="AE126" s="289">
        <f t="shared" si="194"/>
        <v>0.3</v>
      </c>
      <c r="AF126" s="289">
        <f t="shared" si="194"/>
        <v>0.3</v>
      </c>
      <c r="AG126" s="296">
        <f t="shared" si="194"/>
        <v>0.3</v>
      </c>
      <c r="AH126" s="289">
        <f t="shared" si="194"/>
        <v>0.3</v>
      </c>
      <c r="AI126" s="289">
        <f t="shared" si="194"/>
        <v>0.3</v>
      </c>
      <c r="AJ126" s="289">
        <f t="shared" si="194"/>
        <v>0.3</v>
      </c>
      <c r="AK126" s="289">
        <f t="shared" si="194"/>
        <v>0.3</v>
      </c>
      <c r="AL126" s="289">
        <f t="shared" si="194"/>
        <v>0.3</v>
      </c>
      <c r="AM126" s="289">
        <f t="shared" si="194"/>
        <v>0.3</v>
      </c>
      <c r="AN126" s="289">
        <f t="shared" si="194"/>
        <v>0.3</v>
      </c>
      <c r="AO126" s="289">
        <f t="shared" si="194"/>
        <v>0.3</v>
      </c>
      <c r="AP126" s="289">
        <f t="shared" si="194"/>
        <v>0.3</v>
      </c>
      <c r="AQ126" s="289">
        <f t="shared" si="194"/>
        <v>0.3</v>
      </c>
      <c r="AR126" s="289">
        <f t="shared" si="194"/>
        <v>0.3</v>
      </c>
      <c r="AS126" s="289">
        <f t="shared" si="194"/>
        <v>0.3</v>
      </c>
      <c r="AT126" s="289">
        <f t="shared" si="194"/>
        <v>0.3</v>
      </c>
      <c r="AU126" s="289">
        <f t="shared" si="194"/>
        <v>0.3</v>
      </c>
      <c r="AV126" s="289">
        <f t="shared" si="194"/>
        <v>0.3</v>
      </c>
      <c r="AW126" s="289">
        <f t="shared" si="194"/>
        <v>0.3</v>
      </c>
      <c r="AX126" s="289">
        <f t="shared" si="194"/>
        <v>0.3</v>
      </c>
      <c r="AY126" s="289">
        <f t="shared" si="194"/>
        <v>0.3</v>
      </c>
      <c r="AZ126" s="289">
        <f t="shared" si="194"/>
        <v>0.3</v>
      </c>
      <c r="BA126" s="289">
        <f t="shared" si="194"/>
        <v>0.3</v>
      </c>
      <c r="BB126" s="289">
        <f t="shared" si="194"/>
        <v>0.3</v>
      </c>
      <c r="BC126" s="289">
        <f t="shared" si="194"/>
        <v>0.3</v>
      </c>
      <c r="BD126" s="289">
        <f t="shared" si="194"/>
        <v>0.3</v>
      </c>
      <c r="BE126" s="289">
        <f t="shared" ref="BE126:CP126" si="196">+BD126</f>
        <v>0.3</v>
      </c>
      <c r="BF126" s="289">
        <f t="shared" si="196"/>
        <v>0.3</v>
      </c>
      <c r="BG126" s="289">
        <f t="shared" si="196"/>
        <v>0.3</v>
      </c>
      <c r="BH126" s="289">
        <f t="shared" si="196"/>
        <v>0.3</v>
      </c>
      <c r="BI126" s="289">
        <f t="shared" si="196"/>
        <v>0.3</v>
      </c>
      <c r="BJ126" s="289">
        <f t="shared" si="196"/>
        <v>0.3</v>
      </c>
      <c r="BK126" s="289">
        <f t="shared" si="196"/>
        <v>0.3</v>
      </c>
      <c r="BL126" s="289">
        <f t="shared" si="196"/>
        <v>0.3</v>
      </c>
      <c r="BM126" s="289">
        <f t="shared" si="196"/>
        <v>0.3</v>
      </c>
      <c r="BN126" s="289">
        <f t="shared" si="196"/>
        <v>0.3</v>
      </c>
      <c r="BO126" s="289">
        <f t="shared" si="196"/>
        <v>0.3</v>
      </c>
      <c r="BP126" s="289">
        <f t="shared" si="196"/>
        <v>0.3</v>
      </c>
      <c r="BQ126" s="289">
        <f t="shared" si="196"/>
        <v>0.3</v>
      </c>
      <c r="BR126" s="289">
        <f t="shared" si="196"/>
        <v>0.3</v>
      </c>
      <c r="BS126" s="289">
        <f t="shared" si="196"/>
        <v>0.3</v>
      </c>
      <c r="BT126" s="289">
        <f t="shared" si="196"/>
        <v>0.3</v>
      </c>
      <c r="BU126" s="289">
        <f t="shared" si="196"/>
        <v>0.3</v>
      </c>
      <c r="BV126" s="289">
        <f t="shared" si="196"/>
        <v>0.3</v>
      </c>
      <c r="BW126" s="289">
        <f t="shared" si="196"/>
        <v>0.3</v>
      </c>
      <c r="BX126" s="289">
        <f t="shared" si="196"/>
        <v>0.3</v>
      </c>
      <c r="BY126" s="289">
        <f t="shared" si="196"/>
        <v>0.3</v>
      </c>
      <c r="BZ126" s="289">
        <f t="shared" si="196"/>
        <v>0.3</v>
      </c>
      <c r="CA126" s="289">
        <f t="shared" si="196"/>
        <v>0.3</v>
      </c>
      <c r="CB126" s="289">
        <f t="shared" si="196"/>
        <v>0.3</v>
      </c>
      <c r="CC126" s="289">
        <f t="shared" si="196"/>
        <v>0.3</v>
      </c>
      <c r="CD126" s="289">
        <f t="shared" si="196"/>
        <v>0.3</v>
      </c>
      <c r="CE126" s="289">
        <f t="shared" si="196"/>
        <v>0.3</v>
      </c>
      <c r="CF126" s="289">
        <f t="shared" si="196"/>
        <v>0.3</v>
      </c>
      <c r="CG126" s="289">
        <f t="shared" si="196"/>
        <v>0.3</v>
      </c>
      <c r="CH126" s="289">
        <f t="shared" si="196"/>
        <v>0.3</v>
      </c>
      <c r="CI126" s="289">
        <f t="shared" si="196"/>
        <v>0.3</v>
      </c>
      <c r="CJ126" s="289">
        <f t="shared" si="196"/>
        <v>0.3</v>
      </c>
      <c r="CK126" s="289">
        <f t="shared" si="196"/>
        <v>0.3</v>
      </c>
      <c r="CL126" s="289">
        <f t="shared" si="196"/>
        <v>0.3</v>
      </c>
      <c r="CM126" s="289">
        <f t="shared" si="196"/>
        <v>0.3</v>
      </c>
      <c r="CN126" s="289">
        <f t="shared" si="196"/>
        <v>0.3</v>
      </c>
      <c r="CO126" s="289">
        <f t="shared" si="196"/>
        <v>0.3</v>
      </c>
      <c r="CP126" s="289">
        <f t="shared" si="196"/>
        <v>0.3</v>
      </c>
      <c r="CQ126" s="23" t="s">
        <v>77</v>
      </c>
    </row>
    <row r="127" spans="1:96" outlineLevel="1" x14ac:dyDescent="0.2">
      <c r="B127" s="8" t="s">
        <v>80</v>
      </c>
      <c r="D127" s="71"/>
      <c r="E127" s="71"/>
      <c r="F127" s="71"/>
      <c r="G127" s="71"/>
      <c r="H127" s="71"/>
      <c r="I127" s="71"/>
      <c r="J127" s="71"/>
      <c r="K127" s="71"/>
      <c r="L127" s="204">
        <v>0.5</v>
      </c>
      <c r="M127" s="199">
        <f t="shared" si="181"/>
        <v>0.5</v>
      </c>
      <c r="N127" s="199">
        <f t="shared" si="181"/>
        <v>0.5</v>
      </c>
      <c r="O127" s="199">
        <f t="shared" si="181"/>
        <v>0.5</v>
      </c>
      <c r="P127" s="199">
        <f t="shared" si="181"/>
        <v>0.5</v>
      </c>
      <c r="Q127" s="199">
        <f t="shared" si="182"/>
        <v>0.5</v>
      </c>
      <c r="R127" s="204">
        <v>0.25</v>
      </c>
      <c r="S127" s="199">
        <f t="shared" si="183"/>
        <v>0.25</v>
      </c>
      <c r="T127" s="199">
        <f t="shared" si="183"/>
        <v>0.25</v>
      </c>
      <c r="U127" s="199">
        <f t="shared" si="183"/>
        <v>0.25</v>
      </c>
      <c r="V127" s="199">
        <f t="shared" si="184"/>
        <v>0.25</v>
      </c>
      <c r="W127" s="199">
        <f t="shared" si="184"/>
        <v>0.25</v>
      </c>
      <c r="X127" s="343">
        <v>0.4</v>
      </c>
      <c r="Y127" s="336">
        <f t="shared" si="194"/>
        <v>0.4</v>
      </c>
      <c r="Z127" s="336">
        <f t="shared" si="194"/>
        <v>0.4</v>
      </c>
      <c r="AA127" s="336">
        <f t="shared" si="194"/>
        <v>0.4</v>
      </c>
      <c r="AB127" s="336">
        <f t="shared" si="194"/>
        <v>0.4</v>
      </c>
      <c r="AC127" s="297">
        <f t="shared" si="194"/>
        <v>0.4</v>
      </c>
      <c r="AD127" s="289">
        <f t="shared" si="194"/>
        <v>0.4</v>
      </c>
      <c r="AE127" s="289">
        <f t="shared" si="194"/>
        <v>0.4</v>
      </c>
      <c r="AF127" s="289">
        <f t="shared" si="194"/>
        <v>0.4</v>
      </c>
      <c r="AG127" s="297">
        <f t="shared" si="194"/>
        <v>0.4</v>
      </c>
      <c r="AH127" s="289">
        <f t="shared" si="194"/>
        <v>0.4</v>
      </c>
      <c r="AI127" s="289">
        <f t="shared" si="194"/>
        <v>0.4</v>
      </c>
      <c r="AJ127" s="289">
        <f t="shared" si="194"/>
        <v>0.4</v>
      </c>
      <c r="AK127" s="289">
        <f t="shared" si="194"/>
        <v>0.4</v>
      </c>
      <c r="AL127" s="289">
        <f t="shared" si="194"/>
        <v>0.4</v>
      </c>
      <c r="AM127" s="289">
        <f t="shared" si="194"/>
        <v>0.4</v>
      </c>
      <c r="AN127" s="289">
        <f t="shared" si="194"/>
        <v>0.4</v>
      </c>
      <c r="AO127" s="289">
        <f t="shared" si="194"/>
        <v>0.4</v>
      </c>
      <c r="AP127" s="289">
        <f t="shared" si="194"/>
        <v>0.4</v>
      </c>
      <c r="AQ127" s="289">
        <f t="shared" si="194"/>
        <v>0.4</v>
      </c>
      <c r="AR127" s="289">
        <f t="shared" si="194"/>
        <v>0.4</v>
      </c>
      <c r="AS127" s="289">
        <f t="shared" si="194"/>
        <v>0.4</v>
      </c>
      <c r="AT127" s="289">
        <f t="shared" si="194"/>
        <v>0.4</v>
      </c>
      <c r="AU127" s="289">
        <f t="shared" si="194"/>
        <v>0.4</v>
      </c>
      <c r="AV127" s="289">
        <f t="shared" si="194"/>
        <v>0.4</v>
      </c>
      <c r="AW127" s="289">
        <f t="shared" si="194"/>
        <v>0.4</v>
      </c>
      <c r="AX127" s="289">
        <f t="shared" si="194"/>
        <v>0.4</v>
      </c>
      <c r="AY127" s="289">
        <f t="shared" si="194"/>
        <v>0.4</v>
      </c>
      <c r="AZ127" s="289">
        <f t="shared" si="194"/>
        <v>0.4</v>
      </c>
      <c r="BA127" s="289">
        <f t="shared" si="194"/>
        <v>0.4</v>
      </c>
      <c r="BB127" s="289">
        <f t="shared" si="194"/>
        <v>0.4</v>
      </c>
      <c r="BC127" s="289">
        <f t="shared" si="194"/>
        <v>0.4</v>
      </c>
      <c r="BD127" s="289">
        <f t="shared" si="194"/>
        <v>0.4</v>
      </c>
      <c r="BE127" s="289">
        <f t="shared" ref="BE127:CP127" si="197">+BD127</f>
        <v>0.4</v>
      </c>
      <c r="BF127" s="289">
        <f t="shared" si="197"/>
        <v>0.4</v>
      </c>
      <c r="BG127" s="289">
        <f t="shared" si="197"/>
        <v>0.4</v>
      </c>
      <c r="BH127" s="289">
        <f t="shared" si="197"/>
        <v>0.4</v>
      </c>
      <c r="BI127" s="289">
        <f t="shared" si="197"/>
        <v>0.4</v>
      </c>
      <c r="BJ127" s="289">
        <f t="shared" si="197"/>
        <v>0.4</v>
      </c>
      <c r="BK127" s="289">
        <f t="shared" si="197"/>
        <v>0.4</v>
      </c>
      <c r="BL127" s="289">
        <f t="shared" si="197"/>
        <v>0.4</v>
      </c>
      <c r="BM127" s="289">
        <f t="shared" si="197"/>
        <v>0.4</v>
      </c>
      <c r="BN127" s="289">
        <f t="shared" si="197"/>
        <v>0.4</v>
      </c>
      <c r="BO127" s="289">
        <f t="shared" si="197"/>
        <v>0.4</v>
      </c>
      <c r="BP127" s="289">
        <f t="shared" si="197"/>
        <v>0.4</v>
      </c>
      <c r="BQ127" s="289">
        <f t="shared" si="197"/>
        <v>0.4</v>
      </c>
      <c r="BR127" s="289">
        <f t="shared" si="197"/>
        <v>0.4</v>
      </c>
      <c r="BS127" s="289">
        <f t="shared" si="197"/>
        <v>0.4</v>
      </c>
      <c r="BT127" s="289">
        <f t="shared" si="197"/>
        <v>0.4</v>
      </c>
      <c r="BU127" s="289">
        <f t="shared" si="197"/>
        <v>0.4</v>
      </c>
      <c r="BV127" s="289">
        <f t="shared" si="197"/>
        <v>0.4</v>
      </c>
      <c r="BW127" s="289">
        <f t="shared" si="197"/>
        <v>0.4</v>
      </c>
      <c r="BX127" s="289">
        <f t="shared" si="197"/>
        <v>0.4</v>
      </c>
      <c r="BY127" s="289">
        <f t="shared" si="197"/>
        <v>0.4</v>
      </c>
      <c r="BZ127" s="289">
        <f t="shared" si="197"/>
        <v>0.4</v>
      </c>
      <c r="CA127" s="289">
        <f t="shared" si="197"/>
        <v>0.4</v>
      </c>
      <c r="CB127" s="289">
        <f t="shared" si="197"/>
        <v>0.4</v>
      </c>
      <c r="CC127" s="289">
        <f t="shared" si="197"/>
        <v>0.4</v>
      </c>
      <c r="CD127" s="289">
        <f t="shared" si="197"/>
        <v>0.4</v>
      </c>
      <c r="CE127" s="289">
        <f t="shared" si="197"/>
        <v>0.4</v>
      </c>
      <c r="CF127" s="289">
        <f t="shared" si="197"/>
        <v>0.4</v>
      </c>
      <c r="CG127" s="289">
        <f t="shared" si="197"/>
        <v>0.4</v>
      </c>
      <c r="CH127" s="289">
        <f t="shared" si="197"/>
        <v>0.4</v>
      </c>
      <c r="CI127" s="289">
        <f t="shared" si="197"/>
        <v>0.4</v>
      </c>
      <c r="CJ127" s="289">
        <f t="shared" si="197"/>
        <v>0.4</v>
      </c>
      <c r="CK127" s="289">
        <f t="shared" si="197"/>
        <v>0.4</v>
      </c>
      <c r="CL127" s="289">
        <f t="shared" si="197"/>
        <v>0.4</v>
      </c>
      <c r="CM127" s="289">
        <f t="shared" si="197"/>
        <v>0.4</v>
      </c>
      <c r="CN127" s="289">
        <f t="shared" si="197"/>
        <v>0.4</v>
      </c>
      <c r="CO127" s="289">
        <f t="shared" si="197"/>
        <v>0.4</v>
      </c>
      <c r="CP127" s="289">
        <f t="shared" si="197"/>
        <v>0.4</v>
      </c>
      <c r="CQ127" s="23" t="s">
        <v>77</v>
      </c>
    </row>
    <row r="128" spans="1:96" outlineLevel="1" x14ac:dyDescent="0.2">
      <c r="A128" s="233"/>
      <c r="B128" s="358" t="s">
        <v>66</v>
      </c>
      <c r="D128" s="66"/>
      <c r="E128" s="66"/>
      <c r="F128" s="66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  <c r="Y128" s="66"/>
      <c r="Z128" s="66"/>
      <c r="AA128" s="66"/>
      <c r="AB128" s="66"/>
      <c r="AC128" s="66"/>
      <c r="AD128" s="66"/>
      <c r="AE128" s="66"/>
      <c r="AF128" s="66"/>
      <c r="AG128" s="66"/>
      <c r="AH128" s="66"/>
      <c r="AI128" s="66"/>
      <c r="AJ128" s="66"/>
      <c r="AK128" s="66"/>
      <c r="AL128" s="66"/>
      <c r="AM128" s="66"/>
      <c r="AN128" s="66"/>
      <c r="AO128" s="66"/>
      <c r="AP128" s="66"/>
      <c r="AQ128" s="66"/>
      <c r="AR128" s="66"/>
      <c r="AS128" s="66"/>
      <c r="AT128" s="66"/>
      <c r="AU128" s="66"/>
      <c r="AV128" s="66"/>
      <c r="AW128" s="66"/>
      <c r="AX128" s="66"/>
      <c r="AY128" s="66"/>
      <c r="AZ128" s="66"/>
      <c r="BA128" s="66"/>
      <c r="BB128" s="66"/>
      <c r="BC128" s="66"/>
      <c r="BD128" s="66"/>
      <c r="BE128" s="66"/>
      <c r="BF128" s="66"/>
      <c r="BG128" s="66"/>
      <c r="BH128" s="66"/>
      <c r="BI128" s="66"/>
      <c r="BJ128" s="66"/>
      <c r="BK128" s="66"/>
      <c r="BL128" s="66"/>
      <c r="BM128" s="66"/>
      <c r="BN128" s="66"/>
      <c r="BO128" s="66"/>
      <c r="BP128" s="66"/>
      <c r="BQ128" s="66"/>
      <c r="BR128" s="66"/>
      <c r="BS128" s="66"/>
      <c r="BT128" s="66"/>
      <c r="BU128" s="66"/>
      <c r="BV128" s="66"/>
      <c r="BW128" s="66"/>
      <c r="BX128" s="66"/>
      <c r="BY128" s="66"/>
      <c r="BZ128" s="66"/>
      <c r="CA128" s="66"/>
      <c r="CB128" s="66"/>
      <c r="CC128" s="66"/>
      <c r="CD128" s="66"/>
      <c r="CE128" s="66"/>
      <c r="CF128" s="66"/>
      <c r="CG128" s="66"/>
      <c r="CH128" s="66"/>
      <c r="CI128" s="66"/>
      <c r="CJ128" s="66"/>
      <c r="CK128" s="66"/>
      <c r="CL128" s="66"/>
      <c r="CM128" s="66"/>
      <c r="CN128" s="66"/>
      <c r="CO128" s="66"/>
      <c r="CP128" s="66"/>
      <c r="CQ128" s="23" t="s">
        <v>77</v>
      </c>
      <c r="CR128" s="233"/>
    </row>
    <row r="129" spans="1:96" s="12" customFormat="1" outlineLevel="1" x14ac:dyDescent="0.2">
      <c r="B129" s="8" t="s">
        <v>60</v>
      </c>
      <c r="C129" s="24"/>
      <c r="D129" s="9"/>
      <c r="E129" s="9"/>
      <c r="F129" s="9"/>
      <c r="G129" s="71"/>
      <c r="H129" s="71"/>
      <c r="I129" s="71"/>
      <c r="J129" s="71"/>
      <c r="K129" s="71"/>
      <c r="L129" s="524"/>
      <c r="M129" s="72"/>
      <c r="N129" s="72"/>
      <c r="O129" s="72"/>
      <c r="P129" s="72"/>
      <c r="Q129" s="72"/>
      <c r="R129" s="524"/>
      <c r="S129" s="525" t="s">
        <v>78</v>
      </c>
      <c r="T129" s="525" t="s">
        <v>78</v>
      </c>
      <c r="U129" s="72">
        <f>U130</f>
        <v>7.0099999999999996E-2</v>
      </c>
      <c r="V129" s="72">
        <f>V130</f>
        <v>7.0099999999999996E-2</v>
      </c>
      <c r="W129" s="72">
        <f>W130</f>
        <v>7.0099999999999996E-2</v>
      </c>
      <c r="X129" s="241">
        <f>X130</f>
        <v>4.6353192682871899E-2</v>
      </c>
      <c r="Y129" s="72">
        <f>0.9*X129+0.1*Y130</f>
        <v>4.6353192682871899E-2</v>
      </c>
      <c r="Z129" s="72">
        <f t="shared" ref="Z129:BD129" si="198">0.9*Y129+0.1*Z130</f>
        <v>4.6353192682871899E-2</v>
      </c>
      <c r="AA129" s="72">
        <f t="shared" si="198"/>
        <v>4.6353192682871899E-2</v>
      </c>
      <c r="AB129" s="72">
        <f t="shared" si="198"/>
        <v>4.6353192682871899E-2</v>
      </c>
      <c r="AC129" s="241">
        <f t="shared" si="198"/>
        <v>4.6353192682871899E-2</v>
      </c>
      <c r="AD129" s="72">
        <f t="shared" si="198"/>
        <v>4.6353192682871899E-2</v>
      </c>
      <c r="AE129" s="72">
        <f t="shared" si="198"/>
        <v>4.6353192682871899E-2</v>
      </c>
      <c r="AF129" s="72">
        <f t="shared" si="198"/>
        <v>4.6353192682871899E-2</v>
      </c>
      <c r="AG129" s="241">
        <f t="shared" si="198"/>
        <v>4.8217873414584708E-2</v>
      </c>
      <c r="AH129" s="72">
        <f t="shared" si="198"/>
        <v>4.989608607312624E-2</v>
      </c>
      <c r="AI129" s="72">
        <f t="shared" si="198"/>
        <v>5.1406477465813616E-2</v>
      </c>
      <c r="AJ129" s="72">
        <f t="shared" si="198"/>
        <v>5.2765829719232257E-2</v>
      </c>
      <c r="AK129" s="72">
        <f t="shared" si="198"/>
        <v>5.3989246747309032E-2</v>
      </c>
      <c r="AL129" s="72">
        <f t="shared" si="198"/>
        <v>5.5090322072578128E-2</v>
      </c>
      <c r="AM129" s="72">
        <f t="shared" si="198"/>
        <v>5.6081289865320315E-2</v>
      </c>
      <c r="AN129" s="72">
        <f t="shared" si="198"/>
        <v>5.697316087878828E-2</v>
      </c>
      <c r="AO129" s="72">
        <f t="shared" si="198"/>
        <v>5.7775844790909449E-2</v>
      </c>
      <c r="AP129" s="72">
        <f t="shared" si="198"/>
        <v>5.8498260311818505E-2</v>
      </c>
      <c r="AQ129" s="72">
        <f t="shared" si="198"/>
        <v>5.9148434280636653E-2</v>
      </c>
      <c r="AR129" s="72">
        <f t="shared" si="198"/>
        <v>5.9733590852572988E-2</v>
      </c>
      <c r="AS129" s="72">
        <f t="shared" si="198"/>
        <v>6.0260231767315688E-2</v>
      </c>
      <c r="AT129" s="72">
        <f t="shared" si="198"/>
        <v>6.0734208590584121E-2</v>
      </c>
      <c r="AU129" s="72">
        <f t="shared" si="198"/>
        <v>6.1160787731525709E-2</v>
      </c>
      <c r="AV129" s="72">
        <f t="shared" si="198"/>
        <v>6.1544708958373141E-2</v>
      </c>
      <c r="AW129" s="72">
        <f t="shared" si="198"/>
        <v>6.1890238062535824E-2</v>
      </c>
      <c r="AX129" s="72">
        <f t="shared" si="198"/>
        <v>6.2201214256282243E-2</v>
      </c>
      <c r="AY129" s="72">
        <f t="shared" si="198"/>
        <v>6.248109283065402E-2</v>
      </c>
      <c r="AZ129" s="72">
        <f t="shared" si="198"/>
        <v>6.2732983547588619E-2</v>
      </c>
      <c r="BA129" s="72">
        <f t="shared" si="198"/>
        <v>6.2959685192829767E-2</v>
      </c>
      <c r="BB129" s="72">
        <f t="shared" si="198"/>
        <v>6.3163716673546796E-2</v>
      </c>
      <c r="BC129" s="72">
        <f t="shared" si="198"/>
        <v>6.3347345006192116E-2</v>
      </c>
      <c r="BD129" s="72">
        <f t="shared" si="198"/>
        <v>6.3512610505572914E-2</v>
      </c>
      <c r="BE129" s="72">
        <f t="shared" ref="BE129:CP129" si="199">0.9*BD129+0.1*BE130</f>
        <v>6.3661349455015628E-2</v>
      </c>
      <c r="BF129" s="72">
        <f t="shared" si="199"/>
        <v>6.3795214509514073E-2</v>
      </c>
      <c r="BG129" s="72">
        <f t="shared" si="199"/>
        <v>6.3915693058562664E-2</v>
      </c>
      <c r="BH129" s="72">
        <f t="shared" si="199"/>
        <v>6.4024123752706399E-2</v>
      </c>
      <c r="BI129" s="72">
        <f t="shared" si="199"/>
        <v>6.4121711377435761E-2</v>
      </c>
      <c r="BJ129" s="72">
        <f t="shared" si="199"/>
        <v>6.4209540239692192E-2</v>
      </c>
      <c r="BK129" s="72">
        <f t="shared" si="199"/>
        <v>6.4288586215722976E-2</v>
      </c>
      <c r="BL129" s="72">
        <f t="shared" si="199"/>
        <v>6.4359727594150679E-2</v>
      </c>
      <c r="BM129" s="72">
        <f t="shared" si="199"/>
        <v>6.4423754834735614E-2</v>
      </c>
      <c r="BN129" s="72">
        <f t="shared" si="199"/>
        <v>6.4481379351262053E-2</v>
      </c>
      <c r="BO129" s="72">
        <f t="shared" si="199"/>
        <v>6.4533241416135853E-2</v>
      </c>
      <c r="BP129" s="72">
        <f t="shared" si="199"/>
        <v>6.4579917274522267E-2</v>
      </c>
      <c r="BQ129" s="72">
        <f t="shared" si="199"/>
        <v>6.4621925547070039E-2</v>
      </c>
      <c r="BR129" s="72">
        <f t="shared" si="199"/>
        <v>6.4659732992363037E-2</v>
      </c>
      <c r="BS129" s="72">
        <f t="shared" si="199"/>
        <v>6.469375969312674E-2</v>
      </c>
      <c r="BT129" s="72">
        <f t="shared" si="199"/>
        <v>6.4724383723814075E-2</v>
      </c>
      <c r="BU129" s="72">
        <f t="shared" si="199"/>
        <v>6.4751945351432666E-2</v>
      </c>
      <c r="BV129" s="72">
        <f t="shared" si="199"/>
        <v>6.4776750816289405E-2</v>
      </c>
      <c r="BW129" s="72">
        <f t="shared" si="199"/>
        <v>6.4799075734660469E-2</v>
      </c>
      <c r="BX129" s="72">
        <f t="shared" si="199"/>
        <v>6.4819168161194429E-2</v>
      </c>
      <c r="BY129" s="72">
        <f t="shared" si="199"/>
        <v>6.4837251345074995E-2</v>
      </c>
      <c r="BZ129" s="72">
        <f t="shared" si="199"/>
        <v>6.4853526210567503E-2</v>
      </c>
      <c r="CA129" s="72">
        <f t="shared" si="199"/>
        <v>6.4868173589510761E-2</v>
      </c>
      <c r="CB129" s="72">
        <f t="shared" si="199"/>
        <v>6.4881356230559684E-2</v>
      </c>
      <c r="CC129" s="72">
        <f t="shared" si="199"/>
        <v>6.4893220607503715E-2</v>
      </c>
      <c r="CD129" s="72">
        <f t="shared" si="199"/>
        <v>6.4903898546753352E-2</v>
      </c>
      <c r="CE129" s="72">
        <f t="shared" si="199"/>
        <v>6.4913508692078015E-2</v>
      </c>
      <c r="CF129" s="72">
        <f t="shared" si="199"/>
        <v>6.4922157822870211E-2</v>
      </c>
      <c r="CG129" s="72">
        <f t="shared" si="199"/>
        <v>6.4929942040583194E-2</v>
      </c>
      <c r="CH129" s="72">
        <f t="shared" si="199"/>
        <v>6.4936947836524872E-2</v>
      </c>
      <c r="CI129" s="72">
        <f t="shared" si="199"/>
        <v>6.4943253052872393E-2</v>
      </c>
      <c r="CJ129" s="72">
        <f t="shared" si="199"/>
        <v>6.4948927747585164E-2</v>
      </c>
      <c r="CK129" s="72">
        <f t="shared" si="199"/>
        <v>6.4954034972826646E-2</v>
      </c>
      <c r="CL129" s="72">
        <f t="shared" si="199"/>
        <v>6.4958631475543982E-2</v>
      </c>
      <c r="CM129" s="72">
        <f t="shared" si="199"/>
        <v>6.4962768327989584E-2</v>
      </c>
      <c r="CN129" s="72">
        <f t="shared" si="199"/>
        <v>6.4966491495190626E-2</v>
      </c>
      <c r="CO129" s="72">
        <f t="shared" si="199"/>
        <v>6.4969842345671561E-2</v>
      </c>
      <c r="CP129" s="72">
        <f t="shared" si="199"/>
        <v>6.4972858111104412E-2</v>
      </c>
      <c r="CQ129" s="23" t="s">
        <v>77</v>
      </c>
    </row>
    <row r="130" spans="1:96" outlineLevel="1" x14ac:dyDescent="0.2">
      <c r="B130" s="8" t="s">
        <v>542</v>
      </c>
      <c r="D130" s="9"/>
      <c r="E130" s="9"/>
      <c r="F130" s="9"/>
      <c r="G130" s="71"/>
      <c r="H130" s="71"/>
      <c r="I130" s="71"/>
      <c r="J130" s="71"/>
      <c r="K130" s="71"/>
      <c r="L130" s="524">
        <f t="shared" ref="L130:W130" si="200">+L118+L123</f>
        <v>6.8400000000000002E-2</v>
      </c>
      <c r="M130" s="72">
        <f t="shared" si="200"/>
        <v>6.8400000000000002E-2</v>
      </c>
      <c r="N130" s="72">
        <f t="shared" si="200"/>
        <v>6.8400000000000002E-2</v>
      </c>
      <c r="O130" s="72">
        <f t="shared" si="200"/>
        <v>6.8400000000000002E-2</v>
      </c>
      <c r="P130" s="72">
        <f t="shared" si="200"/>
        <v>6.8400000000000002E-2</v>
      </c>
      <c r="Q130" s="72">
        <f t="shared" si="200"/>
        <v>6.8400000000000002E-2</v>
      </c>
      <c r="R130" s="524">
        <f t="shared" si="200"/>
        <v>7.0099999999999996E-2</v>
      </c>
      <c r="S130" s="72">
        <f t="shared" si="200"/>
        <v>7.0099999999999996E-2</v>
      </c>
      <c r="T130" s="72">
        <f t="shared" si="200"/>
        <v>7.0099999999999996E-2</v>
      </c>
      <c r="U130" s="72">
        <f t="shared" si="200"/>
        <v>7.0099999999999996E-2</v>
      </c>
      <c r="V130" s="72">
        <f t="shared" si="200"/>
        <v>7.0099999999999996E-2</v>
      </c>
      <c r="W130" s="72">
        <f t="shared" si="200"/>
        <v>7.0099999999999996E-2</v>
      </c>
      <c r="X130" s="344">
        <v>4.6353192682871899E-2</v>
      </c>
      <c r="Y130" s="335">
        <f>X130</f>
        <v>4.6353192682871899E-2</v>
      </c>
      <c r="Z130" s="335">
        <f>Y130</f>
        <v>4.6353192682871899E-2</v>
      </c>
      <c r="AA130" s="335">
        <f>Z130</f>
        <v>4.6353192682871899E-2</v>
      </c>
      <c r="AB130" s="335">
        <f t="shared" ref="AB130:BD130" si="201">AA130</f>
        <v>4.6353192682871899E-2</v>
      </c>
      <c r="AC130" s="298">
        <f t="shared" si="201"/>
        <v>4.6353192682871899E-2</v>
      </c>
      <c r="AD130" s="288">
        <f t="shared" si="201"/>
        <v>4.6353192682871899E-2</v>
      </c>
      <c r="AE130" s="288">
        <f t="shared" si="201"/>
        <v>4.6353192682871899E-2</v>
      </c>
      <c r="AF130" s="288">
        <f t="shared" si="201"/>
        <v>4.6353192682871899E-2</v>
      </c>
      <c r="AG130" s="298">
        <v>6.5000000000000002E-2</v>
      </c>
      <c r="AH130" s="288">
        <f t="shared" si="201"/>
        <v>6.5000000000000002E-2</v>
      </c>
      <c r="AI130" s="288">
        <f t="shared" si="201"/>
        <v>6.5000000000000002E-2</v>
      </c>
      <c r="AJ130" s="288">
        <f t="shared" si="201"/>
        <v>6.5000000000000002E-2</v>
      </c>
      <c r="AK130" s="288">
        <f t="shared" si="201"/>
        <v>6.5000000000000002E-2</v>
      </c>
      <c r="AL130" s="288">
        <f t="shared" si="201"/>
        <v>6.5000000000000002E-2</v>
      </c>
      <c r="AM130" s="288">
        <f t="shared" si="201"/>
        <v>6.5000000000000002E-2</v>
      </c>
      <c r="AN130" s="288">
        <f t="shared" si="201"/>
        <v>6.5000000000000002E-2</v>
      </c>
      <c r="AO130" s="288">
        <f t="shared" si="201"/>
        <v>6.5000000000000002E-2</v>
      </c>
      <c r="AP130" s="288">
        <f t="shared" si="201"/>
        <v>6.5000000000000002E-2</v>
      </c>
      <c r="AQ130" s="288">
        <f t="shared" si="201"/>
        <v>6.5000000000000002E-2</v>
      </c>
      <c r="AR130" s="288">
        <f t="shared" si="201"/>
        <v>6.5000000000000002E-2</v>
      </c>
      <c r="AS130" s="288">
        <f t="shared" si="201"/>
        <v>6.5000000000000002E-2</v>
      </c>
      <c r="AT130" s="288">
        <f t="shared" si="201"/>
        <v>6.5000000000000002E-2</v>
      </c>
      <c r="AU130" s="288">
        <f t="shared" si="201"/>
        <v>6.5000000000000002E-2</v>
      </c>
      <c r="AV130" s="288">
        <f t="shared" si="201"/>
        <v>6.5000000000000002E-2</v>
      </c>
      <c r="AW130" s="288">
        <f t="shared" si="201"/>
        <v>6.5000000000000002E-2</v>
      </c>
      <c r="AX130" s="288">
        <f t="shared" si="201"/>
        <v>6.5000000000000002E-2</v>
      </c>
      <c r="AY130" s="288">
        <f t="shared" si="201"/>
        <v>6.5000000000000002E-2</v>
      </c>
      <c r="AZ130" s="288">
        <f t="shared" si="201"/>
        <v>6.5000000000000002E-2</v>
      </c>
      <c r="BA130" s="288">
        <f t="shared" si="201"/>
        <v>6.5000000000000002E-2</v>
      </c>
      <c r="BB130" s="288">
        <f t="shared" si="201"/>
        <v>6.5000000000000002E-2</v>
      </c>
      <c r="BC130" s="288">
        <f t="shared" si="201"/>
        <v>6.5000000000000002E-2</v>
      </c>
      <c r="BD130" s="288">
        <f t="shared" si="201"/>
        <v>6.5000000000000002E-2</v>
      </c>
      <c r="BE130" s="288">
        <f t="shared" ref="BE130:CP130" si="202">BD130</f>
        <v>6.5000000000000002E-2</v>
      </c>
      <c r="BF130" s="288">
        <f t="shared" si="202"/>
        <v>6.5000000000000002E-2</v>
      </c>
      <c r="BG130" s="288">
        <f t="shared" si="202"/>
        <v>6.5000000000000002E-2</v>
      </c>
      <c r="BH130" s="288">
        <f t="shared" si="202"/>
        <v>6.5000000000000002E-2</v>
      </c>
      <c r="BI130" s="288">
        <f t="shared" si="202"/>
        <v>6.5000000000000002E-2</v>
      </c>
      <c r="BJ130" s="288">
        <f t="shared" si="202"/>
        <v>6.5000000000000002E-2</v>
      </c>
      <c r="BK130" s="288">
        <f t="shared" si="202"/>
        <v>6.5000000000000002E-2</v>
      </c>
      <c r="BL130" s="288">
        <f t="shared" si="202"/>
        <v>6.5000000000000002E-2</v>
      </c>
      <c r="BM130" s="288">
        <f t="shared" si="202"/>
        <v>6.5000000000000002E-2</v>
      </c>
      <c r="BN130" s="288">
        <f t="shared" si="202"/>
        <v>6.5000000000000002E-2</v>
      </c>
      <c r="BO130" s="288">
        <f t="shared" si="202"/>
        <v>6.5000000000000002E-2</v>
      </c>
      <c r="BP130" s="288">
        <f t="shared" si="202"/>
        <v>6.5000000000000002E-2</v>
      </c>
      <c r="BQ130" s="288">
        <f t="shared" si="202"/>
        <v>6.5000000000000002E-2</v>
      </c>
      <c r="BR130" s="288">
        <f t="shared" si="202"/>
        <v>6.5000000000000002E-2</v>
      </c>
      <c r="BS130" s="288">
        <f t="shared" si="202"/>
        <v>6.5000000000000002E-2</v>
      </c>
      <c r="BT130" s="288">
        <f t="shared" si="202"/>
        <v>6.5000000000000002E-2</v>
      </c>
      <c r="BU130" s="288">
        <f t="shared" si="202"/>
        <v>6.5000000000000002E-2</v>
      </c>
      <c r="BV130" s="288">
        <f t="shared" si="202"/>
        <v>6.5000000000000002E-2</v>
      </c>
      <c r="BW130" s="288">
        <f t="shared" si="202"/>
        <v>6.5000000000000002E-2</v>
      </c>
      <c r="BX130" s="288">
        <f t="shared" si="202"/>
        <v>6.5000000000000002E-2</v>
      </c>
      <c r="BY130" s="288">
        <f t="shared" si="202"/>
        <v>6.5000000000000002E-2</v>
      </c>
      <c r="BZ130" s="288">
        <f t="shared" si="202"/>
        <v>6.5000000000000002E-2</v>
      </c>
      <c r="CA130" s="288">
        <f t="shared" si="202"/>
        <v>6.5000000000000002E-2</v>
      </c>
      <c r="CB130" s="288">
        <f t="shared" si="202"/>
        <v>6.5000000000000002E-2</v>
      </c>
      <c r="CC130" s="288">
        <f t="shared" si="202"/>
        <v>6.5000000000000002E-2</v>
      </c>
      <c r="CD130" s="288">
        <f t="shared" si="202"/>
        <v>6.5000000000000002E-2</v>
      </c>
      <c r="CE130" s="288">
        <f t="shared" si="202"/>
        <v>6.5000000000000002E-2</v>
      </c>
      <c r="CF130" s="288">
        <f t="shared" si="202"/>
        <v>6.5000000000000002E-2</v>
      </c>
      <c r="CG130" s="288">
        <f t="shared" si="202"/>
        <v>6.5000000000000002E-2</v>
      </c>
      <c r="CH130" s="288">
        <f t="shared" si="202"/>
        <v>6.5000000000000002E-2</v>
      </c>
      <c r="CI130" s="288">
        <f t="shared" si="202"/>
        <v>6.5000000000000002E-2</v>
      </c>
      <c r="CJ130" s="288">
        <f t="shared" si="202"/>
        <v>6.5000000000000002E-2</v>
      </c>
      <c r="CK130" s="288">
        <f t="shared" si="202"/>
        <v>6.5000000000000002E-2</v>
      </c>
      <c r="CL130" s="288">
        <f t="shared" si="202"/>
        <v>6.5000000000000002E-2</v>
      </c>
      <c r="CM130" s="288">
        <f t="shared" si="202"/>
        <v>6.5000000000000002E-2</v>
      </c>
      <c r="CN130" s="288">
        <f t="shared" si="202"/>
        <v>6.5000000000000002E-2</v>
      </c>
      <c r="CO130" s="288">
        <f t="shared" si="202"/>
        <v>6.5000000000000002E-2</v>
      </c>
      <c r="CP130" s="288">
        <f t="shared" si="202"/>
        <v>6.5000000000000002E-2</v>
      </c>
      <c r="CQ130" s="23" t="s">
        <v>77</v>
      </c>
    </row>
    <row r="131" spans="1:96" outlineLevel="1" x14ac:dyDescent="0.2">
      <c r="B131" s="8" t="s">
        <v>61</v>
      </c>
      <c r="D131" s="9"/>
      <c r="E131" s="9"/>
      <c r="F131" s="9"/>
      <c r="G131" s="71"/>
      <c r="H131" s="71"/>
      <c r="I131" s="71"/>
      <c r="J131" s="71"/>
      <c r="K131" s="71"/>
      <c r="L131" s="526">
        <f t="shared" ref="L131:BD131" si="203">+(1+L130)/(1+L119)-1</f>
        <v>3.5171010560992144E-2</v>
      </c>
      <c r="M131" s="72">
        <f t="shared" si="203"/>
        <v>3.5171010560992144E-2</v>
      </c>
      <c r="N131" s="72">
        <f t="shared" si="203"/>
        <v>3.5171010560992144E-2</v>
      </c>
      <c r="O131" s="72">
        <f t="shared" si="203"/>
        <v>3.5171010560992144E-2</v>
      </c>
      <c r="P131" s="72">
        <f t="shared" si="203"/>
        <v>3.5171010560992144E-2</v>
      </c>
      <c r="Q131" s="72">
        <f t="shared" si="203"/>
        <v>3.5171010560992144E-2</v>
      </c>
      <c r="R131" s="526">
        <f t="shared" si="203"/>
        <v>4.3490980009751379E-2</v>
      </c>
      <c r="S131" s="72">
        <f t="shared" si="203"/>
        <v>4.3490980009751379E-2</v>
      </c>
      <c r="T131" s="72">
        <f t="shared" si="203"/>
        <v>4.3490980009751379E-2</v>
      </c>
      <c r="U131" s="72">
        <f t="shared" si="203"/>
        <v>4.3490980009751379E-2</v>
      </c>
      <c r="V131" s="72">
        <f>+(1+V130)/(1+V119)-1</f>
        <v>4.3490980009751379E-2</v>
      </c>
      <c r="W131" s="72">
        <f>+(1+W130)/(1+W119)-1</f>
        <v>4.3490980009751379E-2</v>
      </c>
      <c r="X131" s="71">
        <f t="shared" si="203"/>
        <v>2.158113073741319E-2</v>
      </c>
      <c r="Y131" s="71">
        <f t="shared" si="203"/>
        <v>2.158113073741319E-2</v>
      </c>
      <c r="Z131" s="71">
        <f t="shared" si="203"/>
        <v>2.158113073741319E-2</v>
      </c>
      <c r="AA131" s="71">
        <f t="shared" si="203"/>
        <v>2.158113073741319E-2</v>
      </c>
      <c r="AB131" s="71">
        <f t="shared" si="203"/>
        <v>2.158113073741319E-2</v>
      </c>
      <c r="AC131" s="71">
        <f t="shared" si="203"/>
        <v>2.158113073741319E-2</v>
      </c>
      <c r="AD131" s="71">
        <f t="shared" si="203"/>
        <v>2.158113073741319E-2</v>
      </c>
      <c r="AE131" s="71">
        <f t="shared" si="203"/>
        <v>2.158113073741319E-2</v>
      </c>
      <c r="AF131" s="71">
        <f t="shared" si="203"/>
        <v>2.158113073741319E-2</v>
      </c>
      <c r="AG131" s="71">
        <f t="shared" si="203"/>
        <v>3.978648112663663E-2</v>
      </c>
      <c r="AH131" s="71">
        <f t="shared" si="203"/>
        <v>3.978648112663663E-2</v>
      </c>
      <c r="AI131" s="71">
        <f t="shared" si="203"/>
        <v>3.978648112663663E-2</v>
      </c>
      <c r="AJ131" s="71">
        <f t="shared" si="203"/>
        <v>3.978648112663663E-2</v>
      </c>
      <c r="AK131" s="71">
        <f t="shared" si="203"/>
        <v>3.978648112663663E-2</v>
      </c>
      <c r="AL131" s="71">
        <f t="shared" si="203"/>
        <v>3.978648112663663E-2</v>
      </c>
      <c r="AM131" s="71">
        <f t="shared" si="203"/>
        <v>3.978648112663663E-2</v>
      </c>
      <c r="AN131" s="71">
        <f t="shared" si="203"/>
        <v>3.978648112663663E-2</v>
      </c>
      <c r="AO131" s="71">
        <f t="shared" si="203"/>
        <v>3.978648112663663E-2</v>
      </c>
      <c r="AP131" s="71">
        <f t="shared" si="203"/>
        <v>3.978648112663663E-2</v>
      </c>
      <c r="AQ131" s="71">
        <f t="shared" si="203"/>
        <v>3.978648112663663E-2</v>
      </c>
      <c r="AR131" s="71">
        <f t="shared" si="203"/>
        <v>3.978648112663663E-2</v>
      </c>
      <c r="AS131" s="71">
        <f t="shared" si="203"/>
        <v>3.978648112663663E-2</v>
      </c>
      <c r="AT131" s="71">
        <f t="shared" si="203"/>
        <v>3.978648112663663E-2</v>
      </c>
      <c r="AU131" s="71">
        <f t="shared" si="203"/>
        <v>3.978648112663663E-2</v>
      </c>
      <c r="AV131" s="71">
        <f t="shared" si="203"/>
        <v>3.978648112663663E-2</v>
      </c>
      <c r="AW131" s="71">
        <f t="shared" si="203"/>
        <v>3.978648112663663E-2</v>
      </c>
      <c r="AX131" s="71">
        <f t="shared" si="203"/>
        <v>3.978648112663663E-2</v>
      </c>
      <c r="AY131" s="71">
        <f t="shared" si="203"/>
        <v>3.978648112663663E-2</v>
      </c>
      <c r="AZ131" s="71">
        <f t="shared" si="203"/>
        <v>3.978648112663663E-2</v>
      </c>
      <c r="BA131" s="71">
        <f t="shared" si="203"/>
        <v>3.978648112663663E-2</v>
      </c>
      <c r="BB131" s="71">
        <f t="shared" si="203"/>
        <v>3.978648112663663E-2</v>
      </c>
      <c r="BC131" s="71">
        <f t="shared" si="203"/>
        <v>3.978648112663663E-2</v>
      </c>
      <c r="BD131" s="71">
        <f t="shared" si="203"/>
        <v>3.978648112663663E-2</v>
      </c>
      <c r="BE131" s="71">
        <f t="shared" ref="BE131:CP131" si="204">+(1+BE130)/(1+BE119)-1</f>
        <v>3.978648112663663E-2</v>
      </c>
      <c r="BF131" s="71">
        <f t="shared" si="204"/>
        <v>3.978648112663663E-2</v>
      </c>
      <c r="BG131" s="71">
        <f t="shared" si="204"/>
        <v>3.978648112663663E-2</v>
      </c>
      <c r="BH131" s="71">
        <f t="shared" si="204"/>
        <v>3.978648112663663E-2</v>
      </c>
      <c r="BI131" s="71">
        <f t="shared" si="204"/>
        <v>3.978648112663663E-2</v>
      </c>
      <c r="BJ131" s="71">
        <f t="shared" si="204"/>
        <v>3.978648112663663E-2</v>
      </c>
      <c r="BK131" s="71">
        <f t="shared" si="204"/>
        <v>3.978648112663663E-2</v>
      </c>
      <c r="BL131" s="71">
        <f t="shared" si="204"/>
        <v>3.978648112663663E-2</v>
      </c>
      <c r="BM131" s="71">
        <f t="shared" si="204"/>
        <v>3.978648112663663E-2</v>
      </c>
      <c r="BN131" s="71">
        <f t="shared" si="204"/>
        <v>3.978648112663663E-2</v>
      </c>
      <c r="BO131" s="71">
        <f t="shared" si="204"/>
        <v>3.978648112663663E-2</v>
      </c>
      <c r="BP131" s="71">
        <f t="shared" si="204"/>
        <v>3.978648112663663E-2</v>
      </c>
      <c r="BQ131" s="71">
        <f t="shared" si="204"/>
        <v>3.978648112663663E-2</v>
      </c>
      <c r="BR131" s="71">
        <f t="shared" si="204"/>
        <v>3.978648112663663E-2</v>
      </c>
      <c r="BS131" s="71">
        <f t="shared" si="204"/>
        <v>3.978648112663663E-2</v>
      </c>
      <c r="BT131" s="71">
        <f t="shared" si="204"/>
        <v>3.978648112663663E-2</v>
      </c>
      <c r="BU131" s="71">
        <f t="shared" si="204"/>
        <v>3.978648112663663E-2</v>
      </c>
      <c r="BV131" s="71">
        <f t="shared" si="204"/>
        <v>3.978648112663663E-2</v>
      </c>
      <c r="BW131" s="71">
        <f t="shared" si="204"/>
        <v>3.978648112663663E-2</v>
      </c>
      <c r="BX131" s="71">
        <f t="shared" si="204"/>
        <v>3.978648112663663E-2</v>
      </c>
      <c r="BY131" s="71">
        <f t="shared" si="204"/>
        <v>3.978648112663663E-2</v>
      </c>
      <c r="BZ131" s="71">
        <f t="shared" si="204"/>
        <v>3.978648112663663E-2</v>
      </c>
      <c r="CA131" s="71">
        <f t="shared" si="204"/>
        <v>3.978648112663663E-2</v>
      </c>
      <c r="CB131" s="71">
        <f t="shared" si="204"/>
        <v>3.978648112663663E-2</v>
      </c>
      <c r="CC131" s="71">
        <f t="shared" si="204"/>
        <v>3.978648112663663E-2</v>
      </c>
      <c r="CD131" s="71">
        <f t="shared" si="204"/>
        <v>3.978648112663663E-2</v>
      </c>
      <c r="CE131" s="71">
        <f t="shared" si="204"/>
        <v>3.978648112663663E-2</v>
      </c>
      <c r="CF131" s="71">
        <f t="shared" si="204"/>
        <v>3.978648112663663E-2</v>
      </c>
      <c r="CG131" s="71">
        <f t="shared" si="204"/>
        <v>3.978648112663663E-2</v>
      </c>
      <c r="CH131" s="71">
        <f t="shared" si="204"/>
        <v>3.978648112663663E-2</v>
      </c>
      <c r="CI131" s="71">
        <f t="shared" si="204"/>
        <v>3.978648112663663E-2</v>
      </c>
      <c r="CJ131" s="71">
        <f t="shared" si="204"/>
        <v>3.978648112663663E-2</v>
      </c>
      <c r="CK131" s="71">
        <f t="shared" si="204"/>
        <v>3.978648112663663E-2</v>
      </c>
      <c r="CL131" s="71">
        <f t="shared" si="204"/>
        <v>3.978648112663663E-2</v>
      </c>
      <c r="CM131" s="71">
        <f t="shared" si="204"/>
        <v>3.978648112663663E-2</v>
      </c>
      <c r="CN131" s="71">
        <f t="shared" si="204"/>
        <v>3.978648112663663E-2</v>
      </c>
      <c r="CO131" s="71">
        <f t="shared" si="204"/>
        <v>3.978648112663663E-2</v>
      </c>
      <c r="CP131" s="71">
        <f t="shared" si="204"/>
        <v>3.978648112663663E-2</v>
      </c>
      <c r="CQ131" s="23" t="s">
        <v>77</v>
      </c>
    </row>
    <row r="132" spans="1:96" outlineLevel="1" x14ac:dyDescent="0.2">
      <c r="A132" s="233"/>
      <c r="B132" s="358" t="s">
        <v>67</v>
      </c>
      <c r="D132" s="66"/>
      <c r="E132" s="66"/>
      <c r="F132" s="66"/>
      <c r="G132" s="66"/>
      <c r="H132" s="66"/>
      <c r="I132" s="66"/>
      <c r="J132" s="66"/>
      <c r="K132" s="66"/>
      <c r="L132" s="238"/>
      <c r="M132" s="66"/>
      <c r="N132" s="66"/>
      <c r="O132" s="66"/>
      <c r="P132" s="66"/>
      <c r="Q132" s="66"/>
      <c r="R132" s="238"/>
      <c r="S132" s="66"/>
      <c r="T132" s="66"/>
      <c r="U132" s="66"/>
      <c r="V132" s="66"/>
      <c r="W132" s="66"/>
      <c r="X132" s="66"/>
      <c r="Y132" s="66"/>
      <c r="Z132" s="66"/>
      <c r="AA132" s="66"/>
      <c r="AB132" s="66"/>
      <c r="AC132" s="66"/>
      <c r="AD132" s="66"/>
      <c r="AE132" s="66"/>
      <c r="AF132" s="66"/>
      <c r="AG132" s="66"/>
      <c r="AH132" s="66"/>
      <c r="AI132" s="66"/>
      <c r="AJ132" s="66"/>
      <c r="AK132" s="66"/>
      <c r="AL132" s="66"/>
      <c r="AM132" s="66"/>
      <c r="AN132" s="66"/>
      <c r="AO132" s="66"/>
      <c r="AP132" s="66"/>
      <c r="AQ132" s="66"/>
      <c r="AR132" s="66"/>
      <c r="AS132" s="66"/>
      <c r="AT132" s="66"/>
      <c r="AU132" s="66"/>
      <c r="AV132" s="66"/>
      <c r="AW132" s="66"/>
      <c r="AX132" s="66"/>
      <c r="AY132" s="66"/>
      <c r="AZ132" s="66"/>
      <c r="BA132" s="66"/>
      <c r="BB132" s="66"/>
      <c r="BC132" s="66"/>
      <c r="BD132" s="66"/>
      <c r="BE132" s="66"/>
      <c r="BF132" s="66"/>
      <c r="BG132" s="66"/>
      <c r="BH132" s="66"/>
      <c r="BI132" s="66"/>
      <c r="BJ132" s="66"/>
      <c r="BK132" s="66"/>
      <c r="BL132" s="66"/>
      <c r="BM132" s="66"/>
      <c r="BN132" s="66"/>
      <c r="BO132" s="66"/>
      <c r="BP132" s="66"/>
      <c r="BQ132" s="66"/>
      <c r="BR132" s="66"/>
      <c r="BS132" s="66"/>
      <c r="BT132" s="66"/>
      <c r="BU132" s="66"/>
      <c r="BV132" s="66"/>
      <c r="BW132" s="66"/>
      <c r="BX132" s="66"/>
      <c r="BY132" s="66"/>
      <c r="BZ132" s="66"/>
      <c r="CA132" s="66"/>
      <c r="CB132" s="66"/>
      <c r="CC132" s="66"/>
      <c r="CD132" s="66"/>
      <c r="CE132" s="66"/>
      <c r="CF132" s="66"/>
      <c r="CG132" s="66"/>
      <c r="CH132" s="66"/>
      <c r="CI132" s="66"/>
      <c r="CJ132" s="66"/>
      <c r="CK132" s="66"/>
      <c r="CL132" s="66"/>
      <c r="CM132" s="66"/>
      <c r="CN132" s="66"/>
      <c r="CO132" s="66"/>
      <c r="CP132" s="66"/>
      <c r="CQ132" s="23" t="s">
        <v>77</v>
      </c>
      <c r="CR132" s="233"/>
    </row>
    <row r="133" spans="1:96" outlineLevel="1" x14ac:dyDescent="0.2">
      <c r="B133" s="8" t="s">
        <v>62</v>
      </c>
      <c r="D133" s="71"/>
      <c r="E133" s="71"/>
      <c r="F133" s="71"/>
      <c r="G133" s="71"/>
      <c r="H133" s="71"/>
      <c r="I133" s="71"/>
      <c r="J133" s="71"/>
      <c r="K133" s="71"/>
      <c r="L133" s="526">
        <f>L135/(1-L126*(1-L127))</f>
        <v>0.1376470588235294</v>
      </c>
      <c r="M133" s="72">
        <f t="shared" ref="M133:BD133" si="205">M135/(1-M126*(1-M127))</f>
        <v>0.1376470588235294</v>
      </c>
      <c r="N133" s="72">
        <f t="shared" si="205"/>
        <v>0.1376470588235294</v>
      </c>
      <c r="O133" s="72">
        <f t="shared" si="205"/>
        <v>0.1376470588235294</v>
      </c>
      <c r="P133" s="72">
        <f t="shared" si="205"/>
        <v>0.1376470588235294</v>
      </c>
      <c r="Q133" s="72">
        <f>Q135/(1-Q126*(1-Q127))</f>
        <v>0.1376470588235294</v>
      </c>
      <c r="R133" s="526">
        <f>R135/(1-R126*(1-R127))</f>
        <v>9.9999999999999992E-2</v>
      </c>
      <c r="S133" s="72">
        <f t="shared" si="205"/>
        <v>9.9999999999999992E-2</v>
      </c>
      <c r="T133" s="72">
        <f t="shared" si="205"/>
        <v>9.9999999999999992E-2</v>
      </c>
      <c r="U133" s="72">
        <f t="shared" si="205"/>
        <v>9.9999999999999992E-2</v>
      </c>
      <c r="V133" s="72">
        <f>V135/(1-V126*(1-V127))</f>
        <v>9.9999999999999992E-2</v>
      </c>
      <c r="W133" s="72">
        <f>W135/(1-W126*(1-W127))</f>
        <v>9.9999999999999992E-2</v>
      </c>
      <c r="X133" s="71">
        <f>X135/(1-X126*(1-X127))</f>
        <v>8.5243902439024383E-2</v>
      </c>
      <c r="Y133" s="71">
        <f t="shared" si="205"/>
        <v>8.5243902439024383E-2</v>
      </c>
      <c r="Z133" s="71">
        <f t="shared" si="205"/>
        <v>8.5243902439024383E-2</v>
      </c>
      <c r="AA133" s="71">
        <f t="shared" si="205"/>
        <v>8.5243902439024383E-2</v>
      </c>
      <c r="AB133" s="71">
        <f t="shared" si="205"/>
        <v>8.5243902439024383E-2</v>
      </c>
      <c r="AC133" s="71">
        <f t="shared" si="205"/>
        <v>8.8035230352303512E-2</v>
      </c>
      <c r="AD133" s="71">
        <f t="shared" si="205"/>
        <v>9.0826558265582655E-2</v>
      </c>
      <c r="AE133" s="71">
        <f t="shared" si="205"/>
        <v>9.3617886178861784E-2</v>
      </c>
      <c r="AF133" s="71">
        <f t="shared" si="205"/>
        <v>9.6409214092140899E-2</v>
      </c>
      <c r="AG133" s="71">
        <f t="shared" si="205"/>
        <v>0.11036585365853657</v>
      </c>
      <c r="AH133" s="71">
        <f t="shared" si="205"/>
        <v>0.11036585365853657</v>
      </c>
      <c r="AI133" s="71">
        <f t="shared" si="205"/>
        <v>0.11036585365853657</v>
      </c>
      <c r="AJ133" s="71">
        <f t="shared" si="205"/>
        <v>0.11036585365853657</v>
      </c>
      <c r="AK133" s="71">
        <f t="shared" si="205"/>
        <v>0.11036585365853657</v>
      </c>
      <c r="AL133" s="71">
        <f t="shared" si="205"/>
        <v>0.11036585365853657</v>
      </c>
      <c r="AM133" s="71">
        <f t="shared" si="205"/>
        <v>0.11036585365853657</v>
      </c>
      <c r="AN133" s="71">
        <f t="shared" si="205"/>
        <v>0.11036585365853657</v>
      </c>
      <c r="AO133" s="71">
        <f t="shared" si="205"/>
        <v>0.11036585365853657</v>
      </c>
      <c r="AP133" s="71">
        <f t="shared" si="205"/>
        <v>0.11036585365853657</v>
      </c>
      <c r="AQ133" s="71">
        <f t="shared" si="205"/>
        <v>0.11036585365853657</v>
      </c>
      <c r="AR133" s="71">
        <f t="shared" si="205"/>
        <v>0.11036585365853657</v>
      </c>
      <c r="AS133" s="71">
        <f t="shared" si="205"/>
        <v>0.11036585365853657</v>
      </c>
      <c r="AT133" s="71">
        <f t="shared" si="205"/>
        <v>0.11036585365853657</v>
      </c>
      <c r="AU133" s="71">
        <f t="shared" si="205"/>
        <v>0.11036585365853657</v>
      </c>
      <c r="AV133" s="71">
        <f t="shared" si="205"/>
        <v>0.11036585365853657</v>
      </c>
      <c r="AW133" s="71">
        <f t="shared" si="205"/>
        <v>0.11036585365853657</v>
      </c>
      <c r="AX133" s="71">
        <f t="shared" si="205"/>
        <v>0.11036585365853657</v>
      </c>
      <c r="AY133" s="71">
        <f t="shared" si="205"/>
        <v>0.11036585365853657</v>
      </c>
      <c r="AZ133" s="71">
        <f t="shared" si="205"/>
        <v>0.11036585365853657</v>
      </c>
      <c r="BA133" s="71">
        <f t="shared" si="205"/>
        <v>0.11036585365853657</v>
      </c>
      <c r="BB133" s="71">
        <f t="shared" si="205"/>
        <v>0.11036585365853657</v>
      </c>
      <c r="BC133" s="71">
        <f t="shared" si="205"/>
        <v>0.11036585365853657</v>
      </c>
      <c r="BD133" s="71">
        <f t="shared" si="205"/>
        <v>0.11036585365853657</v>
      </c>
      <c r="BE133" s="71">
        <f t="shared" ref="BE133:CP133" si="206">BE135/(1-BE126*(1-BE127))</f>
        <v>0.11036585365853657</v>
      </c>
      <c r="BF133" s="71">
        <f t="shared" si="206"/>
        <v>0.11036585365853657</v>
      </c>
      <c r="BG133" s="71">
        <f t="shared" si="206"/>
        <v>0.11036585365853657</v>
      </c>
      <c r="BH133" s="71">
        <f t="shared" si="206"/>
        <v>0.11036585365853657</v>
      </c>
      <c r="BI133" s="71">
        <f t="shared" si="206"/>
        <v>0.11036585365853657</v>
      </c>
      <c r="BJ133" s="71">
        <f t="shared" si="206"/>
        <v>0.11036585365853657</v>
      </c>
      <c r="BK133" s="71">
        <f t="shared" si="206"/>
        <v>0.11036585365853657</v>
      </c>
      <c r="BL133" s="71">
        <f t="shared" si="206"/>
        <v>0.11036585365853657</v>
      </c>
      <c r="BM133" s="71">
        <f t="shared" si="206"/>
        <v>0.11036585365853657</v>
      </c>
      <c r="BN133" s="71">
        <f t="shared" si="206"/>
        <v>0.11036585365853657</v>
      </c>
      <c r="BO133" s="71">
        <f t="shared" si="206"/>
        <v>0.11036585365853657</v>
      </c>
      <c r="BP133" s="71">
        <f t="shared" si="206"/>
        <v>0.11036585365853657</v>
      </c>
      <c r="BQ133" s="71">
        <f t="shared" si="206"/>
        <v>0.11036585365853657</v>
      </c>
      <c r="BR133" s="71">
        <f t="shared" si="206"/>
        <v>0.11036585365853657</v>
      </c>
      <c r="BS133" s="71">
        <f t="shared" si="206"/>
        <v>0.11036585365853657</v>
      </c>
      <c r="BT133" s="71">
        <f t="shared" si="206"/>
        <v>0.11036585365853657</v>
      </c>
      <c r="BU133" s="71">
        <f t="shared" si="206"/>
        <v>0.11036585365853657</v>
      </c>
      <c r="BV133" s="71">
        <f t="shared" si="206"/>
        <v>0.11036585365853657</v>
      </c>
      <c r="BW133" s="71">
        <f t="shared" si="206"/>
        <v>0.11036585365853657</v>
      </c>
      <c r="BX133" s="71">
        <f t="shared" si="206"/>
        <v>0.11036585365853657</v>
      </c>
      <c r="BY133" s="71">
        <f t="shared" si="206"/>
        <v>0.11036585365853657</v>
      </c>
      <c r="BZ133" s="71">
        <f t="shared" si="206"/>
        <v>0.11036585365853657</v>
      </c>
      <c r="CA133" s="71">
        <f t="shared" si="206"/>
        <v>0.11036585365853657</v>
      </c>
      <c r="CB133" s="71">
        <f t="shared" si="206"/>
        <v>0.11036585365853657</v>
      </c>
      <c r="CC133" s="71">
        <f t="shared" si="206"/>
        <v>0.11036585365853657</v>
      </c>
      <c r="CD133" s="71">
        <f t="shared" si="206"/>
        <v>0.11036585365853657</v>
      </c>
      <c r="CE133" s="71">
        <f t="shared" si="206"/>
        <v>0.11036585365853657</v>
      </c>
      <c r="CF133" s="71">
        <f t="shared" si="206"/>
        <v>0.11036585365853657</v>
      </c>
      <c r="CG133" s="71">
        <f t="shared" si="206"/>
        <v>0.11036585365853657</v>
      </c>
      <c r="CH133" s="71">
        <f t="shared" si="206"/>
        <v>0.11036585365853657</v>
      </c>
      <c r="CI133" s="71">
        <f t="shared" si="206"/>
        <v>0.11036585365853657</v>
      </c>
      <c r="CJ133" s="71">
        <f t="shared" si="206"/>
        <v>0.11036585365853657</v>
      </c>
      <c r="CK133" s="71">
        <f t="shared" si="206"/>
        <v>0.11036585365853657</v>
      </c>
      <c r="CL133" s="71">
        <f t="shared" si="206"/>
        <v>0.11036585365853657</v>
      </c>
      <c r="CM133" s="71">
        <f t="shared" si="206"/>
        <v>0.11036585365853657</v>
      </c>
      <c r="CN133" s="71">
        <f t="shared" si="206"/>
        <v>0.11036585365853657</v>
      </c>
      <c r="CO133" s="71">
        <f t="shared" si="206"/>
        <v>0.11036585365853657</v>
      </c>
      <c r="CP133" s="71">
        <f t="shared" si="206"/>
        <v>0.11036585365853657</v>
      </c>
      <c r="CQ133" s="23" t="s">
        <v>77</v>
      </c>
    </row>
    <row r="134" spans="1:96" outlineLevel="1" x14ac:dyDescent="0.2">
      <c r="B134" s="8" t="s">
        <v>63</v>
      </c>
      <c r="D134" s="9"/>
      <c r="E134" s="9"/>
      <c r="F134" s="9"/>
      <c r="G134" s="71"/>
      <c r="H134" s="71"/>
      <c r="I134" s="71"/>
      <c r="J134" s="71"/>
      <c r="K134" s="71"/>
      <c r="L134" s="526">
        <f t="shared" ref="L134:BD134" si="207">+(1+L133)/(1+L119)-1</f>
        <v>0.10226437246732822</v>
      </c>
      <c r="M134" s="72">
        <f t="shared" si="207"/>
        <v>0.10226437246732822</v>
      </c>
      <c r="N134" s="72">
        <f t="shared" si="207"/>
        <v>0.10226437246732822</v>
      </c>
      <c r="O134" s="72">
        <f t="shared" si="207"/>
        <v>0.10226437246732822</v>
      </c>
      <c r="P134" s="72">
        <f t="shared" si="207"/>
        <v>0.10226437246732822</v>
      </c>
      <c r="Q134" s="72">
        <f t="shared" si="207"/>
        <v>0.10226437246732822</v>
      </c>
      <c r="R134" s="526">
        <f t="shared" si="207"/>
        <v>7.2647489029741497E-2</v>
      </c>
      <c r="S134" s="72">
        <f t="shared" si="207"/>
        <v>7.2647489029741497E-2</v>
      </c>
      <c r="T134" s="72">
        <f t="shared" si="207"/>
        <v>7.2647489029741497E-2</v>
      </c>
      <c r="U134" s="72">
        <f t="shared" si="207"/>
        <v>7.2647489029741497E-2</v>
      </c>
      <c r="V134" s="72">
        <f>+(1+V133)/(1+V119)-1</f>
        <v>7.2647489029741497E-2</v>
      </c>
      <c r="W134" s="72">
        <f>+(1+W133)/(1+W119)-1</f>
        <v>7.2647489029741497E-2</v>
      </c>
      <c r="X134" s="71">
        <f>+(1+X133)/(1+X119)-1</f>
        <v>5.9551115944800115E-2</v>
      </c>
      <c r="Y134" s="71">
        <f t="shared" si="207"/>
        <v>5.9551115944800115E-2</v>
      </c>
      <c r="Z134" s="71">
        <f t="shared" si="207"/>
        <v>5.9551115944800115E-2</v>
      </c>
      <c r="AA134" s="71">
        <f t="shared" si="207"/>
        <v>5.9551115944800115E-2</v>
      </c>
      <c r="AB134" s="71">
        <f t="shared" si="207"/>
        <v>5.9551115944800115E-2</v>
      </c>
      <c r="AC134" s="71">
        <f t="shared" si="207"/>
        <v>6.2276360103127981E-2</v>
      </c>
      <c r="AD134" s="71">
        <f t="shared" si="207"/>
        <v>6.5001604261455848E-2</v>
      </c>
      <c r="AE134" s="71">
        <f t="shared" si="207"/>
        <v>6.7726848419783492E-2</v>
      </c>
      <c r="AF134" s="71">
        <f t="shared" si="207"/>
        <v>7.0452092578111136E-2</v>
      </c>
      <c r="AG134" s="71">
        <f t="shared" si="207"/>
        <v>8.4078313369750024E-2</v>
      </c>
      <c r="AH134" s="71">
        <f t="shared" si="207"/>
        <v>8.4078313369750024E-2</v>
      </c>
      <c r="AI134" s="71">
        <f t="shared" si="207"/>
        <v>8.4078313369750024E-2</v>
      </c>
      <c r="AJ134" s="71">
        <f t="shared" si="207"/>
        <v>8.4078313369750024E-2</v>
      </c>
      <c r="AK134" s="71">
        <f t="shared" si="207"/>
        <v>8.4078313369750024E-2</v>
      </c>
      <c r="AL134" s="71">
        <f t="shared" si="207"/>
        <v>8.4078313369750024E-2</v>
      </c>
      <c r="AM134" s="71">
        <f t="shared" si="207"/>
        <v>8.4078313369750024E-2</v>
      </c>
      <c r="AN134" s="71">
        <f t="shared" si="207"/>
        <v>8.4078313369750024E-2</v>
      </c>
      <c r="AO134" s="71">
        <f t="shared" si="207"/>
        <v>8.4078313369750024E-2</v>
      </c>
      <c r="AP134" s="71">
        <f t="shared" si="207"/>
        <v>8.4078313369750024E-2</v>
      </c>
      <c r="AQ134" s="71">
        <f t="shared" si="207"/>
        <v>8.4078313369750024E-2</v>
      </c>
      <c r="AR134" s="71">
        <f t="shared" si="207"/>
        <v>8.4078313369750024E-2</v>
      </c>
      <c r="AS134" s="71">
        <f t="shared" si="207"/>
        <v>8.4078313369750024E-2</v>
      </c>
      <c r="AT134" s="71">
        <f t="shared" si="207"/>
        <v>8.4078313369750024E-2</v>
      </c>
      <c r="AU134" s="71">
        <f t="shared" si="207"/>
        <v>8.4078313369750024E-2</v>
      </c>
      <c r="AV134" s="71">
        <f t="shared" si="207"/>
        <v>8.4078313369750024E-2</v>
      </c>
      <c r="AW134" s="71">
        <f t="shared" si="207"/>
        <v>8.4078313369750024E-2</v>
      </c>
      <c r="AX134" s="71">
        <f t="shared" si="207"/>
        <v>8.4078313369750024E-2</v>
      </c>
      <c r="AY134" s="71">
        <f t="shared" si="207"/>
        <v>8.4078313369750024E-2</v>
      </c>
      <c r="AZ134" s="71">
        <f t="shared" si="207"/>
        <v>8.4078313369750024E-2</v>
      </c>
      <c r="BA134" s="71">
        <f t="shared" si="207"/>
        <v>8.4078313369750024E-2</v>
      </c>
      <c r="BB134" s="71">
        <f t="shared" si="207"/>
        <v>8.4078313369750024E-2</v>
      </c>
      <c r="BC134" s="71">
        <f t="shared" si="207"/>
        <v>8.4078313369750024E-2</v>
      </c>
      <c r="BD134" s="71">
        <f t="shared" si="207"/>
        <v>8.4078313369750024E-2</v>
      </c>
      <c r="BE134" s="71">
        <f t="shared" ref="BE134:CP134" si="208">+(1+BE133)/(1+BE119)-1</f>
        <v>8.4078313369750024E-2</v>
      </c>
      <c r="BF134" s="71">
        <f t="shared" si="208"/>
        <v>8.4078313369750024E-2</v>
      </c>
      <c r="BG134" s="71">
        <f t="shared" si="208"/>
        <v>8.4078313369750024E-2</v>
      </c>
      <c r="BH134" s="71">
        <f t="shared" si="208"/>
        <v>8.4078313369750024E-2</v>
      </c>
      <c r="BI134" s="71">
        <f t="shared" si="208"/>
        <v>8.4078313369750024E-2</v>
      </c>
      <c r="BJ134" s="71">
        <f t="shared" si="208"/>
        <v>8.4078313369750024E-2</v>
      </c>
      <c r="BK134" s="71">
        <f t="shared" si="208"/>
        <v>8.4078313369750024E-2</v>
      </c>
      <c r="BL134" s="71">
        <f t="shared" si="208"/>
        <v>8.4078313369750024E-2</v>
      </c>
      <c r="BM134" s="71">
        <f t="shared" si="208"/>
        <v>8.4078313369750024E-2</v>
      </c>
      <c r="BN134" s="71">
        <f t="shared" si="208"/>
        <v>8.4078313369750024E-2</v>
      </c>
      <c r="BO134" s="71">
        <f t="shared" si="208"/>
        <v>8.4078313369750024E-2</v>
      </c>
      <c r="BP134" s="71">
        <f t="shared" si="208"/>
        <v>8.4078313369750024E-2</v>
      </c>
      <c r="BQ134" s="71">
        <f t="shared" si="208"/>
        <v>8.4078313369750024E-2</v>
      </c>
      <c r="BR134" s="71">
        <f t="shared" si="208"/>
        <v>8.4078313369750024E-2</v>
      </c>
      <c r="BS134" s="71">
        <f t="shared" si="208"/>
        <v>8.4078313369750024E-2</v>
      </c>
      <c r="BT134" s="71">
        <f t="shared" si="208"/>
        <v>8.4078313369750024E-2</v>
      </c>
      <c r="BU134" s="71">
        <f t="shared" si="208"/>
        <v>8.4078313369750024E-2</v>
      </c>
      <c r="BV134" s="71">
        <f t="shared" si="208"/>
        <v>8.4078313369750024E-2</v>
      </c>
      <c r="BW134" s="71">
        <f t="shared" si="208"/>
        <v>8.4078313369750024E-2</v>
      </c>
      <c r="BX134" s="71">
        <f t="shared" si="208"/>
        <v>8.4078313369750024E-2</v>
      </c>
      <c r="BY134" s="71">
        <f t="shared" si="208"/>
        <v>8.4078313369750024E-2</v>
      </c>
      <c r="BZ134" s="71">
        <f t="shared" si="208"/>
        <v>8.4078313369750024E-2</v>
      </c>
      <c r="CA134" s="71">
        <f t="shared" si="208"/>
        <v>8.4078313369750024E-2</v>
      </c>
      <c r="CB134" s="71">
        <f t="shared" si="208"/>
        <v>8.4078313369750024E-2</v>
      </c>
      <c r="CC134" s="71">
        <f t="shared" si="208"/>
        <v>8.4078313369750024E-2</v>
      </c>
      <c r="CD134" s="71">
        <f t="shared" si="208"/>
        <v>8.4078313369750024E-2</v>
      </c>
      <c r="CE134" s="71">
        <f t="shared" si="208"/>
        <v>8.4078313369750024E-2</v>
      </c>
      <c r="CF134" s="71">
        <f t="shared" si="208"/>
        <v>8.4078313369750024E-2</v>
      </c>
      <c r="CG134" s="71">
        <f t="shared" si="208"/>
        <v>8.4078313369750024E-2</v>
      </c>
      <c r="CH134" s="71">
        <f t="shared" si="208"/>
        <v>8.4078313369750024E-2</v>
      </c>
      <c r="CI134" s="71">
        <f t="shared" si="208"/>
        <v>8.4078313369750024E-2</v>
      </c>
      <c r="CJ134" s="71">
        <f t="shared" si="208"/>
        <v>8.4078313369750024E-2</v>
      </c>
      <c r="CK134" s="71">
        <f t="shared" si="208"/>
        <v>8.4078313369750024E-2</v>
      </c>
      <c r="CL134" s="71">
        <f t="shared" si="208"/>
        <v>8.4078313369750024E-2</v>
      </c>
      <c r="CM134" s="71">
        <f t="shared" si="208"/>
        <v>8.4078313369750024E-2</v>
      </c>
      <c r="CN134" s="71">
        <f t="shared" si="208"/>
        <v>8.4078313369750024E-2</v>
      </c>
      <c r="CO134" s="71">
        <f t="shared" si="208"/>
        <v>8.4078313369750024E-2</v>
      </c>
      <c r="CP134" s="71">
        <f t="shared" si="208"/>
        <v>8.4078313369750024E-2</v>
      </c>
      <c r="CQ134" s="23" t="s">
        <v>77</v>
      </c>
    </row>
    <row r="135" spans="1:96" outlineLevel="1" x14ac:dyDescent="0.2">
      <c r="B135" s="8" t="s">
        <v>64</v>
      </c>
      <c r="D135" s="9"/>
      <c r="E135" s="9"/>
      <c r="F135" s="9"/>
      <c r="G135" s="9"/>
      <c r="H135" s="9"/>
      <c r="I135" s="9"/>
      <c r="J135" s="9"/>
      <c r="L135" s="527">
        <f>+L125*L124+L118</f>
        <v>0.11699999999999999</v>
      </c>
      <c r="M135" s="72">
        <f t="shared" ref="M135:BD135" si="209">+M125*M124+M118</f>
        <v>0.11699999999999999</v>
      </c>
      <c r="N135" s="72">
        <f t="shared" si="209"/>
        <v>0.11699999999999999</v>
      </c>
      <c r="O135" s="72">
        <f t="shared" si="209"/>
        <v>0.11699999999999999</v>
      </c>
      <c r="P135" s="72">
        <f t="shared" si="209"/>
        <v>0.11699999999999999</v>
      </c>
      <c r="Q135" s="72">
        <f>+Q125*Q124+Q118</f>
        <v>0.11699999999999999</v>
      </c>
      <c r="R135" s="526">
        <f>+R125*R124+R118</f>
        <v>7.7499999999999999E-2</v>
      </c>
      <c r="S135" s="72">
        <f t="shared" si="209"/>
        <v>7.7499999999999999E-2</v>
      </c>
      <c r="T135" s="72">
        <f t="shared" si="209"/>
        <v>7.7499999999999999E-2</v>
      </c>
      <c r="U135" s="72">
        <f t="shared" si="209"/>
        <v>7.7499999999999999E-2</v>
      </c>
      <c r="V135" s="72">
        <f>+V125*V124+V118</f>
        <v>7.7499999999999999E-2</v>
      </c>
      <c r="W135" s="72">
        <f>+W125*W124+W118</f>
        <v>7.7499999999999999E-2</v>
      </c>
      <c r="X135" s="71">
        <f t="shared" si="209"/>
        <v>6.9900000000000004E-2</v>
      </c>
      <c r="Y135" s="71">
        <f t="shared" si="209"/>
        <v>6.9900000000000004E-2</v>
      </c>
      <c r="Z135" s="71">
        <f t="shared" si="209"/>
        <v>6.9900000000000004E-2</v>
      </c>
      <c r="AA135" s="71">
        <f t="shared" si="209"/>
        <v>6.9900000000000004E-2</v>
      </c>
      <c r="AB135" s="71">
        <f t="shared" si="209"/>
        <v>6.9900000000000004E-2</v>
      </c>
      <c r="AC135" s="71">
        <f t="shared" si="209"/>
        <v>7.2188888888888886E-2</v>
      </c>
      <c r="AD135" s="71">
        <f t="shared" si="209"/>
        <v>7.4477777777777782E-2</v>
      </c>
      <c r="AE135" s="71">
        <f t="shared" si="209"/>
        <v>7.6766666666666664E-2</v>
      </c>
      <c r="AF135" s="71">
        <f t="shared" si="209"/>
        <v>7.9055555555555546E-2</v>
      </c>
      <c r="AG135" s="71">
        <f t="shared" si="209"/>
        <v>9.0499999999999997E-2</v>
      </c>
      <c r="AH135" s="71">
        <f t="shared" si="209"/>
        <v>9.0499999999999997E-2</v>
      </c>
      <c r="AI135" s="71">
        <f t="shared" si="209"/>
        <v>9.0499999999999997E-2</v>
      </c>
      <c r="AJ135" s="71">
        <f t="shared" si="209"/>
        <v>9.0499999999999997E-2</v>
      </c>
      <c r="AK135" s="71">
        <f t="shared" si="209"/>
        <v>9.0499999999999997E-2</v>
      </c>
      <c r="AL135" s="71">
        <f t="shared" si="209"/>
        <v>9.0499999999999997E-2</v>
      </c>
      <c r="AM135" s="71">
        <f t="shared" si="209"/>
        <v>9.0499999999999997E-2</v>
      </c>
      <c r="AN135" s="71">
        <f t="shared" si="209"/>
        <v>9.0499999999999997E-2</v>
      </c>
      <c r="AO135" s="71">
        <f t="shared" si="209"/>
        <v>9.0499999999999997E-2</v>
      </c>
      <c r="AP135" s="71">
        <f t="shared" si="209"/>
        <v>9.0499999999999997E-2</v>
      </c>
      <c r="AQ135" s="71">
        <f t="shared" si="209"/>
        <v>9.0499999999999997E-2</v>
      </c>
      <c r="AR135" s="71">
        <f t="shared" si="209"/>
        <v>9.0499999999999997E-2</v>
      </c>
      <c r="AS135" s="71">
        <f t="shared" si="209"/>
        <v>9.0499999999999997E-2</v>
      </c>
      <c r="AT135" s="71">
        <f t="shared" si="209"/>
        <v>9.0499999999999997E-2</v>
      </c>
      <c r="AU135" s="71">
        <f t="shared" si="209"/>
        <v>9.0499999999999997E-2</v>
      </c>
      <c r="AV135" s="71">
        <f t="shared" si="209"/>
        <v>9.0499999999999997E-2</v>
      </c>
      <c r="AW135" s="71">
        <f t="shared" si="209"/>
        <v>9.0499999999999997E-2</v>
      </c>
      <c r="AX135" s="71">
        <f t="shared" si="209"/>
        <v>9.0499999999999997E-2</v>
      </c>
      <c r="AY135" s="71">
        <f t="shared" si="209"/>
        <v>9.0499999999999997E-2</v>
      </c>
      <c r="AZ135" s="71">
        <f t="shared" si="209"/>
        <v>9.0499999999999997E-2</v>
      </c>
      <c r="BA135" s="71">
        <f t="shared" si="209"/>
        <v>9.0499999999999997E-2</v>
      </c>
      <c r="BB135" s="71">
        <f t="shared" si="209"/>
        <v>9.0499999999999997E-2</v>
      </c>
      <c r="BC135" s="71">
        <f t="shared" si="209"/>
        <v>9.0499999999999997E-2</v>
      </c>
      <c r="BD135" s="71">
        <f t="shared" si="209"/>
        <v>9.0499999999999997E-2</v>
      </c>
      <c r="BE135" s="71">
        <f t="shared" ref="BE135:CP135" si="210">+BE125*BE124+BE118</f>
        <v>9.0499999999999997E-2</v>
      </c>
      <c r="BF135" s="71">
        <f t="shared" si="210"/>
        <v>9.0499999999999997E-2</v>
      </c>
      <c r="BG135" s="71">
        <f t="shared" si="210"/>
        <v>9.0499999999999997E-2</v>
      </c>
      <c r="BH135" s="71">
        <f t="shared" si="210"/>
        <v>9.0499999999999997E-2</v>
      </c>
      <c r="BI135" s="71">
        <f t="shared" si="210"/>
        <v>9.0499999999999997E-2</v>
      </c>
      <c r="BJ135" s="71">
        <f t="shared" si="210"/>
        <v>9.0499999999999997E-2</v>
      </c>
      <c r="BK135" s="71">
        <f t="shared" si="210"/>
        <v>9.0499999999999997E-2</v>
      </c>
      <c r="BL135" s="71">
        <f t="shared" si="210"/>
        <v>9.0499999999999997E-2</v>
      </c>
      <c r="BM135" s="71">
        <f t="shared" si="210"/>
        <v>9.0499999999999997E-2</v>
      </c>
      <c r="BN135" s="71">
        <f t="shared" si="210"/>
        <v>9.0499999999999997E-2</v>
      </c>
      <c r="BO135" s="71">
        <f t="shared" si="210"/>
        <v>9.0499999999999997E-2</v>
      </c>
      <c r="BP135" s="71">
        <f t="shared" si="210"/>
        <v>9.0499999999999997E-2</v>
      </c>
      <c r="BQ135" s="71">
        <f t="shared" si="210"/>
        <v>9.0499999999999997E-2</v>
      </c>
      <c r="BR135" s="71">
        <f t="shared" si="210"/>
        <v>9.0499999999999997E-2</v>
      </c>
      <c r="BS135" s="71">
        <f t="shared" si="210"/>
        <v>9.0499999999999997E-2</v>
      </c>
      <c r="BT135" s="71">
        <f t="shared" si="210"/>
        <v>9.0499999999999997E-2</v>
      </c>
      <c r="BU135" s="71">
        <f t="shared" si="210"/>
        <v>9.0499999999999997E-2</v>
      </c>
      <c r="BV135" s="71">
        <f t="shared" si="210"/>
        <v>9.0499999999999997E-2</v>
      </c>
      <c r="BW135" s="71">
        <f t="shared" si="210"/>
        <v>9.0499999999999997E-2</v>
      </c>
      <c r="BX135" s="71">
        <f t="shared" si="210"/>
        <v>9.0499999999999997E-2</v>
      </c>
      <c r="BY135" s="71">
        <f t="shared" si="210"/>
        <v>9.0499999999999997E-2</v>
      </c>
      <c r="BZ135" s="71">
        <f t="shared" si="210"/>
        <v>9.0499999999999997E-2</v>
      </c>
      <c r="CA135" s="71">
        <f t="shared" si="210"/>
        <v>9.0499999999999997E-2</v>
      </c>
      <c r="CB135" s="71">
        <f t="shared" si="210"/>
        <v>9.0499999999999997E-2</v>
      </c>
      <c r="CC135" s="71">
        <f t="shared" si="210"/>
        <v>9.0499999999999997E-2</v>
      </c>
      <c r="CD135" s="71">
        <f t="shared" si="210"/>
        <v>9.0499999999999997E-2</v>
      </c>
      <c r="CE135" s="71">
        <f t="shared" si="210"/>
        <v>9.0499999999999997E-2</v>
      </c>
      <c r="CF135" s="71">
        <f t="shared" si="210"/>
        <v>9.0499999999999997E-2</v>
      </c>
      <c r="CG135" s="71">
        <f t="shared" si="210"/>
        <v>9.0499999999999997E-2</v>
      </c>
      <c r="CH135" s="71">
        <f t="shared" si="210"/>
        <v>9.0499999999999997E-2</v>
      </c>
      <c r="CI135" s="71">
        <f t="shared" si="210"/>
        <v>9.0499999999999997E-2</v>
      </c>
      <c r="CJ135" s="71">
        <f t="shared" si="210"/>
        <v>9.0499999999999997E-2</v>
      </c>
      <c r="CK135" s="71">
        <f t="shared" si="210"/>
        <v>9.0499999999999997E-2</v>
      </c>
      <c r="CL135" s="71">
        <f t="shared" si="210"/>
        <v>9.0499999999999997E-2</v>
      </c>
      <c r="CM135" s="71">
        <f t="shared" si="210"/>
        <v>9.0499999999999997E-2</v>
      </c>
      <c r="CN135" s="71">
        <f t="shared" si="210"/>
        <v>9.0499999999999997E-2</v>
      </c>
      <c r="CO135" s="71">
        <f t="shared" si="210"/>
        <v>9.0499999999999997E-2</v>
      </c>
      <c r="CP135" s="71">
        <f t="shared" si="210"/>
        <v>9.0499999999999997E-2</v>
      </c>
      <c r="CQ135" s="23" t="s">
        <v>77</v>
      </c>
    </row>
    <row r="136" spans="1:96" outlineLevel="1" x14ac:dyDescent="0.2">
      <c r="B136" s="8" t="s">
        <v>65</v>
      </c>
      <c r="D136" s="71"/>
      <c r="E136" s="71"/>
      <c r="F136" s="71"/>
      <c r="G136" s="71"/>
      <c r="H136" s="71"/>
      <c r="I136" s="71"/>
      <c r="J136" s="71"/>
      <c r="K136" s="71"/>
      <c r="L136" s="526">
        <f t="shared" ref="L136:BD136" si="211">+(1+L135)/(1+L119)-1</f>
        <v>8.2259470981494109E-2</v>
      </c>
      <c r="M136" s="72">
        <f t="shared" si="211"/>
        <v>8.2259470981494109E-2</v>
      </c>
      <c r="N136" s="72">
        <f t="shared" si="211"/>
        <v>8.2259470981494109E-2</v>
      </c>
      <c r="O136" s="72">
        <f t="shared" si="211"/>
        <v>8.2259470981494109E-2</v>
      </c>
      <c r="P136" s="72">
        <f t="shared" si="211"/>
        <v>8.2259470981494109E-2</v>
      </c>
      <c r="Q136" s="72">
        <f t="shared" si="211"/>
        <v>8.2259470981494109E-2</v>
      </c>
      <c r="R136" s="526">
        <f t="shared" si="211"/>
        <v>5.0706972208678591E-2</v>
      </c>
      <c r="S136" s="72">
        <f t="shared" si="211"/>
        <v>5.0706972208678591E-2</v>
      </c>
      <c r="T136" s="72">
        <f t="shared" si="211"/>
        <v>5.0706972208678591E-2</v>
      </c>
      <c r="U136" s="72">
        <f t="shared" si="211"/>
        <v>5.0706972208678591E-2</v>
      </c>
      <c r="V136" s="72">
        <f>+(1+V135)/(1+V119)-1</f>
        <v>5.0706972208678591E-2</v>
      </c>
      <c r="W136" s="72">
        <f>+(1+W135)/(1+W119)-1</f>
        <v>5.0706972208678591E-2</v>
      </c>
      <c r="X136" s="71">
        <f t="shared" si="211"/>
        <v>4.4570475265153675E-2</v>
      </c>
      <c r="Y136" s="71">
        <f t="shared" si="211"/>
        <v>4.4570475265153675E-2</v>
      </c>
      <c r="Z136" s="71">
        <f t="shared" si="211"/>
        <v>4.4570475265153675E-2</v>
      </c>
      <c r="AA136" s="71">
        <f t="shared" si="211"/>
        <v>4.4570475265153675E-2</v>
      </c>
      <c r="AB136" s="71">
        <f t="shared" si="211"/>
        <v>4.4570475265153675E-2</v>
      </c>
      <c r="AC136" s="71">
        <f t="shared" si="211"/>
        <v>4.6805175474982308E-2</v>
      </c>
      <c r="AD136" s="71">
        <f t="shared" si="211"/>
        <v>4.9039875684811163E-2</v>
      </c>
      <c r="AE136" s="71">
        <f t="shared" si="211"/>
        <v>5.1274575894640018E-2</v>
      </c>
      <c r="AF136" s="71">
        <f t="shared" si="211"/>
        <v>5.3509276104468873E-2</v>
      </c>
      <c r="AG136" s="71">
        <f t="shared" si="211"/>
        <v>6.4682777153612481E-2</v>
      </c>
      <c r="AH136" s="71">
        <f t="shared" si="211"/>
        <v>6.4682777153612481E-2</v>
      </c>
      <c r="AI136" s="71">
        <f t="shared" si="211"/>
        <v>6.4682777153612481E-2</v>
      </c>
      <c r="AJ136" s="71">
        <f t="shared" si="211"/>
        <v>6.4682777153612481E-2</v>
      </c>
      <c r="AK136" s="71">
        <f t="shared" si="211"/>
        <v>6.4682777153612481E-2</v>
      </c>
      <c r="AL136" s="71">
        <f t="shared" si="211"/>
        <v>6.4682777153612481E-2</v>
      </c>
      <c r="AM136" s="71">
        <f t="shared" si="211"/>
        <v>6.4682777153612481E-2</v>
      </c>
      <c r="AN136" s="71">
        <f t="shared" si="211"/>
        <v>6.4682777153612481E-2</v>
      </c>
      <c r="AO136" s="71">
        <f t="shared" si="211"/>
        <v>6.4682777153612481E-2</v>
      </c>
      <c r="AP136" s="71">
        <f t="shared" si="211"/>
        <v>6.4682777153612481E-2</v>
      </c>
      <c r="AQ136" s="71">
        <f t="shared" si="211"/>
        <v>6.4682777153612481E-2</v>
      </c>
      <c r="AR136" s="71">
        <f t="shared" si="211"/>
        <v>6.4682777153612481E-2</v>
      </c>
      <c r="AS136" s="71">
        <f t="shared" si="211"/>
        <v>6.4682777153612481E-2</v>
      </c>
      <c r="AT136" s="71">
        <f t="shared" si="211"/>
        <v>6.4682777153612481E-2</v>
      </c>
      <c r="AU136" s="71">
        <f t="shared" si="211"/>
        <v>6.4682777153612481E-2</v>
      </c>
      <c r="AV136" s="71">
        <f t="shared" si="211"/>
        <v>6.4682777153612481E-2</v>
      </c>
      <c r="AW136" s="71">
        <f t="shared" si="211"/>
        <v>6.4682777153612481E-2</v>
      </c>
      <c r="AX136" s="71">
        <f t="shared" si="211"/>
        <v>6.4682777153612481E-2</v>
      </c>
      <c r="AY136" s="71">
        <f t="shared" si="211"/>
        <v>6.4682777153612481E-2</v>
      </c>
      <c r="AZ136" s="71">
        <f t="shared" si="211"/>
        <v>6.4682777153612481E-2</v>
      </c>
      <c r="BA136" s="71">
        <f t="shared" si="211"/>
        <v>6.4682777153612481E-2</v>
      </c>
      <c r="BB136" s="71">
        <f t="shared" si="211"/>
        <v>6.4682777153612481E-2</v>
      </c>
      <c r="BC136" s="71">
        <f t="shared" si="211"/>
        <v>6.4682777153612481E-2</v>
      </c>
      <c r="BD136" s="71">
        <f t="shared" si="211"/>
        <v>6.4682777153612481E-2</v>
      </c>
      <c r="BE136" s="71">
        <f t="shared" ref="BE136:CP136" si="212">+(1+BE135)/(1+BE119)-1</f>
        <v>6.4682777153612481E-2</v>
      </c>
      <c r="BF136" s="71">
        <f t="shared" si="212"/>
        <v>6.4682777153612481E-2</v>
      </c>
      <c r="BG136" s="71">
        <f t="shared" si="212"/>
        <v>6.4682777153612481E-2</v>
      </c>
      <c r="BH136" s="71">
        <f t="shared" si="212"/>
        <v>6.4682777153612481E-2</v>
      </c>
      <c r="BI136" s="71">
        <f t="shared" si="212"/>
        <v>6.4682777153612481E-2</v>
      </c>
      <c r="BJ136" s="71">
        <f t="shared" si="212"/>
        <v>6.4682777153612481E-2</v>
      </c>
      <c r="BK136" s="71">
        <f t="shared" si="212"/>
        <v>6.4682777153612481E-2</v>
      </c>
      <c r="BL136" s="71">
        <f t="shared" si="212"/>
        <v>6.4682777153612481E-2</v>
      </c>
      <c r="BM136" s="71">
        <f t="shared" si="212"/>
        <v>6.4682777153612481E-2</v>
      </c>
      <c r="BN136" s="71">
        <f t="shared" si="212"/>
        <v>6.4682777153612481E-2</v>
      </c>
      <c r="BO136" s="71">
        <f t="shared" si="212"/>
        <v>6.4682777153612481E-2</v>
      </c>
      <c r="BP136" s="71">
        <f t="shared" si="212"/>
        <v>6.4682777153612481E-2</v>
      </c>
      <c r="BQ136" s="71">
        <f t="shared" si="212"/>
        <v>6.4682777153612481E-2</v>
      </c>
      <c r="BR136" s="71">
        <f t="shared" si="212"/>
        <v>6.4682777153612481E-2</v>
      </c>
      <c r="BS136" s="71">
        <f t="shared" si="212"/>
        <v>6.4682777153612481E-2</v>
      </c>
      <c r="BT136" s="71">
        <f t="shared" si="212"/>
        <v>6.4682777153612481E-2</v>
      </c>
      <c r="BU136" s="71">
        <f t="shared" si="212"/>
        <v>6.4682777153612481E-2</v>
      </c>
      <c r="BV136" s="71">
        <f t="shared" si="212"/>
        <v>6.4682777153612481E-2</v>
      </c>
      <c r="BW136" s="71">
        <f t="shared" si="212"/>
        <v>6.4682777153612481E-2</v>
      </c>
      <c r="BX136" s="71">
        <f t="shared" si="212"/>
        <v>6.4682777153612481E-2</v>
      </c>
      <c r="BY136" s="71">
        <f t="shared" si="212"/>
        <v>6.4682777153612481E-2</v>
      </c>
      <c r="BZ136" s="71">
        <f t="shared" si="212"/>
        <v>6.4682777153612481E-2</v>
      </c>
      <c r="CA136" s="71">
        <f t="shared" si="212"/>
        <v>6.4682777153612481E-2</v>
      </c>
      <c r="CB136" s="71">
        <f t="shared" si="212"/>
        <v>6.4682777153612481E-2</v>
      </c>
      <c r="CC136" s="71">
        <f t="shared" si="212"/>
        <v>6.4682777153612481E-2</v>
      </c>
      <c r="CD136" s="71">
        <f t="shared" si="212"/>
        <v>6.4682777153612481E-2</v>
      </c>
      <c r="CE136" s="71">
        <f t="shared" si="212"/>
        <v>6.4682777153612481E-2</v>
      </c>
      <c r="CF136" s="71">
        <f t="shared" si="212"/>
        <v>6.4682777153612481E-2</v>
      </c>
      <c r="CG136" s="71">
        <f t="shared" si="212"/>
        <v>6.4682777153612481E-2</v>
      </c>
      <c r="CH136" s="71">
        <f t="shared" si="212"/>
        <v>6.4682777153612481E-2</v>
      </c>
      <c r="CI136" s="71">
        <f t="shared" si="212"/>
        <v>6.4682777153612481E-2</v>
      </c>
      <c r="CJ136" s="71">
        <f t="shared" si="212"/>
        <v>6.4682777153612481E-2</v>
      </c>
      <c r="CK136" s="71">
        <f t="shared" si="212"/>
        <v>6.4682777153612481E-2</v>
      </c>
      <c r="CL136" s="71">
        <f t="shared" si="212"/>
        <v>6.4682777153612481E-2</v>
      </c>
      <c r="CM136" s="71">
        <f t="shared" si="212"/>
        <v>6.4682777153612481E-2</v>
      </c>
      <c r="CN136" s="71">
        <f t="shared" si="212"/>
        <v>6.4682777153612481E-2</v>
      </c>
      <c r="CO136" s="71">
        <f t="shared" si="212"/>
        <v>6.4682777153612481E-2</v>
      </c>
      <c r="CP136" s="71">
        <f t="shared" si="212"/>
        <v>6.4682777153612481E-2</v>
      </c>
      <c r="CQ136" s="23" t="s">
        <v>77</v>
      </c>
    </row>
    <row r="137" spans="1:96" outlineLevel="1" x14ac:dyDescent="0.2">
      <c r="A137" s="233"/>
      <c r="B137" s="358" t="s">
        <v>72</v>
      </c>
      <c r="D137" s="66"/>
      <c r="E137" s="66"/>
      <c r="F137" s="66"/>
      <c r="G137" s="66"/>
      <c r="H137" s="66"/>
      <c r="I137" s="66"/>
      <c r="J137" s="66"/>
      <c r="K137" s="66"/>
      <c r="L137" s="238"/>
      <c r="M137" s="66"/>
      <c r="N137" s="66"/>
      <c r="O137" s="66"/>
      <c r="P137" s="66"/>
      <c r="Q137" s="66"/>
      <c r="R137" s="238"/>
      <c r="S137" s="66"/>
      <c r="T137" s="66"/>
      <c r="U137" s="66"/>
      <c r="V137" s="66"/>
      <c r="W137" s="66"/>
      <c r="X137" s="66"/>
      <c r="Y137" s="66"/>
      <c r="Z137" s="66"/>
      <c r="AA137" s="66"/>
      <c r="AB137" s="66"/>
      <c r="AC137" s="66"/>
      <c r="AD137" s="66"/>
      <c r="AE137" s="66"/>
      <c r="AF137" s="66"/>
      <c r="AG137" s="66"/>
      <c r="AH137" s="66"/>
      <c r="AI137" s="66"/>
      <c r="AJ137" s="66"/>
      <c r="AK137" s="66"/>
      <c r="AL137" s="66"/>
      <c r="AM137" s="66"/>
      <c r="AN137" s="66"/>
      <c r="AO137" s="66"/>
      <c r="AP137" s="66"/>
      <c r="AQ137" s="66"/>
      <c r="AR137" s="66"/>
      <c r="AS137" s="66"/>
      <c r="AT137" s="66"/>
      <c r="AU137" s="66"/>
      <c r="AV137" s="66"/>
      <c r="AW137" s="66"/>
      <c r="AX137" s="66"/>
      <c r="AY137" s="66"/>
      <c r="AZ137" s="66"/>
      <c r="BA137" s="66"/>
      <c r="BB137" s="66"/>
      <c r="BC137" s="66"/>
      <c r="BD137" s="66"/>
      <c r="BE137" s="66"/>
      <c r="BF137" s="66"/>
      <c r="BG137" s="66"/>
      <c r="BH137" s="66"/>
      <c r="BI137" s="66"/>
      <c r="BJ137" s="66"/>
      <c r="BK137" s="66"/>
      <c r="BL137" s="66"/>
      <c r="BM137" s="66"/>
      <c r="BN137" s="66"/>
      <c r="BO137" s="66"/>
      <c r="BP137" s="66"/>
      <c r="BQ137" s="66"/>
      <c r="BR137" s="66"/>
      <c r="BS137" s="66"/>
      <c r="BT137" s="66"/>
      <c r="BU137" s="66"/>
      <c r="BV137" s="66"/>
      <c r="BW137" s="66"/>
      <c r="BX137" s="66"/>
      <c r="BY137" s="66"/>
      <c r="BZ137" s="66"/>
      <c r="CA137" s="66"/>
      <c r="CB137" s="66"/>
      <c r="CC137" s="66"/>
      <c r="CD137" s="66"/>
      <c r="CE137" s="66"/>
      <c r="CF137" s="66"/>
      <c r="CG137" s="66"/>
      <c r="CH137" s="66"/>
      <c r="CI137" s="66"/>
      <c r="CJ137" s="66"/>
      <c r="CK137" s="66"/>
      <c r="CL137" s="66"/>
      <c r="CM137" s="66"/>
      <c r="CN137" s="66"/>
      <c r="CO137" s="66"/>
      <c r="CP137" s="66"/>
      <c r="CQ137" s="23" t="s">
        <v>77</v>
      </c>
      <c r="CR137" s="233"/>
    </row>
    <row r="138" spans="1:96" outlineLevel="1" x14ac:dyDescent="0.2">
      <c r="A138" s="233"/>
      <c r="B138" s="12" t="s">
        <v>68</v>
      </c>
      <c r="D138" s="9"/>
      <c r="E138" s="9"/>
      <c r="F138" s="9"/>
      <c r="G138" s="9"/>
      <c r="H138" s="9"/>
      <c r="I138" s="9"/>
      <c r="J138" s="9"/>
      <c r="L138" s="526">
        <f>L133*L122+L130*L121</f>
        <v>9.6098823529411764E-2</v>
      </c>
      <c r="M138" s="72">
        <f t="shared" ref="M138:BD138" si="213">M133*M122+M130*M121</f>
        <v>9.6098823529411764E-2</v>
      </c>
      <c r="N138" s="72">
        <f t="shared" si="213"/>
        <v>9.6098823529411764E-2</v>
      </c>
      <c r="O138" s="72">
        <f t="shared" si="213"/>
        <v>9.6098823529411764E-2</v>
      </c>
      <c r="P138" s="72">
        <f t="shared" si="213"/>
        <v>9.6098823529411764E-2</v>
      </c>
      <c r="Q138" s="72">
        <f>Q133*Q122+Q130*Q121</f>
        <v>9.6098823529411764E-2</v>
      </c>
      <c r="R138" s="526">
        <f>R133*R122+R130*R121</f>
        <v>8.2059999999999994E-2</v>
      </c>
      <c r="S138" s="72">
        <f t="shared" si="213"/>
        <v>8.2059999999999994E-2</v>
      </c>
      <c r="T138" s="72">
        <f t="shared" si="213"/>
        <v>8.2059999999999994E-2</v>
      </c>
      <c r="U138" s="72">
        <f t="shared" si="213"/>
        <v>8.2059999999999994E-2</v>
      </c>
      <c r="V138" s="72">
        <f>V133*V122+V130*V121</f>
        <v>8.2059999999999994E-2</v>
      </c>
      <c r="W138" s="72">
        <f>W133*W122+W130*W121</f>
        <v>8.2059999999999994E-2</v>
      </c>
      <c r="X138" s="71">
        <f t="shared" si="213"/>
        <v>6.1909476585332891E-2</v>
      </c>
      <c r="Y138" s="71">
        <f t="shared" si="213"/>
        <v>6.1909476585332891E-2</v>
      </c>
      <c r="Z138" s="71">
        <f t="shared" si="213"/>
        <v>6.1909476585332891E-2</v>
      </c>
      <c r="AA138" s="71">
        <f t="shared" si="213"/>
        <v>6.1909476585332891E-2</v>
      </c>
      <c r="AB138" s="71">
        <f t="shared" si="213"/>
        <v>6.1909476585332891E-2</v>
      </c>
      <c r="AC138" s="71">
        <f t="shared" si="213"/>
        <v>6.3026007750644542E-2</v>
      </c>
      <c r="AD138" s="71">
        <f t="shared" si="213"/>
        <v>6.4142538915956199E-2</v>
      </c>
      <c r="AE138" s="71">
        <f t="shared" si="213"/>
        <v>6.5259070081267856E-2</v>
      </c>
      <c r="AF138" s="71">
        <f t="shared" si="213"/>
        <v>6.6375601246579499E-2</v>
      </c>
      <c r="AG138" s="71">
        <f t="shared" si="213"/>
        <v>8.3146341463414625E-2</v>
      </c>
      <c r="AH138" s="71">
        <f t="shared" si="213"/>
        <v>8.3146341463414625E-2</v>
      </c>
      <c r="AI138" s="71">
        <f t="shared" si="213"/>
        <v>8.3146341463414625E-2</v>
      </c>
      <c r="AJ138" s="71">
        <f t="shared" si="213"/>
        <v>8.3146341463414625E-2</v>
      </c>
      <c r="AK138" s="71">
        <f t="shared" si="213"/>
        <v>8.3146341463414625E-2</v>
      </c>
      <c r="AL138" s="71">
        <f t="shared" si="213"/>
        <v>8.3146341463414625E-2</v>
      </c>
      <c r="AM138" s="71">
        <f t="shared" si="213"/>
        <v>8.3146341463414625E-2</v>
      </c>
      <c r="AN138" s="71">
        <f t="shared" si="213"/>
        <v>8.3146341463414625E-2</v>
      </c>
      <c r="AO138" s="71">
        <f t="shared" si="213"/>
        <v>8.3146341463414625E-2</v>
      </c>
      <c r="AP138" s="71">
        <f t="shared" si="213"/>
        <v>8.3146341463414625E-2</v>
      </c>
      <c r="AQ138" s="71">
        <f t="shared" si="213"/>
        <v>8.3146341463414625E-2</v>
      </c>
      <c r="AR138" s="71">
        <f t="shared" si="213"/>
        <v>8.3146341463414625E-2</v>
      </c>
      <c r="AS138" s="71">
        <f t="shared" si="213"/>
        <v>8.3146341463414625E-2</v>
      </c>
      <c r="AT138" s="71">
        <f t="shared" si="213"/>
        <v>8.3146341463414625E-2</v>
      </c>
      <c r="AU138" s="71">
        <f t="shared" si="213"/>
        <v>8.3146341463414625E-2</v>
      </c>
      <c r="AV138" s="71">
        <f t="shared" si="213"/>
        <v>8.3146341463414625E-2</v>
      </c>
      <c r="AW138" s="71">
        <f t="shared" si="213"/>
        <v>8.3146341463414625E-2</v>
      </c>
      <c r="AX138" s="71">
        <f t="shared" si="213"/>
        <v>8.3146341463414625E-2</v>
      </c>
      <c r="AY138" s="71">
        <f t="shared" si="213"/>
        <v>8.3146341463414625E-2</v>
      </c>
      <c r="AZ138" s="71">
        <f t="shared" si="213"/>
        <v>8.3146341463414625E-2</v>
      </c>
      <c r="BA138" s="71">
        <f t="shared" si="213"/>
        <v>8.3146341463414625E-2</v>
      </c>
      <c r="BB138" s="71">
        <f t="shared" si="213"/>
        <v>8.3146341463414625E-2</v>
      </c>
      <c r="BC138" s="71">
        <f t="shared" si="213"/>
        <v>8.3146341463414625E-2</v>
      </c>
      <c r="BD138" s="71">
        <f t="shared" si="213"/>
        <v>8.3146341463414625E-2</v>
      </c>
      <c r="BE138" s="71">
        <f t="shared" ref="BE138:CP138" si="214">BE133*BE122+BE130*BE121</f>
        <v>8.3146341463414625E-2</v>
      </c>
      <c r="BF138" s="71">
        <f t="shared" si="214"/>
        <v>8.3146341463414625E-2</v>
      </c>
      <c r="BG138" s="71">
        <f t="shared" si="214"/>
        <v>8.3146341463414625E-2</v>
      </c>
      <c r="BH138" s="71">
        <f t="shared" si="214"/>
        <v>8.3146341463414625E-2</v>
      </c>
      <c r="BI138" s="71">
        <f t="shared" si="214"/>
        <v>8.3146341463414625E-2</v>
      </c>
      <c r="BJ138" s="71">
        <f t="shared" si="214"/>
        <v>8.3146341463414625E-2</v>
      </c>
      <c r="BK138" s="71">
        <f t="shared" si="214"/>
        <v>8.3146341463414625E-2</v>
      </c>
      <c r="BL138" s="71">
        <f t="shared" si="214"/>
        <v>8.3146341463414625E-2</v>
      </c>
      <c r="BM138" s="71">
        <f t="shared" si="214"/>
        <v>8.3146341463414625E-2</v>
      </c>
      <c r="BN138" s="71">
        <f t="shared" si="214"/>
        <v>8.3146341463414625E-2</v>
      </c>
      <c r="BO138" s="71">
        <f t="shared" si="214"/>
        <v>8.3146341463414625E-2</v>
      </c>
      <c r="BP138" s="71">
        <f t="shared" si="214"/>
        <v>8.3146341463414625E-2</v>
      </c>
      <c r="BQ138" s="71">
        <f t="shared" si="214"/>
        <v>8.3146341463414625E-2</v>
      </c>
      <c r="BR138" s="71">
        <f t="shared" si="214"/>
        <v>8.3146341463414625E-2</v>
      </c>
      <c r="BS138" s="71">
        <f t="shared" si="214"/>
        <v>8.3146341463414625E-2</v>
      </c>
      <c r="BT138" s="71">
        <f t="shared" si="214"/>
        <v>8.3146341463414625E-2</v>
      </c>
      <c r="BU138" s="71">
        <f t="shared" si="214"/>
        <v>8.3146341463414625E-2</v>
      </c>
      <c r="BV138" s="71">
        <f t="shared" si="214"/>
        <v>8.3146341463414625E-2</v>
      </c>
      <c r="BW138" s="71">
        <f t="shared" si="214"/>
        <v>8.3146341463414625E-2</v>
      </c>
      <c r="BX138" s="71">
        <f t="shared" si="214"/>
        <v>8.3146341463414625E-2</v>
      </c>
      <c r="BY138" s="71">
        <f t="shared" si="214"/>
        <v>8.3146341463414625E-2</v>
      </c>
      <c r="BZ138" s="71">
        <f t="shared" si="214"/>
        <v>8.3146341463414625E-2</v>
      </c>
      <c r="CA138" s="71">
        <f t="shared" si="214"/>
        <v>8.3146341463414625E-2</v>
      </c>
      <c r="CB138" s="71">
        <f t="shared" si="214"/>
        <v>8.3146341463414625E-2</v>
      </c>
      <c r="CC138" s="71">
        <f t="shared" si="214"/>
        <v>8.3146341463414625E-2</v>
      </c>
      <c r="CD138" s="71">
        <f t="shared" si="214"/>
        <v>8.3146341463414625E-2</v>
      </c>
      <c r="CE138" s="71">
        <f t="shared" si="214"/>
        <v>8.3146341463414625E-2</v>
      </c>
      <c r="CF138" s="71">
        <f t="shared" si="214"/>
        <v>8.3146341463414625E-2</v>
      </c>
      <c r="CG138" s="71">
        <f t="shared" si="214"/>
        <v>8.3146341463414625E-2</v>
      </c>
      <c r="CH138" s="71">
        <f t="shared" si="214"/>
        <v>8.3146341463414625E-2</v>
      </c>
      <c r="CI138" s="71">
        <f t="shared" si="214"/>
        <v>8.3146341463414625E-2</v>
      </c>
      <c r="CJ138" s="71">
        <f t="shared" si="214"/>
        <v>8.3146341463414625E-2</v>
      </c>
      <c r="CK138" s="71">
        <f t="shared" si="214"/>
        <v>8.3146341463414625E-2</v>
      </c>
      <c r="CL138" s="71">
        <f t="shared" si="214"/>
        <v>8.3146341463414625E-2</v>
      </c>
      <c r="CM138" s="71">
        <f t="shared" si="214"/>
        <v>8.3146341463414625E-2</v>
      </c>
      <c r="CN138" s="71">
        <f t="shared" si="214"/>
        <v>8.3146341463414625E-2</v>
      </c>
      <c r="CO138" s="71">
        <f t="shared" si="214"/>
        <v>8.3146341463414625E-2</v>
      </c>
      <c r="CP138" s="71">
        <f t="shared" si="214"/>
        <v>8.3146341463414625E-2</v>
      </c>
      <c r="CQ138" s="23" t="s">
        <v>77</v>
      </c>
      <c r="CR138" s="233"/>
    </row>
    <row r="139" spans="1:96" outlineLevel="1" x14ac:dyDescent="0.2">
      <c r="A139" s="233"/>
      <c r="B139" s="12" t="s">
        <v>69</v>
      </c>
      <c r="D139" s="9"/>
      <c r="E139" s="9"/>
      <c r="F139" s="9"/>
      <c r="G139" s="9"/>
      <c r="H139" s="9"/>
      <c r="I139" s="9"/>
      <c r="J139" s="9"/>
      <c r="L139" s="526">
        <f t="shared" ref="L139:BD139" si="215">+(1+L138)/(1+L119)-1</f>
        <v>6.2008355323526665E-2</v>
      </c>
      <c r="M139" s="72">
        <f t="shared" si="215"/>
        <v>6.2008355323526665E-2</v>
      </c>
      <c r="N139" s="72">
        <f t="shared" si="215"/>
        <v>6.2008355323526665E-2</v>
      </c>
      <c r="O139" s="72">
        <f t="shared" si="215"/>
        <v>6.2008355323526665E-2</v>
      </c>
      <c r="P139" s="72">
        <f t="shared" si="215"/>
        <v>6.2008355323526665E-2</v>
      </c>
      <c r="Q139" s="72">
        <f t="shared" si="215"/>
        <v>6.2008355323526665E-2</v>
      </c>
      <c r="R139" s="526">
        <f t="shared" si="215"/>
        <v>5.515358361774747E-2</v>
      </c>
      <c r="S139" s="72">
        <f t="shared" si="215"/>
        <v>5.515358361774747E-2</v>
      </c>
      <c r="T139" s="72">
        <f t="shared" si="215"/>
        <v>5.515358361774747E-2</v>
      </c>
      <c r="U139" s="72">
        <f t="shared" si="215"/>
        <v>5.515358361774747E-2</v>
      </c>
      <c r="V139" s="72">
        <f>+(1+V138)/(1+V119)-1</f>
        <v>5.515358361774747E-2</v>
      </c>
      <c r="W139" s="72">
        <f>+(1+W138)/(1+W119)-1</f>
        <v>5.515358361774747E-2</v>
      </c>
      <c r="X139" s="71">
        <f t="shared" si="215"/>
        <v>3.6769124820368093E-2</v>
      </c>
      <c r="Y139" s="71">
        <f t="shared" si="215"/>
        <v>3.6769124820368093E-2</v>
      </c>
      <c r="Z139" s="71">
        <f t="shared" si="215"/>
        <v>3.6769124820368093E-2</v>
      </c>
      <c r="AA139" s="71">
        <f t="shared" si="215"/>
        <v>3.6769124820368093E-2</v>
      </c>
      <c r="AB139" s="71">
        <f t="shared" si="215"/>
        <v>3.6769124820368093E-2</v>
      </c>
      <c r="AC139" s="71">
        <f t="shared" si="215"/>
        <v>3.7859222483699106E-2</v>
      </c>
      <c r="AD139" s="71">
        <f t="shared" si="215"/>
        <v>3.8949320147030342E-2</v>
      </c>
      <c r="AE139" s="71">
        <f t="shared" si="215"/>
        <v>4.0039417810361355E-2</v>
      </c>
      <c r="AF139" s="71">
        <f t="shared" si="215"/>
        <v>4.1129515473692368E-2</v>
      </c>
      <c r="AG139" s="71">
        <f t="shared" si="215"/>
        <v>5.7503214023882032E-2</v>
      </c>
      <c r="AH139" s="71">
        <f t="shared" si="215"/>
        <v>5.7503214023882032E-2</v>
      </c>
      <c r="AI139" s="71">
        <f t="shared" si="215"/>
        <v>5.7503214023882032E-2</v>
      </c>
      <c r="AJ139" s="71">
        <f t="shared" si="215"/>
        <v>5.7503214023882032E-2</v>
      </c>
      <c r="AK139" s="71">
        <f t="shared" si="215"/>
        <v>5.7503214023882032E-2</v>
      </c>
      <c r="AL139" s="71">
        <f t="shared" si="215"/>
        <v>5.7503214023882032E-2</v>
      </c>
      <c r="AM139" s="71">
        <f t="shared" si="215"/>
        <v>5.7503214023882032E-2</v>
      </c>
      <c r="AN139" s="71">
        <f t="shared" si="215"/>
        <v>5.7503214023882032E-2</v>
      </c>
      <c r="AO139" s="71">
        <f t="shared" si="215"/>
        <v>5.7503214023882032E-2</v>
      </c>
      <c r="AP139" s="71">
        <f t="shared" si="215"/>
        <v>5.7503214023882032E-2</v>
      </c>
      <c r="AQ139" s="71">
        <f t="shared" si="215"/>
        <v>5.7503214023882032E-2</v>
      </c>
      <c r="AR139" s="71">
        <f t="shared" si="215"/>
        <v>5.7503214023882032E-2</v>
      </c>
      <c r="AS139" s="71">
        <f t="shared" si="215"/>
        <v>5.7503214023882032E-2</v>
      </c>
      <c r="AT139" s="71">
        <f t="shared" si="215"/>
        <v>5.7503214023882032E-2</v>
      </c>
      <c r="AU139" s="71">
        <f t="shared" si="215"/>
        <v>5.7503214023882032E-2</v>
      </c>
      <c r="AV139" s="71">
        <f t="shared" si="215"/>
        <v>5.7503214023882032E-2</v>
      </c>
      <c r="AW139" s="71">
        <f t="shared" si="215"/>
        <v>5.7503214023882032E-2</v>
      </c>
      <c r="AX139" s="71">
        <f t="shared" si="215"/>
        <v>5.7503214023882032E-2</v>
      </c>
      <c r="AY139" s="71">
        <f t="shared" si="215"/>
        <v>5.7503214023882032E-2</v>
      </c>
      <c r="AZ139" s="71">
        <f t="shared" si="215"/>
        <v>5.7503214023882032E-2</v>
      </c>
      <c r="BA139" s="71">
        <f t="shared" si="215"/>
        <v>5.7503214023882032E-2</v>
      </c>
      <c r="BB139" s="71">
        <f t="shared" si="215"/>
        <v>5.7503214023882032E-2</v>
      </c>
      <c r="BC139" s="71">
        <f t="shared" si="215"/>
        <v>5.7503214023882032E-2</v>
      </c>
      <c r="BD139" s="71">
        <f t="shared" si="215"/>
        <v>5.7503214023882032E-2</v>
      </c>
      <c r="BE139" s="71">
        <f t="shared" ref="BE139:CP139" si="216">+(1+BE138)/(1+BE119)-1</f>
        <v>5.7503214023882032E-2</v>
      </c>
      <c r="BF139" s="71">
        <f t="shared" si="216"/>
        <v>5.7503214023882032E-2</v>
      </c>
      <c r="BG139" s="71">
        <f t="shared" si="216"/>
        <v>5.7503214023882032E-2</v>
      </c>
      <c r="BH139" s="71">
        <f t="shared" si="216"/>
        <v>5.7503214023882032E-2</v>
      </c>
      <c r="BI139" s="71">
        <f t="shared" si="216"/>
        <v>5.7503214023882032E-2</v>
      </c>
      <c r="BJ139" s="71">
        <f t="shared" si="216"/>
        <v>5.7503214023882032E-2</v>
      </c>
      <c r="BK139" s="71">
        <f t="shared" si="216"/>
        <v>5.7503214023882032E-2</v>
      </c>
      <c r="BL139" s="71">
        <f t="shared" si="216"/>
        <v>5.7503214023882032E-2</v>
      </c>
      <c r="BM139" s="71">
        <f t="shared" si="216"/>
        <v>5.7503214023882032E-2</v>
      </c>
      <c r="BN139" s="71">
        <f t="shared" si="216"/>
        <v>5.7503214023882032E-2</v>
      </c>
      <c r="BO139" s="71">
        <f t="shared" si="216"/>
        <v>5.7503214023882032E-2</v>
      </c>
      <c r="BP139" s="71">
        <f t="shared" si="216"/>
        <v>5.7503214023882032E-2</v>
      </c>
      <c r="BQ139" s="71">
        <f t="shared" si="216"/>
        <v>5.7503214023882032E-2</v>
      </c>
      <c r="BR139" s="71">
        <f t="shared" si="216"/>
        <v>5.7503214023882032E-2</v>
      </c>
      <c r="BS139" s="71">
        <f t="shared" si="216"/>
        <v>5.7503214023882032E-2</v>
      </c>
      <c r="BT139" s="71">
        <f t="shared" si="216"/>
        <v>5.7503214023882032E-2</v>
      </c>
      <c r="BU139" s="71">
        <f t="shared" si="216"/>
        <v>5.7503214023882032E-2</v>
      </c>
      <c r="BV139" s="71">
        <f t="shared" si="216"/>
        <v>5.7503214023882032E-2</v>
      </c>
      <c r="BW139" s="71">
        <f t="shared" si="216"/>
        <v>5.7503214023882032E-2</v>
      </c>
      <c r="BX139" s="71">
        <f t="shared" si="216"/>
        <v>5.7503214023882032E-2</v>
      </c>
      <c r="BY139" s="71">
        <f t="shared" si="216"/>
        <v>5.7503214023882032E-2</v>
      </c>
      <c r="BZ139" s="71">
        <f t="shared" si="216"/>
        <v>5.7503214023882032E-2</v>
      </c>
      <c r="CA139" s="71">
        <f t="shared" si="216"/>
        <v>5.7503214023882032E-2</v>
      </c>
      <c r="CB139" s="71">
        <f t="shared" si="216"/>
        <v>5.7503214023882032E-2</v>
      </c>
      <c r="CC139" s="71">
        <f t="shared" si="216"/>
        <v>5.7503214023882032E-2</v>
      </c>
      <c r="CD139" s="71">
        <f t="shared" si="216"/>
        <v>5.7503214023882032E-2</v>
      </c>
      <c r="CE139" s="71">
        <f t="shared" si="216"/>
        <v>5.7503214023882032E-2</v>
      </c>
      <c r="CF139" s="71">
        <f t="shared" si="216"/>
        <v>5.7503214023882032E-2</v>
      </c>
      <c r="CG139" s="71">
        <f t="shared" si="216"/>
        <v>5.7503214023882032E-2</v>
      </c>
      <c r="CH139" s="71">
        <f t="shared" si="216"/>
        <v>5.7503214023882032E-2</v>
      </c>
      <c r="CI139" s="71">
        <f t="shared" si="216"/>
        <v>5.7503214023882032E-2</v>
      </c>
      <c r="CJ139" s="71">
        <f t="shared" si="216"/>
        <v>5.7503214023882032E-2</v>
      </c>
      <c r="CK139" s="71">
        <f t="shared" si="216"/>
        <v>5.7503214023882032E-2</v>
      </c>
      <c r="CL139" s="71">
        <f t="shared" si="216"/>
        <v>5.7503214023882032E-2</v>
      </c>
      <c r="CM139" s="71">
        <f t="shared" si="216"/>
        <v>5.7503214023882032E-2</v>
      </c>
      <c r="CN139" s="71">
        <f t="shared" si="216"/>
        <v>5.7503214023882032E-2</v>
      </c>
      <c r="CO139" s="71">
        <f t="shared" si="216"/>
        <v>5.7503214023882032E-2</v>
      </c>
      <c r="CP139" s="71">
        <f t="shared" si="216"/>
        <v>5.7503214023882032E-2</v>
      </c>
      <c r="CQ139" s="23" t="s">
        <v>77</v>
      </c>
      <c r="CR139" s="233"/>
    </row>
    <row r="140" spans="1:96" outlineLevel="1" x14ac:dyDescent="0.2">
      <c r="A140" s="233"/>
      <c r="B140" s="2" t="s">
        <v>70</v>
      </c>
      <c r="C140" s="70"/>
      <c r="D140" s="3"/>
      <c r="E140" s="3"/>
      <c r="F140" s="3"/>
      <c r="G140" s="3"/>
      <c r="H140" s="3"/>
      <c r="I140" s="3"/>
      <c r="J140" s="3"/>
      <c r="K140" s="3"/>
      <c r="L140" s="5">
        <f>L130*L121+L135*L122</f>
        <v>8.7840000000000001E-2</v>
      </c>
      <c r="M140" s="30">
        <f t="shared" ref="M140:W140" si="217">M130*M121+M135*M122</f>
        <v>8.7840000000000001E-2</v>
      </c>
      <c r="N140" s="30">
        <f t="shared" si="217"/>
        <v>8.7840000000000001E-2</v>
      </c>
      <c r="O140" s="30">
        <f t="shared" si="217"/>
        <v>8.7840000000000001E-2</v>
      </c>
      <c r="P140" s="30">
        <f t="shared" si="217"/>
        <v>8.7840000000000001E-2</v>
      </c>
      <c r="Q140" s="30">
        <f t="shared" si="217"/>
        <v>8.7840000000000001E-2</v>
      </c>
      <c r="R140" s="5">
        <f t="shared" si="217"/>
        <v>7.3059999999999986E-2</v>
      </c>
      <c r="S140" s="30">
        <f t="shared" si="217"/>
        <v>7.3059999999999986E-2</v>
      </c>
      <c r="T140" s="30">
        <f t="shared" si="217"/>
        <v>7.3059999999999986E-2</v>
      </c>
      <c r="U140" s="30">
        <f t="shared" si="217"/>
        <v>7.3059999999999986E-2</v>
      </c>
      <c r="V140" s="30">
        <f t="shared" si="217"/>
        <v>7.3059999999999986E-2</v>
      </c>
      <c r="W140" s="30">
        <f t="shared" si="217"/>
        <v>7.3059999999999986E-2</v>
      </c>
      <c r="X140" s="30">
        <f>X129*X121+X135*X122</f>
        <v>5.5771915609723138E-2</v>
      </c>
      <c r="Y140" s="30">
        <f t="shared" ref="Y140:BD140" si="218">Y129*Y121+Y135*Y122</f>
        <v>5.5771915609723138E-2</v>
      </c>
      <c r="Z140" s="30">
        <f t="shared" si="218"/>
        <v>5.5771915609723138E-2</v>
      </c>
      <c r="AA140" s="30">
        <f t="shared" si="218"/>
        <v>5.5771915609723138E-2</v>
      </c>
      <c r="AB140" s="30">
        <f t="shared" si="218"/>
        <v>5.5771915609723138E-2</v>
      </c>
      <c r="AC140" s="30">
        <f t="shared" si="218"/>
        <v>5.6687471165278697E-2</v>
      </c>
      <c r="AD140" s="30">
        <f t="shared" si="218"/>
        <v>5.7603026720834255E-2</v>
      </c>
      <c r="AE140" s="30">
        <f t="shared" si="218"/>
        <v>5.8518582276389806E-2</v>
      </c>
      <c r="AF140" s="30">
        <f t="shared" si="218"/>
        <v>5.9434137831945358E-2</v>
      </c>
      <c r="AG140" s="30">
        <f t="shared" si="218"/>
        <v>6.5130724048750824E-2</v>
      </c>
      <c r="AH140" s="30">
        <f t="shared" si="218"/>
        <v>6.613765164387575E-2</v>
      </c>
      <c r="AI140" s="30">
        <f t="shared" si="218"/>
        <v>6.7043886479488168E-2</v>
      </c>
      <c r="AJ140" s="30">
        <f t="shared" si="218"/>
        <v>6.7859497831539356E-2</v>
      </c>
      <c r="AK140" s="30">
        <f t="shared" si="218"/>
        <v>6.8593548048385411E-2</v>
      </c>
      <c r="AL140" s="30">
        <f t="shared" si="218"/>
        <v>6.9254193243546869E-2</v>
      </c>
      <c r="AM140" s="30">
        <f t="shared" si="218"/>
        <v>6.9848773919192197E-2</v>
      </c>
      <c r="AN140" s="30">
        <f t="shared" si="218"/>
        <v>7.0383896527272977E-2</v>
      </c>
      <c r="AO140" s="30">
        <f t="shared" si="218"/>
        <v>7.0865506874545681E-2</v>
      </c>
      <c r="AP140" s="30">
        <f t="shared" si="218"/>
        <v>7.1298956187091103E-2</v>
      </c>
      <c r="AQ140" s="30">
        <f t="shared" si="218"/>
        <v>7.1689060568381993E-2</v>
      </c>
      <c r="AR140" s="30">
        <f t="shared" si="218"/>
        <v>7.2040154511543802E-2</v>
      </c>
      <c r="AS140" s="30">
        <f t="shared" si="218"/>
        <v>7.2356139060389416E-2</v>
      </c>
      <c r="AT140" s="30">
        <f t="shared" si="218"/>
        <v>7.2640525154350474E-2</v>
      </c>
      <c r="AU140" s="30">
        <f t="shared" si="218"/>
        <v>7.2896472638915424E-2</v>
      </c>
      <c r="AV140" s="30">
        <f t="shared" si="218"/>
        <v>7.3126825375023879E-2</v>
      </c>
      <c r="AW140" s="30">
        <f t="shared" si="218"/>
        <v>7.3334142837521488E-2</v>
      </c>
      <c r="AX140" s="30">
        <f t="shared" si="218"/>
        <v>7.3520728553769343E-2</v>
      </c>
      <c r="AY140" s="30">
        <f t="shared" si="218"/>
        <v>7.3688655698392419E-2</v>
      </c>
      <c r="AZ140" s="30">
        <f t="shared" si="218"/>
        <v>7.383979012855317E-2</v>
      </c>
      <c r="BA140" s="30">
        <f t="shared" si="218"/>
        <v>7.397581111569787E-2</v>
      </c>
      <c r="BB140" s="30">
        <f t="shared" si="218"/>
        <v>7.4098230004128074E-2</v>
      </c>
      <c r="BC140" s="30">
        <f t="shared" si="218"/>
        <v>7.4208407003715268E-2</v>
      </c>
      <c r="BD140" s="30">
        <f t="shared" si="218"/>
        <v>7.4307566303343758E-2</v>
      </c>
      <c r="BE140" s="30">
        <f t="shared" ref="BE140:CP140" si="219">BE129*BE121+BE135*BE122</f>
        <v>7.4396809673009379E-2</v>
      </c>
      <c r="BF140" s="30">
        <f t="shared" si="219"/>
        <v>7.447712870570844E-2</v>
      </c>
      <c r="BG140" s="30">
        <f t="shared" si="219"/>
        <v>7.4549415835137606E-2</v>
      </c>
      <c r="BH140" s="30">
        <f t="shared" si="219"/>
        <v>7.4614474251623847E-2</v>
      </c>
      <c r="BI140" s="30">
        <f t="shared" si="219"/>
        <v>7.4673026826461458E-2</v>
      </c>
      <c r="BJ140" s="30">
        <f t="shared" si="219"/>
        <v>7.4725724143815314E-2</v>
      </c>
      <c r="BK140" s="30">
        <f t="shared" si="219"/>
        <v>7.4773151729433787E-2</v>
      </c>
      <c r="BL140" s="30">
        <f t="shared" si="219"/>
        <v>7.4815836556490406E-2</v>
      </c>
      <c r="BM140" s="30">
        <f t="shared" si="219"/>
        <v>7.485425290084137E-2</v>
      </c>
      <c r="BN140" s="30">
        <f t="shared" si="219"/>
        <v>7.4888827610757241E-2</v>
      </c>
      <c r="BO140" s="30">
        <f t="shared" si="219"/>
        <v>7.4919944849681508E-2</v>
      </c>
      <c r="BP140" s="30">
        <f t="shared" si="219"/>
        <v>7.4947950364713356E-2</v>
      </c>
      <c r="BQ140" s="30">
        <f t="shared" si="219"/>
        <v>7.497315532824203E-2</v>
      </c>
      <c r="BR140" s="30">
        <f t="shared" si="219"/>
        <v>7.4995839795417824E-2</v>
      </c>
      <c r="BS140" s="30">
        <f t="shared" si="219"/>
        <v>7.5016255815876037E-2</v>
      </c>
      <c r="BT140" s="30">
        <f t="shared" si="219"/>
        <v>7.5034630234288441E-2</v>
      </c>
      <c r="BU140" s="30">
        <f t="shared" si="219"/>
        <v>7.505116721085961E-2</v>
      </c>
      <c r="BV140" s="30">
        <f t="shared" si="219"/>
        <v>7.5066050489773647E-2</v>
      </c>
      <c r="BW140" s="30">
        <f t="shared" si="219"/>
        <v>7.5079445440796283E-2</v>
      </c>
      <c r="BX140" s="30">
        <f t="shared" si="219"/>
        <v>7.5091500896716651E-2</v>
      </c>
      <c r="BY140" s="30">
        <f t="shared" si="219"/>
        <v>7.5102350807044999E-2</v>
      </c>
      <c r="BZ140" s="30">
        <f t="shared" si="219"/>
        <v>7.5112115726340495E-2</v>
      </c>
      <c r="CA140" s="30">
        <f t="shared" si="219"/>
        <v>7.5120904153706453E-2</v>
      </c>
      <c r="CB140" s="30">
        <f t="shared" si="219"/>
        <v>7.5128813738335812E-2</v>
      </c>
      <c r="CC140" s="30">
        <f t="shared" si="219"/>
        <v>7.5135932364502223E-2</v>
      </c>
      <c r="CD140" s="30">
        <f t="shared" si="219"/>
        <v>7.5142339128052016E-2</v>
      </c>
      <c r="CE140" s="30">
        <f t="shared" si="219"/>
        <v>7.5148105215246813E-2</v>
      </c>
      <c r="CF140" s="30">
        <f t="shared" si="219"/>
        <v>7.5153294693722131E-2</v>
      </c>
      <c r="CG140" s="30">
        <f t="shared" si="219"/>
        <v>7.5157965224349921E-2</v>
      </c>
      <c r="CH140" s="30">
        <f t="shared" si="219"/>
        <v>7.5162168701914917E-2</v>
      </c>
      <c r="CI140" s="30">
        <f t="shared" si="219"/>
        <v>7.5165951831723435E-2</v>
      </c>
      <c r="CJ140" s="30">
        <f t="shared" si="219"/>
        <v>7.5169356648551094E-2</v>
      </c>
      <c r="CK140" s="30">
        <f t="shared" si="219"/>
        <v>7.5172420983695989E-2</v>
      </c>
      <c r="CL140" s="30">
        <f t="shared" si="219"/>
        <v>7.5175178885326391E-2</v>
      </c>
      <c r="CM140" s="30">
        <f t="shared" si="219"/>
        <v>7.5177660996793752E-2</v>
      </c>
      <c r="CN140" s="30">
        <f t="shared" si="219"/>
        <v>7.517989489711438E-2</v>
      </c>
      <c r="CO140" s="30">
        <f t="shared" si="219"/>
        <v>7.5181905407402938E-2</v>
      </c>
      <c r="CP140" s="30">
        <f t="shared" si="219"/>
        <v>7.5183714866662643E-2</v>
      </c>
      <c r="CQ140" s="23" t="s">
        <v>77</v>
      </c>
      <c r="CR140" s="233"/>
    </row>
    <row r="141" spans="1:96" outlineLevel="1" x14ac:dyDescent="0.2">
      <c r="A141" s="233"/>
      <c r="B141" s="12" t="s">
        <v>71</v>
      </c>
      <c r="D141" s="9"/>
      <c r="E141" s="9"/>
      <c r="F141" s="9"/>
      <c r="G141" s="9"/>
      <c r="H141" s="9"/>
      <c r="I141" s="9"/>
      <c r="J141" s="9"/>
      <c r="L141" s="528">
        <f t="shared" ref="L141:BD141" si="220">+(1+L140)/(1+L119)-1</f>
        <v>5.4006394729192886E-2</v>
      </c>
      <c r="M141" s="72">
        <f t="shared" si="220"/>
        <v>5.4006394729192886E-2</v>
      </c>
      <c r="N141" s="72">
        <f t="shared" si="220"/>
        <v>5.4006394729192886E-2</v>
      </c>
      <c r="O141" s="72">
        <f t="shared" si="220"/>
        <v>5.4006394729192886E-2</v>
      </c>
      <c r="P141" s="72">
        <f t="shared" si="220"/>
        <v>5.4006394729192886E-2</v>
      </c>
      <c r="Q141" s="72">
        <f t="shared" si="220"/>
        <v>5.4006394729192886E-2</v>
      </c>
      <c r="R141" s="528">
        <f t="shared" si="220"/>
        <v>4.6377376889322086E-2</v>
      </c>
      <c r="S141" s="72">
        <f t="shared" si="220"/>
        <v>4.6377376889322086E-2</v>
      </c>
      <c r="T141" s="72">
        <f t="shared" si="220"/>
        <v>4.6377376889322086E-2</v>
      </c>
      <c r="U141" s="72">
        <f t="shared" si="220"/>
        <v>4.6377376889322086E-2</v>
      </c>
      <c r="V141" s="72">
        <f>+(1+V140)/(1+V119)-1</f>
        <v>4.6377376889322086E-2</v>
      </c>
      <c r="W141" s="72">
        <f>+(1+W140)/(1+W119)-1</f>
        <v>4.6377376889322086E-2</v>
      </c>
      <c r="X141" s="71">
        <f t="shared" si="220"/>
        <v>3.0776868548509473E-2</v>
      </c>
      <c r="Y141" s="71">
        <f t="shared" si="220"/>
        <v>3.0776868548509473E-2</v>
      </c>
      <c r="Z141" s="71">
        <f t="shared" si="220"/>
        <v>3.0776868548509473E-2</v>
      </c>
      <c r="AA141" s="71">
        <f t="shared" si="220"/>
        <v>3.0776868548509473E-2</v>
      </c>
      <c r="AB141" s="71">
        <f t="shared" si="220"/>
        <v>3.0776868548509473E-2</v>
      </c>
      <c r="AC141" s="71">
        <f t="shared" si="220"/>
        <v>3.1670748632441015E-2</v>
      </c>
      <c r="AD141" s="71">
        <f t="shared" si="220"/>
        <v>3.2564628716372335E-2</v>
      </c>
      <c r="AE141" s="71">
        <f t="shared" si="220"/>
        <v>3.3458508800303877E-2</v>
      </c>
      <c r="AF141" s="71">
        <f t="shared" si="220"/>
        <v>3.4352388884235419E-2</v>
      </c>
      <c r="AG141" s="71">
        <f t="shared" si="220"/>
        <v>3.9914110327246455E-2</v>
      </c>
      <c r="AH141" s="71">
        <f t="shared" si="220"/>
        <v>4.0897199248264293E-2</v>
      </c>
      <c r="AI141" s="71">
        <f t="shared" si="220"/>
        <v>4.1781979277180747E-2</v>
      </c>
      <c r="AJ141" s="71">
        <f t="shared" si="220"/>
        <v>4.2578281303205401E-2</v>
      </c>
      <c r="AK141" s="71">
        <f t="shared" si="220"/>
        <v>4.3294953126627567E-2</v>
      </c>
      <c r="AL141" s="71">
        <f t="shared" si="220"/>
        <v>4.3939957767707538E-2</v>
      </c>
      <c r="AM141" s="71">
        <f t="shared" si="220"/>
        <v>4.4520461944679512E-2</v>
      </c>
      <c r="AN141" s="71">
        <f t="shared" si="220"/>
        <v>4.5042915703954245E-2</v>
      </c>
      <c r="AO141" s="71">
        <f t="shared" si="220"/>
        <v>4.551312408730146E-2</v>
      </c>
      <c r="AP141" s="71">
        <f t="shared" si="220"/>
        <v>4.5936311632314153E-2</v>
      </c>
      <c r="AQ141" s="71">
        <f t="shared" si="220"/>
        <v>4.6317180422825288E-2</v>
      </c>
      <c r="AR141" s="71">
        <f t="shared" si="220"/>
        <v>4.6659962334285598E-2</v>
      </c>
      <c r="AS141" s="71">
        <f t="shared" si="220"/>
        <v>4.69684660545997E-2</v>
      </c>
      <c r="AT141" s="71">
        <f t="shared" si="220"/>
        <v>4.7246119402882369E-2</v>
      </c>
      <c r="AU141" s="71">
        <f t="shared" si="220"/>
        <v>4.7496007416336861E-2</v>
      </c>
      <c r="AV141" s="71">
        <f t="shared" si="220"/>
        <v>4.7720906628445858E-2</v>
      </c>
      <c r="AW141" s="71">
        <f t="shared" si="220"/>
        <v>4.7923315919343956E-2</v>
      </c>
      <c r="AX141" s="71">
        <f t="shared" si="220"/>
        <v>4.8105484281152355E-2</v>
      </c>
      <c r="AY141" s="71">
        <f t="shared" si="220"/>
        <v>4.8269435806779892E-2</v>
      </c>
      <c r="AZ141" s="71">
        <f t="shared" si="220"/>
        <v>4.841699217984452E-2</v>
      </c>
      <c r="BA141" s="71">
        <f t="shared" si="220"/>
        <v>4.8549792915602685E-2</v>
      </c>
      <c r="BB141" s="71">
        <f t="shared" si="220"/>
        <v>4.8669313577785145E-2</v>
      </c>
      <c r="BC141" s="71">
        <f t="shared" si="220"/>
        <v>4.8776882173749314E-2</v>
      </c>
      <c r="BD141" s="71">
        <f t="shared" si="220"/>
        <v>4.8873693910117089E-2</v>
      </c>
      <c r="BE141" s="71">
        <f t="shared" ref="BE141:CP141" si="221">+(1+BE140)/(1+BE119)-1</f>
        <v>4.8960824472848108E-2</v>
      </c>
      <c r="BF141" s="71">
        <f t="shared" si="221"/>
        <v>4.9039241979305981E-2</v>
      </c>
      <c r="BG141" s="71">
        <f t="shared" si="221"/>
        <v>4.9109817735118133E-2</v>
      </c>
      <c r="BH141" s="71">
        <f t="shared" si="221"/>
        <v>4.9173335915349226E-2</v>
      </c>
      <c r="BI141" s="71">
        <f t="shared" si="221"/>
        <v>4.9230502277556765E-2</v>
      </c>
      <c r="BJ141" s="71">
        <f t="shared" si="221"/>
        <v>4.9281952003543905E-2</v>
      </c>
      <c r="BK141" s="71">
        <f t="shared" si="221"/>
        <v>4.9328256756932198E-2</v>
      </c>
      <c r="BL141" s="71">
        <f t="shared" si="221"/>
        <v>4.9369931034981551E-2</v>
      </c>
      <c r="BM141" s="71">
        <f t="shared" si="221"/>
        <v>4.940743788522628E-2</v>
      </c>
      <c r="BN141" s="71">
        <f t="shared" si="221"/>
        <v>4.9441194050446446E-2</v>
      </c>
      <c r="BO141" s="71">
        <f t="shared" si="221"/>
        <v>4.9471574599144308E-2</v>
      </c>
      <c r="BP141" s="71">
        <f t="shared" si="221"/>
        <v>4.9498917092972716E-2</v>
      </c>
      <c r="BQ141" s="71">
        <f t="shared" si="221"/>
        <v>4.9523525337417995E-2</v>
      </c>
      <c r="BR141" s="71">
        <f t="shared" si="221"/>
        <v>4.9545672757419057E-2</v>
      </c>
      <c r="BS141" s="71">
        <f t="shared" si="221"/>
        <v>4.9565605435419657E-2</v>
      </c>
      <c r="BT141" s="71">
        <f t="shared" si="221"/>
        <v>4.9583544845620331E-2</v>
      </c>
      <c r="BU141" s="71">
        <f t="shared" si="221"/>
        <v>4.9599690314801048E-2</v>
      </c>
      <c r="BV141" s="71">
        <f t="shared" si="221"/>
        <v>4.9614221237063605E-2</v>
      </c>
      <c r="BW141" s="71">
        <f t="shared" si="221"/>
        <v>4.9627299067100283E-2</v>
      </c>
      <c r="BX141" s="71">
        <f t="shared" si="221"/>
        <v>4.9639069114132628E-2</v>
      </c>
      <c r="BY141" s="71">
        <f t="shared" si="221"/>
        <v>4.964966215646216E-2</v>
      </c>
      <c r="BZ141" s="71">
        <f t="shared" si="221"/>
        <v>4.9659195894558694E-2</v>
      </c>
      <c r="CA141" s="71">
        <f t="shared" si="221"/>
        <v>4.9667776258845553E-2</v>
      </c>
      <c r="CB141" s="71">
        <f t="shared" si="221"/>
        <v>4.9675498586703837E-2</v>
      </c>
      <c r="CC141" s="71">
        <f t="shared" si="221"/>
        <v>4.9682448681775959E-2</v>
      </c>
      <c r="CD141" s="71">
        <f t="shared" si="221"/>
        <v>4.9688703767341025E-2</v>
      </c>
      <c r="CE141" s="71">
        <f t="shared" si="221"/>
        <v>4.9694333344349584E-2</v>
      </c>
      <c r="CF141" s="71">
        <f t="shared" si="221"/>
        <v>4.9699399963657465E-2</v>
      </c>
      <c r="CG141" s="71">
        <f t="shared" si="221"/>
        <v>4.9703959921034491E-2</v>
      </c>
      <c r="CH141" s="71">
        <f t="shared" si="221"/>
        <v>4.9708063882673681E-2</v>
      </c>
      <c r="CI141" s="71">
        <f t="shared" si="221"/>
        <v>4.971175744814893E-2</v>
      </c>
      <c r="CJ141" s="71">
        <f t="shared" si="221"/>
        <v>4.9715081657076832E-2</v>
      </c>
      <c r="CK141" s="71">
        <f t="shared" si="221"/>
        <v>4.9718073445111699E-2</v>
      </c>
      <c r="CL141" s="71">
        <f t="shared" si="221"/>
        <v>4.9720766054343279E-2</v>
      </c>
      <c r="CM141" s="71">
        <f t="shared" si="221"/>
        <v>4.9723189402651746E-2</v>
      </c>
      <c r="CN141" s="71">
        <f t="shared" si="221"/>
        <v>4.9725370416129122E-2</v>
      </c>
      <c r="CO141" s="71">
        <f t="shared" si="221"/>
        <v>4.9727333328259071E-2</v>
      </c>
      <c r="CP141" s="71">
        <f t="shared" si="221"/>
        <v>4.9729099949175959E-2</v>
      </c>
      <c r="CQ141" s="23" t="s">
        <v>77</v>
      </c>
      <c r="CR141" s="233"/>
    </row>
    <row r="142" spans="1:96" ht="5.0999999999999996" customHeight="1" outlineLevel="1" x14ac:dyDescent="0.2">
      <c r="CQ142" s="23" t="s">
        <v>77</v>
      </c>
    </row>
    <row r="143" spans="1:96" outlineLevel="1" x14ac:dyDescent="0.2">
      <c r="B143" s="358" t="s">
        <v>479</v>
      </c>
      <c r="D143" s="218"/>
      <c r="E143" s="218"/>
      <c r="F143" s="218"/>
      <c r="G143" s="218"/>
      <c r="H143" s="218"/>
      <c r="I143" s="218"/>
      <c r="J143" s="218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  <c r="Y143" s="66"/>
      <c r="Z143" s="66"/>
      <c r="AA143" s="66"/>
      <c r="AB143" s="66"/>
      <c r="AC143" s="66"/>
      <c r="AD143" s="66"/>
      <c r="AE143" s="66"/>
      <c r="AF143" s="66"/>
      <c r="AG143" s="66"/>
      <c r="AH143" s="66"/>
      <c r="AI143" s="66"/>
      <c r="AJ143" s="66"/>
      <c r="AK143" s="66"/>
      <c r="AL143" s="66"/>
      <c r="AM143" s="66"/>
      <c r="AN143" s="66"/>
      <c r="AO143" s="66"/>
      <c r="AP143" s="66"/>
      <c r="AQ143" s="66"/>
      <c r="AR143" s="66"/>
      <c r="AS143" s="66"/>
      <c r="AT143" s="66"/>
      <c r="AU143" s="66"/>
      <c r="AV143" s="66"/>
      <c r="AW143" s="66"/>
      <c r="AX143" s="66"/>
      <c r="AY143" s="66"/>
      <c r="AZ143" s="66"/>
      <c r="BA143" s="66"/>
      <c r="BB143" s="66"/>
      <c r="BC143" s="66"/>
      <c r="BD143" s="66"/>
      <c r="BE143" s="66"/>
      <c r="BF143" s="66"/>
      <c r="BG143" s="66"/>
      <c r="BH143" s="66"/>
      <c r="BI143" s="66"/>
      <c r="BJ143" s="66"/>
      <c r="BK143" s="66"/>
      <c r="BL143" s="66"/>
      <c r="BM143" s="66"/>
      <c r="BN143" s="66"/>
      <c r="BO143" s="66"/>
      <c r="BP143" s="66"/>
      <c r="BQ143" s="66"/>
      <c r="BR143" s="66"/>
      <c r="BS143" s="66"/>
      <c r="BT143" s="66"/>
      <c r="BU143" s="66"/>
      <c r="BV143" s="66"/>
      <c r="BW143" s="66"/>
      <c r="BX143" s="66"/>
      <c r="BY143" s="66"/>
      <c r="BZ143" s="66"/>
      <c r="CA143" s="66"/>
      <c r="CB143" s="66"/>
      <c r="CC143" s="66"/>
      <c r="CD143" s="66"/>
      <c r="CE143" s="66"/>
      <c r="CF143" s="66"/>
      <c r="CG143" s="66"/>
      <c r="CH143" s="66"/>
      <c r="CI143" s="66"/>
      <c r="CJ143" s="66"/>
      <c r="CK143" s="66"/>
      <c r="CL143" s="66"/>
      <c r="CM143" s="66"/>
      <c r="CN143" s="66"/>
      <c r="CO143" s="66"/>
      <c r="CP143" s="66"/>
      <c r="CQ143" s="23" t="s">
        <v>77</v>
      </c>
    </row>
    <row r="144" spans="1:96" outlineLevel="1" x14ac:dyDescent="0.2">
      <c r="B144" s="8" t="s">
        <v>324</v>
      </c>
      <c r="D144" s="9"/>
      <c r="E144" s="9"/>
      <c r="F144" s="9"/>
      <c r="G144" s="9"/>
      <c r="H144" s="9"/>
      <c r="I144" s="9"/>
      <c r="J144" s="9"/>
      <c r="M144" s="52">
        <v>13.7</v>
      </c>
      <c r="N144" s="52">
        <v>13.6</v>
      </c>
      <c r="O144" s="52">
        <v>13.4</v>
      </c>
      <c r="P144" s="52">
        <v>13.2</v>
      </c>
      <c r="Q144" s="52">
        <v>13</v>
      </c>
      <c r="R144" s="9">
        <f t="shared" ref="R144:W144" si="222">ROUND(+R140*R115,3)</f>
        <v>30.510999999999999</v>
      </c>
      <c r="S144" s="9">
        <f t="shared" si="222"/>
        <v>30.474</v>
      </c>
      <c r="T144" s="208">
        <f t="shared" si="222"/>
        <v>30.385999999999999</v>
      </c>
      <c r="U144" s="299">
        <f t="shared" si="222"/>
        <v>30.109000000000002</v>
      </c>
      <c r="V144" s="299">
        <f t="shared" si="222"/>
        <v>29.853000000000002</v>
      </c>
      <c r="W144" s="299">
        <f t="shared" si="222"/>
        <v>32.439</v>
      </c>
      <c r="X144" s="286">
        <f>ROUND(+X140*X110,3)</f>
        <v>25.216000000000001</v>
      </c>
      <c r="Y144" s="286">
        <f>ROUND(+Y140*Y110,3)</f>
        <v>26.398</v>
      </c>
      <c r="Z144" s="286">
        <f>ROUND(+Z140*Z110,3)</f>
        <v>26.975000000000001</v>
      </c>
      <c r="AA144" s="286">
        <f>ROUND(+AA140*AA110,3)</f>
        <v>26.995999999999999</v>
      </c>
      <c r="AB144" s="286">
        <f>ROUND(+AB140*AB110,3)</f>
        <v>27.448</v>
      </c>
      <c r="AC144" s="272">
        <f t="shared" ref="AC144:BD144" si="223">ROUND(+AC140*AC110,3)</f>
        <v>28.486000000000001</v>
      </c>
      <c r="AD144" s="272">
        <f t="shared" si="223"/>
        <v>29.556000000000001</v>
      </c>
      <c r="AE144" s="272">
        <f t="shared" si="223"/>
        <v>30.658000000000001</v>
      </c>
      <c r="AF144" s="272">
        <f t="shared" si="223"/>
        <v>31.792999999999999</v>
      </c>
      <c r="AG144" s="272">
        <f t="shared" si="223"/>
        <v>35.573999999999998</v>
      </c>
      <c r="AH144" s="272">
        <f t="shared" si="223"/>
        <v>36.884</v>
      </c>
      <c r="AI144" s="272">
        <f t="shared" si="223"/>
        <v>38.177</v>
      </c>
      <c r="AJ144" s="272">
        <f t="shared" si="223"/>
        <v>39.454999999999998</v>
      </c>
      <c r="AK144" s="272">
        <f t="shared" si="223"/>
        <v>40.720999999999997</v>
      </c>
      <c r="AL144" s="272">
        <f t="shared" si="223"/>
        <v>41.978999999999999</v>
      </c>
      <c r="AM144" s="272">
        <f t="shared" si="223"/>
        <v>43.23</v>
      </c>
      <c r="AN144" s="272">
        <f t="shared" si="223"/>
        <v>44.478999999999999</v>
      </c>
      <c r="AO144" s="272">
        <f t="shared" si="223"/>
        <v>45.725999999999999</v>
      </c>
      <c r="AP144" s="272">
        <f t="shared" si="223"/>
        <v>46.973999999999997</v>
      </c>
      <c r="AQ144" s="272">
        <f t="shared" si="223"/>
        <v>48.225000000000001</v>
      </c>
      <c r="AR144" s="272">
        <f t="shared" si="223"/>
        <v>49.481999999999999</v>
      </c>
      <c r="AS144" s="272">
        <f t="shared" si="223"/>
        <v>50.744999999999997</v>
      </c>
      <c r="AT144" s="272">
        <f t="shared" si="223"/>
        <v>52.017000000000003</v>
      </c>
      <c r="AU144" s="272">
        <f t="shared" si="223"/>
        <v>53.298999999999999</v>
      </c>
      <c r="AV144" s="272">
        <f t="shared" si="223"/>
        <v>54.593000000000004</v>
      </c>
      <c r="AW144" s="272">
        <f t="shared" si="223"/>
        <v>55.901000000000003</v>
      </c>
      <c r="AX144" s="272">
        <f t="shared" si="223"/>
        <v>57.222999999999999</v>
      </c>
      <c r="AY144" s="272">
        <f t="shared" si="223"/>
        <v>58.561</v>
      </c>
      <c r="AZ144" s="272">
        <f t="shared" si="223"/>
        <v>59.915999999999997</v>
      </c>
      <c r="BA144" s="272">
        <f t="shared" si="223"/>
        <v>61.29</v>
      </c>
      <c r="BB144" s="272">
        <f t="shared" si="223"/>
        <v>62.683999999999997</v>
      </c>
      <c r="BC144" s="272">
        <f t="shared" si="223"/>
        <v>64.099000000000004</v>
      </c>
      <c r="BD144" s="272">
        <f t="shared" si="223"/>
        <v>65.536000000000001</v>
      </c>
      <c r="BE144" s="272">
        <f t="shared" ref="BE144:CP144" si="224">ROUND(+BE140*BE110,3)</f>
        <v>66.995999999999995</v>
      </c>
      <c r="BF144" s="272">
        <f t="shared" si="224"/>
        <v>68.48</v>
      </c>
      <c r="BG144" s="272">
        <f t="shared" si="224"/>
        <v>69.989999999999995</v>
      </c>
      <c r="BH144" s="272">
        <f t="shared" si="224"/>
        <v>71.525999999999996</v>
      </c>
      <c r="BI144" s="272">
        <f t="shared" si="224"/>
        <v>73.088999999999999</v>
      </c>
      <c r="BJ144" s="272">
        <f t="shared" si="224"/>
        <v>74.680000000000007</v>
      </c>
      <c r="BK144" s="272">
        <f t="shared" si="224"/>
        <v>76.301000000000002</v>
      </c>
      <c r="BL144" s="272">
        <f t="shared" si="224"/>
        <v>77.951999999999998</v>
      </c>
      <c r="BM144" s="272">
        <f t="shared" si="224"/>
        <v>79.634</v>
      </c>
      <c r="BN144" s="272">
        <f t="shared" si="224"/>
        <v>81.347999999999999</v>
      </c>
      <c r="BO144" s="272">
        <f t="shared" si="224"/>
        <v>83.094999999999999</v>
      </c>
      <c r="BP144" s="272">
        <f t="shared" si="224"/>
        <v>84.876000000000005</v>
      </c>
      <c r="BQ144" s="272">
        <f t="shared" si="224"/>
        <v>86.691999999999993</v>
      </c>
      <c r="BR144" s="272">
        <f t="shared" si="224"/>
        <v>88.543999999999997</v>
      </c>
      <c r="BS144" s="272">
        <f t="shared" si="224"/>
        <v>90.432000000000002</v>
      </c>
      <c r="BT144" s="272">
        <f t="shared" si="224"/>
        <v>92.358999999999995</v>
      </c>
      <c r="BU144" s="272">
        <f t="shared" si="224"/>
        <v>94.323999999999998</v>
      </c>
      <c r="BV144" s="272">
        <f t="shared" si="224"/>
        <v>96.328999999999994</v>
      </c>
      <c r="BW144" s="272">
        <f t="shared" si="224"/>
        <v>98.373999999999995</v>
      </c>
      <c r="BX144" s="272">
        <f t="shared" si="224"/>
        <v>100.461</v>
      </c>
      <c r="BY144" s="272">
        <f t="shared" si="224"/>
        <v>102.59099999999999</v>
      </c>
      <c r="BZ144" s="272">
        <f t="shared" si="224"/>
        <v>104.764</v>
      </c>
      <c r="CA144" s="272">
        <f t="shared" si="224"/>
        <v>106.982</v>
      </c>
      <c r="CB144" s="272">
        <f t="shared" si="224"/>
        <v>109.246</v>
      </c>
      <c r="CC144" s="272">
        <f t="shared" si="224"/>
        <v>111.557</v>
      </c>
      <c r="CD144" s="272">
        <f t="shared" si="224"/>
        <v>113.91500000000001</v>
      </c>
      <c r="CE144" s="272">
        <f t="shared" si="224"/>
        <v>116.322</v>
      </c>
      <c r="CF144" s="272">
        <f t="shared" si="224"/>
        <v>118.779</v>
      </c>
      <c r="CG144" s="272">
        <f t="shared" si="224"/>
        <v>121.28700000000001</v>
      </c>
      <c r="CH144" s="272">
        <f t="shared" si="224"/>
        <v>123.84699999999999</v>
      </c>
      <c r="CI144" s="272">
        <f t="shared" si="224"/>
        <v>126.461</v>
      </c>
      <c r="CJ144" s="272">
        <f t="shared" si="224"/>
        <v>129.12899999999999</v>
      </c>
      <c r="CK144" s="272">
        <f t="shared" si="224"/>
        <v>131.85300000000001</v>
      </c>
      <c r="CL144" s="272">
        <f t="shared" si="224"/>
        <v>134.63399999999999</v>
      </c>
      <c r="CM144" s="272">
        <f t="shared" si="224"/>
        <v>137.47300000000001</v>
      </c>
      <c r="CN144" s="272">
        <f t="shared" si="224"/>
        <v>140.37100000000001</v>
      </c>
      <c r="CO144" s="272">
        <f t="shared" si="224"/>
        <v>143.33000000000001</v>
      </c>
      <c r="CP144" s="272">
        <f t="shared" si="224"/>
        <v>146.351</v>
      </c>
      <c r="CQ144" s="23" t="s">
        <v>77</v>
      </c>
    </row>
    <row r="145" spans="1:95" outlineLevel="1" x14ac:dyDescent="0.2">
      <c r="B145" s="529" t="s">
        <v>552</v>
      </c>
      <c r="D145" s="9"/>
      <c r="E145" s="9"/>
      <c r="F145" s="9"/>
      <c r="G145" s="9"/>
      <c r="H145" s="9"/>
      <c r="I145" s="9"/>
      <c r="J145" s="9"/>
      <c r="M145" s="52"/>
      <c r="N145" s="52"/>
      <c r="O145" s="52"/>
      <c r="P145" s="52"/>
      <c r="Q145" s="52"/>
      <c r="T145" s="208"/>
      <c r="U145" s="198"/>
      <c r="V145" s="198"/>
      <c r="W145" s="299">
        <f>ROUND(+W135*W122*W115,3)</f>
        <v>13.763999999999999</v>
      </c>
      <c r="X145" s="286">
        <f>ROUND(+X135*X122*X110,3)</f>
        <v>12.641</v>
      </c>
      <c r="Y145" s="286">
        <f t="shared" ref="Y145:BD145" si="225">ROUND(+Y135*Y122*Y110,3)</f>
        <v>13.234</v>
      </c>
      <c r="Z145" s="286">
        <f t="shared" si="225"/>
        <v>13.523</v>
      </c>
      <c r="AA145" s="286">
        <f t="shared" si="225"/>
        <v>13.534000000000001</v>
      </c>
      <c r="AB145" s="286">
        <f t="shared" si="225"/>
        <v>13.760999999999999</v>
      </c>
      <c r="AC145" s="272">
        <f t="shared" si="225"/>
        <v>14.51</v>
      </c>
      <c r="AD145" s="272">
        <f t="shared" si="225"/>
        <v>15.286</v>
      </c>
      <c r="AE145" s="272">
        <f t="shared" si="225"/>
        <v>16.087</v>
      </c>
      <c r="AF145" s="272">
        <f t="shared" si="225"/>
        <v>16.916</v>
      </c>
      <c r="AG145" s="272">
        <f t="shared" si="225"/>
        <v>19.771999999999998</v>
      </c>
      <c r="AH145" s="272">
        <f t="shared" si="225"/>
        <v>20.187999999999999</v>
      </c>
      <c r="AI145" s="272">
        <f t="shared" si="225"/>
        <v>20.613</v>
      </c>
      <c r="AJ145" s="272">
        <f t="shared" si="225"/>
        <v>21.047000000000001</v>
      </c>
      <c r="AK145" s="272">
        <f t="shared" si="225"/>
        <v>21.49</v>
      </c>
      <c r="AL145" s="272">
        <f t="shared" si="225"/>
        <v>21.943000000000001</v>
      </c>
      <c r="AM145" s="272">
        <f t="shared" si="225"/>
        <v>22.405000000000001</v>
      </c>
      <c r="AN145" s="272">
        <f t="shared" si="225"/>
        <v>22.876000000000001</v>
      </c>
      <c r="AO145" s="272">
        <f t="shared" si="225"/>
        <v>23.358000000000001</v>
      </c>
      <c r="AP145" s="272">
        <f t="shared" si="225"/>
        <v>23.85</v>
      </c>
      <c r="AQ145" s="272">
        <f t="shared" si="225"/>
        <v>24.352</v>
      </c>
      <c r="AR145" s="272">
        <f t="shared" si="225"/>
        <v>24.864000000000001</v>
      </c>
      <c r="AS145" s="272">
        <f t="shared" si="225"/>
        <v>25.388000000000002</v>
      </c>
      <c r="AT145" s="272">
        <f t="shared" si="225"/>
        <v>25.922000000000001</v>
      </c>
      <c r="AU145" s="272">
        <f t="shared" si="225"/>
        <v>26.468</v>
      </c>
      <c r="AV145" s="272">
        <f t="shared" si="225"/>
        <v>27.024999999999999</v>
      </c>
      <c r="AW145" s="272">
        <f t="shared" si="225"/>
        <v>27.594000000000001</v>
      </c>
      <c r="AX145" s="272">
        <f t="shared" si="225"/>
        <v>28.175000000000001</v>
      </c>
      <c r="AY145" s="272">
        <f t="shared" si="225"/>
        <v>28.768000000000001</v>
      </c>
      <c r="AZ145" s="272">
        <f t="shared" si="225"/>
        <v>29.373999999999999</v>
      </c>
      <c r="BA145" s="272">
        <f t="shared" si="225"/>
        <v>29.992000000000001</v>
      </c>
      <c r="BB145" s="272">
        <f t="shared" si="225"/>
        <v>30.623999999999999</v>
      </c>
      <c r="BC145" s="272">
        <f t="shared" si="225"/>
        <v>31.268999999999998</v>
      </c>
      <c r="BD145" s="272">
        <f t="shared" si="225"/>
        <v>31.927</v>
      </c>
      <c r="BE145" s="272">
        <f t="shared" ref="BE145:CP145" si="226">ROUND(+BE135*BE122*BE110,3)</f>
        <v>32.598999999999997</v>
      </c>
      <c r="BF145" s="272">
        <f t="shared" si="226"/>
        <v>33.284999999999997</v>
      </c>
      <c r="BG145" s="272">
        <f t="shared" si="226"/>
        <v>33.985999999999997</v>
      </c>
      <c r="BH145" s="272">
        <f t="shared" si="226"/>
        <v>34.701000000000001</v>
      </c>
      <c r="BI145" s="272">
        <f t="shared" si="226"/>
        <v>35.432000000000002</v>
      </c>
      <c r="BJ145" s="272">
        <f t="shared" si="226"/>
        <v>36.177999999999997</v>
      </c>
      <c r="BK145" s="272">
        <f t="shared" si="226"/>
        <v>36.94</v>
      </c>
      <c r="BL145" s="272">
        <f t="shared" si="226"/>
        <v>37.716999999999999</v>
      </c>
      <c r="BM145" s="272">
        <f t="shared" si="226"/>
        <v>38.511000000000003</v>
      </c>
      <c r="BN145" s="272">
        <f t="shared" si="226"/>
        <v>39.322000000000003</v>
      </c>
      <c r="BO145" s="272">
        <f t="shared" si="226"/>
        <v>40.15</v>
      </c>
      <c r="BP145" s="272">
        <f t="shared" si="226"/>
        <v>40.994999999999997</v>
      </c>
      <c r="BQ145" s="272">
        <f t="shared" si="226"/>
        <v>41.857999999999997</v>
      </c>
      <c r="BR145" s="272">
        <f t="shared" si="226"/>
        <v>42.738999999999997</v>
      </c>
      <c r="BS145" s="272">
        <f t="shared" si="226"/>
        <v>43.639000000000003</v>
      </c>
      <c r="BT145" s="272">
        <f t="shared" si="226"/>
        <v>44.558</v>
      </c>
      <c r="BU145" s="272">
        <f t="shared" si="226"/>
        <v>45.496000000000002</v>
      </c>
      <c r="BV145" s="272">
        <f t="shared" si="226"/>
        <v>46.454000000000001</v>
      </c>
      <c r="BW145" s="272">
        <f t="shared" si="226"/>
        <v>47.432000000000002</v>
      </c>
      <c r="BX145" s="272">
        <f t="shared" si="226"/>
        <v>48.43</v>
      </c>
      <c r="BY145" s="272">
        <f t="shared" si="226"/>
        <v>49.45</v>
      </c>
      <c r="BZ145" s="272">
        <f t="shared" si="226"/>
        <v>50.491</v>
      </c>
      <c r="CA145" s="272">
        <f t="shared" si="226"/>
        <v>51.554000000000002</v>
      </c>
      <c r="CB145" s="272">
        <f t="shared" si="226"/>
        <v>52.639000000000003</v>
      </c>
      <c r="CC145" s="272">
        <f t="shared" si="226"/>
        <v>53.747</v>
      </c>
      <c r="CD145" s="272">
        <f t="shared" si="226"/>
        <v>54.878999999999998</v>
      </c>
      <c r="CE145" s="272">
        <f t="shared" si="226"/>
        <v>56.033999999999999</v>
      </c>
      <c r="CF145" s="272">
        <f t="shared" si="226"/>
        <v>57.213999999999999</v>
      </c>
      <c r="CG145" s="272">
        <f t="shared" si="226"/>
        <v>58.417999999999999</v>
      </c>
      <c r="CH145" s="272">
        <f t="shared" si="226"/>
        <v>59.648000000000003</v>
      </c>
      <c r="CI145" s="272">
        <f t="shared" si="226"/>
        <v>60.904000000000003</v>
      </c>
      <c r="CJ145" s="272">
        <f t="shared" si="226"/>
        <v>62.186</v>
      </c>
      <c r="CK145" s="272">
        <f t="shared" si="226"/>
        <v>63.494999999999997</v>
      </c>
      <c r="CL145" s="272">
        <f t="shared" si="226"/>
        <v>64.831999999999994</v>
      </c>
      <c r="CM145" s="272">
        <f t="shared" si="226"/>
        <v>66.197000000000003</v>
      </c>
      <c r="CN145" s="272">
        <f t="shared" si="226"/>
        <v>67.59</v>
      </c>
      <c r="CO145" s="272">
        <f t="shared" si="226"/>
        <v>69.013000000000005</v>
      </c>
      <c r="CP145" s="272">
        <f t="shared" si="226"/>
        <v>70.465999999999994</v>
      </c>
      <c r="CQ145" s="23" t="s">
        <v>77</v>
      </c>
    </row>
    <row r="146" spans="1:95" outlineLevel="1" x14ac:dyDescent="0.2">
      <c r="B146" s="529" t="s">
        <v>553</v>
      </c>
      <c r="D146" s="9"/>
      <c r="E146" s="9"/>
      <c r="F146" s="9"/>
      <c r="G146" s="9"/>
      <c r="H146" s="9"/>
      <c r="I146" s="9"/>
      <c r="J146" s="9"/>
      <c r="M146" s="52"/>
      <c r="N146" s="52"/>
      <c r="O146" s="52"/>
      <c r="P146" s="52"/>
      <c r="Q146" s="52"/>
      <c r="T146" s="208"/>
      <c r="U146" s="198"/>
      <c r="V146" s="198"/>
      <c r="W146" s="299">
        <f>ROUND(W130*W121*W115,3)</f>
        <v>18.675000000000001</v>
      </c>
      <c r="X146" s="286">
        <f>ROUND(X130*X121*X110,3)</f>
        <v>12.574</v>
      </c>
      <c r="Y146" s="286">
        <f t="shared" ref="Y146:BD146" si="227">ROUND(Y130*Y121*Y110,3)</f>
        <v>13.164</v>
      </c>
      <c r="Z146" s="286">
        <f t="shared" si="227"/>
        <v>13.452</v>
      </c>
      <c r="AA146" s="286">
        <f t="shared" si="227"/>
        <v>13.462</v>
      </c>
      <c r="AB146" s="286">
        <f t="shared" si="227"/>
        <v>13.688000000000001</v>
      </c>
      <c r="AC146" s="272">
        <f t="shared" si="227"/>
        <v>13.976000000000001</v>
      </c>
      <c r="AD146" s="272">
        <f t="shared" si="227"/>
        <v>14.27</v>
      </c>
      <c r="AE146" s="272">
        <f t="shared" si="227"/>
        <v>14.571</v>
      </c>
      <c r="AF146" s="272">
        <f t="shared" si="227"/>
        <v>14.877000000000001</v>
      </c>
      <c r="AG146" s="272">
        <f t="shared" si="227"/>
        <v>21.300999999999998</v>
      </c>
      <c r="AH146" s="272">
        <f t="shared" si="227"/>
        <v>21.75</v>
      </c>
      <c r="AI146" s="272">
        <f t="shared" si="227"/>
        <v>22.207999999999998</v>
      </c>
      <c r="AJ146" s="272">
        <f t="shared" si="227"/>
        <v>22.675000000000001</v>
      </c>
      <c r="AK146" s="272">
        <f t="shared" si="227"/>
        <v>23.152999999999999</v>
      </c>
      <c r="AL146" s="272">
        <f t="shared" si="227"/>
        <v>23.64</v>
      </c>
      <c r="AM146" s="272">
        <f t="shared" si="227"/>
        <v>24.138000000000002</v>
      </c>
      <c r="AN146" s="272">
        <f t="shared" si="227"/>
        <v>24.646000000000001</v>
      </c>
      <c r="AO146" s="272">
        <f t="shared" si="227"/>
        <v>25.164999999999999</v>
      </c>
      <c r="AP146" s="272">
        <f t="shared" si="227"/>
        <v>25.693999999999999</v>
      </c>
      <c r="AQ146" s="272">
        <f t="shared" si="227"/>
        <v>26.234999999999999</v>
      </c>
      <c r="AR146" s="272">
        <f t="shared" si="227"/>
        <v>26.788</v>
      </c>
      <c r="AS146" s="272">
        <f t="shared" si="227"/>
        <v>27.352</v>
      </c>
      <c r="AT146" s="272">
        <f t="shared" si="227"/>
        <v>27.927</v>
      </c>
      <c r="AU146" s="272">
        <f t="shared" si="227"/>
        <v>28.515000000000001</v>
      </c>
      <c r="AV146" s="272">
        <f t="shared" si="227"/>
        <v>29.116</v>
      </c>
      <c r="AW146" s="272">
        <f t="shared" si="227"/>
        <v>29.728999999999999</v>
      </c>
      <c r="AX146" s="272">
        <f t="shared" si="227"/>
        <v>30.355</v>
      </c>
      <c r="AY146" s="272">
        <f t="shared" si="227"/>
        <v>30.994</v>
      </c>
      <c r="AZ146" s="272">
        <f t="shared" si="227"/>
        <v>31.646000000000001</v>
      </c>
      <c r="BA146" s="272">
        <f t="shared" si="227"/>
        <v>32.311999999999998</v>
      </c>
      <c r="BB146" s="272">
        <f t="shared" si="227"/>
        <v>32.993000000000002</v>
      </c>
      <c r="BC146" s="272">
        <f t="shared" si="227"/>
        <v>33.686999999999998</v>
      </c>
      <c r="BD146" s="272">
        <f t="shared" si="227"/>
        <v>34.396000000000001</v>
      </c>
      <c r="BE146" s="272">
        <f t="shared" ref="BE146:CP146" si="228">ROUND(BE130*BE121*BE110,3)</f>
        <v>35.119999999999997</v>
      </c>
      <c r="BF146" s="272">
        <f t="shared" si="228"/>
        <v>35.86</v>
      </c>
      <c r="BG146" s="272">
        <f t="shared" si="228"/>
        <v>36.615000000000002</v>
      </c>
      <c r="BH146" s="272">
        <f t="shared" si="228"/>
        <v>37.386000000000003</v>
      </c>
      <c r="BI146" s="272">
        <f t="shared" si="228"/>
        <v>38.173000000000002</v>
      </c>
      <c r="BJ146" s="272">
        <f t="shared" si="228"/>
        <v>38.975999999999999</v>
      </c>
      <c r="BK146" s="272">
        <f t="shared" si="228"/>
        <v>39.796999999999997</v>
      </c>
      <c r="BL146" s="272">
        <f t="shared" si="228"/>
        <v>40.634999999999998</v>
      </c>
      <c r="BM146" s="272">
        <f t="shared" si="228"/>
        <v>41.49</v>
      </c>
      <c r="BN146" s="272">
        <f t="shared" si="228"/>
        <v>42.363999999999997</v>
      </c>
      <c r="BO146" s="272">
        <f t="shared" si="228"/>
        <v>43.255000000000003</v>
      </c>
      <c r="BP146" s="272">
        <f t="shared" si="228"/>
        <v>44.165999999999997</v>
      </c>
      <c r="BQ146" s="272">
        <f t="shared" si="228"/>
        <v>45.095999999999997</v>
      </c>
      <c r="BR146" s="272">
        <f t="shared" si="228"/>
        <v>46.045000000000002</v>
      </c>
      <c r="BS146" s="272">
        <f t="shared" si="228"/>
        <v>47.015000000000001</v>
      </c>
      <c r="BT146" s="272">
        <f t="shared" si="228"/>
        <v>48.003999999999998</v>
      </c>
      <c r="BU146" s="272">
        <f t="shared" si="228"/>
        <v>49.015000000000001</v>
      </c>
      <c r="BV146" s="272">
        <f t="shared" si="228"/>
        <v>50.046999999999997</v>
      </c>
      <c r="BW146" s="272">
        <f t="shared" si="228"/>
        <v>51.1</v>
      </c>
      <c r="BX146" s="272">
        <f t="shared" si="228"/>
        <v>52.176000000000002</v>
      </c>
      <c r="BY146" s="272">
        <f t="shared" si="228"/>
        <v>53.274999999999999</v>
      </c>
      <c r="BZ146" s="272">
        <f t="shared" si="228"/>
        <v>54.396000000000001</v>
      </c>
      <c r="CA146" s="272">
        <f t="shared" si="228"/>
        <v>55.540999999999997</v>
      </c>
      <c r="CB146" s="272">
        <f t="shared" si="228"/>
        <v>56.710999999999999</v>
      </c>
      <c r="CC146" s="272">
        <f t="shared" si="228"/>
        <v>57.905000000000001</v>
      </c>
      <c r="CD146" s="272">
        <f t="shared" si="228"/>
        <v>59.124000000000002</v>
      </c>
      <c r="CE146" s="272">
        <f t="shared" si="228"/>
        <v>60.368000000000002</v>
      </c>
      <c r="CF146" s="272">
        <f t="shared" si="228"/>
        <v>61.639000000000003</v>
      </c>
      <c r="CG146" s="272">
        <f t="shared" si="228"/>
        <v>62.936999999999998</v>
      </c>
      <c r="CH146" s="272">
        <f t="shared" si="228"/>
        <v>64.262</v>
      </c>
      <c r="CI146" s="272">
        <f t="shared" si="228"/>
        <v>65.614999999999995</v>
      </c>
      <c r="CJ146" s="272">
        <f t="shared" si="228"/>
        <v>66.995999999999995</v>
      </c>
      <c r="CK146" s="272">
        <f t="shared" si="228"/>
        <v>68.406000000000006</v>
      </c>
      <c r="CL146" s="272">
        <f t="shared" si="228"/>
        <v>69.846000000000004</v>
      </c>
      <c r="CM146" s="272">
        <f t="shared" si="228"/>
        <v>71.316999999999993</v>
      </c>
      <c r="CN146" s="272">
        <f t="shared" si="228"/>
        <v>72.817999999999998</v>
      </c>
      <c r="CO146" s="272">
        <f t="shared" si="228"/>
        <v>74.350999999999999</v>
      </c>
      <c r="CP146" s="272">
        <f t="shared" si="228"/>
        <v>75.917000000000002</v>
      </c>
      <c r="CQ146" s="23" t="s">
        <v>77</v>
      </c>
    </row>
    <row r="147" spans="1:95" outlineLevel="1" x14ac:dyDescent="0.2">
      <c r="B147" s="8" t="s">
        <v>14</v>
      </c>
      <c r="D147" s="9"/>
      <c r="E147" s="9"/>
      <c r="F147" s="9"/>
      <c r="G147" s="9"/>
      <c r="H147" s="9"/>
      <c r="I147" s="9"/>
      <c r="J147" s="9"/>
      <c r="M147" s="9">
        <v>5.4</v>
      </c>
      <c r="N147" s="9">
        <v>5.6</v>
      </c>
      <c r="O147" s="9">
        <v>5.7</v>
      </c>
      <c r="P147" s="9">
        <v>5.8</v>
      </c>
      <c r="Q147" s="9">
        <v>6.1</v>
      </c>
      <c r="R147" s="9">
        <f>-R113-R112</f>
        <v>2.2999999999999998</v>
      </c>
      <c r="S147" s="9">
        <f t="shared" ref="S147:BD147" si="229">-S113-S112</f>
        <v>4.7000000000000011</v>
      </c>
      <c r="T147" s="208">
        <f t="shared" si="229"/>
        <v>6.1</v>
      </c>
      <c r="U147" s="299">
        <f t="shared" si="229"/>
        <v>7.5000000000000018</v>
      </c>
      <c r="V147" s="299">
        <f t="shared" si="229"/>
        <v>7.5</v>
      </c>
      <c r="W147" s="299">
        <f t="shared" si="229"/>
        <v>6.9</v>
      </c>
      <c r="X147" s="286">
        <f>-X113-X112</f>
        <v>5.7507490683664813</v>
      </c>
      <c r="Y147" s="286">
        <f t="shared" si="229"/>
        <v>6.6044872586690442</v>
      </c>
      <c r="Z147" s="286">
        <f t="shared" si="229"/>
        <v>7.1168173439993065</v>
      </c>
      <c r="AA147" s="286">
        <f t="shared" si="229"/>
        <v>1.2319656528997598</v>
      </c>
      <c r="AB147" s="286">
        <f t="shared" si="229"/>
        <v>-0.83855135727261398</v>
      </c>
      <c r="AC147" s="272">
        <f t="shared" si="229"/>
        <v>-0.85620485354834663</v>
      </c>
      <c r="AD147" s="272">
        <f t="shared" si="229"/>
        <v>-0.87422999781922428</v>
      </c>
      <c r="AE147" s="272">
        <f t="shared" si="229"/>
        <v>-0.89263461415761114</v>
      </c>
      <c r="AF147" s="272">
        <f t="shared" si="229"/>
        <v>-0.91142669135115817</v>
      </c>
      <c r="AG147" s="272">
        <f t="shared" si="229"/>
        <v>-0.93061438637046123</v>
      </c>
      <c r="AH147" s="272">
        <f t="shared" si="229"/>
        <v>-0.95020602790970621</v>
      </c>
      <c r="AI147" s="272">
        <f t="shared" si="229"/>
        <v>-0.97021012000186069</v>
      </c>
      <c r="AJ147" s="272">
        <f t="shared" si="229"/>
        <v>-0.99063534570996481</v>
      </c>
      <c r="AK147" s="272">
        <f t="shared" si="229"/>
        <v>-1.0114905708961466</v>
      </c>
      <c r="AL147" s="272">
        <f t="shared" si="229"/>
        <v>-1.0327848480699746</v>
      </c>
      <c r="AM147" s="272">
        <f t="shared" si="229"/>
        <v>-1.0545274203178288</v>
      </c>
      <c r="AN147" s="272">
        <f t="shared" si="229"/>
        <v>-1.0767277253149921</v>
      </c>
      <c r="AO147" s="272">
        <f t="shared" si="229"/>
        <v>-1.0993953994222139</v>
      </c>
      <c r="AP147" s="272">
        <f t="shared" si="229"/>
        <v>-1.1225402818685115</v>
      </c>
      <c r="AQ147" s="272">
        <f t="shared" si="229"/>
        <v>-1.1461724190220153</v>
      </c>
      <c r="AR147" s="272">
        <f t="shared" si="229"/>
        <v>-1.170302068750761</v>
      </c>
      <c r="AS147" s="272">
        <f t="shared" si="229"/>
        <v>-1.1949397048752441</v>
      </c>
      <c r="AT147" s="272">
        <f t="shared" si="229"/>
        <v>-1.2200960217147383</v>
      </c>
      <c r="AU147" s="272">
        <f t="shared" si="229"/>
        <v>-1.2457819387293299</v>
      </c>
      <c r="AV147" s="272">
        <f t="shared" si="229"/>
        <v>-1.2720086052596464</v>
      </c>
      <c r="AW147" s="272">
        <f t="shared" si="229"/>
        <v>-1.2987874053664008</v>
      </c>
      <c r="AX147" s="272">
        <f t="shared" si="229"/>
        <v>-1.3261299627717982</v>
      </c>
      <c r="AY147" s="272">
        <f t="shared" si="229"/>
        <v>-1.3540481459049971</v>
      </c>
      <c r="AZ147" s="272">
        <f t="shared" si="229"/>
        <v>-1.3825540730537433</v>
      </c>
      <c r="BA147" s="272">
        <f t="shared" si="229"/>
        <v>-1.4116601176245069</v>
      </c>
      <c r="BB147" s="272">
        <f t="shared" si="229"/>
        <v>-1.4413789135133328</v>
      </c>
      <c r="BC147" s="272">
        <f t="shared" si="229"/>
        <v>-1.4717233605897633</v>
      </c>
      <c r="BD147" s="272">
        <f t="shared" si="229"/>
        <v>-1.5027066302962027</v>
      </c>
      <c r="BE147" s="272">
        <f t="shared" ref="BE147:CP147" si="230">-BE113-BE112</f>
        <v>-1.5343421713651857</v>
      </c>
      <c r="BF147" s="272">
        <f t="shared" si="230"/>
        <v>-1.5666437156569906</v>
      </c>
      <c r="BG147" s="272">
        <f t="shared" si="230"/>
        <v>-1.5996252841201368</v>
      </c>
      <c r="BH147" s="272">
        <f t="shared" si="230"/>
        <v>-1.6333011928773864</v>
      </c>
      <c r="BI147" s="272">
        <f t="shared" si="230"/>
        <v>-1.6676860594398732</v>
      </c>
      <c r="BJ147" s="272">
        <f t="shared" si="230"/>
        <v>-1.7027948090520191</v>
      </c>
      <c r="BK147" s="272">
        <f t="shared" si="230"/>
        <v>-1.7386426811700808</v>
      </c>
      <c r="BL147" s="272">
        <f t="shared" si="230"/>
        <v>-1.7752452360770228</v>
      </c>
      <c r="BM147" s="272">
        <f t="shared" si="230"/>
        <v>-1.8126183616367122</v>
      </c>
      <c r="BN147" s="272">
        <f t="shared" si="230"/>
        <v>-1.8507782801902444</v>
      </c>
      <c r="BO147" s="272">
        <f t="shared" si="230"/>
        <v>-1.889741555597503</v>
      </c>
      <c r="BP147" s="272">
        <f t="shared" si="230"/>
        <v>-1.929525100426936</v>
      </c>
      <c r="BQ147" s="272">
        <f t="shared" si="230"/>
        <v>-1.9701461832966913</v>
      </c>
      <c r="BR147" s="272">
        <f t="shared" si="230"/>
        <v>-2.0116224363703239</v>
      </c>
      <c r="BS147" s="272">
        <f t="shared" si="230"/>
        <v>-2.0539718630102648</v>
      </c>
      <c r="BT147" s="272">
        <f t="shared" si="230"/>
        <v>-2.0972128455924697</v>
      </c>
      <c r="BU147" s="272">
        <f t="shared" si="230"/>
        <v>-2.1413641534855259</v>
      </c>
      <c r="BV147" s="272">
        <f t="shared" si="230"/>
        <v>-2.1864449511977817</v>
      </c>
      <c r="BW147" s="272">
        <f t="shared" si="230"/>
        <v>-2.2324748066959614</v>
      </c>
      <c r="BX147" s="272">
        <f t="shared" si="230"/>
        <v>-2.2794736998989471</v>
      </c>
      <c r="BY147" s="272">
        <f t="shared" si="230"/>
        <v>-2.3274620313503185</v>
      </c>
      <c r="BZ147" s="272">
        <f t="shared" si="230"/>
        <v>-2.3764606310735203</v>
      </c>
      <c r="CA147" s="272">
        <f t="shared" si="230"/>
        <v>-2.42649076761343</v>
      </c>
      <c r="CB147" s="272">
        <f t="shared" si="230"/>
        <v>-2.4775741572682861</v>
      </c>
      <c r="CC147" s="272">
        <f t="shared" si="230"/>
        <v>-2.5297329735159124</v>
      </c>
      <c r="CD147" s="272">
        <f t="shared" si="230"/>
        <v>-2.5829898566385054</v>
      </c>
      <c r="CE147" s="272">
        <f t="shared" si="230"/>
        <v>-2.6373679235499168</v>
      </c>
      <c r="CF147" s="272">
        <f t="shared" si="230"/>
        <v>-2.6928907778298878</v>
      </c>
      <c r="CG147" s="272">
        <f t="shared" si="230"/>
        <v>-2.7495825199695574</v>
      </c>
      <c r="CH147" s="272">
        <f t="shared" si="230"/>
        <v>-2.8074677578325904</v>
      </c>
      <c r="CI147" s="272">
        <f t="shared" si="230"/>
        <v>-2.8665716173365965</v>
      </c>
      <c r="CJ147" s="272">
        <f t="shared" si="230"/>
        <v>-2.9269197533593783</v>
      </c>
      <c r="CK147" s="272">
        <f t="shared" si="230"/>
        <v>-2.9885383608747844</v>
      </c>
      <c r="CL147" s="272">
        <f t="shared" si="230"/>
        <v>-3.0514541863230633</v>
      </c>
      <c r="CM147" s="272">
        <f t="shared" si="230"/>
        <v>-3.115694539220506</v>
      </c>
      <c r="CN147" s="272">
        <f t="shared" si="230"/>
        <v>-3.181287304013523</v>
      </c>
      <c r="CO147" s="272">
        <f t="shared" si="230"/>
        <v>-3.2482609521823065</v>
      </c>
      <c r="CP147" s="272">
        <f t="shared" si="230"/>
        <v>-3.3166445545992858</v>
      </c>
      <c r="CQ147" s="23" t="s">
        <v>77</v>
      </c>
    </row>
    <row r="148" spans="1:95" outlineLevel="1" x14ac:dyDescent="0.2">
      <c r="B148" s="8" t="s">
        <v>325</v>
      </c>
      <c r="D148" s="9"/>
      <c r="E148" s="9"/>
      <c r="F148" s="9"/>
      <c r="G148" s="9"/>
      <c r="H148" s="9"/>
      <c r="I148" s="9"/>
      <c r="J148" s="9"/>
      <c r="M148" s="9">
        <v>0.5</v>
      </c>
      <c r="N148" s="9">
        <v>0.5</v>
      </c>
      <c r="O148" s="9">
        <v>0.6</v>
      </c>
      <c r="P148" s="9">
        <v>0.6</v>
      </c>
      <c r="Q148" s="9">
        <v>0.7</v>
      </c>
      <c r="R148" s="9">
        <v>0</v>
      </c>
      <c r="S148" s="9">
        <v>0</v>
      </c>
      <c r="T148" s="208">
        <v>0</v>
      </c>
      <c r="U148" s="198">
        <v>0</v>
      </c>
      <c r="V148" s="198">
        <v>0</v>
      </c>
      <c r="W148" s="198">
        <v>0</v>
      </c>
      <c r="X148" s="26">
        <f>1.7-0.1</f>
        <v>1.5999999999999999</v>
      </c>
      <c r="Y148" s="26">
        <v>0.1</v>
      </c>
      <c r="Z148" s="26">
        <v>0</v>
      </c>
      <c r="AA148" s="26">
        <v>0</v>
      </c>
      <c r="AB148" s="26">
        <v>0</v>
      </c>
      <c r="AC148" s="157">
        <v>0</v>
      </c>
      <c r="AD148" s="157">
        <v>0</v>
      </c>
      <c r="AE148" s="157">
        <v>0</v>
      </c>
      <c r="AF148" s="157">
        <v>0</v>
      </c>
      <c r="AG148" s="157">
        <v>0</v>
      </c>
      <c r="AH148" s="157">
        <v>0</v>
      </c>
      <c r="AI148" s="157">
        <v>0</v>
      </c>
      <c r="AJ148" s="157">
        <v>0</v>
      </c>
      <c r="AK148" s="157">
        <v>0</v>
      </c>
      <c r="AL148" s="157">
        <v>0</v>
      </c>
      <c r="AM148" s="157">
        <v>0</v>
      </c>
      <c r="AN148" s="157">
        <v>0</v>
      </c>
      <c r="AO148" s="157">
        <v>0</v>
      </c>
      <c r="AP148" s="157">
        <v>0</v>
      </c>
      <c r="AQ148" s="157">
        <v>0</v>
      </c>
      <c r="AR148" s="157">
        <v>0</v>
      </c>
      <c r="AS148" s="157">
        <v>0</v>
      </c>
      <c r="AT148" s="157">
        <v>0</v>
      </c>
      <c r="AU148" s="157">
        <v>0</v>
      </c>
      <c r="AV148" s="157">
        <v>0</v>
      </c>
      <c r="AW148" s="157">
        <v>0</v>
      </c>
      <c r="AX148" s="157">
        <v>0</v>
      </c>
      <c r="AY148" s="157">
        <v>0</v>
      </c>
      <c r="AZ148" s="157">
        <v>0</v>
      </c>
      <c r="BA148" s="157">
        <v>0</v>
      </c>
      <c r="BB148" s="157">
        <v>0</v>
      </c>
      <c r="BC148" s="157">
        <v>0</v>
      </c>
      <c r="BD148" s="157">
        <v>0</v>
      </c>
      <c r="BE148" s="157">
        <v>0</v>
      </c>
      <c r="BF148" s="157">
        <v>0</v>
      </c>
      <c r="BG148" s="157">
        <v>0</v>
      </c>
      <c r="BH148" s="157">
        <v>0</v>
      </c>
      <c r="BI148" s="157">
        <v>0</v>
      </c>
      <c r="BJ148" s="157">
        <v>0</v>
      </c>
      <c r="BK148" s="157">
        <v>0</v>
      </c>
      <c r="BL148" s="157">
        <v>0</v>
      </c>
      <c r="BM148" s="157">
        <v>0</v>
      </c>
      <c r="BN148" s="157">
        <v>0</v>
      </c>
      <c r="BO148" s="157">
        <v>0</v>
      </c>
      <c r="BP148" s="157">
        <v>0</v>
      </c>
      <c r="BQ148" s="157">
        <v>0</v>
      </c>
      <c r="BR148" s="157">
        <v>0</v>
      </c>
      <c r="BS148" s="157">
        <v>0</v>
      </c>
      <c r="BT148" s="157">
        <v>0</v>
      </c>
      <c r="BU148" s="157">
        <v>0</v>
      </c>
      <c r="BV148" s="157">
        <v>0</v>
      </c>
      <c r="BW148" s="157">
        <v>0</v>
      </c>
      <c r="BX148" s="157">
        <v>0</v>
      </c>
      <c r="BY148" s="157">
        <v>0</v>
      </c>
      <c r="BZ148" s="157">
        <v>0</v>
      </c>
      <c r="CA148" s="157">
        <v>0</v>
      </c>
      <c r="CB148" s="157">
        <v>0</v>
      </c>
      <c r="CC148" s="157">
        <v>0</v>
      </c>
      <c r="CD148" s="157">
        <v>0</v>
      </c>
      <c r="CE148" s="157">
        <v>0</v>
      </c>
      <c r="CF148" s="157">
        <v>0</v>
      </c>
      <c r="CG148" s="157">
        <v>0</v>
      </c>
      <c r="CH148" s="157">
        <v>0</v>
      </c>
      <c r="CI148" s="157">
        <v>0</v>
      </c>
      <c r="CJ148" s="157">
        <v>0</v>
      </c>
      <c r="CK148" s="157">
        <v>0</v>
      </c>
      <c r="CL148" s="157">
        <v>0</v>
      </c>
      <c r="CM148" s="157">
        <v>0</v>
      </c>
      <c r="CN148" s="157">
        <v>0</v>
      </c>
      <c r="CO148" s="157">
        <v>0</v>
      </c>
      <c r="CP148" s="157">
        <v>0</v>
      </c>
      <c r="CQ148" s="23" t="s">
        <v>77</v>
      </c>
    </row>
    <row r="149" spans="1:95" outlineLevel="1" x14ac:dyDescent="0.2">
      <c r="B149" s="8" t="s">
        <v>326</v>
      </c>
      <c r="D149" s="9"/>
      <c r="E149" s="9"/>
      <c r="F149" s="9"/>
      <c r="G149" s="9"/>
      <c r="H149" s="9"/>
      <c r="I149" s="9"/>
      <c r="J149" s="9"/>
      <c r="M149" s="9">
        <v>8.3000000000000007</v>
      </c>
      <c r="N149" s="9">
        <v>8.3000000000000007</v>
      </c>
      <c r="O149" s="9">
        <v>8.1999999999999993</v>
      </c>
      <c r="P149" s="9">
        <v>8.1999999999999993</v>
      </c>
      <c r="Q149" s="9">
        <v>8.1</v>
      </c>
      <c r="R149" s="9">
        <v>8</v>
      </c>
      <c r="S149" s="9">
        <v>12.8</v>
      </c>
      <c r="T149" s="208">
        <v>13.2</v>
      </c>
      <c r="U149" s="198">
        <v>13.7</v>
      </c>
      <c r="V149" s="198">
        <v>14.2</v>
      </c>
      <c r="W149" s="198">
        <v>15.3</v>
      </c>
      <c r="X149" s="26">
        <f>14.9+1.1</f>
        <v>16</v>
      </c>
      <c r="Y149" s="26">
        <f>15.2+1</f>
        <v>16.2</v>
      </c>
      <c r="Z149" s="26">
        <f>15.5+1</f>
        <v>16.5</v>
      </c>
      <c r="AA149" s="26">
        <f>15.8</f>
        <v>15.8</v>
      </c>
      <c r="AB149" s="26">
        <f>16.2</f>
        <v>16.2</v>
      </c>
      <c r="AC149" s="272">
        <f t="shared" ref="AC149:BD149" si="231">+AB149*(1+AC119)</f>
        <v>16.592829694521424</v>
      </c>
      <c r="AD149" s="272">
        <f t="shared" si="231"/>
        <v>16.99518501675259</v>
      </c>
      <c r="AE149" s="272">
        <f t="shared" si="231"/>
        <v>17.407296951225803</v>
      </c>
      <c r="AF149" s="272">
        <f t="shared" si="231"/>
        <v>17.829402083558751</v>
      </c>
      <c r="AG149" s="272">
        <f t="shared" si="231"/>
        <v>18.261742736273817</v>
      </c>
      <c r="AH149" s="272">
        <f t="shared" si="231"/>
        <v>18.704567107910812</v>
      </c>
      <c r="AI149" s="272">
        <f t="shared" si="231"/>
        <v>19.158129415513041</v>
      </c>
      <c r="AJ149" s="272">
        <f t="shared" si="231"/>
        <v>19.622690040568468</v>
      </c>
      <c r="AK149" s="272">
        <f t="shared" si="231"/>
        <v>20.098515678489772</v>
      </c>
      <c r="AL149" s="272">
        <f t="shared" si="231"/>
        <v>20.585879491719108</v>
      </c>
      <c r="AM149" s="272">
        <f t="shared" si="231"/>
        <v>21.085061266545459</v>
      </c>
      <c r="AN149" s="272">
        <f t="shared" si="231"/>
        <v>21.596347573724632</v>
      </c>
      <c r="AO149" s="272">
        <f t="shared" si="231"/>
        <v>22.120031932994063</v>
      </c>
      <c r="AP149" s="272">
        <f t="shared" si="231"/>
        <v>22.656414981576919</v>
      </c>
      <c r="AQ149" s="272">
        <f t="shared" si="231"/>
        <v>23.205804646772197</v>
      </c>
      <c r="AR149" s="272">
        <f t="shared" si="231"/>
        <v>23.768516322729937</v>
      </c>
      <c r="AS149" s="272">
        <f t="shared" si="231"/>
        <v>24.344873051512995</v>
      </c>
      <c r="AT149" s="272">
        <f t="shared" si="231"/>
        <v>24.935205708549336</v>
      </c>
      <c r="AU149" s="272">
        <f t="shared" si="231"/>
        <v>25.539853192581333</v>
      </c>
      <c r="AV149" s="272">
        <f t="shared" si="231"/>
        <v>26.159162620221075</v>
      </c>
      <c r="AW149" s="272">
        <f t="shared" si="231"/>
        <v>26.793489525223404</v>
      </c>
      <c r="AX149" s="272">
        <f t="shared" si="231"/>
        <v>27.44319806259109</v>
      </c>
      <c r="AY149" s="272">
        <f t="shared" si="231"/>
        <v>28.10866121762928</v>
      </c>
      <c r="AZ149" s="272">
        <f t="shared" si="231"/>
        <v>28.790261020069252</v>
      </c>
      <c r="BA149" s="272">
        <f t="shared" si="231"/>
        <v>29.488388763384432</v>
      </c>
      <c r="BB149" s="272">
        <f t="shared" si="231"/>
        <v>30.203445229424517</v>
      </c>
      <c r="BC149" s="272">
        <f t="shared" si="231"/>
        <v>30.935840918496705</v>
      </c>
      <c r="BD149" s="272">
        <f t="shared" si="231"/>
        <v>31.685996285026118</v>
      </c>
      <c r="BE149" s="272">
        <f t="shared" ref="BE149:CP149" si="232">+BD149*(1+BE119)</f>
        <v>32.454341978930678</v>
      </c>
      <c r="BF149" s="272">
        <f t="shared" si="232"/>
        <v>33.241319092849025</v>
      </c>
      <c r="BG149" s="272">
        <f t="shared" si="232"/>
        <v>34.047379415363416</v>
      </c>
      <c r="BH149" s="272">
        <f t="shared" si="232"/>
        <v>34.872985690362938</v>
      </c>
      <c r="BI149" s="272">
        <f t="shared" si="232"/>
        <v>35.718611882695981</v>
      </c>
      <c r="BJ149" s="272">
        <f t="shared" si="232"/>
        <v>36.584743450264426</v>
      </c>
      <c r="BK149" s="272">
        <f t="shared" si="232"/>
        <v>37.471877622715795</v>
      </c>
      <c r="BL149" s="272">
        <f t="shared" si="232"/>
        <v>38.380523686893305</v>
      </c>
      <c r="BM149" s="272">
        <f t="shared" si="232"/>
        <v>39.311203279207788</v>
      </c>
      <c r="BN149" s="272">
        <f t="shared" si="232"/>
        <v>40.264450685099199</v>
      </c>
      <c r="BO149" s="272">
        <f t="shared" si="232"/>
        <v>41.240813145759724</v>
      </c>
      <c r="BP149" s="272">
        <f t="shared" si="232"/>
        <v>42.240851172294541</v>
      </c>
      <c r="BQ149" s="272">
        <f t="shared" si="232"/>
        <v>43.265138867500561</v>
      </c>
      <c r="BR149" s="272">
        <f t="shared" si="232"/>
        <v>44.314264255447924</v>
      </c>
      <c r="BS149" s="272">
        <f t="shared" si="232"/>
        <v>45.388829619053439</v>
      </c>
      <c r="BT149" s="272">
        <f t="shared" si="232"/>
        <v>46.489451845839724</v>
      </c>
      <c r="BU149" s="272">
        <f t="shared" si="232"/>
        <v>47.616762782078595</v>
      </c>
      <c r="BV149" s="272">
        <f t="shared" si="232"/>
        <v>48.771409595522002</v>
      </c>
      <c r="BW149" s="272">
        <f t="shared" si="232"/>
        <v>49.954055146928681</v>
      </c>
      <c r="BX149" s="272">
        <f t="shared" si="232"/>
        <v>51.165378370599946</v>
      </c>
      <c r="BY149" s="272">
        <f t="shared" si="232"/>
        <v>52.406074664142906</v>
      </c>
      <c r="BZ149" s="272">
        <f t="shared" si="232"/>
        <v>53.676856287685027</v>
      </c>
      <c r="CA149" s="272">
        <f t="shared" si="232"/>
        <v>54.978452772769089</v>
      </c>
      <c r="CB149" s="272">
        <f t="shared" si="232"/>
        <v>56.311611341163378</v>
      </c>
      <c r="CC149" s="272">
        <f t="shared" si="232"/>
        <v>57.677097333827483</v>
      </c>
      <c r="CD149" s="272">
        <f t="shared" si="232"/>
        <v>59.075694650279949</v>
      </c>
      <c r="CE149" s="272">
        <f t="shared" si="232"/>
        <v>60.508206198620101</v>
      </c>
      <c r="CF149" s="272">
        <f t="shared" si="232"/>
        <v>61.975454356462286</v>
      </c>
      <c r="CG149" s="272">
        <f t="shared" si="232"/>
        <v>63.478281443047202</v>
      </c>
      <c r="CH149" s="272">
        <f t="shared" si="232"/>
        <v>65.01755020280136</v>
      </c>
      <c r="CI149" s="272">
        <f t="shared" si="232"/>
        <v>66.594144300622219</v>
      </c>
      <c r="CJ149" s="272">
        <f t="shared" si="232"/>
        <v>68.208968829173401</v>
      </c>
      <c r="CK149" s="272">
        <f t="shared" si="232"/>
        <v>69.862950828481161</v>
      </c>
      <c r="CL149" s="272">
        <f t="shared" si="232"/>
        <v>71.557039818130406</v>
      </c>
      <c r="CM149" s="272">
        <f t="shared" si="232"/>
        <v>73.292208342365825</v>
      </c>
      <c r="CN149" s="272">
        <f t="shared" si="232"/>
        <v>75.069452528411034</v>
      </c>
      <c r="CO149" s="272">
        <f t="shared" si="232"/>
        <v>76.889792658326243</v>
      </c>
      <c r="CP149" s="272">
        <f t="shared" si="232"/>
        <v>78.754273754732793</v>
      </c>
      <c r="CQ149" s="23" t="s">
        <v>77</v>
      </c>
    </row>
    <row r="150" spans="1:95" outlineLevel="1" x14ac:dyDescent="0.2">
      <c r="A150" s="233"/>
      <c r="B150" s="1" t="s">
        <v>327</v>
      </c>
      <c r="D150" s="3"/>
      <c r="E150" s="3"/>
      <c r="F150" s="3">
        <f>SUM(F144:F149)</f>
        <v>0</v>
      </c>
      <c r="G150" s="3">
        <f>SUM(G144:G149)</f>
        <v>0</v>
      </c>
      <c r="H150" s="3">
        <f>SUM(H144:H149)</f>
        <v>0</v>
      </c>
      <c r="I150" s="3">
        <f>SUM(I144:I149)</f>
        <v>0</v>
      </c>
      <c r="J150" s="3">
        <f>SUM(J144:J149)</f>
        <v>0</v>
      </c>
      <c r="K150" s="3"/>
      <c r="L150" s="3"/>
      <c r="M150" s="3">
        <f t="shared" ref="M150:V150" si="233">SUM(M144:M149)</f>
        <v>27.900000000000002</v>
      </c>
      <c r="N150" s="3">
        <f t="shared" si="233"/>
        <v>28</v>
      </c>
      <c r="O150" s="3">
        <f t="shared" si="233"/>
        <v>27.900000000000002</v>
      </c>
      <c r="P150" s="3">
        <f t="shared" si="233"/>
        <v>27.8</v>
      </c>
      <c r="Q150" s="3">
        <f t="shared" si="233"/>
        <v>27.9</v>
      </c>
      <c r="R150" s="3">
        <f t="shared" si="233"/>
        <v>40.811</v>
      </c>
      <c r="S150" s="3">
        <f t="shared" si="233"/>
        <v>47.974000000000004</v>
      </c>
      <c r="T150" s="3">
        <f t="shared" si="233"/>
        <v>49.685999999999993</v>
      </c>
      <c r="U150" s="3">
        <f t="shared" si="233"/>
        <v>51.308999999999997</v>
      </c>
      <c r="V150" s="3">
        <f t="shared" si="233"/>
        <v>51.552999999999997</v>
      </c>
      <c r="W150" s="3">
        <f>SUM(W145:W149)</f>
        <v>54.638999999999996</v>
      </c>
      <c r="X150" s="3">
        <f>SUM(X147:X149)+X144</f>
        <v>48.566749068366484</v>
      </c>
      <c r="Y150" s="3">
        <f>SUM(Y147:Y149)+Y144</f>
        <v>49.302487258669046</v>
      </c>
      <c r="Z150" s="3">
        <f>SUM(Z147:Z149)+Z144</f>
        <v>50.59181734399931</v>
      </c>
      <c r="AA150" s="3">
        <f>SUM(AA147:AA149)+AA144</f>
        <v>44.027965652899759</v>
      </c>
      <c r="AB150" s="3">
        <f>SUM(AB147:AB149)+AB144</f>
        <v>42.809448642727389</v>
      </c>
      <c r="AC150" s="3">
        <f t="shared" ref="AC150:BD150" si="234">SUM(AC145:AC149)</f>
        <v>44.222624840973083</v>
      </c>
      <c r="AD150" s="3">
        <f t="shared" si="234"/>
        <v>45.676955018933363</v>
      </c>
      <c r="AE150" s="3">
        <f t="shared" si="234"/>
        <v>47.172662337068189</v>
      </c>
      <c r="AF150" s="3">
        <f t="shared" si="234"/>
        <v>48.710975392207587</v>
      </c>
      <c r="AG150" s="3">
        <f t="shared" si="234"/>
        <v>58.404128349903345</v>
      </c>
      <c r="AH150" s="3">
        <f t="shared" si="234"/>
        <v>59.692361080001106</v>
      </c>
      <c r="AI150" s="3">
        <f t="shared" si="234"/>
        <v>61.008919295511177</v>
      </c>
      <c r="AJ150" s="3">
        <f t="shared" si="234"/>
        <v>62.354054694858505</v>
      </c>
      <c r="AK150" s="3">
        <f t="shared" si="234"/>
        <v>63.730025107593633</v>
      </c>
      <c r="AL150" s="3">
        <f t="shared" si="234"/>
        <v>65.13609464364913</v>
      </c>
      <c r="AM150" s="3">
        <f t="shared" si="234"/>
        <v>66.573533846227633</v>
      </c>
      <c r="AN150" s="3">
        <f t="shared" si="234"/>
        <v>68.041619848409638</v>
      </c>
      <c r="AO150" s="3">
        <f t="shared" si="234"/>
        <v>69.543636533571842</v>
      </c>
      <c r="AP150" s="3">
        <f t="shared" si="234"/>
        <v>71.077874699708403</v>
      </c>
      <c r="AQ150" s="3">
        <f t="shared" si="234"/>
        <v>72.646632227750189</v>
      </c>
      <c r="AR150" s="3">
        <f t="shared" si="234"/>
        <v>74.250214253979181</v>
      </c>
      <c r="AS150" s="3">
        <f t="shared" si="234"/>
        <v>75.889933346637747</v>
      </c>
      <c r="AT150" s="3">
        <f t="shared" si="234"/>
        <v>77.564109686834598</v>
      </c>
      <c r="AU150" s="3">
        <f t="shared" si="234"/>
        <v>79.277071253852</v>
      </c>
      <c r="AV150" s="3">
        <f t="shared" si="234"/>
        <v>81.028154014961416</v>
      </c>
      <c r="AW150" s="3">
        <f t="shared" si="234"/>
        <v>82.817702119857003</v>
      </c>
      <c r="AX150" s="3">
        <f t="shared" si="234"/>
        <v>84.647068099819293</v>
      </c>
      <c r="AY150" s="3">
        <f t="shared" si="234"/>
        <v>86.516613071724279</v>
      </c>
      <c r="AZ150" s="3">
        <f t="shared" si="234"/>
        <v>88.427706947015508</v>
      </c>
      <c r="BA150" s="3">
        <f t="shared" si="234"/>
        <v>90.38072864575993</v>
      </c>
      <c r="BB150" s="3">
        <f t="shared" si="234"/>
        <v>92.379066315911189</v>
      </c>
      <c r="BC150" s="3">
        <f t="shared" si="234"/>
        <v>94.420117557906934</v>
      </c>
      <c r="BD150" s="3">
        <f t="shared" si="234"/>
        <v>96.506289654729926</v>
      </c>
      <c r="BE150" s="3">
        <f t="shared" ref="BE150:CP150" si="235">SUM(BE145:BE149)</f>
        <v>98.638999807565483</v>
      </c>
      <c r="BF150" s="3">
        <f t="shared" si="235"/>
        <v>100.81967537719203</v>
      </c>
      <c r="BG150" s="3">
        <f t="shared" si="235"/>
        <v>103.04875413124327</v>
      </c>
      <c r="BH150" s="3">
        <f t="shared" si="235"/>
        <v>105.32668449748556</v>
      </c>
      <c r="BI150" s="3">
        <f t="shared" si="235"/>
        <v>107.65592582325611</v>
      </c>
      <c r="BJ150" s="3">
        <f t="shared" si="235"/>
        <v>110.0359486412124</v>
      </c>
      <c r="BK150" s="3">
        <f t="shared" si="235"/>
        <v>112.47023494154571</v>
      </c>
      <c r="BL150" s="3">
        <f t="shared" si="235"/>
        <v>114.95727845081629</v>
      </c>
      <c r="BM150" s="3">
        <f t="shared" si="235"/>
        <v>117.49958491757108</v>
      </c>
      <c r="BN150" s="3">
        <f t="shared" si="235"/>
        <v>120.09967240490897</v>
      </c>
      <c r="BO150" s="3">
        <f t="shared" si="235"/>
        <v>122.75607159016221</v>
      </c>
      <c r="BP150" s="3">
        <f t="shared" si="235"/>
        <v>125.47232607186761</v>
      </c>
      <c r="BQ150" s="3">
        <f t="shared" si="235"/>
        <v>128.24899268420387</v>
      </c>
      <c r="BR150" s="3">
        <f t="shared" si="235"/>
        <v>131.08664181907761</v>
      </c>
      <c r="BS150" s="3">
        <f t="shared" si="235"/>
        <v>133.98885775604316</v>
      </c>
      <c r="BT150" s="3">
        <f t="shared" si="235"/>
        <v>136.95423900024724</v>
      </c>
      <c r="BU150" s="3">
        <f t="shared" si="235"/>
        <v>139.98639862859307</v>
      </c>
      <c r="BV150" s="3">
        <f t="shared" si="235"/>
        <v>143.08596464432424</v>
      </c>
      <c r="BW150" s="3">
        <f t="shared" si="235"/>
        <v>146.25358034023273</v>
      </c>
      <c r="BX150" s="3">
        <f t="shared" si="235"/>
        <v>149.49190467070099</v>
      </c>
      <c r="BY150" s="3">
        <f t="shared" si="235"/>
        <v>152.80361263279258</v>
      </c>
      <c r="BZ150" s="3">
        <f t="shared" si="235"/>
        <v>156.1873956566115</v>
      </c>
      <c r="CA150" s="3">
        <f t="shared" si="235"/>
        <v>159.64696200515567</v>
      </c>
      <c r="CB150" s="3">
        <f t="shared" si="235"/>
        <v>163.18403718389507</v>
      </c>
      <c r="CC150" s="3">
        <f t="shared" si="235"/>
        <v>166.79936436031156</v>
      </c>
      <c r="CD150" s="3">
        <f t="shared" si="235"/>
        <v>170.49570479364144</v>
      </c>
      <c r="CE150" s="3">
        <f t="shared" si="235"/>
        <v>174.27283827507017</v>
      </c>
      <c r="CF150" s="3">
        <f t="shared" si="235"/>
        <v>178.1355635786324</v>
      </c>
      <c r="CG150" s="3">
        <f t="shared" si="235"/>
        <v>182.08369892307763</v>
      </c>
      <c r="CH150" s="3">
        <f t="shared" si="235"/>
        <v>186.12008244496877</v>
      </c>
      <c r="CI150" s="3">
        <f t="shared" si="235"/>
        <v>190.24657268328562</v>
      </c>
      <c r="CJ150" s="3">
        <f t="shared" si="235"/>
        <v>194.46404907581399</v>
      </c>
      <c r="CK150" s="3">
        <f t="shared" si="235"/>
        <v>198.7754124676064</v>
      </c>
      <c r="CL150" s="3">
        <f t="shared" si="235"/>
        <v>203.18358563180732</v>
      </c>
      <c r="CM150" s="3">
        <f t="shared" si="235"/>
        <v>207.69051380314534</v>
      </c>
      <c r="CN150" s="3">
        <f t="shared" si="235"/>
        <v>212.29616522439753</v>
      </c>
      <c r="CO150" s="3">
        <f t="shared" si="235"/>
        <v>217.00553170614393</v>
      </c>
      <c r="CP150" s="3">
        <f t="shared" si="235"/>
        <v>221.82062920013348</v>
      </c>
      <c r="CQ150" s="23" t="s">
        <v>77</v>
      </c>
    </row>
    <row r="151" spans="1:95" outlineLevel="1" x14ac:dyDescent="0.2">
      <c r="A151" s="233"/>
      <c r="B151" s="1" t="s">
        <v>329</v>
      </c>
      <c r="D151" s="3"/>
      <c r="E151" s="3"/>
      <c r="F151" s="3">
        <f>SUM(F147:F150)</f>
        <v>0</v>
      </c>
      <c r="G151" s="3">
        <f>SUM(G147:G150)</f>
        <v>0</v>
      </c>
      <c r="H151" s="3">
        <f>SUM(H147:H150)</f>
        <v>0</v>
      </c>
      <c r="I151" s="3">
        <f>SUM(I147:I150)</f>
        <v>0</v>
      </c>
      <c r="J151" s="3">
        <f>SUM(J147:J150)</f>
        <v>0</v>
      </c>
      <c r="K151" s="3"/>
      <c r="L151" s="3"/>
      <c r="M151" s="3">
        <f t="shared" ref="M151:R151" si="236">+M150</f>
        <v>27.900000000000002</v>
      </c>
      <c r="N151" s="3">
        <f t="shared" si="236"/>
        <v>28</v>
      </c>
      <c r="O151" s="3">
        <f t="shared" si="236"/>
        <v>27.900000000000002</v>
      </c>
      <c r="P151" s="3">
        <f t="shared" si="236"/>
        <v>27.8</v>
      </c>
      <c r="Q151" s="3">
        <f t="shared" si="236"/>
        <v>27.9</v>
      </c>
      <c r="R151" s="3">
        <f t="shared" si="236"/>
        <v>40.811</v>
      </c>
      <c r="S151" s="3">
        <v>46.2</v>
      </c>
      <c r="T151" s="33">
        <v>51</v>
      </c>
      <c r="U151" s="4">
        <v>53.4</v>
      </c>
      <c r="V151" s="4">
        <v>57.7</v>
      </c>
      <c r="W151" s="4">
        <v>55.4</v>
      </c>
      <c r="X151" s="4">
        <v>48.3</v>
      </c>
      <c r="Y151" s="4">
        <v>48.4</v>
      </c>
      <c r="Z151" s="4">
        <v>48.6</v>
      </c>
      <c r="AA151" s="4">
        <v>46.6</v>
      </c>
      <c r="AB151" s="4">
        <v>43.62</v>
      </c>
      <c r="AC151" s="33">
        <f t="shared" ref="AC151:BD151" si="237">+AC150</f>
        <v>44.222624840973083</v>
      </c>
      <c r="AD151" s="33">
        <f t="shared" si="237"/>
        <v>45.676955018933363</v>
      </c>
      <c r="AE151" s="33">
        <f t="shared" si="237"/>
        <v>47.172662337068189</v>
      </c>
      <c r="AF151" s="33">
        <f t="shared" si="237"/>
        <v>48.710975392207587</v>
      </c>
      <c r="AG151" s="33">
        <f t="shared" si="237"/>
        <v>58.404128349903345</v>
      </c>
      <c r="AH151" s="33">
        <f t="shared" si="237"/>
        <v>59.692361080001106</v>
      </c>
      <c r="AI151" s="33">
        <f t="shared" si="237"/>
        <v>61.008919295511177</v>
      </c>
      <c r="AJ151" s="33">
        <f t="shared" si="237"/>
        <v>62.354054694858505</v>
      </c>
      <c r="AK151" s="33">
        <f t="shared" si="237"/>
        <v>63.730025107593633</v>
      </c>
      <c r="AL151" s="33">
        <f t="shared" si="237"/>
        <v>65.13609464364913</v>
      </c>
      <c r="AM151" s="33">
        <f t="shared" si="237"/>
        <v>66.573533846227633</v>
      </c>
      <c r="AN151" s="33">
        <f t="shared" si="237"/>
        <v>68.041619848409638</v>
      </c>
      <c r="AO151" s="33">
        <f t="shared" si="237"/>
        <v>69.543636533571842</v>
      </c>
      <c r="AP151" s="33">
        <f t="shared" si="237"/>
        <v>71.077874699708403</v>
      </c>
      <c r="AQ151" s="33">
        <f t="shared" si="237"/>
        <v>72.646632227750189</v>
      </c>
      <c r="AR151" s="33">
        <f t="shared" si="237"/>
        <v>74.250214253979181</v>
      </c>
      <c r="AS151" s="33">
        <f t="shared" si="237"/>
        <v>75.889933346637747</v>
      </c>
      <c r="AT151" s="33">
        <f t="shared" si="237"/>
        <v>77.564109686834598</v>
      </c>
      <c r="AU151" s="33">
        <f t="shared" si="237"/>
        <v>79.277071253852</v>
      </c>
      <c r="AV151" s="33">
        <f t="shared" si="237"/>
        <v>81.028154014961416</v>
      </c>
      <c r="AW151" s="33">
        <f t="shared" si="237"/>
        <v>82.817702119857003</v>
      </c>
      <c r="AX151" s="33">
        <f t="shared" si="237"/>
        <v>84.647068099819293</v>
      </c>
      <c r="AY151" s="33">
        <f t="shared" si="237"/>
        <v>86.516613071724279</v>
      </c>
      <c r="AZ151" s="33">
        <f t="shared" si="237"/>
        <v>88.427706947015508</v>
      </c>
      <c r="BA151" s="33">
        <f t="shared" si="237"/>
        <v>90.38072864575993</v>
      </c>
      <c r="BB151" s="33">
        <f t="shared" si="237"/>
        <v>92.379066315911189</v>
      </c>
      <c r="BC151" s="33">
        <f t="shared" si="237"/>
        <v>94.420117557906934</v>
      </c>
      <c r="BD151" s="33">
        <f t="shared" si="237"/>
        <v>96.506289654729926</v>
      </c>
      <c r="BE151" s="33">
        <f t="shared" ref="BE151:CP151" si="238">+BE150</f>
        <v>98.638999807565483</v>
      </c>
      <c r="BF151" s="33">
        <f t="shared" si="238"/>
        <v>100.81967537719203</v>
      </c>
      <c r="BG151" s="33">
        <f t="shared" si="238"/>
        <v>103.04875413124327</v>
      </c>
      <c r="BH151" s="33">
        <f t="shared" si="238"/>
        <v>105.32668449748556</v>
      </c>
      <c r="BI151" s="33">
        <f t="shared" si="238"/>
        <v>107.65592582325611</v>
      </c>
      <c r="BJ151" s="33">
        <f t="shared" si="238"/>
        <v>110.0359486412124</v>
      </c>
      <c r="BK151" s="33">
        <f t="shared" si="238"/>
        <v>112.47023494154571</v>
      </c>
      <c r="BL151" s="33">
        <f t="shared" si="238"/>
        <v>114.95727845081629</v>
      </c>
      <c r="BM151" s="33">
        <f t="shared" si="238"/>
        <v>117.49958491757108</v>
      </c>
      <c r="BN151" s="33">
        <f t="shared" si="238"/>
        <v>120.09967240490897</v>
      </c>
      <c r="BO151" s="33">
        <f t="shared" si="238"/>
        <v>122.75607159016221</v>
      </c>
      <c r="BP151" s="33">
        <f t="shared" si="238"/>
        <v>125.47232607186761</v>
      </c>
      <c r="BQ151" s="33">
        <f t="shared" si="238"/>
        <v>128.24899268420387</v>
      </c>
      <c r="BR151" s="33">
        <f t="shared" si="238"/>
        <v>131.08664181907761</v>
      </c>
      <c r="BS151" s="33">
        <f t="shared" si="238"/>
        <v>133.98885775604316</v>
      </c>
      <c r="BT151" s="33">
        <f t="shared" si="238"/>
        <v>136.95423900024724</v>
      </c>
      <c r="BU151" s="33">
        <f t="shared" si="238"/>
        <v>139.98639862859307</v>
      </c>
      <c r="BV151" s="33">
        <f t="shared" si="238"/>
        <v>143.08596464432424</v>
      </c>
      <c r="BW151" s="33">
        <f t="shared" si="238"/>
        <v>146.25358034023273</v>
      </c>
      <c r="BX151" s="33">
        <f t="shared" si="238"/>
        <v>149.49190467070099</v>
      </c>
      <c r="BY151" s="33">
        <f t="shared" si="238"/>
        <v>152.80361263279258</v>
      </c>
      <c r="BZ151" s="33">
        <f t="shared" si="238"/>
        <v>156.1873956566115</v>
      </c>
      <c r="CA151" s="33">
        <f t="shared" si="238"/>
        <v>159.64696200515567</v>
      </c>
      <c r="CB151" s="33">
        <f t="shared" si="238"/>
        <v>163.18403718389507</v>
      </c>
      <c r="CC151" s="33">
        <f t="shared" si="238"/>
        <v>166.79936436031156</v>
      </c>
      <c r="CD151" s="33">
        <f t="shared" si="238"/>
        <v>170.49570479364144</v>
      </c>
      <c r="CE151" s="33">
        <f t="shared" si="238"/>
        <v>174.27283827507017</v>
      </c>
      <c r="CF151" s="33">
        <f t="shared" si="238"/>
        <v>178.1355635786324</v>
      </c>
      <c r="CG151" s="33">
        <f t="shared" si="238"/>
        <v>182.08369892307763</v>
      </c>
      <c r="CH151" s="33">
        <f t="shared" si="238"/>
        <v>186.12008244496877</v>
      </c>
      <c r="CI151" s="33">
        <f t="shared" si="238"/>
        <v>190.24657268328562</v>
      </c>
      <c r="CJ151" s="33">
        <f t="shared" si="238"/>
        <v>194.46404907581399</v>
      </c>
      <c r="CK151" s="33">
        <f t="shared" si="238"/>
        <v>198.7754124676064</v>
      </c>
      <c r="CL151" s="33">
        <f t="shared" si="238"/>
        <v>203.18358563180732</v>
      </c>
      <c r="CM151" s="33">
        <f t="shared" si="238"/>
        <v>207.69051380314534</v>
      </c>
      <c r="CN151" s="33">
        <f t="shared" si="238"/>
        <v>212.29616522439753</v>
      </c>
      <c r="CO151" s="33">
        <f t="shared" si="238"/>
        <v>217.00553170614393</v>
      </c>
      <c r="CP151" s="33">
        <f t="shared" si="238"/>
        <v>221.82062920013348</v>
      </c>
      <c r="CQ151" s="23" t="s">
        <v>77</v>
      </c>
    </row>
    <row r="152" spans="1:95" outlineLevel="1" x14ac:dyDescent="0.2">
      <c r="A152" s="233"/>
      <c r="B152" s="1" t="s">
        <v>330</v>
      </c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1">
        <v>-8.7499999999999994E-2</v>
      </c>
      <c r="T152" s="31">
        <v>-0.05</v>
      </c>
      <c r="U152" s="37">
        <v>-0.04</v>
      </c>
      <c r="V152" s="31">
        <v>-0.04</v>
      </c>
      <c r="W152" s="31">
        <v>-0.03</v>
      </c>
      <c r="X152" s="31">
        <v>0.14860000000000001</v>
      </c>
      <c r="Y152" s="31">
        <v>2.4199999999999999E-2</v>
      </c>
      <c r="Z152" s="31">
        <v>2.4199999999999999E-2</v>
      </c>
      <c r="AA152" s="31">
        <v>7.0000000000000007E-2</v>
      </c>
      <c r="AB152" s="31">
        <v>0.1</v>
      </c>
      <c r="AC152" s="33"/>
      <c r="AD152" s="33"/>
      <c r="AE152" s="33"/>
      <c r="AF152" s="33"/>
      <c r="AG152" s="33"/>
      <c r="AH152" s="33"/>
      <c r="AI152" s="33"/>
      <c r="AJ152" s="33"/>
      <c r="AK152" s="33"/>
      <c r="AL152" s="33"/>
      <c r="AM152" s="33"/>
      <c r="AN152" s="33"/>
      <c r="AO152" s="33"/>
      <c r="AP152" s="33"/>
      <c r="AQ152" s="33"/>
      <c r="AR152" s="33"/>
      <c r="AS152" s="33"/>
      <c r="AT152" s="33"/>
      <c r="AU152" s="33"/>
      <c r="AV152" s="33"/>
      <c r="AW152" s="33"/>
      <c r="AX152" s="33"/>
      <c r="AY152" s="33"/>
      <c r="AZ152" s="33"/>
      <c r="BA152" s="33"/>
      <c r="BB152" s="33"/>
      <c r="BC152" s="33"/>
      <c r="BD152" s="33"/>
      <c r="BE152" s="33"/>
      <c r="BF152" s="33"/>
      <c r="BG152" s="33"/>
      <c r="BH152" s="33"/>
      <c r="BI152" s="33"/>
      <c r="BJ152" s="33"/>
      <c r="BK152" s="33"/>
      <c r="BL152" s="33"/>
      <c r="BM152" s="33"/>
      <c r="BN152" s="33"/>
      <c r="BO152" s="33"/>
      <c r="BP152" s="33"/>
      <c r="BQ152" s="33"/>
      <c r="BR152" s="33"/>
      <c r="BS152" s="33"/>
      <c r="BT152" s="33"/>
      <c r="BU152" s="33"/>
      <c r="BV152" s="33"/>
      <c r="BW152" s="33"/>
      <c r="BX152" s="33"/>
      <c r="BY152" s="33"/>
      <c r="BZ152" s="33"/>
      <c r="CA152" s="33"/>
      <c r="CB152" s="33"/>
      <c r="CC152" s="33"/>
      <c r="CD152" s="33"/>
      <c r="CE152" s="33"/>
      <c r="CF152" s="33"/>
      <c r="CG152" s="33"/>
      <c r="CH152" s="33"/>
      <c r="CI152" s="33"/>
      <c r="CJ152" s="33"/>
      <c r="CK152" s="33"/>
      <c r="CL152" s="33"/>
      <c r="CM152" s="33"/>
      <c r="CN152" s="33"/>
      <c r="CO152" s="33"/>
      <c r="CP152" s="33"/>
      <c r="CQ152" s="23" t="s">
        <v>77</v>
      </c>
    </row>
    <row r="153" spans="1:95" ht="5.0999999999999996" customHeight="1" outlineLevel="1" x14ac:dyDescent="0.2">
      <c r="S153" s="40"/>
      <c r="T153" s="40"/>
      <c r="U153" s="40"/>
      <c r="V153" s="40"/>
      <c r="W153" s="40"/>
      <c r="CQ153" s="23"/>
    </row>
    <row r="154" spans="1:95" outlineLevel="1" x14ac:dyDescent="0.2">
      <c r="B154" s="358" t="s">
        <v>321</v>
      </c>
      <c r="D154" s="66"/>
      <c r="E154" s="66"/>
      <c r="F154" s="66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248"/>
      <c r="U154" s="248"/>
      <c r="V154" s="248"/>
      <c r="W154" s="248"/>
      <c r="X154" s="66"/>
      <c r="Y154" s="66"/>
      <c r="Z154" s="66"/>
      <c r="AA154" s="66"/>
      <c r="AB154" s="66"/>
      <c r="AC154" s="66"/>
      <c r="AD154" s="66"/>
      <c r="AE154" s="66"/>
      <c r="AF154" s="66"/>
      <c r="AG154" s="66"/>
      <c r="AH154" s="66"/>
      <c r="AI154" s="66"/>
      <c r="AJ154" s="66"/>
      <c r="AK154" s="66"/>
      <c r="AL154" s="66"/>
      <c r="AM154" s="66"/>
      <c r="AN154" s="66"/>
      <c r="AO154" s="66"/>
      <c r="AP154" s="66"/>
      <c r="AQ154" s="66"/>
      <c r="AR154" s="66"/>
      <c r="AS154" s="66"/>
      <c r="AT154" s="66"/>
      <c r="AU154" s="66"/>
      <c r="AV154" s="66"/>
      <c r="AW154" s="66"/>
      <c r="AX154" s="66"/>
      <c r="AY154" s="66"/>
      <c r="AZ154" s="66"/>
      <c r="BA154" s="66"/>
      <c r="BB154" s="66"/>
      <c r="BC154" s="66"/>
      <c r="BD154" s="66"/>
      <c r="BE154" s="66"/>
      <c r="BF154" s="66"/>
      <c r="BG154" s="66"/>
      <c r="BH154" s="66"/>
      <c r="BI154" s="66"/>
      <c r="BJ154" s="66"/>
      <c r="BK154" s="66"/>
      <c r="BL154" s="66"/>
      <c r="BM154" s="66"/>
      <c r="BN154" s="66"/>
      <c r="BO154" s="66"/>
      <c r="BP154" s="66"/>
      <c r="BQ154" s="66"/>
      <c r="BR154" s="66"/>
      <c r="BS154" s="66"/>
      <c r="BT154" s="66"/>
      <c r="BU154" s="66"/>
      <c r="BV154" s="66"/>
      <c r="BW154" s="66"/>
      <c r="BX154" s="66"/>
      <c r="BY154" s="66"/>
      <c r="BZ154" s="66"/>
      <c r="CA154" s="66"/>
      <c r="CB154" s="66"/>
      <c r="CC154" s="66"/>
      <c r="CD154" s="66"/>
      <c r="CE154" s="66"/>
      <c r="CF154" s="66"/>
      <c r="CG154" s="66"/>
      <c r="CH154" s="66"/>
      <c r="CI154" s="66"/>
      <c r="CJ154" s="66"/>
      <c r="CK154" s="66"/>
      <c r="CL154" s="66"/>
      <c r="CM154" s="66"/>
      <c r="CN154" s="66"/>
      <c r="CO154" s="66"/>
      <c r="CP154" s="66"/>
      <c r="CQ154" s="23" t="s">
        <v>77</v>
      </c>
    </row>
    <row r="155" spans="1:95" outlineLevel="1" x14ac:dyDescent="0.2">
      <c r="B155" s="7" t="s">
        <v>321</v>
      </c>
      <c r="D155" s="530"/>
      <c r="E155" s="530"/>
      <c r="F155" s="530"/>
      <c r="G155" s="530"/>
      <c r="H155" s="530"/>
      <c r="I155" s="530"/>
      <c r="J155" s="530"/>
      <c r="L155" s="530">
        <f t="shared" ref="L155:BD155" si="239">+L119</f>
        <v>3.2099999999999997E-2</v>
      </c>
      <c r="M155" s="530">
        <f t="shared" si="239"/>
        <v>3.2099999999999997E-2</v>
      </c>
      <c r="N155" s="530">
        <f t="shared" si="239"/>
        <v>3.2099999999999997E-2</v>
      </c>
      <c r="O155" s="530">
        <f t="shared" si="239"/>
        <v>3.2099999999999997E-2</v>
      </c>
      <c r="P155" s="530">
        <f t="shared" si="239"/>
        <v>3.2099999999999997E-2</v>
      </c>
      <c r="Q155" s="530">
        <f t="shared" si="239"/>
        <v>3.2099999999999997E-2</v>
      </c>
      <c r="R155" s="530">
        <f t="shared" si="239"/>
        <v>2.5499999999999998E-2</v>
      </c>
      <c r="S155" s="530">
        <f t="shared" si="239"/>
        <v>2.5499999999999998E-2</v>
      </c>
      <c r="T155" s="530">
        <f t="shared" si="239"/>
        <v>2.5499999999999998E-2</v>
      </c>
      <c r="U155" s="530">
        <f t="shared" si="239"/>
        <v>2.5499999999999998E-2</v>
      </c>
      <c r="V155" s="530">
        <f t="shared" si="239"/>
        <v>2.5499999999999998E-2</v>
      </c>
      <c r="W155" s="530">
        <f t="shared" si="239"/>
        <v>2.5499999999999998E-2</v>
      </c>
      <c r="X155" s="530">
        <f t="shared" si="239"/>
        <v>2.4248746575396662E-2</v>
      </c>
      <c r="Y155" s="530">
        <f t="shared" si="239"/>
        <v>2.4248746575396662E-2</v>
      </c>
      <c r="Z155" s="530">
        <f t="shared" si="239"/>
        <v>2.4248746575396662E-2</v>
      </c>
      <c r="AA155" s="530">
        <f t="shared" si="239"/>
        <v>2.4248746575396662E-2</v>
      </c>
      <c r="AB155" s="530">
        <f t="shared" si="239"/>
        <v>2.4248746575396662E-2</v>
      </c>
      <c r="AC155" s="530">
        <f t="shared" si="239"/>
        <v>2.4248746575396662E-2</v>
      </c>
      <c r="AD155" s="530">
        <f t="shared" si="239"/>
        <v>2.4248746575396662E-2</v>
      </c>
      <c r="AE155" s="530">
        <f t="shared" si="239"/>
        <v>2.4248746575396662E-2</v>
      </c>
      <c r="AF155" s="530">
        <f t="shared" si="239"/>
        <v>2.4248746575396662E-2</v>
      </c>
      <c r="AG155" s="530">
        <f t="shared" si="239"/>
        <v>2.4248746575396662E-2</v>
      </c>
      <c r="AH155" s="530">
        <f t="shared" si="239"/>
        <v>2.4248746575396662E-2</v>
      </c>
      <c r="AI155" s="530">
        <f t="shared" si="239"/>
        <v>2.4248746575396662E-2</v>
      </c>
      <c r="AJ155" s="530">
        <f t="shared" si="239"/>
        <v>2.4248746575396662E-2</v>
      </c>
      <c r="AK155" s="530">
        <f t="shared" si="239"/>
        <v>2.4248746575396662E-2</v>
      </c>
      <c r="AL155" s="530">
        <f t="shared" si="239"/>
        <v>2.4248746575396662E-2</v>
      </c>
      <c r="AM155" s="530">
        <f t="shared" si="239"/>
        <v>2.4248746575396662E-2</v>
      </c>
      <c r="AN155" s="530">
        <f t="shared" si="239"/>
        <v>2.4248746575396662E-2</v>
      </c>
      <c r="AO155" s="530">
        <f t="shared" si="239"/>
        <v>2.4248746575396662E-2</v>
      </c>
      <c r="AP155" s="530">
        <f t="shared" si="239"/>
        <v>2.4248746575396662E-2</v>
      </c>
      <c r="AQ155" s="530">
        <f t="shared" si="239"/>
        <v>2.4248746575396662E-2</v>
      </c>
      <c r="AR155" s="530">
        <f t="shared" si="239"/>
        <v>2.4248746575396662E-2</v>
      </c>
      <c r="AS155" s="530">
        <f t="shared" si="239"/>
        <v>2.4248746575396662E-2</v>
      </c>
      <c r="AT155" s="530">
        <f t="shared" si="239"/>
        <v>2.4248746575396662E-2</v>
      </c>
      <c r="AU155" s="530">
        <f t="shared" si="239"/>
        <v>2.4248746575396662E-2</v>
      </c>
      <c r="AV155" s="530">
        <f t="shared" si="239"/>
        <v>2.4248746575396662E-2</v>
      </c>
      <c r="AW155" s="530">
        <f t="shared" si="239"/>
        <v>2.4248746575396662E-2</v>
      </c>
      <c r="AX155" s="530">
        <f t="shared" si="239"/>
        <v>2.4248746575396662E-2</v>
      </c>
      <c r="AY155" s="530">
        <f t="shared" si="239"/>
        <v>2.4248746575396662E-2</v>
      </c>
      <c r="AZ155" s="530">
        <f t="shared" si="239"/>
        <v>2.4248746575396662E-2</v>
      </c>
      <c r="BA155" s="530">
        <f t="shared" si="239"/>
        <v>2.4248746575396662E-2</v>
      </c>
      <c r="BB155" s="530">
        <f t="shared" si="239"/>
        <v>2.4248746575396662E-2</v>
      </c>
      <c r="BC155" s="530">
        <f t="shared" si="239"/>
        <v>2.4248746575396662E-2</v>
      </c>
      <c r="BD155" s="530">
        <f t="shared" si="239"/>
        <v>2.4248746575396662E-2</v>
      </c>
      <c r="BE155" s="530">
        <f t="shared" ref="BE155:CP155" si="240">+BE119</f>
        <v>2.4248746575396662E-2</v>
      </c>
      <c r="BF155" s="530">
        <f t="shared" si="240"/>
        <v>2.4248746575396662E-2</v>
      </c>
      <c r="BG155" s="530">
        <f t="shared" si="240"/>
        <v>2.4248746575396662E-2</v>
      </c>
      <c r="BH155" s="530">
        <f t="shared" si="240"/>
        <v>2.4248746575396662E-2</v>
      </c>
      <c r="BI155" s="530">
        <f t="shared" si="240"/>
        <v>2.4248746575396662E-2</v>
      </c>
      <c r="BJ155" s="530">
        <f t="shared" si="240"/>
        <v>2.4248746575396662E-2</v>
      </c>
      <c r="BK155" s="530">
        <f t="shared" si="240"/>
        <v>2.4248746575396662E-2</v>
      </c>
      <c r="BL155" s="530">
        <f t="shared" si="240"/>
        <v>2.4248746575396662E-2</v>
      </c>
      <c r="BM155" s="530">
        <f t="shared" si="240"/>
        <v>2.4248746575396662E-2</v>
      </c>
      <c r="BN155" s="530">
        <f t="shared" si="240"/>
        <v>2.4248746575396662E-2</v>
      </c>
      <c r="BO155" s="530">
        <f t="shared" si="240"/>
        <v>2.4248746575396662E-2</v>
      </c>
      <c r="BP155" s="530">
        <f t="shared" si="240"/>
        <v>2.4248746575396662E-2</v>
      </c>
      <c r="BQ155" s="530">
        <f t="shared" si="240"/>
        <v>2.4248746575396662E-2</v>
      </c>
      <c r="BR155" s="530">
        <f t="shared" si="240"/>
        <v>2.4248746575396662E-2</v>
      </c>
      <c r="BS155" s="530">
        <f t="shared" si="240"/>
        <v>2.4248746575396662E-2</v>
      </c>
      <c r="BT155" s="530">
        <f t="shared" si="240"/>
        <v>2.4248746575396662E-2</v>
      </c>
      <c r="BU155" s="530">
        <f t="shared" si="240"/>
        <v>2.4248746575396662E-2</v>
      </c>
      <c r="BV155" s="530">
        <f t="shared" si="240"/>
        <v>2.4248746575396662E-2</v>
      </c>
      <c r="BW155" s="530">
        <f t="shared" si="240"/>
        <v>2.4248746575396662E-2</v>
      </c>
      <c r="BX155" s="530">
        <f t="shared" si="240"/>
        <v>2.4248746575396662E-2</v>
      </c>
      <c r="BY155" s="530">
        <f t="shared" si="240"/>
        <v>2.4248746575396662E-2</v>
      </c>
      <c r="BZ155" s="530">
        <f t="shared" si="240"/>
        <v>2.4248746575396662E-2</v>
      </c>
      <c r="CA155" s="530">
        <f t="shared" si="240"/>
        <v>2.4248746575396662E-2</v>
      </c>
      <c r="CB155" s="530">
        <f t="shared" si="240"/>
        <v>2.4248746575396662E-2</v>
      </c>
      <c r="CC155" s="530">
        <f t="shared" si="240"/>
        <v>2.4248746575396662E-2</v>
      </c>
      <c r="CD155" s="530">
        <f t="shared" si="240"/>
        <v>2.4248746575396662E-2</v>
      </c>
      <c r="CE155" s="530">
        <f t="shared" si="240"/>
        <v>2.4248746575396662E-2</v>
      </c>
      <c r="CF155" s="530">
        <f t="shared" si="240"/>
        <v>2.4248746575396662E-2</v>
      </c>
      <c r="CG155" s="530">
        <f t="shared" si="240"/>
        <v>2.4248746575396662E-2</v>
      </c>
      <c r="CH155" s="530">
        <f t="shared" si="240"/>
        <v>2.4248746575396662E-2</v>
      </c>
      <c r="CI155" s="530">
        <f t="shared" si="240"/>
        <v>2.4248746575396662E-2</v>
      </c>
      <c r="CJ155" s="530">
        <f t="shared" si="240"/>
        <v>2.4248746575396662E-2</v>
      </c>
      <c r="CK155" s="530">
        <f t="shared" si="240"/>
        <v>2.4248746575396662E-2</v>
      </c>
      <c r="CL155" s="530">
        <f t="shared" si="240"/>
        <v>2.4248746575396662E-2</v>
      </c>
      <c r="CM155" s="530">
        <f t="shared" si="240"/>
        <v>2.4248746575396662E-2</v>
      </c>
      <c r="CN155" s="530">
        <f t="shared" si="240"/>
        <v>2.4248746575396662E-2</v>
      </c>
      <c r="CO155" s="530">
        <f t="shared" si="240"/>
        <v>2.4248746575396662E-2</v>
      </c>
      <c r="CP155" s="530">
        <f t="shared" si="240"/>
        <v>2.4248746575396662E-2</v>
      </c>
      <c r="CQ155" s="23" t="s">
        <v>77</v>
      </c>
    </row>
    <row r="156" spans="1:95" outlineLevel="1" x14ac:dyDescent="0.2">
      <c r="B156" s="8" t="s">
        <v>322</v>
      </c>
      <c r="D156" s="9"/>
      <c r="E156" s="9"/>
      <c r="F156" s="9"/>
      <c r="G156" s="9"/>
      <c r="H156" s="9"/>
      <c r="I156" s="9"/>
      <c r="J156" s="9"/>
      <c r="L156" s="531">
        <v>1</v>
      </c>
      <c r="M156" s="67">
        <f>+L156*(1+M155)</f>
        <v>1.0321</v>
      </c>
      <c r="N156" s="67">
        <f t="shared" ref="N156:BD156" si="241">+M156*(1+N155)</f>
        <v>1.0652304100000001</v>
      </c>
      <c r="O156" s="67">
        <f t="shared" si="241"/>
        <v>1.0994243061610001</v>
      </c>
      <c r="P156" s="67">
        <f t="shared" si="241"/>
        <v>1.1347158263887682</v>
      </c>
      <c r="Q156" s="67">
        <f t="shared" si="241"/>
        <v>1.1711402044158477</v>
      </c>
      <c r="R156" s="67">
        <f t="shared" si="241"/>
        <v>1.2010042796284519</v>
      </c>
      <c r="S156" s="67">
        <f t="shared" si="241"/>
        <v>1.2316298887589776</v>
      </c>
      <c r="T156" s="68">
        <f t="shared" si="241"/>
        <v>1.2630364509223317</v>
      </c>
      <c r="U156" s="68">
        <f t="shared" si="241"/>
        <v>1.2952438804208513</v>
      </c>
      <c r="V156" s="68">
        <f t="shared" si="241"/>
        <v>1.3282725993715832</v>
      </c>
      <c r="W156" s="68">
        <f t="shared" si="241"/>
        <v>1.3621435506555586</v>
      </c>
      <c r="X156" s="69">
        <f t="shared" si="241"/>
        <v>1.3951738244147163</v>
      </c>
      <c r="Y156" s="69">
        <f t="shared" si="241"/>
        <v>1.4290050409115758</v>
      </c>
      <c r="Z156" s="69">
        <f t="shared" si="241"/>
        <v>1.4636566220036049</v>
      </c>
      <c r="AA156" s="69">
        <f t="shared" si="241"/>
        <v>1.4991484605039715</v>
      </c>
      <c r="AB156" s="69">
        <f t="shared" si="241"/>
        <v>1.5355009316016284</v>
      </c>
      <c r="AC156" s="69">
        <f t="shared" si="241"/>
        <v>1.5727349045583217</v>
      </c>
      <c r="AD156" s="69">
        <f t="shared" si="241"/>
        <v>1.610871754689237</v>
      </c>
      <c r="AE156" s="69">
        <f t="shared" si="241"/>
        <v>1.649933375634161</v>
      </c>
      <c r="AF156" s="69">
        <f t="shared" si="241"/>
        <v>1.6899421919262025</v>
      </c>
      <c r="AG156" s="69">
        <f t="shared" si="241"/>
        <v>1.7309211718652913</v>
      </c>
      <c r="AH156" s="69">
        <f t="shared" si="241"/>
        <v>1.7728938407038413</v>
      </c>
      <c r="AI156" s="69">
        <f t="shared" si="241"/>
        <v>1.8158842941521505</v>
      </c>
      <c r="AJ156" s="69">
        <f t="shared" si="241"/>
        <v>1.859917212211289</v>
      </c>
      <c r="AK156" s="69">
        <f t="shared" si="241"/>
        <v>1.9050178733414189</v>
      </c>
      <c r="AL156" s="69">
        <f t="shared" si="241"/>
        <v>1.9512121689736761</v>
      </c>
      <c r="AM156" s="69">
        <f t="shared" si="241"/>
        <v>1.9985266183739487</v>
      </c>
      <c r="AN156" s="69">
        <f t="shared" si="241"/>
        <v>2.0469883838670833</v>
      </c>
      <c r="AO156" s="69">
        <f t="shared" si="241"/>
        <v>2.0966252864302568</v>
      </c>
      <c r="AP156" s="69">
        <f t="shared" si="241"/>
        <v>2.1474658216644724</v>
      </c>
      <c r="AQ156" s="69">
        <f t="shared" si="241"/>
        <v>2.19953917615334</v>
      </c>
      <c r="AR156" s="69">
        <f t="shared" si="241"/>
        <v>2.2528752442185391</v>
      </c>
      <c r="AS156" s="69">
        <f t="shared" si="241"/>
        <v>2.3075046450815795</v>
      </c>
      <c r="AT156" s="69">
        <f t="shared" si="241"/>
        <v>2.3634587404417133</v>
      </c>
      <c r="AU156" s="69">
        <f t="shared" si="241"/>
        <v>2.4207696524800908</v>
      </c>
      <c r="AV156" s="69">
        <f t="shared" si="241"/>
        <v>2.4794702823004915</v>
      </c>
      <c r="AW156" s="69">
        <f t="shared" si="241"/>
        <v>2.5395943288172234</v>
      </c>
      <c r="AX156" s="69">
        <f t="shared" si="241"/>
        <v>2.6011763081010266</v>
      </c>
      <c r="AY156" s="69">
        <f t="shared" si="241"/>
        <v>2.6642515731940941</v>
      </c>
      <c r="AZ156" s="69">
        <f t="shared" si="241"/>
        <v>2.7288563344055796</v>
      </c>
      <c r="BA156" s="69">
        <f t="shared" si="241"/>
        <v>2.7950276800992464</v>
      </c>
      <c r="BB156" s="69">
        <f t="shared" si="241"/>
        <v>2.862803597985192</v>
      </c>
      <c r="BC156" s="69">
        <f t="shared" si="241"/>
        <v>2.9322229969278686</v>
      </c>
      <c r="BD156" s="69">
        <f t="shared" si="241"/>
        <v>3.0033257292829227</v>
      </c>
      <c r="BE156" s="69">
        <f t="shared" ref="BE156:CP156" si="242">+BD156*(1+BE155)</f>
        <v>3.0761526137756725</v>
      </c>
      <c r="BF156" s="69">
        <f t="shared" si="242"/>
        <v>3.1507454589343626</v>
      </c>
      <c r="BG156" s="69">
        <f t="shared" si="242"/>
        <v>3.2271470870916437</v>
      </c>
      <c r="BH156" s="69">
        <f t="shared" si="242"/>
        <v>3.3054013589680586</v>
      </c>
      <c r="BI156" s="69">
        <f t="shared" si="242"/>
        <v>3.385553198851647</v>
      </c>
      <c r="BJ156" s="69">
        <f t="shared" si="242"/>
        <v>3.467648620388124</v>
      </c>
      <c r="BK156" s="69">
        <f t="shared" si="242"/>
        <v>3.5517347529964396</v>
      </c>
      <c r="BL156" s="69">
        <f t="shared" si="242"/>
        <v>3.6378598689248793</v>
      </c>
      <c r="BM156" s="69">
        <f t="shared" si="242"/>
        <v>3.7260734109632443</v>
      </c>
      <c r="BN156" s="69">
        <f t="shared" si="242"/>
        <v>3.816426020827016</v>
      </c>
      <c r="BO156" s="69">
        <f t="shared" si="242"/>
        <v>3.9089695682298</v>
      </c>
      <c r="BP156" s="69">
        <f t="shared" si="242"/>
        <v>4.0037571806607417</v>
      </c>
      <c r="BQ156" s="69">
        <f t="shared" si="242"/>
        <v>4.100843273884009</v>
      </c>
      <c r="BR156" s="69">
        <f t="shared" si="242"/>
        <v>4.2002835831778427</v>
      </c>
      <c r="BS156" s="69">
        <f t="shared" si="242"/>
        <v>4.3021351953311209</v>
      </c>
      <c r="BT156" s="69">
        <f t="shared" si="242"/>
        <v>4.4064565814157994</v>
      </c>
      <c r="BU156" s="69">
        <f t="shared" si="242"/>
        <v>4.5133076303540403</v>
      </c>
      <c r="BV156" s="69">
        <f t="shared" si="242"/>
        <v>4.6227496832992996</v>
      </c>
      <c r="BW156" s="69">
        <f t="shared" si="242"/>
        <v>4.7348455688511191</v>
      </c>
      <c r="BX156" s="69">
        <f t="shared" si="242"/>
        <v>4.8496596391238294</v>
      </c>
      <c r="BY156" s="69">
        <f t="shared" si="242"/>
        <v>4.9672578066898732</v>
      </c>
      <c r="BZ156" s="69">
        <f t="shared" si="242"/>
        <v>5.0877075824189566</v>
      </c>
      <c r="CA156" s="69">
        <f t="shared" si="242"/>
        <v>5.2110781142347582</v>
      </c>
      <c r="CB156" s="69">
        <f t="shared" si="242"/>
        <v>5.3374402268114327</v>
      </c>
      <c r="CC156" s="69">
        <f t="shared" si="242"/>
        <v>5.4668664622327112</v>
      </c>
      <c r="CD156" s="69">
        <f t="shared" si="242"/>
        <v>5.5994311216369272</v>
      </c>
      <c r="CE156" s="69">
        <f t="shared" si="242"/>
        <v>5.7352103078718901</v>
      </c>
      <c r="CF156" s="69">
        <f t="shared" si="242"/>
        <v>5.8742819691840786</v>
      </c>
      <c r="CG156" s="69">
        <f t="shared" si="242"/>
        <v>6.0167259439672458</v>
      </c>
      <c r="CH156" s="69">
        <f t="shared" si="242"/>
        <v>6.162624006596122</v>
      </c>
      <c r="CI156" s="69">
        <f t="shared" si="242"/>
        <v>6.3120599143715266</v>
      </c>
      <c r="CJ156" s="69">
        <f t="shared" si="242"/>
        <v>6.4651194556038414</v>
      </c>
      <c r="CK156" s="69">
        <f t="shared" si="242"/>
        <v>6.6218904988624452</v>
      </c>
      <c r="CL156" s="69">
        <f t="shared" si="242"/>
        <v>6.782463043419388</v>
      </c>
      <c r="CM156" s="69">
        <f t="shared" si="242"/>
        <v>6.9469292709162582</v>
      </c>
      <c r="CN156" s="69">
        <f t="shared" si="242"/>
        <v>7.1153835982839118</v>
      </c>
      <c r="CO156" s="69">
        <f t="shared" si="242"/>
        <v>7.2879227319454323</v>
      </c>
      <c r="CP156" s="69">
        <f t="shared" si="242"/>
        <v>7.46464572333345</v>
      </c>
      <c r="CQ156" s="23" t="s">
        <v>77</v>
      </c>
    </row>
    <row r="157" spans="1:95" x14ac:dyDescent="0.2">
      <c r="CQ157" s="23" t="s">
        <v>77</v>
      </c>
    </row>
    <row r="158" spans="1:95" x14ac:dyDescent="0.2">
      <c r="B158" s="728" t="s">
        <v>608</v>
      </c>
      <c r="C158" s="312"/>
      <c r="D158" s="312"/>
      <c r="E158" s="312"/>
      <c r="F158" s="312">
        <f t="shared" ref="F158:CP158" si="243">Fiscal_Year</f>
        <v>36707</v>
      </c>
      <c r="G158" s="312">
        <f t="shared" si="243"/>
        <v>37072</v>
      </c>
      <c r="H158" s="312">
        <f t="shared" si="243"/>
        <v>37437</v>
      </c>
      <c r="I158" s="312">
        <f t="shared" si="243"/>
        <v>37802</v>
      </c>
      <c r="J158" s="312">
        <f t="shared" si="243"/>
        <v>38168</v>
      </c>
      <c r="K158" s="312">
        <f t="shared" si="243"/>
        <v>38533</v>
      </c>
      <c r="L158" s="312">
        <f t="shared" si="243"/>
        <v>38898</v>
      </c>
      <c r="M158" s="312">
        <f t="shared" si="243"/>
        <v>39263</v>
      </c>
      <c r="N158" s="312">
        <f t="shared" si="243"/>
        <v>39629</v>
      </c>
      <c r="O158" s="312">
        <f t="shared" si="243"/>
        <v>39994</v>
      </c>
      <c r="P158" s="312">
        <f t="shared" si="243"/>
        <v>40359</v>
      </c>
      <c r="Q158" s="312">
        <f t="shared" si="243"/>
        <v>40724</v>
      </c>
      <c r="R158" s="312">
        <f t="shared" si="243"/>
        <v>41090</v>
      </c>
      <c r="S158" s="312">
        <f t="shared" si="243"/>
        <v>41455</v>
      </c>
      <c r="T158" s="312">
        <f t="shared" si="243"/>
        <v>41820</v>
      </c>
      <c r="U158" s="312">
        <f t="shared" si="243"/>
        <v>42185</v>
      </c>
      <c r="V158" s="312">
        <f t="shared" si="243"/>
        <v>42551</v>
      </c>
      <c r="W158" s="312">
        <f t="shared" si="243"/>
        <v>42916</v>
      </c>
      <c r="X158" s="312">
        <f t="shared" si="243"/>
        <v>43281</v>
      </c>
      <c r="Y158" s="312">
        <f t="shared" si="243"/>
        <v>43646</v>
      </c>
      <c r="Z158" s="312">
        <f t="shared" si="243"/>
        <v>44012</v>
      </c>
      <c r="AA158" s="312">
        <f t="shared" si="243"/>
        <v>44377</v>
      </c>
      <c r="AB158" s="312">
        <f t="shared" si="243"/>
        <v>44742</v>
      </c>
      <c r="AC158" s="312">
        <f t="shared" si="243"/>
        <v>45107</v>
      </c>
      <c r="AD158" s="312">
        <f t="shared" si="243"/>
        <v>45473</v>
      </c>
      <c r="AE158" s="312">
        <f t="shared" si="243"/>
        <v>45838</v>
      </c>
      <c r="AF158" s="312">
        <f t="shared" si="243"/>
        <v>46203</v>
      </c>
      <c r="AG158" s="312">
        <f t="shared" si="243"/>
        <v>46568</v>
      </c>
      <c r="AH158" s="312">
        <f t="shared" si="243"/>
        <v>46934</v>
      </c>
      <c r="AI158" s="312">
        <f t="shared" si="243"/>
        <v>47299</v>
      </c>
      <c r="AJ158" s="312">
        <f t="shared" si="243"/>
        <v>47664</v>
      </c>
      <c r="AK158" s="312">
        <f t="shared" si="243"/>
        <v>48029</v>
      </c>
      <c r="AL158" s="312">
        <f t="shared" si="243"/>
        <v>48395</v>
      </c>
      <c r="AM158" s="312">
        <f t="shared" si="243"/>
        <v>48760</v>
      </c>
      <c r="AN158" s="312">
        <f t="shared" si="243"/>
        <v>49125</v>
      </c>
      <c r="AO158" s="312">
        <f t="shared" si="243"/>
        <v>49490</v>
      </c>
      <c r="AP158" s="312">
        <f t="shared" si="243"/>
        <v>49856</v>
      </c>
      <c r="AQ158" s="312">
        <f t="shared" si="243"/>
        <v>50221</v>
      </c>
      <c r="AR158" s="312">
        <f t="shared" si="243"/>
        <v>50586</v>
      </c>
      <c r="AS158" s="312">
        <f t="shared" si="243"/>
        <v>50951</v>
      </c>
      <c r="AT158" s="312">
        <f t="shared" si="243"/>
        <v>51317</v>
      </c>
      <c r="AU158" s="312">
        <f t="shared" si="243"/>
        <v>51682</v>
      </c>
      <c r="AV158" s="312">
        <f t="shared" si="243"/>
        <v>52047</v>
      </c>
      <c r="AW158" s="312">
        <f t="shared" si="243"/>
        <v>52412</v>
      </c>
      <c r="AX158" s="312">
        <f t="shared" si="243"/>
        <v>52778</v>
      </c>
      <c r="AY158" s="312">
        <f t="shared" si="243"/>
        <v>53143</v>
      </c>
      <c r="AZ158" s="312">
        <f t="shared" si="243"/>
        <v>53508</v>
      </c>
      <c r="BA158" s="312">
        <f t="shared" si="243"/>
        <v>53873</v>
      </c>
      <c r="BB158" s="312">
        <f t="shared" si="243"/>
        <v>54239</v>
      </c>
      <c r="BC158" s="312">
        <f t="shared" si="243"/>
        <v>54604</v>
      </c>
      <c r="BD158" s="312">
        <f t="shared" si="243"/>
        <v>54969</v>
      </c>
      <c r="BE158" s="312">
        <f t="shared" si="243"/>
        <v>55334</v>
      </c>
      <c r="BF158" s="312">
        <f t="shared" si="243"/>
        <v>55700</v>
      </c>
      <c r="BG158" s="312">
        <f t="shared" si="243"/>
        <v>56065</v>
      </c>
      <c r="BH158" s="312">
        <f t="shared" si="243"/>
        <v>56430</v>
      </c>
      <c r="BI158" s="312">
        <f t="shared" si="243"/>
        <v>56795</v>
      </c>
      <c r="BJ158" s="312">
        <f t="shared" si="243"/>
        <v>57161</v>
      </c>
      <c r="BK158" s="312">
        <f t="shared" si="243"/>
        <v>57526</v>
      </c>
      <c r="BL158" s="312">
        <f t="shared" si="243"/>
        <v>57891</v>
      </c>
      <c r="BM158" s="312">
        <f t="shared" si="243"/>
        <v>58256</v>
      </c>
      <c r="BN158" s="312">
        <f t="shared" si="243"/>
        <v>58622</v>
      </c>
      <c r="BO158" s="312">
        <f t="shared" si="243"/>
        <v>58987</v>
      </c>
      <c r="BP158" s="312">
        <f t="shared" si="243"/>
        <v>59352</v>
      </c>
      <c r="BQ158" s="312">
        <f t="shared" si="243"/>
        <v>59717</v>
      </c>
      <c r="BR158" s="312">
        <f t="shared" si="243"/>
        <v>60083</v>
      </c>
      <c r="BS158" s="312">
        <f t="shared" si="243"/>
        <v>60448</v>
      </c>
      <c r="BT158" s="312">
        <f t="shared" si="243"/>
        <v>60813</v>
      </c>
      <c r="BU158" s="312">
        <f t="shared" si="243"/>
        <v>61178</v>
      </c>
      <c r="BV158" s="312">
        <f t="shared" si="243"/>
        <v>61544</v>
      </c>
      <c r="BW158" s="312">
        <f t="shared" si="243"/>
        <v>61909</v>
      </c>
      <c r="BX158" s="312">
        <f t="shared" si="243"/>
        <v>62274</v>
      </c>
      <c r="BY158" s="312">
        <f t="shared" si="243"/>
        <v>62639</v>
      </c>
      <c r="BZ158" s="312">
        <f t="shared" si="243"/>
        <v>63005</v>
      </c>
      <c r="CA158" s="312">
        <f t="shared" si="243"/>
        <v>63370</v>
      </c>
      <c r="CB158" s="312">
        <f t="shared" si="243"/>
        <v>63735</v>
      </c>
      <c r="CC158" s="312">
        <f t="shared" si="243"/>
        <v>64100</v>
      </c>
      <c r="CD158" s="312">
        <f t="shared" si="243"/>
        <v>64466</v>
      </c>
      <c r="CE158" s="312">
        <f t="shared" si="243"/>
        <v>64831</v>
      </c>
      <c r="CF158" s="312">
        <f t="shared" si="243"/>
        <v>65196</v>
      </c>
      <c r="CG158" s="312">
        <f t="shared" si="243"/>
        <v>65561</v>
      </c>
      <c r="CH158" s="312">
        <f t="shared" si="243"/>
        <v>65927</v>
      </c>
      <c r="CI158" s="312">
        <f t="shared" si="243"/>
        <v>66292</v>
      </c>
      <c r="CJ158" s="312">
        <f t="shared" si="243"/>
        <v>66657</v>
      </c>
      <c r="CK158" s="312">
        <f t="shared" si="243"/>
        <v>67022</v>
      </c>
      <c r="CL158" s="312">
        <f t="shared" si="243"/>
        <v>67388</v>
      </c>
      <c r="CM158" s="312">
        <f t="shared" si="243"/>
        <v>67753</v>
      </c>
      <c r="CN158" s="312">
        <f t="shared" si="243"/>
        <v>68118</v>
      </c>
      <c r="CO158" s="312">
        <f t="shared" si="243"/>
        <v>68483</v>
      </c>
      <c r="CP158" s="312">
        <f t="shared" si="243"/>
        <v>68849</v>
      </c>
      <c r="CQ158" s="23" t="s">
        <v>77</v>
      </c>
    </row>
    <row r="159" spans="1:95" ht="5.0999999999999996" customHeight="1" outlineLevel="1" x14ac:dyDescent="0.2">
      <c r="B159" s="107"/>
      <c r="D159" s="108"/>
      <c r="E159" s="108"/>
      <c r="F159" s="108"/>
      <c r="G159" s="108"/>
      <c r="H159" s="108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08"/>
      <c r="W159" s="108"/>
      <c r="X159" s="108"/>
      <c r="Y159" s="108"/>
      <c r="Z159" s="108"/>
      <c r="AA159" s="108"/>
      <c r="AB159" s="108"/>
      <c r="AC159" s="108"/>
      <c r="AD159" s="108"/>
      <c r="AE159" s="108"/>
      <c r="AF159" s="108"/>
      <c r="AG159" s="108"/>
      <c r="AH159" s="108"/>
      <c r="AI159" s="108"/>
      <c r="AJ159" s="108"/>
      <c r="AK159" s="108"/>
      <c r="AL159" s="108"/>
      <c r="AM159" s="108"/>
      <c r="AN159" s="108"/>
      <c r="AO159" s="108"/>
      <c r="AP159" s="108"/>
      <c r="AQ159" s="108"/>
      <c r="AR159" s="108"/>
      <c r="AS159" s="108"/>
      <c r="AT159" s="108"/>
      <c r="AU159" s="108"/>
      <c r="AV159" s="108"/>
      <c r="AW159" s="108"/>
      <c r="AX159" s="108"/>
      <c r="AY159" s="108"/>
      <c r="AZ159" s="108"/>
      <c r="BA159" s="108"/>
      <c r="BB159" s="108"/>
      <c r="BC159" s="108"/>
      <c r="BD159" s="108"/>
      <c r="BE159" s="108"/>
      <c r="BF159" s="108"/>
      <c r="BG159" s="108"/>
      <c r="BH159" s="108"/>
      <c r="BI159" s="108"/>
      <c r="BJ159" s="108"/>
      <c r="BK159" s="108"/>
      <c r="BL159" s="108"/>
      <c r="BM159" s="108"/>
      <c r="BN159" s="108"/>
      <c r="BO159" s="108"/>
      <c r="BP159" s="108"/>
      <c r="BQ159" s="108"/>
      <c r="BR159" s="1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L159" s="108"/>
      <c r="CM159" s="108"/>
      <c r="CN159" s="108"/>
      <c r="CO159" s="108"/>
      <c r="CP159" s="108"/>
      <c r="CQ159" s="23" t="s">
        <v>77</v>
      </c>
    </row>
    <row r="160" spans="1:95" outlineLevel="1" x14ac:dyDescent="0.2">
      <c r="B160" s="8" t="s">
        <v>562</v>
      </c>
      <c r="U160" s="260">
        <v>242</v>
      </c>
      <c r="V160" s="9">
        <f t="shared" ref="V160:Y161" si="244">U160</f>
        <v>242</v>
      </c>
      <c r="W160" s="9">
        <f t="shared" si="244"/>
        <v>242</v>
      </c>
      <c r="X160" s="9">
        <f t="shared" si="244"/>
        <v>242</v>
      </c>
      <c r="Y160" s="9">
        <f t="shared" si="244"/>
        <v>242</v>
      </c>
      <c r="Z160" s="9">
        <f t="shared" ref="Z160:CK161" si="245">Y160</f>
        <v>242</v>
      </c>
      <c r="AA160" s="9">
        <f t="shared" si="245"/>
        <v>242</v>
      </c>
      <c r="AB160" s="9">
        <f t="shared" si="245"/>
        <v>242</v>
      </c>
      <c r="AC160" s="9">
        <f t="shared" si="245"/>
        <v>242</v>
      </c>
      <c r="AD160" s="9">
        <f t="shared" si="245"/>
        <v>242</v>
      </c>
      <c r="AE160" s="9">
        <f t="shared" si="245"/>
        <v>242</v>
      </c>
      <c r="AF160" s="9">
        <f t="shared" si="245"/>
        <v>242</v>
      </c>
      <c r="AG160" s="9">
        <f t="shared" si="245"/>
        <v>242</v>
      </c>
      <c r="AH160" s="9">
        <f t="shared" si="245"/>
        <v>242</v>
      </c>
      <c r="AI160" s="9">
        <f t="shared" si="245"/>
        <v>242</v>
      </c>
      <c r="AJ160" s="9">
        <f t="shared" si="245"/>
        <v>242</v>
      </c>
      <c r="AK160" s="9">
        <f t="shared" si="245"/>
        <v>242</v>
      </c>
      <c r="AL160" s="9">
        <f t="shared" si="245"/>
        <v>242</v>
      </c>
      <c r="AM160" s="9">
        <f t="shared" si="245"/>
        <v>242</v>
      </c>
      <c r="AN160" s="9">
        <f t="shared" si="245"/>
        <v>242</v>
      </c>
      <c r="AO160" s="9">
        <f t="shared" si="245"/>
        <v>242</v>
      </c>
      <c r="AP160" s="9">
        <f t="shared" si="245"/>
        <v>242</v>
      </c>
      <c r="AQ160" s="9">
        <f t="shared" si="245"/>
        <v>242</v>
      </c>
      <c r="AR160" s="9">
        <f t="shared" si="245"/>
        <v>242</v>
      </c>
      <c r="AS160" s="9">
        <f t="shared" si="245"/>
        <v>242</v>
      </c>
      <c r="AT160" s="9">
        <f t="shared" si="245"/>
        <v>242</v>
      </c>
      <c r="AU160" s="9">
        <f t="shared" si="245"/>
        <v>242</v>
      </c>
      <c r="AV160" s="9">
        <f t="shared" si="245"/>
        <v>242</v>
      </c>
      <c r="AW160" s="9">
        <f t="shared" si="245"/>
        <v>242</v>
      </c>
      <c r="AX160" s="9">
        <f t="shared" si="245"/>
        <v>242</v>
      </c>
      <c r="AY160" s="9">
        <f t="shared" si="245"/>
        <v>242</v>
      </c>
      <c r="AZ160" s="9">
        <f t="shared" si="245"/>
        <v>242</v>
      </c>
      <c r="BA160" s="9">
        <f t="shared" si="245"/>
        <v>242</v>
      </c>
      <c r="BB160" s="9">
        <f t="shared" si="245"/>
        <v>242</v>
      </c>
      <c r="BC160" s="9">
        <f t="shared" si="245"/>
        <v>242</v>
      </c>
      <c r="BD160" s="9">
        <f t="shared" si="245"/>
        <v>242</v>
      </c>
      <c r="BE160" s="9">
        <f t="shared" si="245"/>
        <v>242</v>
      </c>
      <c r="BF160" s="9">
        <f t="shared" si="245"/>
        <v>242</v>
      </c>
      <c r="BG160" s="9">
        <f t="shared" si="245"/>
        <v>242</v>
      </c>
      <c r="BH160" s="9">
        <f t="shared" si="245"/>
        <v>242</v>
      </c>
      <c r="BI160" s="9">
        <f t="shared" si="245"/>
        <v>242</v>
      </c>
      <c r="BJ160" s="9">
        <f t="shared" si="245"/>
        <v>242</v>
      </c>
      <c r="BK160" s="9">
        <f t="shared" si="245"/>
        <v>242</v>
      </c>
      <c r="BL160" s="9">
        <f t="shared" si="245"/>
        <v>242</v>
      </c>
      <c r="BM160" s="9">
        <f t="shared" si="245"/>
        <v>242</v>
      </c>
      <c r="BN160" s="9">
        <f t="shared" si="245"/>
        <v>242</v>
      </c>
      <c r="BO160" s="9">
        <f t="shared" si="245"/>
        <v>242</v>
      </c>
      <c r="BP160" s="9">
        <f t="shared" si="245"/>
        <v>242</v>
      </c>
      <c r="BQ160" s="9">
        <f t="shared" si="245"/>
        <v>242</v>
      </c>
      <c r="BR160" s="9">
        <f t="shared" si="245"/>
        <v>242</v>
      </c>
      <c r="BS160" s="9">
        <f t="shared" si="245"/>
        <v>242</v>
      </c>
      <c r="BT160" s="9">
        <f t="shared" si="245"/>
        <v>242</v>
      </c>
      <c r="BU160" s="9">
        <f t="shared" si="245"/>
        <v>242</v>
      </c>
      <c r="BV160" s="9">
        <f t="shared" si="245"/>
        <v>242</v>
      </c>
      <c r="BW160" s="9">
        <f t="shared" si="245"/>
        <v>242</v>
      </c>
      <c r="BX160" s="9">
        <f t="shared" si="245"/>
        <v>242</v>
      </c>
      <c r="BY160" s="9">
        <f t="shared" si="245"/>
        <v>242</v>
      </c>
      <c r="BZ160" s="9">
        <f t="shared" si="245"/>
        <v>242</v>
      </c>
      <c r="CA160" s="9">
        <f t="shared" si="245"/>
        <v>242</v>
      </c>
      <c r="CB160" s="9">
        <f t="shared" si="245"/>
        <v>242</v>
      </c>
      <c r="CC160" s="9">
        <f t="shared" si="245"/>
        <v>242</v>
      </c>
      <c r="CD160" s="9">
        <f t="shared" si="245"/>
        <v>242</v>
      </c>
      <c r="CE160" s="9">
        <f t="shared" si="245"/>
        <v>242</v>
      </c>
      <c r="CF160" s="9">
        <f t="shared" si="245"/>
        <v>242</v>
      </c>
      <c r="CG160" s="9">
        <f t="shared" si="245"/>
        <v>242</v>
      </c>
      <c r="CH160" s="9">
        <f t="shared" si="245"/>
        <v>242</v>
      </c>
      <c r="CI160" s="9">
        <f t="shared" si="245"/>
        <v>242</v>
      </c>
      <c r="CJ160" s="9">
        <f t="shared" si="245"/>
        <v>242</v>
      </c>
      <c r="CK160" s="9">
        <f t="shared" si="245"/>
        <v>242</v>
      </c>
      <c r="CL160" s="9">
        <f t="shared" ref="CL160:CP160" si="246">CK160</f>
        <v>242</v>
      </c>
      <c r="CM160" s="9">
        <f t="shared" si="246"/>
        <v>242</v>
      </c>
      <c r="CN160" s="9">
        <f t="shared" si="246"/>
        <v>242</v>
      </c>
      <c r="CO160" s="9">
        <f t="shared" si="246"/>
        <v>242</v>
      </c>
      <c r="CP160" s="9">
        <f t="shared" si="246"/>
        <v>242</v>
      </c>
      <c r="CQ160" s="23" t="s">
        <v>77</v>
      </c>
    </row>
    <row r="161" spans="2:95" outlineLevel="1" x14ac:dyDescent="0.2">
      <c r="B161" s="8" t="s">
        <v>563</v>
      </c>
      <c r="S161" s="10"/>
      <c r="T161" s="10"/>
      <c r="U161" s="261">
        <v>0.25</v>
      </c>
      <c r="V161" s="10">
        <f t="shared" si="244"/>
        <v>0.25</v>
      </c>
      <c r="W161" s="10">
        <f t="shared" si="244"/>
        <v>0.25</v>
      </c>
      <c r="X161" s="10">
        <f t="shared" si="244"/>
        <v>0.25</v>
      </c>
      <c r="Y161" s="10">
        <f t="shared" si="244"/>
        <v>0.25</v>
      </c>
      <c r="Z161" s="10">
        <f t="shared" si="245"/>
        <v>0.25</v>
      </c>
      <c r="AA161" s="10">
        <f t="shared" si="245"/>
        <v>0.25</v>
      </c>
      <c r="AB161" s="10">
        <f t="shared" si="245"/>
        <v>0.25</v>
      </c>
      <c r="AC161" s="10">
        <f t="shared" si="245"/>
        <v>0.25</v>
      </c>
      <c r="AD161" s="10">
        <f t="shared" si="245"/>
        <v>0.25</v>
      </c>
      <c r="AE161" s="674">
        <f>AD161*0.99</f>
        <v>0.2475</v>
      </c>
      <c r="AF161" s="10">
        <f>AE161*0.99</f>
        <v>0.24502499999999999</v>
      </c>
      <c r="AG161" s="10">
        <f t="shared" ref="AG161:CP161" si="247">AF161*0.99</f>
        <v>0.24257474999999998</v>
      </c>
      <c r="AH161" s="10">
        <f t="shared" si="247"/>
        <v>0.24014900249999999</v>
      </c>
      <c r="AI161" s="10">
        <f t="shared" si="247"/>
        <v>0.23774751247499998</v>
      </c>
      <c r="AJ161" s="10">
        <f t="shared" si="247"/>
        <v>0.23537003735024997</v>
      </c>
      <c r="AK161" s="10">
        <f t="shared" si="247"/>
        <v>0.23301633697674748</v>
      </c>
      <c r="AL161" s="10">
        <f t="shared" si="247"/>
        <v>0.23068617360697999</v>
      </c>
      <c r="AM161" s="10">
        <f t="shared" si="247"/>
        <v>0.22837931187091018</v>
      </c>
      <c r="AN161" s="10">
        <f t="shared" si="247"/>
        <v>0.22609551875220107</v>
      </c>
      <c r="AO161" s="10">
        <f t="shared" si="247"/>
        <v>0.22383456356467907</v>
      </c>
      <c r="AP161" s="10">
        <f t="shared" si="247"/>
        <v>0.22159621792903228</v>
      </c>
      <c r="AQ161" s="10">
        <f t="shared" si="247"/>
        <v>0.21938025574974196</v>
      </c>
      <c r="AR161" s="10">
        <f t="shared" si="247"/>
        <v>0.21718645319224453</v>
      </c>
      <c r="AS161" s="10">
        <f t="shared" si="247"/>
        <v>0.21501458866032208</v>
      </c>
      <c r="AT161" s="10">
        <f t="shared" si="247"/>
        <v>0.21286444277371885</v>
      </c>
      <c r="AU161" s="10">
        <f t="shared" si="247"/>
        <v>0.21073579834598166</v>
      </c>
      <c r="AV161" s="10">
        <f t="shared" si="247"/>
        <v>0.20862844036252184</v>
      </c>
      <c r="AW161" s="10">
        <f t="shared" si="247"/>
        <v>0.20654215595889663</v>
      </c>
      <c r="AX161" s="10">
        <f t="shared" si="247"/>
        <v>0.20447673439930766</v>
      </c>
      <c r="AY161" s="10">
        <f t="shared" si="247"/>
        <v>0.20243196705531458</v>
      </c>
      <c r="AZ161" s="10">
        <f t="shared" si="247"/>
        <v>0.20040764738476144</v>
      </c>
      <c r="BA161" s="10">
        <f t="shared" si="247"/>
        <v>0.19840357091091382</v>
      </c>
      <c r="BB161" s="10">
        <f t="shared" si="247"/>
        <v>0.19641953520180469</v>
      </c>
      <c r="BC161" s="10">
        <f t="shared" si="247"/>
        <v>0.19445533984978663</v>
      </c>
      <c r="BD161" s="10">
        <f t="shared" si="247"/>
        <v>0.19251078645128877</v>
      </c>
      <c r="BE161" s="10">
        <f t="shared" si="247"/>
        <v>0.19058567858677589</v>
      </c>
      <c r="BF161" s="10">
        <f t="shared" si="247"/>
        <v>0.18867982180090812</v>
      </c>
      <c r="BG161" s="10">
        <f t="shared" si="247"/>
        <v>0.18679302358289904</v>
      </c>
      <c r="BH161" s="10">
        <f t="shared" si="247"/>
        <v>0.18492509334707005</v>
      </c>
      <c r="BI161" s="10">
        <f t="shared" si="247"/>
        <v>0.18307584241359934</v>
      </c>
      <c r="BJ161" s="10">
        <f t="shared" si="247"/>
        <v>0.18124508398946335</v>
      </c>
      <c r="BK161" s="10">
        <f t="shared" si="247"/>
        <v>0.1794326331495687</v>
      </c>
      <c r="BL161" s="10">
        <f t="shared" si="247"/>
        <v>0.17763830681807302</v>
      </c>
      <c r="BM161" s="10">
        <f t="shared" si="247"/>
        <v>0.17586192374989229</v>
      </c>
      <c r="BN161" s="10">
        <f t="shared" si="247"/>
        <v>0.17410330451239336</v>
      </c>
      <c r="BO161" s="10">
        <f t="shared" si="247"/>
        <v>0.17236227146726943</v>
      </c>
      <c r="BP161" s="10">
        <f t="shared" si="247"/>
        <v>0.17063864875259674</v>
      </c>
      <c r="BQ161" s="10">
        <f t="shared" si="247"/>
        <v>0.16893226226507077</v>
      </c>
      <c r="BR161" s="10">
        <f t="shared" si="247"/>
        <v>0.16724293964242007</v>
      </c>
      <c r="BS161" s="10">
        <f t="shared" si="247"/>
        <v>0.16557051024599587</v>
      </c>
      <c r="BT161" s="10">
        <f t="shared" si="247"/>
        <v>0.1639148051435359</v>
      </c>
      <c r="BU161" s="10">
        <f t="shared" si="247"/>
        <v>0.16227565709210054</v>
      </c>
      <c r="BV161" s="10">
        <f t="shared" si="247"/>
        <v>0.16065290052117953</v>
      </c>
      <c r="BW161" s="10">
        <f t="shared" si="247"/>
        <v>0.15904637151596773</v>
      </c>
      <c r="BX161" s="10">
        <f t="shared" si="247"/>
        <v>0.15745590780080806</v>
      </c>
      <c r="BY161" s="10">
        <f t="shared" si="247"/>
        <v>0.15588134872279999</v>
      </c>
      <c r="BZ161" s="10">
        <f t="shared" si="247"/>
        <v>0.15432253523557199</v>
      </c>
      <c r="CA161" s="10">
        <f t="shared" si="247"/>
        <v>0.15277930988321628</v>
      </c>
      <c r="CB161" s="10">
        <f t="shared" si="247"/>
        <v>0.15125151678438412</v>
      </c>
      <c r="CC161" s="10">
        <f t="shared" si="247"/>
        <v>0.14973900161654027</v>
      </c>
      <c r="CD161" s="10">
        <f t="shared" si="247"/>
        <v>0.14824161160037486</v>
      </c>
      <c r="CE161" s="10">
        <f t="shared" si="247"/>
        <v>0.14675919548437111</v>
      </c>
      <c r="CF161" s="10">
        <f t="shared" si="247"/>
        <v>0.14529160352952739</v>
      </c>
      <c r="CG161" s="10">
        <f t="shared" si="247"/>
        <v>0.14383868749423212</v>
      </c>
      <c r="CH161" s="10">
        <f t="shared" si="247"/>
        <v>0.14240030061928979</v>
      </c>
      <c r="CI161" s="10">
        <f t="shared" si="247"/>
        <v>0.14097629761309691</v>
      </c>
      <c r="CJ161" s="10">
        <f t="shared" si="247"/>
        <v>0.13956653463696594</v>
      </c>
      <c r="CK161" s="10">
        <f t="shared" si="247"/>
        <v>0.13817086929059627</v>
      </c>
      <c r="CL161" s="10">
        <f t="shared" si="247"/>
        <v>0.13678916059769031</v>
      </c>
      <c r="CM161" s="10">
        <f t="shared" si="247"/>
        <v>0.13542126899171339</v>
      </c>
      <c r="CN161" s="10">
        <f t="shared" si="247"/>
        <v>0.13406705630179624</v>
      </c>
      <c r="CO161" s="10">
        <f t="shared" si="247"/>
        <v>0.13272638573877829</v>
      </c>
      <c r="CP161" s="10">
        <f t="shared" si="247"/>
        <v>0.1313991218813905</v>
      </c>
      <c r="CQ161" s="23" t="s">
        <v>77</v>
      </c>
    </row>
    <row r="162" spans="2:95" outlineLevel="1" x14ac:dyDescent="0.2">
      <c r="B162" s="8" t="s">
        <v>564</v>
      </c>
      <c r="U162" s="9">
        <f>U160*U161*8760/1000</f>
        <v>529.98</v>
      </c>
      <c r="V162" s="9">
        <f>V160*V161*8760/1000</f>
        <v>529.98</v>
      </c>
      <c r="W162" s="9">
        <f>W160*W161*8760/1000</f>
        <v>529.98</v>
      </c>
      <c r="X162" s="9">
        <f>X160*X161*8760/1000</f>
        <v>529.98</v>
      </c>
      <c r="Y162" s="9">
        <f>Y160*Y161*8760/1000</f>
        <v>529.98</v>
      </c>
      <c r="Z162" s="9">
        <f t="shared" ref="Z162:CJ162" si="248">Z160*Z161*8760/1000</f>
        <v>529.98</v>
      </c>
      <c r="AA162" s="9">
        <f t="shared" si="248"/>
        <v>529.98</v>
      </c>
      <c r="AB162" s="9">
        <f t="shared" si="248"/>
        <v>529.98</v>
      </c>
      <c r="AC162" s="9">
        <f t="shared" si="248"/>
        <v>529.98</v>
      </c>
      <c r="AD162" s="9">
        <f t="shared" si="248"/>
        <v>529.98</v>
      </c>
      <c r="AE162" s="9">
        <f t="shared" si="248"/>
        <v>524.6801999999999</v>
      </c>
      <c r="AF162" s="9">
        <f t="shared" si="248"/>
        <v>519.43339800000001</v>
      </c>
      <c r="AG162" s="9">
        <f t="shared" si="248"/>
        <v>514.23906402</v>
      </c>
      <c r="AH162" s="9">
        <f t="shared" si="248"/>
        <v>509.0966733798</v>
      </c>
      <c r="AI162" s="9">
        <f t="shared" si="248"/>
        <v>504.00570664600195</v>
      </c>
      <c r="AJ162" s="9">
        <f t="shared" si="248"/>
        <v>498.96564957954195</v>
      </c>
      <c r="AK162" s="9">
        <f t="shared" si="248"/>
        <v>493.97599308374646</v>
      </c>
      <c r="AL162" s="9">
        <f t="shared" si="248"/>
        <v>489.03623315290901</v>
      </c>
      <c r="AM162" s="9">
        <f t="shared" si="248"/>
        <v>484.1458708213799</v>
      </c>
      <c r="AN162" s="9">
        <f t="shared" si="248"/>
        <v>479.30441211316611</v>
      </c>
      <c r="AO162" s="9">
        <f t="shared" si="248"/>
        <v>474.51136799203448</v>
      </c>
      <c r="AP162" s="9">
        <f t="shared" si="248"/>
        <v>469.76625431211409</v>
      </c>
      <c r="AQ162" s="9">
        <f t="shared" si="248"/>
        <v>465.06859176899297</v>
      </c>
      <c r="AR162" s="9">
        <f t="shared" si="248"/>
        <v>460.41790585130303</v>
      </c>
      <c r="AS162" s="9">
        <f t="shared" si="248"/>
        <v>455.81372679279002</v>
      </c>
      <c r="AT162" s="9">
        <f t="shared" si="248"/>
        <v>451.25558952486205</v>
      </c>
      <c r="AU162" s="9">
        <f t="shared" si="248"/>
        <v>446.74303362961342</v>
      </c>
      <c r="AV162" s="9">
        <f t="shared" si="248"/>
        <v>442.27560329331732</v>
      </c>
      <c r="AW162" s="9">
        <f t="shared" si="248"/>
        <v>437.85284726038412</v>
      </c>
      <c r="AX162" s="9">
        <f t="shared" si="248"/>
        <v>433.47431878778031</v>
      </c>
      <c r="AY162" s="9">
        <f t="shared" si="248"/>
        <v>429.13957559990246</v>
      </c>
      <c r="AZ162" s="9">
        <f t="shared" si="248"/>
        <v>424.84817984390344</v>
      </c>
      <c r="BA162" s="9">
        <f t="shared" si="248"/>
        <v>420.59969804546438</v>
      </c>
      <c r="BB162" s="9">
        <f t="shared" si="248"/>
        <v>416.39370106500979</v>
      </c>
      <c r="BC162" s="9">
        <f t="shared" si="248"/>
        <v>412.22976405435969</v>
      </c>
      <c r="BD162" s="9">
        <f t="shared" si="248"/>
        <v>408.1074664138161</v>
      </c>
      <c r="BE162" s="9">
        <f t="shared" si="248"/>
        <v>404.02639174967794</v>
      </c>
      <c r="BF162" s="9">
        <f t="shared" si="248"/>
        <v>399.98612783218118</v>
      </c>
      <c r="BG162" s="9">
        <f t="shared" si="248"/>
        <v>395.98626655385931</v>
      </c>
      <c r="BH162" s="9">
        <f t="shared" si="248"/>
        <v>392.02640388832071</v>
      </c>
      <c r="BI162" s="9">
        <f t="shared" si="248"/>
        <v>388.10613984943751</v>
      </c>
      <c r="BJ162" s="9">
        <f t="shared" si="248"/>
        <v>384.2250784509431</v>
      </c>
      <c r="BK162" s="9">
        <f t="shared" si="248"/>
        <v>380.38282766643363</v>
      </c>
      <c r="BL162" s="9">
        <f t="shared" si="248"/>
        <v>376.57899938976936</v>
      </c>
      <c r="BM162" s="9">
        <f t="shared" si="248"/>
        <v>372.81320939587164</v>
      </c>
      <c r="BN162" s="9">
        <f t="shared" si="248"/>
        <v>369.08507730191292</v>
      </c>
      <c r="BO162" s="9">
        <f t="shared" si="248"/>
        <v>365.3942265288938</v>
      </c>
      <c r="BP162" s="9">
        <f t="shared" si="248"/>
        <v>361.74028426360485</v>
      </c>
      <c r="BQ162" s="9">
        <f t="shared" si="248"/>
        <v>358.12288142096878</v>
      </c>
      <c r="BR162" s="9">
        <f t="shared" si="248"/>
        <v>354.54165260675916</v>
      </c>
      <c r="BS162" s="9">
        <f t="shared" si="248"/>
        <v>350.99623608069157</v>
      </c>
      <c r="BT162" s="9">
        <f t="shared" si="248"/>
        <v>347.48627371988465</v>
      </c>
      <c r="BU162" s="9">
        <f t="shared" si="248"/>
        <v>344.01141098268573</v>
      </c>
      <c r="BV162" s="9">
        <f t="shared" si="248"/>
        <v>340.57129687285897</v>
      </c>
      <c r="BW162" s="9">
        <f t="shared" si="248"/>
        <v>337.16558390413024</v>
      </c>
      <c r="BX162" s="9">
        <f t="shared" si="248"/>
        <v>333.79392806508901</v>
      </c>
      <c r="BY162" s="9">
        <f t="shared" si="248"/>
        <v>330.45598878443815</v>
      </c>
      <c r="BZ162" s="9">
        <f t="shared" si="248"/>
        <v>327.15142889659381</v>
      </c>
      <c r="CA162" s="9">
        <f t="shared" si="248"/>
        <v>323.87991460762782</v>
      </c>
      <c r="CB162" s="9">
        <f t="shared" si="248"/>
        <v>320.64111546155158</v>
      </c>
      <c r="CC162" s="9">
        <f t="shared" si="248"/>
        <v>317.43470430693606</v>
      </c>
      <c r="CD162" s="9">
        <f t="shared" si="248"/>
        <v>314.26035726386669</v>
      </c>
      <c r="CE162" s="9">
        <f t="shared" si="248"/>
        <v>311.11775369122802</v>
      </c>
      <c r="CF162" s="9">
        <f t="shared" si="248"/>
        <v>308.00657615431572</v>
      </c>
      <c r="CG162" s="9">
        <f t="shared" si="248"/>
        <v>304.92651039277257</v>
      </c>
      <c r="CH162" s="9">
        <f t="shared" si="248"/>
        <v>301.87724528884479</v>
      </c>
      <c r="CI162" s="9">
        <f t="shared" si="248"/>
        <v>298.85847283595638</v>
      </c>
      <c r="CJ162" s="9">
        <f t="shared" si="248"/>
        <v>295.86988810759686</v>
      </c>
      <c r="CK162" s="9">
        <f t="shared" ref="CK162:CP162" si="249">CK160*CK161*8760/1000</f>
        <v>292.91118922652083</v>
      </c>
      <c r="CL162" s="9">
        <f t="shared" si="249"/>
        <v>289.98207733425568</v>
      </c>
      <c r="CM162" s="9">
        <f t="shared" si="249"/>
        <v>287.08225656091304</v>
      </c>
      <c r="CN162" s="9">
        <f t="shared" si="249"/>
        <v>284.21143399530393</v>
      </c>
      <c r="CO162" s="9">
        <f t="shared" si="249"/>
        <v>281.36931965535086</v>
      </c>
      <c r="CP162" s="9">
        <f t="shared" si="249"/>
        <v>278.55562645879729</v>
      </c>
      <c r="CQ162" s="23" t="s">
        <v>77</v>
      </c>
    </row>
    <row r="163" spans="2:95" x14ac:dyDescent="0.2">
      <c r="CQ163" s="23" t="s">
        <v>77</v>
      </c>
    </row>
    <row r="164" spans="2:95" x14ac:dyDescent="0.2">
      <c r="B164" s="728" t="s">
        <v>567</v>
      </c>
      <c r="C164" s="312"/>
      <c r="D164" s="312"/>
      <c r="E164" s="312"/>
      <c r="F164" s="312">
        <f t="shared" ref="F164:CP164" si="250">Fiscal_Year</f>
        <v>36707</v>
      </c>
      <c r="G164" s="312">
        <f t="shared" si="250"/>
        <v>37072</v>
      </c>
      <c r="H164" s="312">
        <f t="shared" si="250"/>
        <v>37437</v>
      </c>
      <c r="I164" s="312">
        <f t="shared" si="250"/>
        <v>37802</v>
      </c>
      <c r="J164" s="312">
        <f t="shared" si="250"/>
        <v>38168</v>
      </c>
      <c r="K164" s="312">
        <f t="shared" si="250"/>
        <v>38533</v>
      </c>
      <c r="L164" s="312">
        <f t="shared" si="250"/>
        <v>38898</v>
      </c>
      <c r="M164" s="312">
        <f t="shared" si="250"/>
        <v>39263</v>
      </c>
      <c r="N164" s="312">
        <f t="shared" si="250"/>
        <v>39629</v>
      </c>
      <c r="O164" s="312">
        <f t="shared" si="250"/>
        <v>39994</v>
      </c>
      <c r="P164" s="312">
        <f t="shared" si="250"/>
        <v>40359</v>
      </c>
      <c r="Q164" s="312">
        <f t="shared" si="250"/>
        <v>40724</v>
      </c>
      <c r="R164" s="312">
        <f t="shared" si="250"/>
        <v>41090</v>
      </c>
      <c r="S164" s="312">
        <f t="shared" si="250"/>
        <v>41455</v>
      </c>
      <c r="T164" s="312">
        <f t="shared" si="250"/>
        <v>41820</v>
      </c>
      <c r="U164" s="312">
        <f t="shared" si="250"/>
        <v>42185</v>
      </c>
      <c r="V164" s="312">
        <f t="shared" si="250"/>
        <v>42551</v>
      </c>
      <c r="W164" s="312">
        <f t="shared" si="250"/>
        <v>42916</v>
      </c>
      <c r="X164" s="312">
        <f t="shared" si="250"/>
        <v>43281</v>
      </c>
      <c r="Y164" s="312">
        <f t="shared" si="250"/>
        <v>43646</v>
      </c>
      <c r="Z164" s="312">
        <f t="shared" si="250"/>
        <v>44012</v>
      </c>
      <c r="AA164" s="312">
        <f t="shared" si="250"/>
        <v>44377</v>
      </c>
      <c r="AB164" s="312">
        <f t="shared" si="250"/>
        <v>44742</v>
      </c>
      <c r="AC164" s="312">
        <f t="shared" si="250"/>
        <v>45107</v>
      </c>
      <c r="AD164" s="312">
        <f t="shared" si="250"/>
        <v>45473</v>
      </c>
      <c r="AE164" s="312">
        <f t="shared" si="250"/>
        <v>45838</v>
      </c>
      <c r="AF164" s="312">
        <f t="shared" si="250"/>
        <v>46203</v>
      </c>
      <c r="AG164" s="312">
        <f t="shared" si="250"/>
        <v>46568</v>
      </c>
      <c r="AH164" s="312">
        <f t="shared" si="250"/>
        <v>46934</v>
      </c>
      <c r="AI164" s="312">
        <f t="shared" si="250"/>
        <v>47299</v>
      </c>
      <c r="AJ164" s="312">
        <f t="shared" si="250"/>
        <v>47664</v>
      </c>
      <c r="AK164" s="312">
        <f t="shared" si="250"/>
        <v>48029</v>
      </c>
      <c r="AL164" s="312">
        <f t="shared" si="250"/>
        <v>48395</v>
      </c>
      <c r="AM164" s="312">
        <f t="shared" si="250"/>
        <v>48760</v>
      </c>
      <c r="AN164" s="312">
        <f t="shared" si="250"/>
        <v>49125</v>
      </c>
      <c r="AO164" s="312">
        <f t="shared" si="250"/>
        <v>49490</v>
      </c>
      <c r="AP164" s="312">
        <f t="shared" si="250"/>
        <v>49856</v>
      </c>
      <c r="AQ164" s="312">
        <f t="shared" si="250"/>
        <v>50221</v>
      </c>
      <c r="AR164" s="312">
        <f t="shared" si="250"/>
        <v>50586</v>
      </c>
      <c r="AS164" s="312">
        <f t="shared" si="250"/>
        <v>50951</v>
      </c>
      <c r="AT164" s="312">
        <f t="shared" si="250"/>
        <v>51317</v>
      </c>
      <c r="AU164" s="312">
        <f t="shared" si="250"/>
        <v>51682</v>
      </c>
      <c r="AV164" s="312">
        <f t="shared" si="250"/>
        <v>52047</v>
      </c>
      <c r="AW164" s="312">
        <f t="shared" si="250"/>
        <v>52412</v>
      </c>
      <c r="AX164" s="312">
        <f t="shared" si="250"/>
        <v>52778</v>
      </c>
      <c r="AY164" s="312">
        <f t="shared" si="250"/>
        <v>53143</v>
      </c>
      <c r="AZ164" s="312">
        <f t="shared" si="250"/>
        <v>53508</v>
      </c>
      <c r="BA164" s="312">
        <f t="shared" si="250"/>
        <v>53873</v>
      </c>
      <c r="BB164" s="312">
        <f t="shared" si="250"/>
        <v>54239</v>
      </c>
      <c r="BC164" s="312">
        <f t="shared" si="250"/>
        <v>54604</v>
      </c>
      <c r="BD164" s="312">
        <f t="shared" si="250"/>
        <v>54969</v>
      </c>
      <c r="BE164" s="312">
        <f t="shared" si="250"/>
        <v>55334</v>
      </c>
      <c r="BF164" s="312">
        <f t="shared" si="250"/>
        <v>55700</v>
      </c>
      <c r="BG164" s="312">
        <f t="shared" si="250"/>
        <v>56065</v>
      </c>
      <c r="BH164" s="312">
        <f t="shared" si="250"/>
        <v>56430</v>
      </c>
      <c r="BI164" s="312">
        <f t="shared" si="250"/>
        <v>56795</v>
      </c>
      <c r="BJ164" s="312">
        <f t="shared" si="250"/>
        <v>57161</v>
      </c>
      <c r="BK164" s="312">
        <f t="shared" si="250"/>
        <v>57526</v>
      </c>
      <c r="BL164" s="312">
        <f t="shared" si="250"/>
        <v>57891</v>
      </c>
      <c r="BM164" s="312">
        <f t="shared" si="250"/>
        <v>58256</v>
      </c>
      <c r="BN164" s="312">
        <f t="shared" si="250"/>
        <v>58622</v>
      </c>
      <c r="BO164" s="312">
        <f t="shared" si="250"/>
        <v>58987</v>
      </c>
      <c r="BP164" s="312">
        <f t="shared" si="250"/>
        <v>59352</v>
      </c>
      <c r="BQ164" s="312">
        <f t="shared" si="250"/>
        <v>59717</v>
      </c>
      <c r="BR164" s="312">
        <f t="shared" si="250"/>
        <v>60083</v>
      </c>
      <c r="BS164" s="312">
        <f t="shared" si="250"/>
        <v>60448</v>
      </c>
      <c r="BT164" s="312">
        <f t="shared" si="250"/>
        <v>60813</v>
      </c>
      <c r="BU164" s="312">
        <f t="shared" si="250"/>
        <v>61178</v>
      </c>
      <c r="BV164" s="312">
        <f t="shared" si="250"/>
        <v>61544</v>
      </c>
      <c r="BW164" s="312">
        <f t="shared" si="250"/>
        <v>61909</v>
      </c>
      <c r="BX164" s="312">
        <f t="shared" si="250"/>
        <v>62274</v>
      </c>
      <c r="BY164" s="312">
        <f t="shared" si="250"/>
        <v>62639</v>
      </c>
      <c r="BZ164" s="312">
        <f t="shared" si="250"/>
        <v>63005</v>
      </c>
      <c r="CA164" s="312">
        <f t="shared" si="250"/>
        <v>63370</v>
      </c>
      <c r="CB164" s="312">
        <f t="shared" si="250"/>
        <v>63735</v>
      </c>
      <c r="CC164" s="312">
        <f t="shared" si="250"/>
        <v>64100</v>
      </c>
      <c r="CD164" s="312">
        <f t="shared" si="250"/>
        <v>64466</v>
      </c>
      <c r="CE164" s="312">
        <f t="shared" si="250"/>
        <v>64831</v>
      </c>
      <c r="CF164" s="312">
        <f t="shared" si="250"/>
        <v>65196</v>
      </c>
      <c r="CG164" s="312">
        <f t="shared" si="250"/>
        <v>65561</v>
      </c>
      <c r="CH164" s="312">
        <f t="shared" si="250"/>
        <v>65927</v>
      </c>
      <c r="CI164" s="312">
        <f t="shared" si="250"/>
        <v>66292</v>
      </c>
      <c r="CJ164" s="312">
        <f t="shared" si="250"/>
        <v>66657</v>
      </c>
      <c r="CK164" s="312">
        <f t="shared" si="250"/>
        <v>67022</v>
      </c>
      <c r="CL164" s="312">
        <f t="shared" si="250"/>
        <v>67388</v>
      </c>
      <c r="CM164" s="312">
        <f t="shared" si="250"/>
        <v>67753</v>
      </c>
      <c r="CN164" s="312">
        <f t="shared" si="250"/>
        <v>68118</v>
      </c>
      <c r="CO164" s="312">
        <f t="shared" si="250"/>
        <v>68483</v>
      </c>
      <c r="CP164" s="312">
        <f t="shared" si="250"/>
        <v>68849</v>
      </c>
      <c r="CQ164" s="23" t="s">
        <v>77</v>
      </c>
    </row>
    <row r="165" spans="2:95" ht="5.0999999999999996" customHeight="1" outlineLevel="1" x14ac:dyDescent="0.2">
      <c r="B165" s="107"/>
      <c r="D165" s="108"/>
      <c r="E165" s="108"/>
      <c r="F165" s="108"/>
      <c r="G165" s="108"/>
      <c r="H165" s="108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108"/>
      <c r="Y165" s="108"/>
      <c r="Z165" s="108"/>
      <c r="AA165" s="108"/>
      <c r="AB165" s="108"/>
      <c r="AC165" s="108"/>
      <c r="AD165" s="108"/>
      <c r="AE165" s="108"/>
      <c r="AF165" s="108"/>
      <c r="AG165" s="108"/>
      <c r="AH165" s="108"/>
      <c r="AI165" s="108"/>
      <c r="AJ165" s="108"/>
      <c r="AK165" s="108"/>
      <c r="AL165" s="108"/>
      <c r="AM165" s="108"/>
      <c r="AN165" s="108"/>
      <c r="AO165" s="108"/>
      <c r="AP165" s="108"/>
      <c r="AQ165" s="108"/>
      <c r="AR165" s="108"/>
      <c r="AS165" s="108"/>
      <c r="AT165" s="108"/>
      <c r="AU165" s="108"/>
      <c r="AV165" s="108"/>
      <c r="AW165" s="108"/>
      <c r="AX165" s="108"/>
      <c r="AY165" s="108"/>
      <c r="AZ165" s="108"/>
      <c r="BA165" s="108"/>
      <c r="BB165" s="108"/>
      <c r="BC165" s="108"/>
      <c r="BD165" s="108"/>
      <c r="BE165" s="108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23" t="s">
        <v>77</v>
      </c>
    </row>
    <row r="166" spans="2:95" outlineLevel="1" x14ac:dyDescent="0.2">
      <c r="B166" s="8" t="s">
        <v>562</v>
      </c>
      <c r="Y166" s="260">
        <v>110</v>
      </c>
      <c r="Z166" s="9">
        <f t="shared" ref="Z166:CJ167" si="251">Y166</f>
        <v>110</v>
      </c>
      <c r="AA166" s="9">
        <f t="shared" si="251"/>
        <v>110</v>
      </c>
      <c r="AB166" s="9">
        <f t="shared" si="251"/>
        <v>110</v>
      </c>
      <c r="AC166" s="9">
        <f t="shared" si="251"/>
        <v>110</v>
      </c>
      <c r="AD166" s="9">
        <f t="shared" si="251"/>
        <v>110</v>
      </c>
      <c r="AE166" s="9">
        <f t="shared" si="251"/>
        <v>110</v>
      </c>
      <c r="AF166" s="9">
        <f t="shared" si="251"/>
        <v>110</v>
      </c>
      <c r="AG166" s="9">
        <f t="shared" si="251"/>
        <v>110</v>
      </c>
      <c r="AH166" s="9">
        <f t="shared" si="251"/>
        <v>110</v>
      </c>
      <c r="AI166" s="9">
        <f t="shared" si="251"/>
        <v>110</v>
      </c>
      <c r="AJ166" s="9">
        <f t="shared" si="251"/>
        <v>110</v>
      </c>
      <c r="AK166" s="9">
        <f t="shared" si="251"/>
        <v>110</v>
      </c>
      <c r="AL166" s="9">
        <f t="shared" si="251"/>
        <v>110</v>
      </c>
      <c r="AM166" s="9">
        <f t="shared" si="251"/>
        <v>110</v>
      </c>
      <c r="AN166" s="9">
        <f t="shared" si="251"/>
        <v>110</v>
      </c>
      <c r="AO166" s="9">
        <f t="shared" si="251"/>
        <v>110</v>
      </c>
      <c r="AP166" s="9">
        <f t="shared" si="251"/>
        <v>110</v>
      </c>
      <c r="AQ166" s="9">
        <f t="shared" si="251"/>
        <v>110</v>
      </c>
      <c r="AR166" s="9">
        <f t="shared" si="251"/>
        <v>110</v>
      </c>
      <c r="AS166" s="9">
        <f t="shared" si="251"/>
        <v>110</v>
      </c>
      <c r="AT166" s="9">
        <f t="shared" si="251"/>
        <v>110</v>
      </c>
      <c r="AU166" s="9">
        <f t="shared" si="251"/>
        <v>110</v>
      </c>
      <c r="AV166" s="9">
        <f t="shared" si="251"/>
        <v>110</v>
      </c>
      <c r="AW166" s="9">
        <f t="shared" si="251"/>
        <v>110</v>
      </c>
      <c r="AX166" s="9">
        <f t="shared" si="251"/>
        <v>110</v>
      </c>
      <c r="AY166" s="9">
        <f t="shared" si="251"/>
        <v>110</v>
      </c>
      <c r="AZ166" s="9">
        <f t="shared" si="251"/>
        <v>110</v>
      </c>
      <c r="BA166" s="9">
        <f t="shared" si="251"/>
        <v>110</v>
      </c>
      <c r="BB166" s="9">
        <f t="shared" si="251"/>
        <v>110</v>
      </c>
      <c r="BC166" s="9">
        <f t="shared" si="251"/>
        <v>110</v>
      </c>
      <c r="BD166" s="9">
        <f t="shared" si="251"/>
        <v>110</v>
      </c>
      <c r="BE166" s="9">
        <f t="shared" si="251"/>
        <v>110</v>
      </c>
      <c r="BF166" s="9">
        <f t="shared" si="251"/>
        <v>110</v>
      </c>
      <c r="BG166" s="9">
        <f t="shared" si="251"/>
        <v>110</v>
      </c>
      <c r="BH166" s="9">
        <f t="shared" si="251"/>
        <v>110</v>
      </c>
      <c r="BI166" s="9">
        <f t="shared" si="251"/>
        <v>110</v>
      </c>
      <c r="BJ166" s="9">
        <f t="shared" si="251"/>
        <v>110</v>
      </c>
      <c r="BK166" s="9">
        <f t="shared" si="251"/>
        <v>110</v>
      </c>
      <c r="BL166" s="9">
        <f t="shared" si="251"/>
        <v>110</v>
      </c>
      <c r="BM166" s="9">
        <f t="shared" si="251"/>
        <v>110</v>
      </c>
      <c r="BN166" s="9">
        <f t="shared" si="251"/>
        <v>110</v>
      </c>
      <c r="BO166" s="9">
        <f t="shared" si="251"/>
        <v>110</v>
      </c>
      <c r="BP166" s="9">
        <f t="shared" si="251"/>
        <v>110</v>
      </c>
      <c r="BQ166" s="9">
        <f t="shared" si="251"/>
        <v>110</v>
      </c>
      <c r="BR166" s="9">
        <f t="shared" si="251"/>
        <v>110</v>
      </c>
      <c r="BS166" s="9">
        <f t="shared" si="251"/>
        <v>110</v>
      </c>
      <c r="BT166" s="9">
        <f t="shared" si="251"/>
        <v>110</v>
      </c>
      <c r="BU166" s="9">
        <f t="shared" si="251"/>
        <v>110</v>
      </c>
      <c r="BV166" s="9">
        <f t="shared" si="251"/>
        <v>110</v>
      </c>
      <c r="BW166" s="9">
        <f t="shared" si="251"/>
        <v>110</v>
      </c>
      <c r="BX166" s="9">
        <f t="shared" si="251"/>
        <v>110</v>
      </c>
      <c r="BY166" s="9">
        <f t="shared" si="251"/>
        <v>110</v>
      </c>
      <c r="BZ166" s="9">
        <f t="shared" si="251"/>
        <v>110</v>
      </c>
      <c r="CA166" s="9">
        <f t="shared" si="251"/>
        <v>110</v>
      </c>
      <c r="CB166" s="9">
        <f t="shared" si="251"/>
        <v>110</v>
      </c>
      <c r="CC166" s="9">
        <f t="shared" si="251"/>
        <v>110</v>
      </c>
      <c r="CD166" s="9">
        <f t="shared" si="251"/>
        <v>110</v>
      </c>
      <c r="CE166" s="9">
        <f t="shared" si="251"/>
        <v>110</v>
      </c>
      <c r="CF166" s="9">
        <f t="shared" si="251"/>
        <v>110</v>
      </c>
      <c r="CG166" s="9">
        <f t="shared" si="251"/>
        <v>110</v>
      </c>
      <c r="CH166" s="9">
        <f t="shared" si="251"/>
        <v>110</v>
      </c>
      <c r="CI166" s="9">
        <f t="shared" si="251"/>
        <v>110</v>
      </c>
      <c r="CJ166" s="9">
        <f t="shared" si="251"/>
        <v>110</v>
      </c>
      <c r="CK166" s="9">
        <f t="shared" ref="CK166:CP166" si="252">CJ166</f>
        <v>110</v>
      </c>
      <c r="CL166" s="9">
        <f t="shared" si="252"/>
        <v>110</v>
      </c>
      <c r="CM166" s="9">
        <f t="shared" si="252"/>
        <v>110</v>
      </c>
      <c r="CN166" s="9">
        <f t="shared" si="252"/>
        <v>110</v>
      </c>
      <c r="CO166" s="9">
        <f t="shared" si="252"/>
        <v>110</v>
      </c>
      <c r="CP166" s="9">
        <f t="shared" si="252"/>
        <v>110</v>
      </c>
      <c r="CQ166" s="23" t="s">
        <v>77</v>
      </c>
    </row>
    <row r="167" spans="2:95" outlineLevel="1" x14ac:dyDescent="0.2">
      <c r="B167" s="8" t="s">
        <v>563</v>
      </c>
      <c r="S167" s="10"/>
      <c r="T167" s="10"/>
      <c r="U167" s="10"/>
      <c r="V167" s="10"/>
      <c r="W167" s="10"/>
      <c r="X167" s="10"/>
      <c r="Y167" s="261">
        <v>0.2</v>
      </c>
      <c r="Z167" s="10">
        <f t="shared" si="251"/>
        <v>0.2</v>
      </c>
      <c r="AA167" s="10">
        <f t="shared" si="251"/>
        <v>0.2</v>
      </c>
      <c r="AB167" s="10">
        <f t="shared" si="251"/>
        <v>0.2</v>
      </c>
      <c r="AC167" s="10">
        <f t="shared" si="251"/>
        <v>0.2</v>
      </c>
      <c r="AD167" s="10">
        <f t="shared" si="251"/>
        <v>0.2</v>
      </c>
      <c r="AE167" s="10">
        <f t="shared" si="251"/>
        <v>0.2</v>
      </c>
      <c r="AF167" s="10">
        <f t="shared" si="251"/>
        <v>0.2</v>
      </c>
      <c r="AG167" s="10">
        <f t="shared" si="251"/>
        <v>0.2</v>
      </c>
      <c r="AH167" s="10">
        <f t="shared" si="251"/>
        <v>0.2</v>
      </c>
      <c r="AI167" s="674">
        <f>AH167*0.995</f>
        <v>0.19900000000000001</v>
      </c>
      <c r="AJ167" s="10">
        <f>AI167*0.995</f>
        <v>0.19800500000000001</v>
      </c>
      <c r="AK167" s="10">
        <f t="shared" ref="AK167:CP167" si="253">AJ167*0.995</f>
        <v>0.19701497500000001</v>
      </c>
      <c r="AL167" s="10">
        <f t="shared" si="253"/>
        <v>0.19602990012500002</v>
      </c>
      <c r="AM167" s="10">
        <f t="shared" si="253"/>
        <v>0.19504975062437502</v>
      </c>
      <c r="AN167" s="10">
        <f t="shared" si="253"/>
        <v>0.19407450187125314</v>
      </c>
      <c r="AO167" s="10">
        <f t="shared" si="253"/>
        <v>0.19310412936189686</v>
      </c>
      <c r="AP167" s="10">
        <f t="shared" si="253"/>
        <v>0.19213860871508737</v>
      </c>
      <c r="AQ167" s="10">
        <f t="shared" si="253"/>
        <v>0.19117791567151193</v>
      </c>
      <c r="AR167" s="10">
        <f t="shared" si="253"/>
        <v>0.19022202609315436</v>
      </c>
      <c r="AS167" s="10">
        <f t="shared" si="253"/>
        <v>0.18927091596268858</v>
      </c>
      <c r="AT167" s="10">
        <f t="shared" si="253"/>
        <v>0.18832456138287512</v>
      </c>
      <c r="AU167" s="10">
        <f t="shared" si="253"/>
        <v>0.18738293857596075</v>
      </c>
      <c r="AV167" s="10">
        <f t="shared" si="253"/>
        <v>0.18644602388308096</v>
      </c>
      <c r="AW167" s="10">
        <f t="shared" si="253"/>
        <v>0.18551379376366556</v>
      </c>
      <c r="AX167" s="10">
        <f t="shared" si="253"/>
        <v>0.18458622479484724</v>
      </c>
      <c r="AY167" s="10">
        <f t="shared" si="253"/>
        <v>0.183663293670873</v>
      </c>
      <c r="AZ167" s="10">
        <f t="shared" si="253"/>
        <v>0.18274497720251864</v>
      </c>
      <c r="BA167" s="10">
        <f t="shared" si="253"/>
        <v>0.18183125231650604</v>
      </c>
      <c r="BB167" s="10">
        <f t="shared" si="253"/>
        <v>0.18092209605492351</v>
      </c>
      <c r="BC167" s="10">
        <f t="shared" si="253"/>
        <v>0.18001748557464889</v>
      </c>
      <c r="BD167" s="10">
        <f t="shared" si="253"/>
        <v>0.17911739814677563</v>
      </c>
      <c r="BE167" s="10">
        <f t="shared" si="253"/>
        <v>0.17822181115604174</v>
      </c>
      <c r="BF167" s="10">
        <f t="shared" si="253"/>
        <v>0.17733070210026153</v>
      </c>
      <c r="BG167" s="10">
        <f t="shared" si="253"/>
        <v>0.17644404858976023</v>
      </c>
      <c r="BH167" s="10">
        <f t="shared" si="253"/>
        <v>0.17556182834681144</v>
      </c>
      <c r="BI167" s="10">
        <f t="shared" si="253"/>
        <v>0.1746840192050774</v>
      </c>
      <c r="BJ167" s="10">
        <f t="shared" si="253"/>
        <v>0.173810599109052</v>
      </c>
      <c r="BK167" s="10">
        <f t="shared" si="253"/>
        <v>0.17294154611350673</v>
      </c>
      <c r="BL167" s="10">
        <f t="shared" si="253"/>
        <v>0.17207683838293919</v>
      </c>
      <c r="BM167" s="10">
        <f t="shared" si="253"/>
        <v>0.17121645419102449</v>
      </c>
      <c r="BN167" s="10">
        <f t="shared" si="253"/>
        <v>0.17036037192006936</v>
      </c>
      <c r="BO167" s="10">
        <f t="shared" si="253"/>
        <v>0.16950857006046902</v>
      </c>
      <c r="BP167" s="10">
        <f t="shared" si="253"/>
        <v>0.16866102721016668</v>
      </c>
      <c r="BQ167" s="10">
        <f t="shared" si="253"/>
        <v>0.16781772207411585</v>
      </c>
      <c r="BR167" s="10">
        <f t="shared" si="253"/>
        <v>0.16697863346374528</v>
      </c>
      <c r="BS167" s="10">
        <f t="shared" si="253"/>
        <v>0.16614374029642656</v>
      </c>
      <c r="BT167" s="10">
        <f t="shared" si="253"/>
        <v>0.16531302159494443</v>
      </c>
      <c r="BU167" s="10">
        <f t="shared" si="253"/>
        <v>0.16448645648696972</v>
      </c>
      <c r="BV167" s="10">
        <f t="shared" si="253"/>
        <v>0.16366402420453488</v>
      </c>
      <c r="BW167" s="10">
        <f t="shared" si="253"/>
        <v>0.1628457040835122</v>
      </c>
      <c r="BX167" s="10">
        <f t="shared" si="253"/>
        <v>0.16203147556309463</v>
      </c>
      <c r="BY167" s="10">
        <f t="shared" si="253"/>
        <v>0.16122131818527916</v>
      </c>
      <c r="BZ167" s="10">
        <f t="shared" si="253"/>
        <v>0.16041521159435276</v>
      </c>
      <c r="CA167" s="10">
        <f t="shared" si="253"/>
        <v>0.15961313553638101</v>
      </c>
      <c r="CB167" s="10">
        <f t="shared" si="253"/>
        <v>0.15881506985869911</v>
      </c>
      <c r="CC167" s="10">
        <f t="shared" si="253"/>
        <v>0.15802099450940563</v>
      </c>
      <c r="CD167" s="10">
        <f t="shared" si="253"/>
        <v>0.1572308895368586</v>
      </c>
      <c r="CE167" s="10">
        <f t="shared" si="253"/>
        <v>0.15644473508917431</v>
      </c>
      <c r="CF167" s="10">
        <f t="shared" si="253"/>
        <v>0.15566251141372844</v>
      </c>
      <c r="CG167" s="10">
        <f t="shared" si="253"/>
        <v>0.1548841988566598</v>
      </c>
      <c r="CH167" s="10">
        <f t="shared" si="253"/>
        <v>0.15410977786237651</v>
      </c>
      <c r="CI167" s="10">
        <f t="shared" si="253"/>
        <v>0.15333922897306462</v>
      </c>
      <c r="CJ167" s="10">
        <f t="shared" si="253"/>
        <v>0.1525725328281993</v>
      </c>
      <c r="CK167" s="10">
        <f t="shared" si="253"/>
        <v>0.1518096701640583</v>
      </c>
      <c r="CL167" s="10">
        <f t="shared" si="253"/>
        <v>0.151050621813238</v>
      </c>
      <c r="CM167" s="10">
        <f t="shared" si="253"/>
        <v>0.15029536870417182</v>
      </c>
      <c r="CN167" s="10">
        <f t="shared" si="253"/>
        <v>0.14954389186065095</v>
      </c>
      <c r="CO167" s="10">
        <f t="shared" si="253"/>
        <v>0.14879617240134771</v>
      </c>
      <c r="CP167" s="10">
        <f t="shared" si="253"/>
        <v>0.14805219153934096</v>
      </c>
      <c r="CQ167" s="23" t="s">
        <v>77</v>
      </c>
    </row>
    <row r="168" spans="2:95" outlineLevel="1" x14ac:dyDescent="0.2">
      <c r="B168" s="8" t="s">
        <v>564</v>
      </c>
      <c r="Y168" s="9">
        <f>Y166*Y167*8760/1000</f>
        <v>192.72</v>
      </c>
      <c r="Z168" s="9">
        <f t="shared" ref="Z168:CK168" si="254">Z166*Z167*8760/1000</f>
        <v>192.72</v>
      </c>
      <c r="AA168" s="9">
        <f t="shared" si="254"/>
        <v>192.72</v>
      </c>
      <c r="AB168" s="9">
        <f t="shared" si="254"/>
        <v>192.72</v>
      </c>
      <c r="AC168" s="9">
        <f t="shared" si="254"/>
        <v>192.72</v>
      </c>
      <c r="AD168" s="9">
        <f t="shared" si="254"/>
        <v>192.72</v>
      </c>
      <c r="AE168" s="9">
        <f t="shared" si="254"/>
        <v>192.72</v>
      </c>
      <c r="AF168" s="9">
        <f t="shared" si="254"/>
        <v>192.72</v>
      </c>
      <c r="AG168" s="9">
        <f t="shared" si="254"/>
        <v>192.72</v>
      </c>
      <c r="AH168" s="9">
        <f t="shared" si="254"/>
        <v>192.72</v>
      </c>
      <c r="AI168" s="9">
        <f t="shared" si="254"/>
        <v>191.75639999999999</v>
      </c>
      <c r="AJ168" s="9">
        <f t="shared" si="254"/>
        <v>190.79761800000003</v>
      </c>
      <c r="AK168" s="9">
        <f>AK166*AK167*8760/1000</f>
        <v>189.84362990999998</v>
      </c>
      <c r="AL168" s="9">
        <f t="shared" si="254"/>
        <v>188.89441176045003</v>
      </c>
      <c r="AM168" s="9">
        <f t="shared" si="254"/>
        <v>187.94993970164776</v>
      </c>
      <c r="AN168" s="9">
        <f t="shared" si="254"/>
        <v>187.01019000313951</v>
      </c>
      <c r="AO168" s="9">
        <f t="shared" si="254"/>
        <v>186.07513905312379</v>
      </c>
      <c r="AP168" s="9">
        <f t="shared" si="254"/>
        <v>185.14476335785821</v>
      </c>
      <c r="AQ168" s="9">
        <f t="shared" si="254"/>
        <v>184.21903954106892</v>
      </c>
      <c r="AR168" s="9">
        <f t="shared" si="254"/>
        <v>183.29794434336353</v>
      </c>
      <c r="AS168" s="9">
        <f t="shared" si="254"/>
        <v>182.38145462164672</v>
      </c>
      <c r="AT168" s="9">
        <f t="shared" si="254"/>
        <v>181.46954734853847</v>
      </c>
      <c r="AU168" s="9">
        <f t="shared" si="254"/>
        <v>180.56219961179576</v>
      </c>
      <c r="AV168" s="9">
        <f t="shared" si="254"/>
        <v>179.65938861373681</v>
      </c>
      <c r="AW168" s="9">
        <f t="shared" si="254"/>
        <v>178.76109167066812</v>
      </c>
      <c r="AX168" s="9">
        <f t="shared" si="254"/>
        <v>177.86728621231478</v>
      </c>
      <c r="AY168" s="9">
        <f t="shared" si="254"/>
        <v>176.97794978125324</v>
      </c>
      <c r="AZ168" s="9">
        <f t="shared" si="254"/>
        <v>176.09306003234698</v>
      </c>
      <c r="BA168" s="9">
        <f t="shared" si="254"/>
        <v>175.21259473218521</v>
      </c>
      <c r="BB168" s="9">
        <f t="shared" si="254"/>
        <v>174.3365317585243</v>
      </c>
      <c r="BC168" s="9">
        <f t="shared" si="254"/>
        <v>173.46484909973165</v>
      </c>
      <c r="BD168" s="9">
        <f t="shared" si="254"/>
        <v>172.59752485423303</v>
      </c>
      <c r="BE168" s="9">
        <f t="shared" si="254"/>
        <v>171.73453722996183</v>
      </c>
      <c r="BF168" s="9">
        <f t="shared" si="254"/>
        <v>170.87586454381201</v>
      </c>
      <c r="BG168" s="9">
        <f t="shared" si="254"/>
        <v>170.02148522109297</v>
      </c>
      <c r="BH168" s="9">
        <f t="shared" si="254"/>
        <v>169.17137779498751</v>
      </c>
      <c r="BI168" s="9">
        <f t="shared" si="254"/>
        <v>168.3255209060126</v>
      </c>
      <c r="BJ168" s="9">
        <f t="shared" si="254"/>
        <v>167.48389330148251</v>
      </c>
      <c r="BK168" s="9">
        <f t="shared" si="254"/>
        <v>166.64647383497507</v>
      </c>
      <c r="BL168" s="9">
        <f t="shared" si="254"/>
        <v>165.81324146580022</v>
      </c>
      <c r="BM168" s="9">
        <f t="shared" si="254"/>
        <v>164.9841752584712</v>
      </c>
      <c r="BN168" s="9">
        <f t="shared" si="254"/>
        <v>164.15925438217883</v>
      </c>
      <c r="BO168" s="9">
        <f t="shared" si="254"/>
        <v>163.33845811026794</v>
      </c>
      <c r="BP168" s="9">
        <f t="shared" si="254"/>
        <v>162.52176581971662</v>
      </c>
      <c r="BQ168" s="9">
        <f t="shared" si="254"/>
        <v>161.70915699061803</v>
      </c>
      <c r="BR168" s="9">
        <f t="shared" si="254"/>
        <v>160.90061120566492</v>
      </c>
      <c r="BS168" s="9">
        <f t="shared" si="254"/>
        <v>160.09610814963662</v>
      </c>
      <c r="BT168" s="9">
        <f t="shared" si="254"/>
        <v>159.29562760888845</v>
      </c>
      <c r="BU168" s="9">
        <f t="shared" si="254"/>
        <v>158.49914947084403</v>
      </c>
      <c r="BV168" s="9">
        <f t="shared" si="254"/>
        <v>157.70665372348978</v>
      </c>
      <c r="BW168" s="9">
        <f t="shared" si="254"/>
        <v>156.91812045487234</v>
      </c>
      <c r="BX168" s="9">
        <f t="shared" si="254"/>
        <v>156.133529852598</v>
      </c>
      <c r="BY168" s="9">
        <f t="shared" si="254"/>
        <v>155.35286220333498</v>
      </c>
      <c r="BZ168" s="9">
        <f t="shared" si="254"/>
        <v>154.57609789231833</v>
      </c>
      <c r="CA168" s="9">
        <f t="shared" si="254"/>
        <v>153.80321740285675</v>
      </c>
      <c r="CB168" s="9">
        <f t="shared" si="254"/>
        <v>153.03420131584247</v>
      </c>
      <c r="CC168" s="9">
        <f t="shared" si="254"/>
        <v>152.26903030926323</v>
      </c>
      <c r="CD168" s="9">
        <f t="shared" si="254"/>
        <v>151.50768515771694</v>
      </c>
      <c r="CE168" s="9">
        <f t="shared" si="254"/>
        <v>150.75014673192834</v>
      </c>
      <c r="CF168" s="9">
        <f t="shared" si="254"/>
        <v>149.99639599826872</v>
      </c>
      <c r="CG168" s="9">
        <f t="shared" si="254"/>
        <v>149.24641401827736</v>
      </c>
      <c r="CH168" s="9">
        <f t="shared" si="254"/>
        <v>148.50018194818603</v>
      </c>
      <c r="CI168" s="9">
        <f t="shared" si="254"/>
        <v>147.75768103844507</v>
      </c>
      <c r="CJ168" s="9">
        <f t="shared" si="254"/>
        <v>147.01889263325285</v>
      </c>
      <c r="CK168" s="9">
        <f t="shared" si="254"/>
        <v>146.28379817008658</v>
      </c>
      <c r="CL168" s="9">
        <f>CL166*CL167*8760/1000</f>
        <v>145.55237917923614</v>
      </c>
      <c r="CM168" s="9">
        <f>CM166*CM167*8760/1000</f>
        <v>144.82461728333996</v>
      </c>
      <c r="CN168" s="9">
        <f>CN166*CN167*8760/1000</f>
        <v>144.10049419692325</v>
      </c>
      <c r="CO168" s="9">
        <f>CO166*CO167*8760/1000</f>
        <v>143.37999172593865</v>
      </c>
      <c r="CP168" s="9">
        <f>CP166*CP167*8760/1000</f>
        <v>142.66309176730897</v>
      </c>
      <c r="CQ168" s="23" t="s">
        <v>77</v>
      </c>
    </row>
    <row r="169" spans="2:95" x14ac:dyDescent="0.2">
      <c r="CQ169" s="23" t="s">
        <v>77</v>
      </c>
    </row>
    <row r="170" spans="2:95" x14ac:dyDescent="0.2">
      <c r="CQ170" s="23" t="s">
        <v>77</v>
      </c>
    </row>
    <row r="171" spans="2:95" x14ac:dyDescent="0.2">
      <c r="CQ171" s="23" t="s">
        <v>77</v>
      </c>
    </row>
    <row r="172" spans="2:95" x14ac:dyDescent="0.2">
      <c r="CQ172" s="23" t="s">
        <v>77</v>
      </c>
    </row>
    <row r="173" spans="2:95" x14ac:dyDescent="0.2">
      <c r="CQ173" s="23" t="s">
        <v>77</v>
      </c>
    </row>
    <row r="174" spans="2:95" x14ac:dyDescent="0.2">
      <c r="CQ174" s="23" t="s">
        <v>77</v>
      </c>
    </row>
    <row r="175" spans="2:95" x14ac:dyDescent="0.2">
      <c r="CQ175" s="23" t="s">
        <v>77</v>
      </c>
    </row>
    <row r="176" spans="2:95" x14ac:dyDescent="0.2">
      <c r="CQ176" s="23" t="s">
        <v>77</v>
      </c>
    </row>
    <row r="178" spans="95:95" x14ac:dyDescent="0.2">
      <c r="CQ178" s="23" t="s">
        <v>77</v>
      </c>
    </row>
    <row r="179" spans="95:95" x14ac:dyDescent="0.2">
      <c r="CQ179" s="23" t="s">
        <v>77</v>
      </c>
    </row>
    <row r="180" spans="95:95" x14ac:dyDescent="0.2">
      <c r="CQ180" s="23" t="s">
        <v>77</v>
      </c>
    </row>
    <row r="181" spans="95:95" x14ac:dyDescent="0.2">
      <c r="CQ181" s="23" t="s">
        <v>77</v>
      </c>
    </row>
    <row r="182" spans="95:95" x14ac:dyDescent="0.2">
      <c r="CQ182" s="23" t="s">
        <v>77</v>
      </c>
    </row>
    <row r="183" spans="95:95" x14ac:dyDescent="0.2">
      <c r="CQ183" s="23" t="s">
        <v>77</v>
      </c>
    </row>
    <row r="184" spans="95:95" x14ac:dyDescent="0.2">
      <c r="CQ184" s="23" t="s">
        <v>77</v>
      </c>
    </row>
    <row r="185" spans="95:95" x14ac:dyDescent="0.2">
      <c r="CQ185" s="23" t="s">
        <v>77</v>
      </c>
    </row>
    <row r="186" spans="95:95" x14ac:dyDescent="0.2">
      <c r="CQ186" s="23" t="s">
        <v>77</v>
      </c>
    </row>
    <row r="187" spans="95:95" x14ac:dyDescent="0.2">
      <c r="CQ187" s="23" t="s">
        <v>77</v>
      </c>
    </row>
    <row r="188" spans="95:95" x14ac:dyDescent="0.2">
      <c r="CQ188" s="23" t="s">
        <v>77</v>
      </c>
    </row>
    <row r="189" spans="95:95" x14ac:dyDescent="0.2">
      <c r="CQ189" s="23" t="s">
        <v>77</v>
      </c>
    </row>
    <row r="190" spans="95:95" x14ac:dyDescent="0.2">
      <c r="CQ190" s="23" t="s">
        <v>77</v>
      </c>
    </row>
    <row r="191" spans="95:95" x14ac:dyDescent="0.2">
      <c r="CQ191" s="23" t="s">
        <v>77</v>
      </c>
    </row>
    <row r="192" spans="95:95" x14ac:dyDescent="0.2">
      <c r="CQ192" s="23" t="s">
        <v>77</v>
      </c>
    </row>
    <row r="193" spans="95:95" x14ac:dyDescent="0.2">
      <c r="CQ193" s="23" t="s">
        <v>77</v>
      </c>
    </row>
    <row r="194" spans="95:95" x14ac:dyDescent="0.2">
      <c r="CQ194" s="23" t="s">
        <v>77</v>
      </c>
    </row>
    <row r="195" spans="95:95" x14ac:dyDescent="0.2">
      <c r="CQ195" s="23" t="s">
        <v>77</v>
      </c>
    </row>
    <row r="196" spans="95:95" x14ac:dyDescent="0.2">
      <c r="CQ196" s="23" t="s">
        <v>77</v>
      </c>
    </row>
    <row r="197" spans="95:95" x14ac:dyDescent="0.2">
      <c r="CQ197" s="23" t="s">
        <v>77</v>
      </c>
    </row>
    <row r="198" spans="95:95" x14ac:dyDescent="0.2">
      <c r="CQ198" s="23" t="s">
        <v>77</v>
      </c>
    </row>
    <row r="199" spans="95:95" x14ac:dyDescent="0.2">
      <c r="CQ199" s="23" t="s">
        <v>77</v>
      </c>
    </row>
    <row r="200" spans="95:95" x14ac:dyDescent="0.2">
      <c r="CQ200" s="23" t="s">
        <v>77</v>
      </c>
    </row>
    <row r="201" spans="95:95" x14ac:dyDescent="0.2">
      <c r="CQ201" s="23" t="s">
        <v>77</v>
      </c>
    </row>
    <row r="202" spans="95:95" x14ac:dyDescent="0.2">
      <c r="CQ202" s="23" t="s">
        <v>77</v>
      </c>
    </row>
    <row r="203" spans="95:95" x14ac:dyDescent="0.2">
      <c r="CQ203" s="23" t="s">
        <v>77</v>
      </c>
    </row>
    <row r="204" spans="95:95" x14ac:dyDescent="0.2">
      <c r="CQ204" s="23" t="s">
        <v>77</v>
      </c>
    </row>
    <row r="205" spans="95:95" x14ac:dyDescent="0.2">
      <c r="CQ205" s="23" t="s">
        <v>77</v>
      </c>
    </row>
    <row r="206" spans="95:95" x14ac:dyDescent="0.2">
      <c r="CQ206" s="23" t="s">
        <v>77</v>
      </c>
    </row>
    <row r="207" spans="95:95" x14ac:dyDescent="0.2">
      <c r="CQ207" s="23"/>
    </row>
    <row r="208" spans="95:95" x14ac:dyDescent="0.2">
      <c r="CQ208" s="23"/>
    </row>
    <row r="209" spans="95:95" x14ac:dyDescent="0.2">
      <c r="CQ209" s="23"/>
    </row>
    <row r="210" spans="95:95" x14ac:dyDescent="0.2">
      <c r="CQ210" s="23" t="s">
        <v>77</v>
      </c>
    </row>
    <row r="211" spans="95:95" x14ac:dyDescent="0.2">
      <c r="CQ211" s="23" t="s">
        <v>77</v>
      </c>
    </row>
    <row r="212" spans="95:95" x14ac:dyDescent="0.2">
      <c r="CQ212" s="23" t="s">
        <v>77</v>
      </c>
    </row>
    <row r="213" spans="95:95" x14ac:dyDescent="0.2">
      <c r="CQ213" s="23" t="s">
        <v>77</v>
      </c>
    </row>
    <row r="214" spans="95:95" x14ac:dyDescent="0.2">
      <c r="CQ214" s="23" t="s">
        <v>77</v>
      </c>
    </row>
    <row r="215" spans="95:95" x14ac:dyDescent="0.2">
      <c r="CQ215" s="23" t="s">
        <v>77</v>
      </c>
    </row>
    <row r="216" spans="95:95" x14ac:dyDescent="0.2">
      <c r="CQ216" s="23" t="s">
        <v>77</v>
      </c>
    </row>
    <row r="217" spans="95:95" x14ac:dyDescent="0.2">
      <c r="CQ217" s="23"/>
    </row>
    <row r="218" spans="95:95" x14ac:dyDescent="0.2">
      <c r="CQ218" s="23" t="s">
        <v>77</v>
      </c>
    </row>
    <row r="219" spans="95:95" x14ac:dyDescent="0.2">
      <c r="CQ219" s="23" t="s">
        <v>77</v>
      </c>
    </row>
    <row r="220" spans="95:95" x14ac:dyDescent="0.2">
      <c r="CQ220" s="23" t="s">
        <v>77</v>
      </c>
    </row>
    <row r="221" spans="95:95" x14ac:dyDescent="0.2">
      <c r="CQ221" s="23" t="s">
        <v>77</v>
      </c>
    </row>
    <row r="222" spans="95:95" x14ac:dyDescent="0.2">
      <c r="CQ222" s="23" t="s">
        <v>77</v>
      </c>
    </row>
    <row r="223" spans="95:95" x14ac:dyDescent="0.2">
      <c r="CQ223" s="23" t="s">
        <v>77</v>
      </c>
    </row>
    <row r="224" spans="95:95" x14ac:dyDescent="0.2">
      <c r="CQ224" s="23" t="s">
        <v>77</v>
      </c>
    </row>
    <row r="225" spans="95:95" x14ac:dyDescent="0.2">
      <c r="CQ225" s="23" t="s">
        <v>77</v>
      </c>
    </row>
    <row r="226" spans="95:95" x14ac:dyDescent="0.2">
      <c r="CQ226" s="23" t="s">
        <v>77</v>
      </c>
    </row>
    <row r="227" spans="95:95" x14ac:dyDescent="0.2">
      <c r="CQ227" s="23" t="s">
        <v>77</v>
      </c>
    </row>
    <row r="228" spans="95:95" x14ac:dyDescent="0.2">
      <c r="CQ228" s="23" t="s">
        <v>77</v>
      </c>
    </row>
    <row r="229" spans="95:95" x14ac:dyDescent="0.2">
      <c r="CQ229" s="23" t="s">
        <v>77</v>
      </c>
    </row>
    <row r="230" spans="95:95" x14ac:dyDescent="0.2">
      <c r="CQ230" s="23" t="s">
        <v>77</v>
      </c>
    </row>
    <row r="231" spans="95:95" x14ac:dyDescent="0.2">
      <c r="CQ231" s="23" t="s">
        <v>77</v>
      </c>
    </row>
    <row r="232" spans="95:95" x14ac:dyDescent="0.2">
      <c r="CQ232" s="23" t="s">
        <v>77</v>
      </c>
    </row>
    <row r="233" spans="95:95" x14ac:dyDescent="0.2">
      <c r="CQ233" s="23" t="s">
        <v>77</v>
      </c>
    </row>
    <row r="234" spans="95:95" x14ac:dyDescent="0.2">
      <c r="CQ234" s="23" t="s">
        <v>77</v>
      </c>
    </row>
    <row r="235" spans="95:95" x14ac:dyDescent="0.2">
      <c r="CQ235" s="23" t="s">
        <v>77</v>
      </c>
    </row>
    <row r="236" spans="95:95" x14ac:dyDescent="0.2">
      <c r="CQ236" s="23" t="s">
        <v>77</v>
      </c>
    </row>
    <row r="237" spans="95:95" x14ac:dyDescent="0.2">
      <c r="CQ237" s="23" t="s">
        <v>77</v>
      </c>
    </row>
    <row r="238" spans="95:95" x14ac:dyDescent="0.2">
      <c r="CQ238" s="23" t="s">
        <v>77</v>
      </c>
    </row>
    <row r="239" spans="95:95" x14ac:dyDescent="0.2">
      <c r="CQ239" s="23" t="s">
        <v>77</v>
      </c>
    </row>
    <row r="240" spans="95:95" x14ac:dyDescent="0.2">
      <c r="CQ240" s="23" t="s">
        <v>77</v>
      </c>
    </row>
    <row r="241" spans="95:95" x14ac:dyDescent="0.2">
      <c r="CQ241" s="23" t="s">
        <v>77</v>
      </c>
    </row>
    <row r="242" spans="95:95" x14ac:dyDescent="0.2">
      <c r="CQ242" s="23" t="s">
        <v>77</v>
      </c>
    </row>
    <row r="243" spans="95:95" x14ac:dyDescent="0.2">
      <c r="CQ243" s="23" t="s">
        <v>77</v>
      </c>
    </row>
    <row r="244" spans="95:95" x14ac:dyDescent="0.2">
      <c r="CQ244" s="23" t="s">
        <v>77</v>
      </c>
    </row>
    <row r="245" spans="95:95" x14ac:dyDescent="0.2">
      <c r="CQ245" s="23" t="s">
        <v>77</v>
      </c>
    </row>
    <row r="246" spans="95:95" x14ac:dyDescent="0.2">
      <c r="CQ246" s="23" t="s">
        <v>77</v>
      </c>
    </row>
    <row r="247" spans="95:95" x14ac:dyDescent="0.2">
      <c r="CQ247" s="23" t="s">
        <v>77</v>
      </c>
    </row>
    <row r="248" spans="95:95" x14ac:dyDescent="0.2">
      <c r="CQ248" s="23" t="s">
        <v>77</v>
      </c>
    </row>
    <row r="249" spans="95:95" x14ac:dyDescent="0.2">
      <c r="CQ249" s="23" t="s">
        <v>77</v>
      </c>
    </row>
    <row r="250" spans="95:95" x14ac:dyDescent="0.2">
      <c r="CQ250" s="23" t="s">
        <v>77</v>
      </c>
    </row>
    <row r="251" spans="95:95" x14ac:dyDescent="0.2">
      <c r="CQ251" s="23" t="s">
        <v>77</v>
      </c>
    </row>
    <row r="252" spans="95:95" x14ac:dyDescent="0.2">
      <c r="CQ252" s="23" t="s">
        <v>77</v>
      </c>
    </row>
    <row r="253" spans="95:95" x14ac:dyDescent="0.2">
      <c r="CQ253" s="23" t="s">
        <v>77</v>
      </c>
    </row>
    <row r="254" spans="95:95" x14ac:dyDescent="0.2">
      <c r="CQ254" s="23" t="s">
        <v>77</v>
      </c>
    </row>
    <row r="255" spans="95:95" x14ac:dyDescent="0.2">
      <c r="CQ255" s="23" t="s">
        <v>77</v>
      </c>
    </row>
    <row r="256" spans="95:95" x14ac:dyDescent="0.2">
      <c r="CQ256" s="23" t="s">
        <v>77</v>
      </c>
    </row>
    <row r="257" spans="95:95" x14ac:dyDescent="0.2">
      <c r="CQ257" s="23" t="s">
        <v>77</v>
      </c>
    </row>
    <row r="258" spans="95:95" x14ac:dyDescent="0.2">
      <c r="CQ258" s="23" t="s">
        <v>77</v>
      </c>
    </row>
    <row r="259" spans="95:95" x14ac:dyDescent="0.2">
      <c r="CQ259" s="23" t="s">
        <v>77</v>
      </c>
    </row>
    <row r="260" spans="95:95" x14ac:dyDescent="0.2">
      <c r="CQ260" s="23" t="s">
        <v>77</v>
      </c>
    </row>
    <row r="261" spans="95:95" x14ac:dyDescent="0.2">
      <c r="CQ261" s="23" t="s">
        <v>77</v>
      </c>
    </row>
    <row r="262" spans="95:95" x14ac:dyDescent="0.2">
      <c r="CQ262" s="23" t="s">
        <v>77</v>
      </c>
    </row>
    <row r="263" spans="95:95" x14ac:dyDescent="0.2">
      <c r="CQ263" s="23" t="s">
        <v>77</v>
      </c>
    </row>
    <row r="264" spans="95:95" x14ac:dyDescent="0.2">
      <c r="CQ264" s="23" t="s">
        <v>77</v>
      </c>
    </row>
    <row r="265" spans="95:95" x14ac:dyDescent="0.2">
      <c r="CQ265" s="23" t="s">
        <v>77</v>
      </c>
    </row>
    <row r="266" spans="95:95" x14ac:dyDescent="0.2">
      <c r="CQ266" s="23" t="s">
        <v>77</v>
      </c>
    </row>
    <row r="267" spans="95:95" x14ac:dyDescent="0.2">
      <c r="CQ267" s="23" t="s">
        <v>77</v>
      </c>
    </row>
    <row r="268" spans="95:95" x14ac:dyDescent="0.2">
      <c r="CQ268" s="23" t="s">
        <v>77</v>
      </c>
    </row>
    <row r="269" spans="95:95" x14ac:dyDescent="0.2">
      <c r="CQ269" s="23" t="s">
        <v>77</v>
      </c>
    </row>
    <row r="270" spans="95:95" x14ac:dyDescent="0.2">
      <c r="CQ270" s="23" t="s">
        <v>77</v>
      </c>
    </row>
    <row r="271" spans="95:95" x14ac:dyDescent="0.2">
      <c r="CQ271" s="23" t="s">
        <v>77</v>
      </c>
    </row>
    <row r="272" spans="95:95" x14ac:dyDescent="0.2">
      <c r="CQ272" s="23" t="s">
        <v>77</v>
      </c>
    </row>
    <row r="273" spans="95:95" x14ac:dyDescent="0.2">
      <c r="CQ273" s="23" t="s">
        <v>77</v>
      </c>
    </row>
    <row r="274" spans="95:95" x14ac:dyDescent="0.2">
      <c r="CQ274" s="23" t="s">
        <v>77</v>
      </c>
    </row>
    <row r="275" spans="95:95" x14ac:dyDescent="0.2">
      <c r="CQ275" s="23" t="s">
        <v>77</v>
      </c>
    </row>
    <row r="276" spans="95:95" x14ac:dyDescent="0.2">
      <c r="CQ276" s="23" t="s">
        <v>77</v>
      </c>
    </row>
    <row r="277" spans="95:95" x14ac:dyDescent="0.2">
      <c r="CQ277" s="23" t="s">
        <v>77</v>
      </c>
    </row>
    <row r="278" spans="95:95" x14ac:dyDescent="0.2">
      <c r="CQ278" s="23" t="s">
        <v>77</v>
      </c>
    </row>
    <row r="279" spans="95:95" x14ac:dyDescent="0.2">
      <c r="CQ279" s="23" t="s">
        <v>77</v>
      </c>
    </row>
    <row r="280" spans="95:95" x14ac:dyDescent="0.2">
      <c r="CQ280" s="23" t="s">
        <v>77</v>
      </c>
    </row>
    <row r="281" spans="95:95" x14ac:dyDescent="0.2">
      <c r="CQ281" s="23" t="s">
        <v>77</v>
      </c>
    </row>
    <row r="282" spans="95:95" x14ac:dyDescent="0.2">
      <c r="CQ282" s="23" t="s">
        <v>77</v>
      </c>
    </row>
    <row r="283" spans="95:95" x14ac:dyDescent="0.2">
      <c r="CQ283" s="23" t="s">
        <v>77</v>
      </c>
    </row>
    <row r="284" spans="95:95" x14ac:dyDescent="0.2">
      <c r="CQ284" s="23" t="s">
        <v>77</v>
      </c>
    </row>
    <row r="285" spans="95:95" x14ac:dyDescent="0.2">
      <c r="CQ285" s="23" t="s">
        <v>77</v>
      </c>
    </row>
    <row r="286" spans="95:95" x14ac:dyDescent="0.2">
      <c r="CQ286" s="23" t="s">
        <v>77</v>
      </c>
    </row>
    <row r="287" spans="95:95" x14ac:dyDescent="0.2">
      <c r="CQ287" s="23" t="s">
        <v>77</v>
      </c>
    </row>
    <row r="288" spans="95:95" x14ac:dyDescent="0.2">
      <c r="CQ288" s="23" t="s">
        <v>77</v>
      </c>
    </row>
    <row r="289" spans="95:95" x14ac:dyDescent="0.2">
      <c r="CQ289" s="23" t="s">
        <v>77</v>
      </c>
    </row>
    <row r="290" spans="95:95" x14ac:dyDescent="0.2">
      <c r="CQ290" s="23" t="s">
        <v>77</v>
      </c>
    </row>
    <row r="291" spans="95:95" x14ac:dyDescent="0.2">
      <c r="CQ291" s="23" t="s">
        <v>77</v>
      </c>
    </row>
    <row r="292" spans="95:95" x14ac:dyDescent="0.2">
      <c r="CQ292" s="23" t="s">
        <v>77</v>
      </c>
    </row>
    <row r="293" spans="95:95" x14ac:dyDescent="0.2">
      <c r="CQ293" s="23" t="s">
        <v>77</v>
      </c>
    </row>
    <row r="294" spans="95:95" x14ac:dyDescent="0.2">
      <c r="CQ294" s="23" t="s">
        <v>77</v>
      </c>
    </row>
    <row r="295" spans="95:95" x14ac:dyDescent="0.2">
      <c r="CQ295" s="23" t="s">
        <v>77</v>
      </c>
    </row>
    <row r="296" spans="95:95" x14ac:dyDescent="0.2">
      <c r="CQ296" s="23" t="s">
        <v>77</v>
      </c>
    </row>
    <row r="297" spans="95:95" x14ac:dyDescent="0.2">
      <c r="CQ297" s="23" t="s">
        <v>77</v>
      </c>
    </row>
    <row r="298" spans="95:95" x14ac:dyDescent="0.2">
      <c r="CQ298" s="23" t="s">
        <v>77</v>
      </c>
    </row>
    <row r="299" spans="95:95" x14ac:dyDescent="0.2">
      <c r="CQ299" s="23" t="s">
        <v>77</v>
      </c>
    </row>
    <row r="300" spans="95:95" x14ac:dyDescent="0.2">
      <c r="CQ300" s="23" t="s">
        <v>77</v>
      </c>
    </row>
    <row r="301" spans="95:95" x14ac:dyDescent="0.2">
      <c r="CQ301" s="23" t="s">
        <v>77</v>
      </c>
    </row>
    <row r="302" spans="95:95" x14ac:dyDescent="0.2">
      <c r="CQ302" s="23" t="s">
        <v>77</v>
      </c>
    </row>
    <row r="303" spans="95:95" x14ac:dyDescent="0.2">
      <c r="CQ303" s="23" t="s">
        <v>77</v>
      </c>
    </row>
    <row r="304" spans="95:95" x14ac:dyDescent="0.2">
      <c r="CQ304" s="23" t="s">
        <v>77</v>
      </c>
    </row>
    <row r="305" spans="95:95" x14ac:dyDescent="0.2">
      <c r="CQ305" s="23" t="s">
        <v>77</v>
      </c>
    </row>
    <row r="306" spans="95:95" x14ac:dyDescent="0.2">
      <c r="CQ306" s="23" t="s">
        <v>77</v>
      </c>
    </row>
    <row r="307" spans="95:95" x14ac:dyDescent="0.2">
      <c r="CQ307" s="23" t="s">
        <v>77</v>
      </c>
    </row>
    <row r="308" spans="95:95" x14ac:dyDescent="0.2">
      <c r="CQ308" s="23" t="s">
        <v>77</v>
      </c>
    </row>
    <row r="309" spans="95:95" x14ac:dyDescent="0.2">
      <c r="CQ309" s="23" t="s">
        <v>77</v>
      </c>
    </row>
    <row r="310" spans="95:95" x14ac:dyDescent="0.2">
      <c r="CQ310" s="23" t="s">
        <v>77</v>
      </c>
    </row>
    <row r="311" spans="95:95" x14ac:dyDescent="0.2">
      <c r="CQ311" s="23" t="s">
        <v>77</v>
      </c>
    </row>
    <row r="312" spans="95:95" x14ac:dyDescent="0.2">
      <c r="CQ312" s="23" t="s">
        <v>77</v>
      </c>
    </row>
    <row r="313" spans="95:95" x14ac:dyDescent="0.2">
      <c r="CQ313" s="23" t="s">
        <v>77</v>
      </c>
    </row>
    <row r="314" spans="95:95" x14ac:dyDescent="0.2">
      <c r="CQ314" s="23" t="s">
        <v>77</v>
      </c>
    </row>
    <row r="315" spans="95:95" x14ac:dyDescent="0.2">
      <c r="CQ315" s="23" t="s">
        <v>77</v>
      </c>
    </row>
    <row r="316" spans="95:95" x14ac:dyDescent="0.2">
      <c r="CQ316" s="23" t="s">
        <v>77</v>
      </c>
    </row>
    <row r="317" spans="95:95" x14ac:dyDescent="0.2">
      <c r="CQ317" s="23" t="s">
        <v>77</v>
      </c>
    </row>
    <row r="318" spans="95:95" x14ac:dyDescent="0.2">
      <c r="CQ318" s="23" t="s">
        <v>77</v>
      </c>
    </row>
    <row r="319" spans="95:95" x14ac:dyDescent="0.2">
      <c r="CQ319" s="23" t="s">
        <v>77</v>
      </c>
    </row>
    <row r="320" spans="95:95" x14ac:dyDescent="0.2">
      <c r="CQ320" s="23" t="s">
        <v>77</v>
      </c>
    </row>
    <row r="321" spans="95:95" x14ac:dyDescent="0.2">
      <c r="CQ321" s="23" t="s">
        <v>77</v>
      </c>
    </row>
    <row r="322" spans="95:95" x14ac:dyDescent="0.2">
      <c r="CQ322" s="23" t="s">
        <v>77</v>
      </c>
    </row>
    <row r="323" spans="95:95" x14ac:dyDescent="0.2">
      <c r="CQ323" s="23" t="s">
        <v>77</v>
      </c>
    </row>
    <row r="324" spans="95:95" x14ac:dyDescent="0.2">
      <c r="CQ324" s="23" t="s">
        <v>77</v>
      </c>
    </row>
    <row r="325" spans="95:95" x14ac:dyDescent="0.2">
      <c r="CQ325" s="23" t="s">
        <v>77</v>
      </c>
    </row>
    <row r="326" spans="95:95" x14ac:dyDescent="0.2">
      <c r="CQ326" s="23" t="s">
        <v>77</v>
      </c>
    </row>
    <row r="327" spans="95:95" x14ac:dyDescent="0.2">
      <c r="CQ327" s="23" t="s">
        <v>77</v>
      </c>
    </row>
    <row r="328" spans="95:95" x14ac:dyDescent="0.2">
      <c r="CQ328" s="23" t="s">
        <v>77</v>
      </c>
    </row>
    <row r="329" spans="95:95" x14ac:dyDescent="0.2">
      <c r="CQ329" s="23" t="s">
        <v>77</v>
      </c>
    </row>
    <row r="330" spans="95:95" x14ac:dyDescent="0.2">
      <c r="CQ330" s="23" t="s">
        <v>77</v>
      </c>
    </row>
    <row r="331" spans="95:95" x14ac:dyDescent="0.2">
      <c r="CQ331" s="23" t="s">
        <v>77</v>
      </c>
    </row>
    <row r="332" spans="95:95" x14ac:dyDescent="0.2">
      <c r="CQ332" s="23" t="s">
        <v>77</v>
      </c>
    </row>
    <row r="333" spans="95:95" x14ac:dyDescent="0.2">
      <c r="CQ333" s="23" t="s">
        <v>77</v>
      </c>
    </row>
    <row r="334" spans="95:95" x14ac:dyDescent="0.2">
      <c r="CQ334" s="23" t="s">
        <v>77</v>
      </c>
    </row>
    <row r="335" spans="95:95" x14ac:dyDescent="0.2">
      <c r="CQ335" s="23" t="s">
        <v>77</v>
      </c>
    </row>
    <row r="336" spans="95:95" x14ac:dyDescent="0.2">
      <c r="CQ336" s="23" t="s">
        <v>77</v>
      </c>
    </row>
    <row r="337" spans="95:95" x14ac:dyDescent="0.2">
      <c r="CQ337" s="23" t="s">
        <v>77</v>
      </c>
    </row>
    <row r="338" spans="95:95" x14ac:dyDescent="0.2">
      <c r="CQ338" s="23" t="s">
        <v>77</v>
      </c>
    </row>
    <row r="339" spans="95:95" x14ac:dyDescent="0.2">
      <c r="CQ339" s="23" t="s">
        <v>77</v>
      </c>
    </row>
    <row r="340" spans="95:95" x14ac:dyDescent="0.2">
      <c r="CQ340" s="23" t="s">
        <v>77</v>
      </c>
    </row>
    <row r="341" spans="95:95" x14ac:dyDescent="0.2">
      <c r="CQ341" s="23" t="s">
        <v>77</v>
      </c>
    </row>
    <row r="342" spans="95:95" x14ac:dyDescent="0.2">
      <c r="CQ342" s="23" t="s">
        <v>77</v>
      </c>
    </row>
    <row r="343" spans="95:95" x14ac:dyDescent="0.2">
      <c r="CQ343" s="23" t="s">
        <v>77</v>
      </c>
    </row>
    <row r="344" spans="95:95" x14ac:dyDescent="0.2">
      <c r="CQ344" s="23" t="s">
        <v>77</v>
      </c>
    </row>
    <row r="345" spans="95:95" x14ac:dyDescent="0.2">
      <c r="CQ345" s="23" t="s">
        <v>77</v>
      </c>
    </row>
    <row r="346" spans="95:95" x14ac:dyDescent="0.2">
      <c r="CQ346" s="23" t="s">
        <v>77</v>
      </c>
    </row>
    <row r="347" spans="95:95" x14ac:dyDescent="0.2">
      <c r="CQ347" s="23" t="s">
        <v>77</v>
      </c>
    </row>
    <row r="348" spans="95:95" x14ac:dyDescent="0.2">
      <c r="CQ348" s="23" t="s">
        <v>77</v>
      </c>
    </row>
    <row r="349" spans="95:95" x14ac:dyDescent="0.2">
      <c r="CQ349" s="23" t="s">
        <v>77</v>
      </c>
    </row>
    <row r="350" spans="95:95" x14ac:dyDescent="0.2">
      <c r="CQ350" s="23" t="s">
        <v>77</v>
      </c>
    </row>
    <row r="351" spans="95:95" x14ac:dyDescent="0.2">
      <c r="CQ351" s="23" t="s">
        <v>77</v>
      </c>
    </row>
    <row r="352" spans="95:95" x14ac:dyDescent="0.2">
      <c r="CQ352" s="23" t="s">
        <v>77</v>
      </c>
    </row>
    <row r="353" spans="95:95" x14ac:dyDescent="0.2">
      <c r="CQ353" s="23" t="s">
        <v>77</v>
      </c>
    </row>
    <row r="354" spans="95:95" x14ac:dyDescent="0.2">
      <c r="CQ354" s="23" t="s">
        <v>77</v>
      </c>
    </row>
    <row r="355" spans="95:95" x14ac:dyDescent="0.2">
      <c r="CQ355" s="23" t="s">
        <v>77</v>
      </c>
    </row>
    <row r="356" spans="95:95" x14ac:dyDescent="0.2">
      <c r="CQ356" s="23" t="s">
        <v>77</v>
      </c>
    </row>
    <row r="357" spans="95:95" x14ac:dyDescent="0.2">
      <c r="CQ357" s="23" t="s">
        <v>77</v>
      </c>
    </row>
    <row r="358" spans="95:95" x14ac:dyDescent="0.2">
      <c r="CQ358" s="23" t="s">
        <v>77</v>
      </c>
    </row>
    <row r="359" spans="95:95" x14ac:dyDescent="0.2">
      <c r="CQ359" s="23" t="s">
        <v>77</v>
      </c>
    </row>
    <row r="360" spans="95:95" x14ac:dyDescent="0.2">
      <c r="CQ360" s="23" t="s">
        <v>77</v>
      </c>
    </row>
    <row r="361" spans="95:95" x14ac:dyDescent="0.2">
      <c r="CQ361" s="23" t="s">
        <v>77</v>
      </c>
    </row>
    <row r="362" spans="95:95" x14ac:dyDescent="0.2">
      <c r="CQ362" s="23" t="s">
        <v>77</v>
      </c>
    </row>
    <row r="363" spans="95:95" x14ac:dyDescent="0.2">
      <c r="CQ363" s="23" t="s">
        <v>77</v>
      </c>
    </row>
    <row r="364" spans="95:95" x14ac:dyDescent="0.2">
      <c r="CQ364" s="23" t="s">
        <v>77</v>
      </c>
    </row>
    <row r="365" spans="95:95" x14ac:dyDescent="0.2">
      <c r="CQ365" s="23" t="s">
        <v>77</v>
      </c>
    </row>
    <row r="366" spans="95:95" x14ac:dyDescent="0.2">
      <c r="CQ366" s="23" t="s">
        <v>77</v>
      </c>
    </row>
    <row r="367" spans="95:95" x14ac:dyDescent="0.2">
      <c r="CQ367" s="23" t="s">
        <v>77</v>
      </c>
    </row>
    <row r="368" spans="95:95" x14ac:dyDescent="0.2">
      <c r="CQ368" s="23" t="s">
        <v>77</v>
      </c>
    </row>
    <row r="369" spans="95:95" x14ac:dyDescent="0.2">
      <c r="CQ369" s="23" t="s">
        <v>77</v>
      </c>
    </row>
    <row r="370" spans="95:95" x14ac:dyDescent="0.2">
      <c r="CQ370" s="23" t="s">
        <v>77</v>
      </c>
    </row>
    <row r="371" spans="95:95" x14ac:dyDescent="0.2">
      <c r="CQ371" s="23" t="s">
        <v>77</v>
      </c>
    </row>
    <row r="372" spans="95:95" x14ac:dyDescent="0.2">
      <c r="CQ372" s="23" t="s">
        <v>77</v>
      </c>
    </row>
  </sheetData>
  <phoneticPr fontId="0" type="noConversion"/>
  <conditionalFormatting sqref="X34:CP42">
    <cfRule type="cellIs" dxfId="40" priority="1" stopIfTrue="1" operator="equal">
      <formula>2</formula>
    </cfRule>
    <cfRule type="cellIs" dxfId="39" priority="2" stopIfTrue="1" operator="equal">
      <formula>1</formula>
    </cfRule>
  </conditionalFormatting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R105"/>
  <sheetViews>
    <sheetView showGridLines="0" workbookViewId="0">
      <selection activeCell="Z33" sqref="Z33"/>
    </sheetView>
  </sheetViews>
  <sheetFormatPr defaultRowHeight="11.25" outlineLevelRow="1" outlineLevelCol="1" x14ac:dyDescent="0.2"/>
  <cols>
    <col min="1" max="1" width="1" style="8" customWidth="1"/>
    <col min="2" max="2" width="33.33203125" style="8" customWidth="1"/>
    <col min="3" max="3" width="1" style="24" customWidth="1"/>
    <col min="4" max="5" width="9.33203125" style="8" customWidth="1"/>
    <col min="6" max="10" width="9.33203125" style="8" hidden="1" customWidth="1" outlineLevel="1"/>
    <col min="11" max="18" width="9.33203125" style="9" hidden="1" customWidth="1" outlineLevel="1"/>
    <col min="19" max="19" width="9.33203125" style="9" collapsed="1"/>
    <col min="20" max="23" width="9.33203125" style="9"/>
    <col min="24" max="24" width="11" style="9" bestFit="1" customWidth="1"/>
    <col min="25" max="25" width="10" style="9" bestFit="1" customWidth="1"/>
    <col min="26" max="55" width="9.33203125" style="9" customWidth="1" outlineLevel="1"/>
    <col min="56" max="56" width="11.33203125" style="9" bestFit="1" customWidth="1"/>
    <col min="57" max="94" width="11.33203125" style="9" customWidth="1"/>
    <col min="95" max="95" width="9.33203125" style="8" customWidth="1"/>
    <col min="96" max="16384" width="9.33203125" style="8"/>
  </cols>
  <sheetData>
    <row r="1" spans="1:95" s="218" customFormat="1" ht="15.75" x14ac:dyDescent="0.25">
      <c r="A1" s="232" t="s">
        <v>302</v>
      </c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</row>
    <row r="2" spans="1:95" x14ac:dyDescent="0.2">
      <c r="CQ2" s="9"/>
    </row>
    <row r="3" spans="1:95" x14ac:dyDescent="0.2">
      <c r="A3" s="233"/>
      <c r="B3" s="728" t="s">
        <v>10</v>
      </c>
      <c r="D3" s="312"/>
      <c r="E3" s="312"/>
      <c r="F3" s="312"/>
      <c r="G3" s="312"/>
      <c r="H3" s="312"/>
      <c r="I3" s="312"/>
      <c r="J3" s="312"/>
      <c r="K3" s="312">
        <f>Fiscal_Year</f>
        <v>38533</v>
      </c>
      <c r="L3" s="312">
        <f>DATE(YEAR(K3)+1,6,30)</f>
        <v>38898</v>
      </c>
      <c r="M3" s="312">
        <f t="shared" ref="M3:BD3" si="0">DATE(YEAR(L3)+1,6,30)</f>
        <v>39263</v>
      </c>
      <c r="N3" s="312">
        <f t="shared" si="0"/>
        <v>39629</v>
      </c>
      <c r="O3" s="312">
        <f t="shared" si="0"/>
        <v>39994</v>
      </c>
      <c r="P3" s="312">
        <f t="shared" si="0"/>
        <v>40359</v>
      </c>
      <c r="Q3" s="312">
        <f t="shared" si="0"/>
        <v>40724</v>
      </c>
      <c r="R3" s="312">
        <f t="shared" si="0"/>
        <v>41090</v>
      </c>
      <c r="S3" s="312">
        <f t="shared" si="0"/>
        <v>41455</v>
      </c>
      <c r="T3" s="312">
        <f t="shared" si="0"/>
        <v>41820</v>
      </c>
      <c r="U3" s="312">
        <f t="shared" si="0"/>
        <v>42185</v>
      </c>
      <c r="V3" s="312">
        <f t="shared" si="0"/>
        <v>42551</v>
      </c>
      <c r="W3" s="312">
        <f t="shared" si="0"/>
        <v>42916</v>
      </c>
      <c r="X3" s="312">
        <f t="shared" si="0"/>
        <v>43281</v>
      </c>
      <c r="Y3" s="312">
        <f t="shared" si="0"/>
        <v>43646</v>
      </c>
      <c r="Z3" s="312">
        <f t="shared" si="0"/>
        <v>44012</v>
      </c>
      <c r="AA3" s="312">
        <f t="shared" si="0"/>
        <v>44377</v>
      </c>
      <c r="AB3" s="312">
        <f t="shared" si="0"/>
        <v>44742</v>
      </c>
      <c r="AC3" s="312">
        <f t="shared" si="0"/>
        <v>45107</v>
      </c>
      <c r="AD3" s="312">
        <f t="shared" si="0"/>
        <v>45473</v>
      </c>
      <c r="AE3" s="312">
        <f t="shared" si="0"/>
        <v>45838</v>
      </c>
      <c r="AF3" s="312">
        <f t="shared" si="0"/>
        <v>46203</v>
      </c>
      <c r="AG3" s="312">
        <f t="shared" si="0"/>
        <v>46568</v>
      </c>
      <c r="AH3" s="312">
        <f t="shared" si="0"/>
        <v>46934</v>
      </c>
      <c r="AI3" s="312">
        <f t="shared" si="0"/>
        <v>47299</v>
      </c>
      <c r="AJ3" s="312">
        <f t="shared" si="0"/>
        <v>47664</v>
      </c>
      <c r="AK3" s="312">
        <f t="shared" si="0"/>
        <v>48029</v>
      </c>
      <c r="AL3" s="312">
        <f t="shared" si="0"/>
        <v>48395</v>
      </c>
      <c r="AM3" s="312">
        <f t="shared" si="0"/>
        <v>48760</v>
      </c>
      <c r="AN3" s="312">
        <f t="shared" si="0"/>
        <v>49125</v>
      </c>
      <c r="AO3" s="312">
        <f t="shared" si="0"/>
        <v>49490</v>
      </c>
      <c r="AP3" s="312">
        <f t="shared" si="0"/>
        <v>49856</v>
      </c>
      <c r="AQ3" s="312">
        <f t="shared" si="0"/>
        <v>50221</v>
      </c>
      <c r="AR3" s="312">
        <f t="shared" si="0"/>
        <v>50586</v>
      </c>
      <c r="AS3" s="312">
        <f t="shared" si="0"/>
        <v>50951</v>
      </c>
      <c r="AT3" s="312">
        <f t="shared" si="0"/>
        <v>51317</v>
      </c>
      <c r="AU3" s="312">
        <f t="shared" si="0"/>
        <v>51682</v>
      </c>
      <c r="AV3" s="312">
        <f t="shared" si="0"/>
        <v>52047</v>
      </c>
      <c r="AW3" s="312">
        <f t="shared" si="0"/>
        <v>52412</v>
      </c>
      <c r="AX3" s="312">
        <f t="shared" si="0"/>
        <v>52778</v>
      </c>
      <c r="AY3" s="312">
        <f t="shared" si="0"/>
        <v>53143</v>
      </c>
      <c r="AZ3" s="312">
        <f t="shared" si="0"/>
        <v>53508</v>
      </c>
      <c r="BA3" s="312">
        <f t="shared" si="0"/>
        <v>53873</v>
      </c>
      <c r="BB3" s="312">
        <f t="shared" si="0"/>
        <v>54239</v>
      </c>
      <c r="BC3" s="312">
        <f t="shared" si="0"/>
        <v>54604</v>
      </c>
      <c r="BD3" s="312">
        <f t="shared" si="0"/>
        <v>54969</v>
      </c>
      <c r="BE3" s="312">
        <f t="shared" ref="BE3:CP3" si="1">DATE(YEAR(BD3)+1,6,30)</f>
        <v>55334</v>
      </c>
      <c r="BF3" s="312">
        <f t="shared" si="1"/>
        <v>55700</v>
      </c>
      <c r="BG3" s="312">
        <f t="shared" si="1"/>
        <v>56065</v>
      </c>
      <c r="BH3" s="312">
        <f t="shared" si="1"/>
        <v>56430</v>
      </c>
      <c r="BI3" s="312">
        <f t="shared" si="1"/>
        <v>56795</v>
      </c>
      <c r="BJ3" s="312">
        <f t="shared" si="1"/>
        <v>57161</v>
      </c>
      <c r="BK3" s="312">
        <f t="shared" si="1"/>
        <v>57526</v>
      </c>
      <c r="BL3" s="312">
        <f t="shared" si="1"/>
        <v>57891</v>
      </c>
      <c r="BM3" s="312">
        <f t="shared" si="1"/>
        <v>58256</v>
      </c>
      <c r="BN3" s="312">
        <f t="shared" si="1"/>
        <v>58622</v>
      </c>
      <c r="BO3" s="312">
        <f t="shared" si="1"/>
        <v>58987</v>
      </c>
      <c r="BP3" s="312">
        <f t="shared" si="1"/>
        <v>59352</v>
      </c>
      <c r="BQ3" s="312">
        <f t="shared" si="1"/>
        <v>59717</v>
      </c>
      <c r="BR3" s="312">
        <f t="shared" si="1"/>
        <v>60083</v>
      </c>
      <c r="BS3" s="312">
        <f t="shared" si="1"/>
        <v>60448</v>
      </c>
      <c r="BT3" s="312">
        <f t="shared" si="1"/>
        <v>60813</v>
      </c>
      <c r="BU3" s="312">
        <f t="shared" si="1"/>
        <v>61178</v>
      </c>
      <c r="BV3" s="312">
        <f t="shared" si="1"/>
        <v>61544</v>
      </c>
      <c r="BW3" s="312">
        <f t="shared" si="1"/>
        <v>61909</v>
      </c>
      <c r="BX3" s="312">
        <f t="shared" si="1"/>
        <v>62274</v>
      </c>
      <c r="BY3" s="312">
        <f t="shared" si="1"/>
        <v>62639</v>
      </c>
      <c r="BZ3" s="312">
        <f t="shared" si="1"/>
        <v>63005</v>
      </c>
      <c r="CA3" s="312">
        <f t="shared" si="1"/>
        <v>63370</v>
      </c>
      <c r="CB3" s="312">
        <f t="shared" si="1"/>
        <v>63735</v>
      </c>
      <c r="CC3" s="312">
        <f t="shared" si="1"/>
        <v>64100</v>
      </c>
      <c r="CD3" s="312">
        <f t="shared" si="1"/>
        <v>64466</v>
      </c>
      <c r="CE3" s="312">
        <f t="shared" si="1"/>
        <v>64831</v>
      </c>
      <c r="CF3" s="312">
        <f t="shared" si="1"/>
        <v>65196</v>
      </c>
      <c r="CG3" s="312">
        <f t="shared" si="1"/>
        <v>65561</v>
      </c>
      <c r="CH3" s="312">
        <f t="shared" si="1"/>
        <v>65927</v>
      </c>
      <c r="CI3" s="312">
        <f t="shared" si="1"/>
        <v>66292</v>
      </c>
      <c r="CJ3" s="312">
        <f t="shared" si="1"/>
        <v>66657</v>
      </c>
      <c r="CK3" s="312">
        <f t="shared" si="1"/>
        <v>67022</v>
      </c>
      <c r="CL3" s="312">
        <f t="shared" si="1"/>
        <v>67388</v>
      </c>
      <c r="CM3" s="312">
        <f t="shared" si="1"/>
        <v>67753</v>
      </c>
      <c r="CN3" s="312">
        <f t="shared" si="1"/>
        <v>68118</v>
      </c>
      <c r="CO3" s="312">
        <f t="shared" si="1"/>
        <v>68483</v>
      </c>
      <c r="CP3" s="312">
        <f t="shared" si="1"/>
        <v>68849</v>
      </c>
      <c r="CQ3" s="23" t="s">
        <v>77</v>
      </c>
    </row>
    <row r="4" spans="1:95" x14ac:dyDescent="0.2">
      <c r="CQ4" s="23" t="s">
        <v>77</v>
      </c>
    </row>
    <row r="5" spans="1:95" s="233" customFormat="1" x14ac:dyDescent="0.2">
      <c r="B5" s="728" t="s">
        <v>304</v>
      </c>
      <c r="C5" s="24"/>
      <c r="D5" s="312"/>
      <c r="E5" s="312"/>
      <c r="F5" s="312"/>
      <c r="G5" s="312"/>
      <c r="H5" s="312"/>
      <c r="I5" s="312"/>
      <c r="J5" s="312"/>
      <c r="K5" s="312">
        <f t="shared" ref="K5:AK5" si="2">Fiscal_Year</f>
        <v>38533</v>
      </c>
      <c r="L5" s="312">
        <f t="shared" si="2"/>
        <v>38898</v>
      </c>
      <c r="M5" s="312">
        <f t="shared" si="2"/>
        <v>39263</v>
      </c>
      <c r="N5" s="312">
        <f t="shared" si="2"/>
        <v>39629</v>
      </c>
      <c r="O5" s="312">
        <f t="shared" si="2"/>
        <v>39994</v>
      </c>
      <c r="P5" s="312">
        <f t="shared" si="2"/>
        <v>40359</v>
      </c>
      <c r="Q5" s="312">
        <f t="shared" si="2"/>
        <v>40724</v>
      </c>
      <c r="R5" s="312">
        <f t="shared" si="2"/>
        <v>41090</v>
      </c>
      <c r="S5" s="312">
        <f t="shared" si="2"/>
        <v>41455</v>
      </c>
      <c r="T5" s="312">
        <f t="shared" si="2"/>
        <v>41820</v>
      </c>
      <c r="U5" s="312">
        <f t="shared" si="2"/>
        <v>42185</v>
      </c>
      <c r="V5" s="312">
        <f t="shared" si="2"/>
        <v>42551</v>
      </c>
      <c r="W5" s="312">
        <f t="shared" si="2"/>
        <v>42916</v>
      </c>
      <c r="X5" s="312">
        <f t="shared" si="2"/>
        <v>43281</v>
      </c>
      <c r="Y5" s="312">
        <f t="shared" si="2"/>
        <v>43646</v>
      </c>
      <c r="Z5" s="312">
        <f t="shared" si="2"/>
        <v>44012</v>
      </c>
      <c r="AA5" s="312">
        <f t="shared" si="2"/>
        <v>44377</v>
      </c>
      <c r="AB5" s="312">
        <f t="shared" si="2"/>
        <v>44742</v>
      </c>
      <c r="AC5" s="312">
        <f t="shared" si="2"/>
        <v>45107</v>
      </c>
      <c r="AD5" s="312">
        <f t="shared" si="2"/>
        <v>45473</v>
      </c>
      <c r="AE5" s="312">
        <f t="shared" si="2"/>
        <v>45838</v>
      </c>
      <c r="AF5" s="312">
        <f t="shared" si="2"/>
        <v>46203</v>
      </c>
      <c r="AG5" s="312">
        <f t="shared" si="2"/>
        <v>46568</v>
      </c>
      <c r="AH5" s="312">
        <f t="shared" si="2"/>
        <v>46934</v>
      </c>
      <c r="AI5" s="312">
        <f t="shared" si="2"/>
        <v>47299</v>
      </c>
      <c r="AJ5" s="312">
        <f t="shared" si="2"/>
        <v>47664</v>
      </c>
      <c r="AK5" s="312">
        <f t="shared" si="2"/>
        <v>48029</v>
      </c>
      <c r="AL5" s="312">
        <f t="shared" ref="AL5:CP5" si="3">Fiscal_Year</f>
        <v>48395</v>
      </c>
      <c r="AM5" s="312">
        <f t="shared" si="3"/>
        <v>48760</v>
      </c>
      <c r="AN5" s="312">
        <f t="shared" si="3"/>
        <v>49125</v>
      </c>
      <c r="AO5" s="312">
        <f t="shared" si="3"/>
        <v>49490</v>
      </c>
      <c r="AP5" s="312">
        <f t="shared" si="3"/>
        <v>49856</v>
      </c>
      <c r="AQ5" s="312">
        <f t="shared" si="3"/>
        <v>50221</v>
      </c>
      <c r="AR5" s="312">
        <f t="shared" si="3"/>
        <v>50586</v>
      </c>
      <c r="AS5" s="312">
        <f t="shared" si="3"/>
        <v>50951</v>
      </c>
      <c r="AT5" s="312">
        <f t="shared" si="3"/>
        <v>51317</v>
      </c>
      <c r="AU5" s="312">
        <f t="shared" si="3"/>
        <v>51682</v>
      </c>
      <c r="AV5" s="312">
        <f t="shared" si="3"/>
        <v>52047</v>
      </c>
      <c r="AW5" s="312">
        <f t="shared" si="3"/>
        <v>52412</v>
      </c>
      <c r="AX5" s="312">
        <f t="shared" si="3"/>
        <v>52778</v>
      </c>
      <c r="AY5" s="312">
        <f t="shared" si="3"/>
        <v>53143</v>
      </c>
      <c r="AZ5" s="312">
        <f t="shared" si="3"/>
        <v>53508</v>
      </c>
      <c r="BA5" s="312">
        <f t="shared" si="3"/>
        <v>53873</v>
      </c>
      <c r="BB5" s="312">
        <f t="shared" si="3"/>
        <v>54239</v>
      </c>
      <c r="BC5" s="312">
        <f t="shared" si="3"/>
        <v>54604</v>
      </c>
      <c r="BD5" s="312">
        <f t="shared" si="3"/>
        <v>54969</v>
      </c>
      <c r="BE5" s="312">
        <f t="shared" si="3"/>
        <v>55334</v>
      </c>
      <c r="BF5" s="312">
        <f t="shared" si="3"/>
        <v>55700</v>
      </c>
      <c r="BG5" s="312">
        <f t="shared" si="3"/>
        <v>56065</v>
      </c>
      <c r="BH5" s="312">
        <f t="shared" si="3"/>
        <v>56430</v>
      </c>
      <c r="BI5" s="312">
        <f t="shared" si="3"/>
        <v>56795</v>
      </c>
      <c r="BJ5" s="312">
        <f t="shared" si="3"/>
        <v>57161</v>
      </c>
      <c r="BK5" s="312">
        <f t="shared" si="3"/>
        <v>57526</v>
      </c>
      <c r="BL5" s="312">
        <f t="shared" si="3"/>
        <v>57891</v>
      </c>
      <c r="BM5" s="312">
        <f t="shared" si="3"/>
        <v>58256</v>
      </c>
      <c r="BN5" s="312">
        <f t="shared" si="3"/>
        <v>58622</v>
      </c>
      <c r="BO5" s="312">
        <f t="shared" si="3"/>
        <v>58987</v>
      </c>
      <c r="BP5" s="312">
        <f t="shared" si="3"/>
        <v>59352</v>
      </c>
      <c r="BQ5" s="312">
        <f t="shared" si="3"/>
        <v>59717</v>
      </c>
      <c r="BR5" s="312">
        <f t="shared" si="3"/>
        <v>60083</v>
      </c>
      <c r="BS5" s="312">
        <f t="shared" si="3"/>
        <v>60448</v>
      </c>
      <c r="BT5" s="312">
        <f t="shared" si="3"/>
        <v>60813</v>
      </c>
      <c r="BU5" s="312">
        <f t="shared" si="3"/>
        <v>61178</v>
      </c>
      <c r="BV5" s="312">
        <f t="shared" si="3"/>
        <v>61544</v>
      </c>
      <c r="BW5" s="312">
        <f t="shared" si="3"/>
        <v>61909</v>
      </c>
      <c r="BX5" s="312">
        <f t="shared" si="3"/>
        <v>62274</v>
      </c>
      <c r="BY5" s="312">
        <f t="shared" si="3"/>
        <v>62639</v>
      </c>
      <c r="BZ5" s="312">
        <f t="shared" si="3"/>
        <v>63005</v>
      </c>
      <c r="CA5" s="312">
        <f t="shared" si="3"/>
        <v>63370</v>
      </c>
      <c r="CB5" s="312">
        <f t="shared" si="3"/>
        <v>63735</v>
      </c>
      <c r="CC5" s="312">
        <f t="shared" si="3"/>
        <v>64100</v>
      </c>
      <c r="CD5" s="312">
        <f t="shared" si="3"/>
        <v>64466</v>
      </c>
      <c r="CE5" s="312">
        <f t="shared" si="3"/>
        <v>64831</v>
      </c>
      <c r="CF5" s="312">
        <f t="shared" si="3"/>
        <v>65196</v>
      </c>
      <c r="CG5" s="312">
        <f t="shared" si="3"/>
        <v>65561</v>
      </c>
      <c r="CH5" s="312">
        <f t="shared" si="3"/>
        <v>65927</v>
      </c>
      <c r="CI5" s="312">
        <f t="shared" si="3"/>
        <v>66292</v>
      </c>
      <c r="CJ5" s="312">
        <f t="shared" si="3"/>
        <v>66657</v>
      </c>
      <c r="CK5" s="312">
        <f t="shared" si="3"/>
        <v>67022</v>
      </c>
      <c r="CL5" s="312">
        <f t="shared" si="3"/>
        <v>67388</v>
      </c>
      <c r="CM5" s="312">
        <f t="shared" si="3"/>
        <v>67753</v>
      </c>
      <c r="CN5" s="312">
        <f t="shared" si="3"/>
        <v>68118</v>
      </c>
      <c r="CO5" s="312">
        <f t="shared" si="3"/>
        <v>68483</v>
      </c>
      <c r="CP5" s="312">
        <f t="shared" si="3"/>
        <v>68849</v>
      </c>
      <c r="CQ5" s="23" t="s">
        <v>77</v>
      </c>
    </row>
    <row r="6" spans="1:95" ht="5.0999999999999996" customHeight="1" x14ac:dyDescent="0.2">
      <c r="CQ6" s="23" t="s">
        <v>77</v>
      </c>
    </row>
    <row r="7" spans="1:95" s="98" customFormat="1" outlineLevel="1" x14ac:dyDescent="0.2">
      <c r="B7" s="98" t="s">
        <v>305</v>
      </c>
      <c r="C7" s="25"/>
      <c r="K7" s="634">
        <f>Qld!K7</f>
        <v>2.4860161591050201E-2</v>
      </c>
      <c r="L7" s="634">
        <f>Qld!L7</f>
        <v>3.0018192844148306E-2</v>
      </c>
      <c r="M7" s="634">
        <f>Qld!M7</f>
        <v>2.7377097438916476E-2</v>
      </c>
      <c r="N7" s="634">
        <f>Qld!N7</f>
        <v>2.9799426934097317E-2</v>
      </c>
      <c r="O7" s="634">
        <f>Qld!O7</f>
        <v>3.0884808013355691E-2</v>
      </c>
      <c r="P7" s="634">
        <f>Qld!P7</f>
        <v>2.3211875843454743E-2</v>
      </c>
      <c r="Q7" s="634">
        <f>Qld!Q7</f>
        <v>2.9807438670535369E-2</v>
      </c>
      <c r="R7" s="634">
        <f>Qld!R7</f>
        <v>2.4846311475410054E-2</v>
      </c>
      <c r="S7" s="634">
        <f>Qld!S7</f>
        <v>2.5493626593351415E-2</v>
      </c>
      <c r="T7" s="634">
        <f>Qld!T7</f>
        <v>2.8128031037827302E-2</v>
      </c>
      <c r="U7" s="634">
        <f>Qld!U7</f>
        <v>0.02</v>
      </c>
      <c r="V7" s="634">
        <f>Qld!V7</f>
        <v>1.4999999999999999E-2</v>
      </c>
      <c r="W7" s="634">
        <f>Qld!W7</f>
        <v>1.4999999999999999E-2</v>
      </c>
      <c r="X7" s="634">
        <f>Qld!X7</f>
        <v>2.5000000000000001E-2</v>
      </c>
      <c r="Y7" s="634">
        <f>Qld!Y7</f>
        <v>2.5000000000000001E-2</v>
      </c>
      <c r="Z7" s="634">
        <f>Qld!Z7</f>
        <v>2.5000000000000001E-2</v>
      </c>
      <c r="AA7" s="634">
        <f>Qld!AA7</f>
        <v>2.5000000000000001E-2</v>
      </c>
      <c r="AB7" s="634">
        <f>Qld!AB7</f>
        <v>2.5000000000000001E-2</v>
      </c>
      <c r="AC7" s="634">
        <f>Qld!AC7</f>
        <v>2.5000000000000001E-2</v>
      </c>
      <c r="AD7" s="634">
        <f>Qld!AD7</f>
        <v>2.5000000000000001E-2</v>
      </c>
      <c r="AE7" s="634">
        <f>Qld!AE7</f>
        <v>2.5000000000000001E-2</v>
      </c>
      <c r="AF7" s="634">
        <f>Qld!AF7</f>
        <v>2.5000000000000001E-2</v>
      </c>
      <c r="AG7" s="634">
        <f>Qld!AG7</f>
        <v>2.5000000000000001E-2</v>
      </c>
      <c r="AH7" s="634">
        <f>Qld!AH7</f>
        <v>2.5000000000000001E-2</v>
      </c>
      <c r="AI7" s="634">
        <f>Qld!AI7</f>
        <v>2.5000000000000001E-2</v>
      </c>
      <c r="AJ7" s="634">
        <f>Qld!AJ7</f>
        <v>2.5000000000000001E-2</v>
      </c>
      <c r="AK7" s="634">
        <f>Qld!AK7</f>
        <v>2.5000000000000001E-2</v>
      </c>
      <c r="AL7" s="634">
        <f>Qld!AL7</f>
        <v>2.5000000000000001E-2</v>
      </c>
      <c r="AM7" s="634">
        <f>Qld!AM7</f>
        <v>2.5000000000000001E-2</v>
      </c>
      <c r="AN7" s="634">
        <f>Qld!AN7</f>
        <v>2.5000000000000001E-2</v>
      </c>
      <c r="AO7" s="634">
        <f>Qld!AO7</f>
        <v>2.5000000000000001E-2</v>
      </c>
      <c r="AP7" s="634">
        <f>Qld!AP7</f>
        <v>2.5000000000000001E-2</v>
      </c>
      <c r="AQ7" s="634">
        <f>Qld!AQ7</f>
        <v>2.5000000000000001E-2</v>
      </c>
      <c r="AR7" s="634">
        <f>Qld!AR7</f>
        <v>2.5000000000000001E-2</v>
      </c>
      <c r="AS7" s="634">
        <f>Qld!AS7</f>
        <v>2.5000000000000001E-2</v>
      </c>
      <c r="AT7" s="634">
        <f>Qld!AT7</f>
        <v>2.5000000000000001E-2</v>
      </c>
      <c r="AU7" s="634">
        <f>Qld!AU7</f>
        <v>2.5000000000000001E-2</v>
      </c>
      <c r="AV7" s="634">
        <f>Qld!AV7</f>
        <v>2.5000000000000001E-2</v>
      </c>
      <c r="AW7" s="634">
        <f>Qld!AW7</f>
        <v>2.5000000000000001E-2</v>
      </c>
      <c r="AX7" s="634">
        <f>Qld!AX7</f>
        <v>2.5000000000000001E-2</v>
      </c>
      <c r="AY7" s="634">
        <f>Qld!AY7</f>
        <v>2.5000000000000001E-2</v>
      </c>
      <c r="AZ7" s="634">
        <f>Qld!AZ7</f>
        <v>2.5000000000000001E-2</v>
      </c>
      <c r="BA7" s="634">
        <f>Qld!BA7</f>
        <v>2.5000000000000001E-2</v>
      </c>
      <c r="BB7" s="634">
        <f>Qld!BB7</f>
        <v>2.5000000000000001E-2</v>
      </c>
      <c r="BC7" s="634">
        <f>Qld!BC7</f>
        <v>2.5000000000000001E-2</v>
      </c>
      <c r="BD7" s="634">
        <f>Qld!BD7</f>
        <v>2.5000000000000001E-2</v>
      </c>
      <c r="BE7" s="634">
        <f>Qld!BE7</f>
        <v>2.5000000000000001E-2</v>
      </c>
      <c r="BF7" s="634">
        <f>Qld!BF7</f>
        <v>2.5000000000000001E-2</v>
      </c>
      <c r="BG7" s="634">
        <f>Qld!BG7</f>
        <v>2.5000000000000001E-2</v>
      </c>
      <c r="BH7" s="634">
        <f>Qld!BH7</f>
        <v>2.5000000000000001E-2</v>
      </c>
      <c r="BI7" s="634">
        <f>Qld!BI7</f>
        <v>2.5000000000000001E-2</v>
      </c>
      <c r="BJ7" s="634">
        <f>Qld!BJ7</f>
        <v>2.5000000000000001E-2</v>
      </c>
      <c r="BK7" s="634">
        <f>Qld!BK7</f>
        <v>2.5000000000000001E-2</v>
      </c>
      <c r="BL7" s="634">
        <f>Qld!BL7</f>
        <v>2.5000000000000001E-2</v>
      </c>
      <c r="BM7" s="634">
        <f>Qld!BM7</f>
        <v>2.5000000000000001E-2</v>
      </c>
      <c r="BN7" s="634">
        <f>Qld!BN7</f>
        <v>2.5000000000000001E-2</v>
      </c>
      <c r="BO7" s="634">
        <f>Qld!BO7</f>
        <v>2.5000000000000001E-2</v>
      </c>
      <c r="BP7" s="634">
        <f>Qld!BP7</f>
        <v>2.5000000000000001E-2</v>
      </c>
      <c r="BQ7" s="634">
        <f>Qld!BQ7</f>
        <v>2.5000000000000001E-2</v>
      </c>
      <c r="BR7" s="634">
        <f>Qld!BR7</f>
        <v>2.5000000000000001E-2</v>
      </c>
      <c r="BS7" s="634">
        <f>Qld!BS7</f>
        <v>2.5000000000000001E-2</v>
      </c>
      <c r="BT7" s="634">
        <f>Qld!BT7</f>
        <v>2.5000000000000001E-2</v>
      </c>
      <c r="BU7" s="634">
        <f>Qld!BU7</f>
        <v>2.5000000000000001E-2</v>
      </c>
      <c r="BV7" s="634">
        <f>Qld!BV7</f>
        <v>2.5000000000000001E-2</v>
      </c>
      <c r="BW7" s="634">
        <f>Qld!BW7</f>
        <v>2.5000000000000001E-2</v>
      </c>
      <c r="BX7" s="634">
        <f>Qld!BX7</f>
        <v>2.5000000000000001E-2</v>
      </c>
      <c r="BY7" s="634">
        <f>Qld!BY7</f>
        <v>2.5000000000000001E-2</v>
      </c>
      <c r="BZ7" s="634">
        <f>Qld!BZ7</f>
        <v>2.5000000000000001E-2</v>
      </c>
      <c r="CA7" s="634">
        <f>Qld!CA7</f>
        <v>2.5000000000000001E-2</v>
      </c>
      <c r="CB7" s="634">
        <f>Qld!CB7</f>
        <v>2.5000000000000001E-2</v>
      </c>
      <c r="CC7" s="634">
        <f>Qld!CC7</f>
        <v>2.5000000000000001E-2</v>
      </c>
      <c r="CD7" s="634">
        <f>Qld!CD7</f>
        <v>2.5000000000000001E-2</v>
      </c>
      <c r="CE7" s="634">
        <f>Qld!CE7</f>
        <v>2.5000000000000001E-2</v>
      </c>
      <c r="CF7" s="634">
        <f>Qld!CF7</f>
        <v>2.5000000000000001E-2</v>
      </c>
      <c r="CG7" s="634">
        <f>Qld!CG7</f>
        <v>2.5000000000000001E-2</v>
      </c>
      <c r="CH7" s="634">
        <f>Qld!CH7</f>
        <v>2.5000000000000001E-2</v>
      </c>
      <c r="CI7" s="634">
        <f>Qld!CI7</f>
        <v>2.5000000000000001E-2</v>
      </c>
      <c r="CJ7" s="634">
        <f>Qld!CJ7</f>
        <v>2.5000000000000001E-2</v>
      </c>
      <c r="CK7" s="634">
        <f>Qld!CK7</f>
        <v>2.5000000000000001E-2</v>
      </c>
      <c r="CL7" s="634">
        <f>Qld!CL7</f>
        <v>2.5000000000000001E-2</v>
      </c>
      <c r="CM7" s="634">
        <f>Qld!CM7</f>
        <v>2.5000000000000001E-2</v>
      </c>
      <c r="CN7" s="634">
        <f>Qld!CN7</f>
        <v>2.5000000000000001E-2</v>
      </c>
      <c r="CO7" s="634">
        <f>Qld!CO7</f>
        <v>2.5000000000000001E-2</v>
      </c>
      <c r="CP7" s="634">
        <f>Qld!CP7</f>
        <v>2.5000000000000001E-2</v>
      </c>
      <c r="CQ7" s="23" t="s">
        <v>77</v>
      </c>
    </row>
    <row r="8" spans="1:95" s="98" customFormat="1" outlineLevel="1" x14ac:dyDescent="0.2">
      <c r="B8" s="98" t="s">
        <v>306</v>
      </c>
      <c r="C8" s="25"/>
      <c r="K8" s="634">
        <f>Qld!K8</f>
        <v>2.0136307311028778E-2</v>
      </c>
      <c r="L8" s="634">
        <f>Qld!L8</f>
        <v>3.0671120558760867E-2</v>
      </c>
      <c r="M8" s="634">
        <f>Qld!M8</f>
        <v>2.6222746022392496E-2</v>
      </c>
      <c r="N8" s="634">
        <f>Qld!N8</f>
        <v>3.5314384151593714E-2</v>
      </c>
      <c r="O8" s="634">
        <f>Qld!O8</f>
        <v>2.8008874098724101E-2</v>
      </c>
      <c r="P8" s="634">
        <f>Qld!P8</f>
        <v>2.0771513353116111E-2</v>
      </c>
      <c r="Q8" s="634">
        <f>Qld!Q8</f>
        <v>3.3033826638477759E-2</v>
      </c>
      <c r="R8" s="634">
        <f>Qld!R8</f>
        <v>2.3279611153747881E-2</v>
      </c>
      <c r="S8" s="634">
        <f>Qld!S8</f>
        <v>2.1500000000000075E-2</v>
      </c>
      <c r="T8" s="634">
        <f>Qld!T8</f>
        <v>3.2163742690058499E-2</v>
      </c>
      <c r="U8" s="634">
        <f>Qld!U8</f>
        <v>1.4E-2</v>
      </c>
      <c r="V8" s="634">
        <f>Qld!V8</f>
        <v>1.4999999999999999E-2</v>
      </c>
      <c r="W8" s="634">
        <f>Qld!W8</f>
        <v>1.4999999999999999E-2</v>
      </c>
      <c r="X8" s="634">
        <f>Qld!X8</f>
        <v>2.5000000000000001E-2</v>
      </c>
      <c r="Y8" s="634">
        <f>Qld!Y8</f>
        <v>2.5000000000000001E-2</v>
      </c>
      <c r="Z8" s="634">
        <f>Qld!Z8</f>
        <v>2.5000000000000001E-2</v>
      </c>
      <c r="AA8" s="634">
        <f>Qld!AA8</f>
        <v>2.5000000000000001E-2</v>
      </c>
      <c r="AB8" s="634">
        <f>Qld!AB8</f>
        <v>2.5000000000000001E-2</v>
      </c>
      <c r="AC8" s="634">
        <f>Qld!AC8</f>
        <v>2.5000000000000001E-2</v>
      </c>
      <c r="AD8" s="634">
        <f>Qld!AD8</f>
        <v>2.5000000000000001E-2</v>
      </c>
      <c r="AE8" s="634">
        <f>Qld!AE8</f>
        <v>2.5000000000000001E-2</v>
      </c>
      <c r="AF8" s="634">
        <f>Qld!AF8</f>
        <v>2.5000000000000001E-2</v>
      </c>
      <c r="AG8" s="634">
        <f>Qld!AG8</f>
        <v>2.5000000000000001E-2</v>
      </c>
      <c r="AH8" s="634">
        <f>Qld!AH8</f>
        <v>2.5000000000000001E-2</v>
      </c>
      <c r="AI8" s="634">
        <f>Qld!AI8</f>
        <v>2.5000000000000001E-2</v>
      </c>
      <c r="AJ8" s="634">
        <f>Qld!AJ8</f>
        <v>2.5000000000000001E-2</v>
      </c>
      <c r="AK8" s="634">
        <f>Qld!AK8</f>
        <v>2.5000000000000001E-2</v>
      </c>
      <c r="AL8" s="634">
        <f>Qld!AL8</f>
        <v>2.5000000000000001E-2</v>
      </c>
      <c r="AM8" s="634">
        <f>Qld!AM8</f>
        <v>2.5000000000000001E-2</v>
      </c>
      <c r="AN8" s="634">
        <f>Qld!AN8</f>
        <v>2.5000000000000001E-2</v>
      </c>
      <c r="AO8" s="634">
        <f>Qld!AO8</f>
        <v>2.5000000000000001E-2</v>
      </c>
      <c r="AP8" s="634">
        <f>Qld!AP8</f>
        <v>2.5000000000000001E-2</v>
      </c>
      <c r="AQ8" s="634">
        <f>Qld!AQ8</f>
        <v>2.5000000000000001E-2</v>
      </c>
      <c r="AR8" s="634">
        <f>Qld!AR8</f>
        <v>2.5000000000000001E-2</v>
      </c>
      <c r="AS8" s="634">
        <f>Qld!AS8</f>
        <v>2.5000000000000001E-2</v>
      </c>
      <c r="AT8" s="634">
        <f>Qld!AT8</f>
        <v>2.5000000000000001E-2</v>
      </c>
      <c r="AU8" s="634">
        <f>Qld!AU8</f>
        <v>2.5000000000000001E-2</v>
      </c>
      <c r="AV8" s="634">
        <f>Qld!AV8</f>
        <v>2.5000000000000001E-2</v>
      </c>
      <c r="AW8" s="634">
        <f>Qld!AW8</f>
        <v>2.5000000000000001E-2</v>
      </c>
      <c r="AX8" s="634">
        <f>Qld!AX8</f>
        <v>2.5000000000000001E-2</v>
      </c>
      <c r="AY8" s="634">
        <f>Qld!AY8</f>
        <v>2.5000000000000001E-2</v>
      </c>
      <c r="AZ8" s="634">
        <f>Qld!AZ8</f>
        <v>2.5000000000000001E-2</v>
      </c>
      <c r="BA8" s="634">
        <f>Qld!BA8</f>
        <v>2.5000000000000001E-2</v>
      </c>
      <c r="BB8" s="634">
        <f>Qld!BB8</f>
        <v>2.5000000000000001E-2</v>
      </c>
      <c r="BC8" s="634">
        <f>Qld!BC8</f>
        <v>2.5000000000000001E-2</v>
      </c>
      <c r="BD8" s="634">
        <f>Qld!BD8</f>
        <v>2.5000000000000001E-2</v>
      </c>
      <c r="BE8" s="634">
        <f>Qld!BE8</f>
        <v>2.5000000000000001E-2</v>
      </c>
      <c r="BF8" s="634">
        <f>Qld!BF8</f>
        <v>2.5000000000000001E-2</v>
      </c>
      <c r="BG8" s="634">
        <f>Qld!BG8</f>
        <v>2.5000000000000001E-2</v>
      </c>
      <c r="BH8" s="634">
        <f>Qld!BH8</f>
        <v>2.5000000000000001E-2</v>
      </c>
      <c r="BI8" s="634">
        <f>Qld!BI8</f>
        <v>2.5000000000000001E-2</v>
      </c>
      <c r="BJ8" s="634">
        <f>Qld!BJ8</f>
        <v>2.5000000000000001E-2</v>
      </c>
      <c r="BK8" s="634">
        <f>Qld!BK8</f>
        <v>2.5000000000000001E-2</v>
      </c>
      <c r="BL8" s="634">
        <f>Qld!BL8</f>
        <v>2.5000000000000001E-2</v>
      </c>
      <c r="BM8" s="634">
        <f>Qld!BM8</f>
        <v>2.5000000000000001E-2</v>
      </c>
      <c r="BN8" s="634">
        <f>Qld!BN8</f>
        <v>2.5000000000000001E-2</v>
      </c>
      <c r="BO8" s="634">
        <f>Qld!BO8</f>
        <v>2.5000000000000001E-2</v>
      </c>
      <c r="BP8" s="634">
        <f>Qld!BP8</f>
        <v>2.5000000000000001E-2</v>
      </c>
      <c r="BQ8" s="634">
        <f>Qld!BQ8</f>
        <v>2.5000000000000001E-2</v>
      </c>
      <c r="BR8" s="634">
        <f>Qld!BR8</f>
        <v>2.5000000000000001E-2</v>
      </c>
      <c r="BS8" s="634">
        <f>Qld!BS8</f>
        <v>2.5000000000000001E-2</v>
      </c>
      <c r="BT8" s="634">
        <f>Qld!BT8</f>
        <v>2.5000000000000001E-2</v>
      </c>
      <c r="BU8" s="634">
        <f>Qld!BU8</f>
        <v>2.5000000000000001E-2</v>
      </c>
      <c r="BV8" s="634">
        <f>Qld!BV8</f>
        <v>2.5000000000000001E-2</v>
      </c>
      <c r="BW8" s="634">
        <f>Qld!BW8</f>
        <v>2.5000000000000001E-2</v>
      </c>
      <c r="BX8" s="634">
        <f>Qld!BX8</f>
        <v>2.5000000000000001E-2</v>
      </c>
      <c r="BY8" s="634">
        <f>Qld!BY8</f>
        <v>2.5000000000000001E-2</v>
      </c>
      <c r="BZ8" s="634">
        <f>Qld!BZ8</f>
        <v>2.5000000000000001E-2</v>
      </c>
      <c r="CA8" s="634">
        <f>Qld!CA8</f>
        <v>2.5000000000000001E-2</v>
      </c>
      <c r="CB8" s="634">
        <f>Qld!CB8</f>
        <v>2.5000000000000001E-2</v>
      </c>
      <c r="CC8" s="634">
        <f>Qld!CC8</f>
        <v>2.5000000000000001E-2</v>
      </c>
      <c r="CD8" s="634">
        <f>Qld!CD8</f>
        <v>2.5000000000000001E-2</v>
      </c>
      <c r="CE8" s="634">
        <f>Qld!CE8</f>
        <v>2.5000000000000001E-2</v>
      </c>
      <c r="CF8" s="634">
        <f>Qld!CF8</f>
        <v>2.5000000000000001E-2</v>
      </c>
      <c r="CG8" s="634">
        <f>Qld!CG8</f>
        <v>2.5000000000000001E-2</v>
      </c>
      <c r="CH8" s="634">
        <f>Qld!CH8</f>
        <v>2.5000000000000001E-2</v>
      </c>
      <c r="CI8" s="634">
        <f>Qld!CI8</f>
        <v>2.5000000000000001E-2</v>
      </c>
      <c r="CJ8" s="634">
        <f>Qld!CJ8</f>
        <v>2.5000000000000001E-2</v>
      </c>
      <c r="CK8" s="634">
        <f>Qld!CK8</f>
        <v>2.5000000000000001E-2</v>
      </c>
      <c r="CL8" s="634">
        <f>Qld!CL8</f>
        <v>2.5000000000000001E-2</v>
      </c>
      <c r="CM8" s="634">
        <f>Qld!CM8</f>
        <v>2.5000000000000001E-2</v>
      </c>
      <c r="CN8" s="634">
        <f>Qld!CN8</f>
        <v>2.5000000000000001E-2</v>
      </c>
      <c r="CO8" s="634">
        <f>Qld!CO8</f>
        <v>2.5000000000000001E-2</v>
      </c>
      <c r="CP8" s="634">
        <f>Qld!CP8</f>
        <v>2.5000000000000001E-2</v>
      </c>
      <c r="CQ8" s="23" t="s">
        <v>77</v>
      </c>
    </row>
    <row r="9" spans="1:95" s="98" customFormat="1" outlineLevel="1" x14ac:dyDescent="0.2">
      <c r="B9" s="98" t="s">
        <v>307</v>
      </c>
      <c r="C9" s="25"/>
      <c r="K9" s="634">
        <f>Qld!K9</f>
        <v>2.5215448451963329E-2</v>
      </c>
      <c r="L9" s="634">
        <f>Qld!L9</f>
        <v>3.1755915317558836E-2</v>
      </c>
      <c r="M9" s="634">
        <f>Qld!M9</f>
        <v>3.3494266747133405E-2</v>
      </c>
      <c r="N9" s="634">
        <f>Qld!N9</f>
        <v>4.1167883211678857E-2</v>
      </c>
      <c r="O9" s="634">
        <f>Qld!O9</f>
        <v>3.7296690970274771E-2</v>
      </c>
      <c r="P9" s="634">
        <f>Qld!P9</f>
        <v>2.6763990267639759E-2</v>
      </c>
      <c r="Q9" s="634">
        <f>Qld!Q9</f>
        <v>3.3438651922064411E-2</v>
      </c>
      <c r="R9" s="634">
        <f>Qld!R9</f>
        <v>1.9108280254777066E-2</v>
      </c>
      <c r="S9" s="634">
        <f>Qld!S9</f>
        <v>0.02</v>
      </c>
      <c r="T9" s="634">
        <f>Qld!T9</f>
        <v>3.2195121951219499E-2</v>
      </c>
      <c r="U9" s="634">
        <f>Qld!U9</f>
        <v>1.7999999999999999E-2</v>
      </c>
      <c r="V9" s="634">
        <f>Qld!V9</f>
        <v>1.4999999999999999E-2</v>
      </c>
      <c r="W9" s="634">
        <f>Qld!W9</f>
        <v>1.4999999999999999E-2</v>
      </c>
      <c r="X9" s="634">
        <f>Qld!X9</f>
        <v>2.5000000000000001E-2</v>
      </c>
      <c r="Y9" s="634">
        <f>Qld!Y9</f>
        <v>2.5000000000000001E-2</v>
      </c>
      <c r="Z9" s="634">
        <f>Qld!Z9</f>
        <v>2.5000000000000001E-2</v>
      </c>
      <c r="AA9" s="634">
        <f>Qld!AA9</f>
        <v>2.5000000000000001E-2</v>
      </c>
      <c r="AB9" s="634">
        <f>Qld!AB9</f>
        <v>2.5000000000000001E-2</v>
      </c>
      <c r="AC9" s="634">
        <f>Qld!AC9</f>
        <v>2.5000000000000001E-2</v>
      </c>
      <c r="AD9" s="634">
        <f>Qld!AD9</f>
        <v>2.5000000000000001E-2</v>
      </c>
      <c r="AE9" s="634">
        <f>Qld!AE9</f>
        <v>2.5000000000000001E-2</v>
      </c>
      <c r="AF9" s="634">
        <f>Qld!AF9</f>
        <v>2.5000000000000001E-2</v>
      </c>
      <c r="AG9" s="634">
        <f>Qld!AG9</f>
        <v>2.5000000000000001E-2</v>
      </c>
      <c r="AH9" s="634">
        <f>Qld!AH9</f>
        <v>2.5000000000000001E-2</v>
      </c>
      <c r="AI9" s="634">
        <f>Qld!AI9</f>
        <v>2.5000000000000001E-2</v>
      </c>
      <c r="AJ9" s="634">
        <f>Qld!AJ9</f>
        <v>2.5000000000000001E-2</v>
      </c>
      <c r="AK9" s="634">
        <f>Qld!AK9</f>
        <v>2.5000000000000001E-2</v>
      </c>
      <c r="AL9" s="634">
        <f>Qld!AL9</f>
        <v>2.5000000000000001E-2</v>
      </c>
      <c r="AM9" s="634">
        <f>Qld!AM9</f>
        <v>2.5000000000000001E-2</v>
      </c>
      <c r="AN9" s="634">
        <f>Qld!AN9</f>
        <v>2.5000000000000001E-2</v>
      </c>
      <c r="AO9" s="634">
        <f>Qld!AO9</f>
        <v>2.5000000000000001E-2</v>
      </c>
      <c r="AP9" s="634">
        <f>Qld!AP9</f>
        <v>2.5000000000000001E-2</v>
      </c>
      <c r="AQ9" s="634">
        <f>Qld!AQ9</f>
        <v>2.5000000000000001E-2</v>
      </c>
      <c r="AR9" s="634">
        <f>Qld!AR9</f>
        <v>2.5000000000000001E-2</v>
      </c>
      <c r="AS9" s="634">
        <f>Qld!AS9</f>
        <v>2.5000000000000001E-2</v>
      </c>
      <c r="AT9" s="634">
        <f>Qld!AT9</f>
        <v>2.5000000000000001E-2</v>
      </c>
      <c r="AU9" s="634">
        <f>Qld!AU9</f>
        <v>2.5000000000000001E-2</v>
      </c>
      <c r="AV9" s="634">
        <f>Qld!AV9</f>
        <v>2.5000000000000001E-2</v>
      </c>
      <c r="AW9" s="634">
        <f>Qld!AW9</f>
        <v>2.5000000000000001E-2</v>
      </c>
      <c r="AX9" s="634">
        <f>Qld!AX9</f>
        <v>2.5000000000000001E-2</v>
      </c>
      <c r="AY9" s="634">
        <f>Qld!AY9</f>
        <v>2.5000000000000001E-2</v>
      </c>
      <c r="AZ9" s="634">
        <f>Qld!AZ9</f>
        <v>2.5000000000000001E-2</v>
      </c>
      <c r="BA9" s="634">
        <f>Qld!BA9</f>
        <v>2.5000000000000001E-2</v>
      </c>
      <c r="BB9" s="634">
        <f>Qld!BB9</f>
        <v>2.5000000000000001E-2</v>
      </c>
      <c r="BC9" s="634">
        <f>Qld!BC9</f>
        <v>2.5000000000000001E-2</v>
      </c>
      <c r="BD9" s="634">
        <f>Qld!BD9</f>
        <v>2.5000000000000001E-2</v>
      </c>
      <c r="BE9" s="634">
        <f>Qld!BE9</f>
        <v>2.5000000000000001E-2</v>
      </c>
      <c r="BF9" s="634">
        <f>Qld!BF9</f>
        <v>2.5000000000000001E-2</v>
      </c>
      <c r="BG9" s="634">
        <f>Qld!BG9</f>
        <v>2.5000000000000001E-2</v>
      </c>
      <c r="BH9" s="634">
        <f>Qld!BH9</f>
        <v>2.5000000000000001E-2</v>
      </c>
      <c r="BI9" s="634">
        <f>Qld!BI9</f>
        <v>2.5000000000000001E-2</v>
      </c>
      <c r="BJ9" s="634">
        <f>Qld!BJ9</f>
        <v>2.5000000000000001E-2</v>
      </c>
      <c r="BK9" s="634">
        <f>Qld!BK9</f>
        <v>2.5000000000000001E-2</v>
      </c>
      <c r="BL9" s="634">
        <f>Qld!BL9</f>
        <v>2.5000000000000001E-2</v>
      </c>
      <c r="BM9" s="634">
        <f>Qld!BM9</f>
        <v>2.5000000000000001E-2</v>
      </c>
      <c r="BN9" s="634">
        <f>Qld!BN9</f>
        <v>2.5000000000000001E-2</v>
      </c>
      <c r="BO9" s="634">
        <f>Qld!BO9</f>
        <v>2.5000000000000001E-2</v>
      </c>
      <c r="BP9" s="634">
        <f>Qld!BP9</f>
        <v>2.5000000000000001E-2</v>
      </c>
      <c r="BQ9" s="634">
        <f>Qld!BQ9</f>
        <v>2.5000000000000001E-2</v>
      </c>
      <c r="BR9" s="634">
        <f>Qld!BR9</f>
        <v>2.5000000000000001E-2</v>
      </c>
      <c r="BS9" s="634">
        <f>Qld!BS9</f>
        <v>2.5000000000000001E-2</v>
      </c>
      <c r="BT9" s="634">
        <f>Qld!BT9</f>
        <v>2.5000000000000001E-2</v>
      </c>
      <c r="BU9" s="634">
        <f>Qld!BU9</f>
        <v>2.5000000000000001E-2</v>
      </c>
      <c r="BV9" s="634">
        <f>Qld!BV9</f>
        <v>2.5000000000000001E-2</v>
      </c>
      <c r="BW9" s="634">
        <f>Qld!BW9</f>
        <v>2.5000000000000001E-2</v>
      </c>
      <c r="BX9" s="634">
        <f>Qld!BX9</f>
        <v>2.5000000000000001E-2</v>
      </c>
      <c r="BY9" s="634">
        <f>Qld!BY9</f>
        <v>2.5000000000000001E-2</v>
      </c>
      <c r="BZ9" s="634">
        <f>Qld!BZ9</f>
        <v>2.5000000000000001E-2</v>
      </c>
      <c r="CA9" s="634">
        <f>Qld!CA9</f>
        <v>2.5000000000000001E-2</v>
      </c>
      <c r="CB9" s="634">
        <f>Qld!CB9</f>
        <v>2.5000000000000001E-2</v>
      </c>
      <c r="CC9" s="634">
        <f>Qld!CC9</f>
        <v>2.5000000000000001E-2</v>
      </c>
      <c r="CD9" s="634">
        <f>Qld!CD9</f>
        <v>2.5000000000000001E-2</v>
      </c>
      <c r="CE9" s="634">
        <f>Qld!CE9</f>
        <v>2.5000000000000001E-2</v>
      </c>
      <c r="CF9" s="634">
        <f>Qld!CF9</f>
        <v>2.5000000000000001E-2</v>
      </c>
      <c r="CG9" s="634">
        <f>Qld!CG9</f>
        <v>2.5000000000000001E-2</v>
      </c>
      <c r="CH9" s="634">
        <f>Qld!CH9</f>
        <v>2.5000000000000001E-2</v>
      </c>
      <c r="CI9" s="634">
        <f>Qld!CI9</f>
        <v>2.5000000000000001E-2</v>
      </c>
      <c r="CJ9" s="634">
        <f>Qld!CJ9</f>
        <v>2.5000000000000001E-2</v>
      </c>
      <c r="CK9" s="634">
        <f>Qld!CK9</f>
        <v>2.5000000000000001E-2</v>
      </c>
      <c r="CL9" s="634">
        <f>Qld!CL9</f>
        <v>2.5000000000000001E-2</v>
      </c>
      <c r="CM9" s="634">
        <f>Qld!CM9</f>
        <v>2.5000000000000001E-2</v>
      </c>
      <c r="CN9" s="634">
        <f>Qld!CN9</f>
        <v>2.5000000000000001E-2</v>
      </c>
      <c r="CO9" s="634">
        <f>Qld!CO9</f>
        <v>2.5000000000000001E-2</v>
      </c>
      <c r="CP9" s="634">
        <f>Qld!CP9</f>
        <v>2.5000000000000001E-2</v>
      </c>
      <c r="CQ9" s="23" t="s">
        <v>77</v>
      </c>
    </row>
    <row r="10" spans="1:95" s="98" customFormat="1" outlineLevel="1" x14ac:dyDescent="0.2">
      <c r="B10" s="98" t="s">
        <v>308</v>
      </c>
      <c r="C10" s="25"/>
      <c r="K10" s="634">
        <f>Qld!K10</f>
        <v>2.405498281786933E-2</v>
      </c>
      <c r="L10" s="634">
        <f>Qld!L10</f>
        <v>3.1116534472239055E-2</v>
      </c>
      <c r="M10" s="634">
        <f>Qld!M10</f>
        <v>2.6331360946745708E-2</v>
      </c>
      <c r="N10" s="634">
        <f>Qld!N10</f>
        <v>3.2862496396655949E-2</v>
      </c>
      <c r="O10" s="634">
        <f>Qld!O10</f>
        <v>3.1537817471392504E-2</v>
      </c>
      <c r="P10" s="634">
        <f>Qld!P10</f>
        <v>2.1915584415584499E-2</v>
      </c>
      <c r="Q10" s="634">
        <f>Qld!Q10</f>
        <v>3.2036007413290823E-2</v>
      </c>
      <c r="R10" s="634">
        <f>Qld!R10</f>
        <v>2.6423807080554251E-2</v>
      </c>
      <c r="S10" s="634">
        <f>Qld!S10</f>
        <v>2.0244938765308751E-2</v>
      </c>
      <c r="T10" s="634">
        <f>Qld!T10</f>
        <v>3.1280547409579598E-2</v>
      </c>
      <c r="U10" s="634">
        <f>Qld!U10</f>
        <v>1.4999999999999999E-2</v>
      </c>
      <c r="V10" s="634">
        <f>Qld!V10</f>
        <v>1.4999999999999999E-2</v>
      </c>
      <c r="W10" s="634">
        <f>Qld!W10</f>
        <v>1.4999999999999999E-2</v>
      </c>
      <c r="X10" s="634">
        <f>Qld!X10</f>
        <v>2.5000000000000001E-2</v>
      </c>
      <c r="Y10" s="634">
        <f>Qld!Y10</f>
        <v>2.5000000000000001E-2</v>
      </c>
      <c r="Z10" s="634">
        <f>Qld!Z10</f>
        <v>2.5000000000000001E-2</v>
      </c>
      <c r="AA10" s="634">
        <f>Qld!AA10</f>
        <v>2.5000000000000001E-2</v>
      </c>
      <c r="AB10" s="634">
        <f>Qld!AB10</f>
        <v>2.5000000000000001E-2</v>
      </c>
      <c r="AC10" s="634">
        <f>Qld!AC10</f>
        <v>2.5000000000000001E-2</v>
      </c>
      <c r="AD10" s="634">
        <f>Qld!AD10</f>
        <v>2.5000000000000001E-2</v>
      </c>
      <c r="AE10" s="634">
        <f>Qld!AE10</f>
        <v>2.5000000000000001E-2</v>
      </c>
      <c r="AF10" s="634">
        <f>Qld!AF10</f>
        <v>2.5000000000000001E-2</v>
      </c>
      <c r="AG10" s="634">
        <f>Qld!AG10</f>
        <v>2.5000000000000001E-2</v>
      </c>
      <c r="AH10" s="634">
        <f>Qld!AH10</f>
        <v>2.5000000000000001E-2</v>
      </c>
      <c r="AI10" s="634">
        <f>Qld!AI10</f>
        <v>2.5000000000000001E-2</v>
      </c>
      <c r="AJ10" s="634">
        <f>Qld!AJ10</f>
        <v>2.5000000000000001E-2</v>
      </c>
      <c r="AK10" s="634">
        <f>Qld!AK10</f>
        <v>2.5000000000000001E-2</v>
      </c>
      <c r="AL10" s="634">
        <f>Qld!AL10</f>
        <v>2.5000000000000001E-2</v>
      </c>
      <c r="AM10" s="634">
        <f>Qld!AM10</f>
        <v>2.5000000000000001E-2</v>
      </c>
      <c r="AN10" s="634">
        <f>Qld!AN10</f>
        <v>2.5000000000000001E-2</v>
      </c>
      <c r="AO10" s="634">
        <f>Qld!AO10</f>
        <v>2.5000000000000001E-2</v>
      </c>
      <c r="AP10" s="634">
        <f>Qld!AP10</f>
        <v>2.5000000000000001E-2</v>
      </c>
      <c r="AQ10" s="634">
        <f>Qld!AQ10</f>
        <v>2.5000000000000001E-2</v>
      </c>
      <c r="AR10" s="634">
        <f>Qld!AR10</f>
        <v>2.5000000000000001E-2</v>
      </c>
      <c r="AS10" s="634">
        <f>Qld!AS10</f>
        <v>2.5000000000000001E-2</v>
      </c>
      <c r="AT10" s="634">
        <f>Qld!AT10</f>
        <v>2.5000000000000001E-2</v>
      </c>
      <c r="AU10" s="634">
        <f>Qld!AU10</f>
        <v>2.5000000000000001E-2</v>
      </c>
      <c r="AV10" s="634">
        <f>Qld!AV10</f>
        <v>2.5000000000000001E-2</v>
      </c>
      <c r="AW10" s="634">
        <f>Qld!AW10</f>
        <v>2.5000000000000001E-2</v>
      </c>
      <c r="AX10" s="634">
        <f>Qld!AX10</f>
        <v>2.5000000000000001E-2</v>
      </c>
      <c r="AY10" s="634">
        <f>Qld!AY10</f>
        <v>2.5000000000000001E-2</v>
      </c>
      <c r="AZ10" s="634">
        <f>Qld!AZ10</f>
        <v>2.5000000000000001E-2</v>
      </c>
      <c r="BA10" s="634">
        <f>Qld!BA10</f>
        <v>2.5000000000000001E-2</v>
      </c>
      <c r="BB10" s="634">
        <f>Qld!BB10</f>
        <v>2.5000000000000001E-2</v>
      </c>
      <c r="BC10" s="634">
        <f>Qld!BC10</f>
        <v>2.5000000000000001E-2</v>
      </c>
      <c r="BD10" s="634">
        <f>Qld!BD10</f>
        <v>2.5000000000000001E-2</v>
      </c>
      <c r="BE10" s="634">
        <f>Qld!BE10</f>
        <v>2.5000000000000001E-2</v>
      </c>
      <c r="BF10" s="634">
        <f>Qld!BF10</f>
        <v>2.5000000000000001E-2</v>
      </c>
      <c r="BG10" s="634">
        <f>Qld!BG10</f>
        <v>2.5000000000000001E-2</v>
      </c>
      <c r="BH10" s="634">
        <f>Qld!BH10</f>
        <v>2.5000000000000001E-2</v>
      </c>
      <c r="BI10" s="634">
        <f>Qld!BI10</f>
        <v>2.5000000000000001E-2</v>
      </c>
      <c r="BJ10" s="634">
        <f>Qld!BJ10</f>
        <v>2.5000000000000001E-2</v>
      </c>
      <c r="BK10" s="634">
        <f>Qld!BK10</f>
        <v>2.5000000000000001E-2</v>
      </c>
      <c r="BL10" s="634">
        <f>Qld!BL10</f>
        <v>2.5000000000000001E-2</v>
      </c>
      <c r="BM10" s="634">
        <f>Qld!BM10</f>
        <v>2.5000000000000001E-2</v>
      </c>
      <c r="BN10" s="634">
        <f>Qld!BN10</f>
        <v>2.5000000000000001E-2</v>
      </c>
      <c r="BO10" s="634">
        <f>Qld!BO10</f>
        <v>2.5000000000000001E-2</v>
      </c>
      <c r="BP10" s="634">
        <f>Qld!BP10</f>
        <v>2.5000000000000001E-2</v>
      </c>
      <c r="BQ10" s="634">
        <f>Qld!BQ10</f>
        <v>2.5000000000000001E-2</v>
      </c>
      <c r="BR10" s="634">
        <f>Qld!BR10</f>
        <v>2.5000000000000001E-2</v>
      </c>
      <c r="BS10" s="634">
        <f>Qld!BS10</f>
        <v>2.5000000000000001E-2</v>
      </c>
      <c r="BT10" s="634">
        <f>Qld!BT10</f>
        <v>2.5000000000000001E-2</v>
      </c>
      <c r="BU10" s="634">
        <f>Qld!BU10</f>
        <v>2.5000000000000001E-2</v>
      </c>
      <c r="BV10" s="634">
        <f>Qld!BV10</f>
        <v>2.5000000000000001E-2</v>
      </c>
      <c r="BW10" s="634">
        <f>Qld!BW10</f>
        <v>2.5000000000000001E-2</v>
      </c>
      <c r="BX10" s="634">
        <f>Qld!BX10</f>
        <v>2.5000000000000001E-2</v>
      </c>
      <c r="BY10" s="634">
        <f>Qld!BY10</f>
        <v>2.5000000000000001E-2</v>
      </c>
      <c r="BZ10" s="634">
        <f>Qld!BZ10</f>
        <v>2.5000000000000001E-2</v>
      </c>
      <c r="CA10" s="634">
        <f>Qld!CA10</f>
        <v>2.5000000000000001E-2</v>
      </c>
      <c r="CB10" s="634">
        <f>Qld!CB10</f>
        <v>2.5000000000000001E-2</v>
      </c>
      <c r="CC10" s="634">
        <f>Qld!CC10</f>
        <v>2.5000000000000001E-2</v>
      </c>
      <c r="CD10" s="634">
        <f>Qld!CD10</f>
        <v>2.5000000000000001E-2</v>
      </c>
      <c r="CE10" s="634">
        <f>Qld!CE10</f>
        <v>2.5000000000000001E-2</v>
      </c>
      <c r="CF10" s="634">
        <f>Qld!CF10</f>
        <v>2.5000000000000001E-2</v>
      </c>
      <c r="CG10" s="634">
        <f>Qld!CG10</f>
        <v>2.5000000000000001E-2</v>
      </c>
      <c r="CH10" s="634">
        <f>Qld!CH10</f>
        <v>2.5000000000000001E-2</v>
      </c>
      <c r="CI10" s="634">
        <f>Qld!CI10</f>
        <v>2.5000000000000001E-2</v>
      </c>
      <c r="CJ10" s="634">
        <f>Qld!CJ10</f>
        <v>2.5000000000000001E-2</v>
      </c>
      <c r="CK10" s="634">
        <f>Qld!CK10</f>
        <v>2.5000000000000001E-2</v>
      </c>
      <c r="CL10" s="634">
        <f>Qld!CL10</f>
        <v>2.5000000000000001E-2</v>
      </c>
      <c r="CM10" s="634">
        <f>Qld!CM10</f>
        <v>2.5000000000000001E-2</v>
      </c>
      <c r="CN10" s="634">
        <f>Qld!CN10</f>
        <v>2.5000000000000001E-2</v>
      </c>
      <c r="CO10" s="634">
        <f>Qld!CO10</f>
        <v>2.5000000000000001E-2</v>
      </c>
      <c r="CP10" s="634">
        <f>Qld!CP10</f>
        <v>2.5000000000000001E-2</v>
      </c>
      <c r="CQ10" s="23" t="s">
        <v>77</v>
      </c>
    </row>
    <row r="11" spans="1:95" s="98" customFormat="1" outlineLevel="1" x14ac:dyDescent="0.2">
      <c r="B11" s="98" t="s">
        <v>309</v>
      </c>
      <c r="C11" s="25"/>
      <c r="K11" s="634">
        <f>Qld!K11</f>
        <v>3.1179684988749345E-2</v>
      </c>
      <c r="L11" s="634">
        <f>Qld!L11</f>
        <v>4.3017456359102368E-2</v>
      </c>
      <c r="M11" s="634">
        <f>Qld!M11</f>
        <v>3.9151225343693863E-2</v>
      </c>
      <c r="N11" s="634">
        <f>Qld!N11</f>
        <v>3.6525740580960475E-2</v>
      </c>
      <c r="O11" s="634">
        <f>Qld!O11</f>
        <v>3.0244173140954622E-2</v>
      </c>
      <c r="P11" s="634">
        <f>Qld!P11</f>
        <v>2.5047131699434511E-2</v>
      </c>
      <c r="Q11" s="634">
        <f>Qld!Q11</f>
        <v>2.8376248029427176E-2</v>
      </c>
      <c r="R11" s="634">
        <f>Qld!R11</f>
        <v>2.1716913643331726E-2</v>
      </c>
      <c r="S11" s="634">
        <f>Qld!S11</f>
        <v>2.2505626406601698E-2</v>
      </c>
      <c r="T11" s="634">
        <f>Qld!T11</f>
        <v>3.3009708737864199E-2</v>
      </c>
      <c r="U11" s="634">
        <f>Qld!U11</f>
        <v>1.7999999999999999E-2</v>
      </c>
      <c r="V11" s="634">
        <f>Qld!V11</f>
        <v>1.4999999999999999E-2</v>
      </c>
      <c r="W11" s="634">
        <f>Qld!W11</f>
        <v>1.4999999999999999E-2</v>
      </c>
      <c r="X11" s="634">
        <f>Qld!X11</f>
        <v>2.5000000000000001E-2</v>
      </c>
      <c r="Y11" s="634">
        <f>Qld!Y11</f>
        <v>2.5000000000000001E-2</v>
      </c>
      <c r="Z11" s="634">
        <f>Qld!Z11</f>
        <v>2.5000000000000001E-2</v>
      </c>
      <c r="AA11" s="634">
        <f>Qld!AA11</f>
        <v>2.5000000000000001E-2</v>
      </c>
      <c r="AB11" s="634">
        <f>Qld!AB11</f>
        <v>2.5000000000000001E-2</v>
      </c>
      <c r="AC11" s="634">
        <f>Qld!AC11</f>
        <v>2.5000000000000001E-2</v>
      </c>
      <c r="AD11" s="634">
        <f>Qld!AD11</f>
        <v>2.5000000000000001E-2</v>
      </c>
      <c r="AE11" s="634">
        <f>Qld!AE11</f>
        <v>2.5000000000000001E-2</v>
      </c>
      <c r="AF11" s="634">
        <f>Qld!AF11</f>
        <v>2.5000000000000001E-2</v>
      </c>
      <c r="AG11" s="634">
        <f>Qld!AG11</f>
        <v>2.5000000000000001E-2</v>
      </c>
      <c r="AH11" s="634">
        <f>Qld!AH11</f>
        <v>2.5000000000000001E-2</v>
      </c>
      <c r="AI11" s="634">
        <f>Qld!AI11</f>
        <v>2.5000000000000001E-2</v>
      </c>
      <c r="AJ11" s="634">
        <f>Qld!AJ11</f>
        <v>2.5000000000000001E-2</v>
      </c>
      <c r="AK11" s="634">
        <f>Qld!AK11</f>
        <v>2.5000000000000001E-2</v>
      </c>
      <c r="AL11" s="634">
        <f>Qld!AL11</f>
        <v>2.5000000000000001E-2</v>
      </c>
      <c r="AM11" s="634">
        <f>Qld!AM11</f>
        <v>2.5000000000000001E-2</v>
      </c>
      <c r="AN11" s="634">
        <f>Qld!AN11</f>
        <v>2.5000000000000001E-2</v>
      </c>
      <c r="AO11" s="634">
        <f>Qld!AO11</f>
        <v>2.5000000000000001E-2</v>
      </c>
      <c r="AP11" s="634">
        <f>Qld!AP11</f>
        <v>2.5000000000000001E-2</v>
      </c>
      <c r="AQ11" s="634">
        <f>Qld!AQ11</f>
        <v>2.5000000000000001E-2</v>
      </c>
      <c r="AR11" s="634">
        <f>Qld!AR11</f>
        <v>2.5000000000000001E-2</v>
      </c>
      <c r="AS11" s="634">
        <f>Qld!AS11</f>
        <v>2.5000000000000001E-2</v>
      </c>
      <c r="AT11" s="634">
        <f>Qld!AT11</f>
        <v>2.5000000000000001E-2</v>
      </c>
      <c r="AU11" s="634">
        <f>Qld!AU11</f>
        <v>2.5000000000000001E-2</v>
      </c>
      <c r="AV11" s="634">
        <f>Qld!AV11</f>
        <v>2.5000000000000001E-2</v>
      </c>
      <c r="AW11" s="634">
        <f>Qld!AW11</f>
        <v>2.5000000000000001E-2</v>
      </c>
      <c r="AX11" s="634">
        <f>Qld!AX11</f>
        <v>2.5000000000000001E-2</v>
      </c>
      <c r="AY11" s="634">
        <f>Qld!AY11</f>
        <v>2.5000000000000001E-2</v>
      </c>
      <c r="AZ11" s="634">
        <f>Qld!AZ11</f>
        <v>2.5000000000000001E-2</v>
      </c>
      <c r="BA11" s="634">
        <f>Qld!BA11</f>
        <v>2.5000000000000001E-2</v>
      </c>
      <c r="BB11" s="634">
        <f>Qld!BB11</f>
        <v>2.5000000000000001E-2</v>
      </c>
      <c r="BC11" s="634">
        <f>Qld!BC11</f>
        <v>2.5000000000000001E-2</v>
      </c>
      <c r="BD11" s="634">
        <f>Qld!BD11</f>
        <v>2.5000000000000001E-2</v>
      </c>
      <c r="BE11" s="634">
        <f>Qld!BE11</f>
        <v>2.5000000000000001E-2</v>
      </c>
      <c r="BF11" s="634">
        <f>Qld!BF11</f>
        <v>2.5000000000000001E-2</v>
      </c>
      <c r="BG11" s="634">
        <f>Qld!BG11</f>
        <v>2.5000000000000001E-2</v>
      </c>
      <c r="BH11" s="634">
        <f>Qld!BH11</f>
        <v>2.5000000000000001E-2</v>
      </c>
      <c r="BI11" s="634">
        <f>Qld!BI11</f>
        <v>2.5000000000000001E-2</v>
      </c>
      <c r="BJ11" s="634">
        <f>Qld!BJ11</f>
        <v>2.5000000000000001E-2</v>
      </c>
      <c r="BK11" s="634">
        <f>Qld!BK11</f>
        <v>2.5000000000000001E-2</v>
      </c>
      <c r="BL11" s="634">
        <f>Qld!BL11</f>
        <v>2.5000000000000001E-2</v>
      </c>
      <c r="BM11" s="634">
        <f>Qld!BM11</f>
        <v>2.5000000000000001E-2</v>
      </c>
      <c r="BN11" s="634">
        <f>Qld!BN11</f>
        <v>2.5000000000000001E-2</v>
      </c>
      <c r="BO11" s="634">
        <f>Qld!BO11</f>
        <v>2.5000000000000001E-2</v>
      </c>
      <c r="BP11" s="634">
        <f>Qld!BP11</f>
        <v>2.5000000000000001E-2</v>
      </c>
      <c r="BQ11" s="634">
        <f>Qld!BQ11</f>
        <v>2.5000000000000001E-2</v>
      </c>
      <c r="BR11" s="634">
        <f>Qld!BR11</f>
        <v>2.5000000000000001E-2</v>
      </c>
      <c r="BS11" s="634">
        <f>Qld!BS11</f>
        <v>2.5000000000000001E-2</v>
      </c>
      <c r="BT11" s="634">
        <f>Qld!BT11</f>
        <v>2.5000000000000001E-2</v>
      </c>
      <c r="BU11" s="634">
        <f>Qld!BU11</f>
        <v>2.5000000000000001E-2</v>
      </c>
      <c r="BV11" s="634">
        <f>Qld!BV11</f>
        <v>2.5000000000000001E-2</v>
      </c>
      <c r="BW11" s="634">
        <f>Qld!BW11</f>
        <v>2.5000000000000001E-2</v>
      </c>
      <c r="BX11" s="634">
        <f>Qld!BX11</f>
        <v>2.5000000000000001E-2</v>
      </c>
      <c r="BY11" s="634">
        <f>Qld!BY11</f>
        <v>2.5000000000000001E-2</v>
      </c>
      <c r="BZ11" s="634">
        <f>Qld!BZ11</f>
        <v>2.5000000000000001E-2</v>
      </c>
      <c r="CA11" s="634">
        <f>Qld!CA11</f>
        <v>2.5000000000000001E-2</v>
      </c>
      <c r="CB11" s="634">
        <f>Qld!CB11</f>
        <v>2.5000000000000001E-2</v>
      </c>
      <c r="CC11" s="634">
        <f>Qld!CC11</f>
        <v>2.5000000000000001E-2</v>
      </c>
      <c r="CD11" s="634">
        <f>Qld!CD11</f>
        <v>2.5000000000000001E-2</v>
      </c>
      <c r="CE11" s="634">
        <f>Qld!CE11</f>
        <v>2.5000000000000001E-2</v>
      </c>
      <c r="CF11" s="634">
        <f>Qld!CF11</f>
        <v>2.5000000000000001E-2</v>
      </c>
      <c r="CG11" s="634">
        <f>Qld!CG11</f>
        <v>2.5000000000000001E-2</v>
      </c>
      <c r="CH11" s="634">
        <f>Qld!CH11</f>
        <v>2.5000000000000001E-2</v>
      </c>
      <c r="CI11" s="634">
        <f>Qld!CI11</f>
        <v>2.5000000000000001E-2</v>
      </c>
      <c r="CJ11" s="634">
        <f>Qld!CJ11</f>
        <v>2.5000000000000001E-2</v>
      </c>
      <c r="CK11" s="634">
        <f>Qld!CK11</f>
        <v>2.5000000000000001E-2</v>
      </c>
      <c r="CL11" s="634">
        <f>Qld!CL11</f>
        <v>2.5000000000000001E-2</v>
      </c>
      <c r="CM11" s="634">
        <f>Qld!CM11</f>
        <v>2.5000000000000001E-2</v>
      </c>
      <c r="CN11" s="634">
        <f>Qld!CN11</f>
        <v>2.5000000000000001E-2</v>
      </c>
      <c r="CO11" s="634">
        <f>Qld!CO11</f>
        <v>2.5000000000000001E-2</v>
      </c>
      <c r="CP11" s="634">
        <f>Qld!CP11</f>
        <v>2.5000000000000001E-2</v>
      </c>
      <c r="CQ11" s="23" t="s">
        <v>77</v>
      </c>
    </row>
    <row r="12" spans="1:95" s="98" customFormat="1" outlineLevel="1" x14ac:dyDescent="0.2">
      <c r="B12" s="98" t="s">
        <v>310</v>
      </c>
      <c r="C12" s="25"/>
      <c r="K12" s="634">
        <f>Qld!K12</f>
        <v>3.1855090568394751E-2</v>
      </c>
      <c r="L12" s="634">
        <f>Qld!L12</f>
        <v>3.1779661016949179E-2</v>
      </c>
      <c r="M12" s="634">
        <f>Qld!M12</f>
        <v>2.55206805514816E-2</v>
      </c>
      <c r="N12" s="634">
        <f>Qld!N12</f>
        <v>2.9748283752860427E-2</v>
      </c>
      <c r="O12" s="634">
        <f>Qld!O12</f>
        <v>2.8611111111111143E-2</v>
      </c>
      <c r="P12" s="634">
        <f>Qld!P12</f>
        <v>2.619497704563889E-2</v>
      </c>
      <c r="Q12" s="634">
        <f>Qld!Q12</f>
        <v>2.8947368421052388E-2</v>
      </c>
      <c r="R12" s="634">
        <f>Qld!R12</f>
        <v>2.3273657289002658E-2</v>
      </c>
      <c r="S12" s="634">
        <f>Qld!S12</f>
        <v>1.124718820294901E-2</v>
      </c>
      <c r="T12" s="634">
        <f>Qld!T12</f>
        <v>2.7531956735496601E-2</v>
      </c>
      <c r="U12" s="634">
        <f>Qld!U12</f>
        <v>1.2E-2</v>
      </c>
      <c r="V12" s="634">
        <f>Qld!V12</f>
        <v>1.4999999999999999E-2</v>
      </c>
      <c r="W12" s="634">
        <f>Qld!W12</f>
        <v>1.4999999999999999E-2</v>
      </c>
      <c r="X12" s="634">
        <f>Qld!X12</f>
        <v>2.5000000000000001E-2</v>
      </c>
      <c r="Y12" s="634">
        <f>Qld!Y12</f>
        <v>2.5000000000000001E-2</v>
      </c>
      <c r="Z12" s="634">
        <f>Qld!Z12</f>
        <v>2.5000000000000001E-2</v>
      </c>
      <c r="AA12" s="634">
        <f>Qld!AA12</f>
        <v>2.5000000000000001E-2</v>
      </c>
      <c r="AB12" s="634">
        <f>Qld!AB12</f>
        <v>2.5000000000000001E-2</v>
      </c>
      <c r="AC12" s="634">
        <f>Qld!AC12</f>
        <v>2.5000000000000001E-2</v>
      </c>
      <c r="AD12" s="634">
        <f>Qld!AD12</f>
        <v>2.5000000000000001E-2</v>
      </c>
      <c r="AE12" s="634">
        <f>Qld!AE12</f>
        <v>2.5000000000000001E-2</v>
      </c>
      <c r="AF12" s="634">
        <f>Qld!AF12</f>
        <v>2.5000000000000001E-2</v>
      </c>
      <c r="AG12" s="634">
        <f>Qld!AG12</f>
        <v>2.5000000000000001E-2</v>
      </c>
      <c r="AH12" s="634">
        <f>Qld!AH12</f>
        <v>2.5000000000000001E-2</v>
      </c>
      <c r="AI12" s="634">
        <f>Qld!AI12</f>
        <v>2.5000000000000001E-2</v>
      </c>
      <c r="AJ12" s="634">
        <f>Qld!AJ12</f>
        <v>2.5000000000000001E-2</v>
      </c>
      <c r="AK12" s="634">
        <f>Qld!AK12</f>
        <v>2.5000000000000001E-2</v>
      </c>
      <c r="AL12" s="634">
        <f>Qld!AL12</f>
        <v>2.5000000000000001E-2</v>
      </c>
      <c r="AM12" s="634">
        <f>Qld!AM12</f>
        <v>2.5000000000000001E-2</v>
      </c>
      <c r="AN12" s="634">
        <f>Qld!AN12</f>
        <v>2.5000000000000001E-2</v>
      </c>
      <c r="AO12" s="634">
        <f>Qld!AO12</f>
        <v>2.5000000000000001E-2</v>
      </c>
      <c r="AP12" s="634">
        <f>Qld!AP12</f>
        <v>2.5000000000000001E-2</v>
      </c>
      <c r="AQ12" s="634">
        <f>Qld!AQ12</f>
        <v>2.5000000000000001E-2</v>
      </c>
      <c r="AR12" s="634">
        <f>Qld!AR12</f>
        <v>2.5000000000000001E-2</v>
      </c>
      <c r="AS12" s="634">
        <f>Qld!AS12</f>
        <v>2.5000000000000001E-2</v>
      </c>
      <c r="AT12" s="634">
        <f>Qld!AT12</f>
        <v>2.5000000000000001E-2</v>
      </c>
      <c r="AU12" s="634">
        <f>Qld!AU12</f>
        <v>2.5000000000000001E-2</v>
      </c>
      <c r="AV12" s="634">
        <f>Qld!AV12</f>
        <v>2.5000000000000001E-2</v>
      </c>
      <c r="AW12" s="634">
        <f>Qld!AW12</f>
        <v>2.5000000000000001E-2</v>
      </c>
      <c r="AX12" s="634">
        <f>Qld!AX12</f>
        <v>2.5000000000000001E-2</v>
      </c>
      <c r="AY12" s="634">
        <f>Qld!AY12</f>
        <v>2.5000000000000001E-2</v>
      </c>
      <c r="AZ12" s="634">
        <f>Qld!AZ12</f>
        <v>2.5000000000000001E-2</v>
      </c>
      <c r="BA12" s="634">
        <f>Qld!BA12</f>
        <v>2.5000000000000001E-2</v>
      </c>
      <c r="BB12" s="634">
        <f>Qld!BB12</f>
        <v>2.5000000000000001E-2</v>
      </c>
      <c r="BC12" s="634">
        <f>Qld!BC12</f>
        <v>2.5000000000000001E-2</v>
      </c>
      <c r="BD12" s="634">
        <f>Qld!BD12</f>
        <v>2.5000000000000001E-2</v>
      </c>
      <c r="BE12" s="634">
        <f>Qld!BE12</f>
        <v>2.5000000000000001E-2</v>
      </c>
      <c r="BF12" s="634">
        <f>Qld!BF12</f>
        <v>2.5000000000000001E-2</v>
      </c>
      <c r="BG12" s="634">
        <f>Qld!BG12</f>
        <v>2.5000000000000001E-2</v>
      </c>
      <c r="BH12" s="634">
        <f>Qld!BH12</f>
        <v>2.5000000000000001E-2</v>
      </c>
      <c r="BI12" s="634">
        <f>Qld!BI12</f>
        <v>2.5000000000000001E-2</v>
      </c>
      <c r="BJ12" s="634">
        <f>Qld!BJ12</f>
        <v>2.5000000000000001E-2</v>
      </c>
      <c r="BK12" s="634">
        <f>Qld!BK12</f>
        <v>2.5000000000000001E-2</v>
      </c>
      <c r="BL12" s="634">
        <f>Qld!BL12</f>
        <v>2.5000000000000001E-2</v>
      </c>
      <c r="BM12" s="634">
        <f>Qld!BM12</f>
        <v>2.5000000000000001E-2</v>
      </c>
      <c r="BN12" s="634">
        <f>Qld!BN12</f>
        <v>2.5000000000000001E-2</v>
      </c>
      <c r="BO12" s="634">
        <f>Qld!BO12</f>
        <v>2.5000000000000001E-2</v>
      </c>
      <c r="BP12" s="634">
        <f>Qld!BP12</f>
        <v>2.5000000000000001E-2</v>
      </c>
      <c r="BQ12" s="634">
        <f>Qld!BQ12</f>
        <v>2.5000000000000001E-2</v>
      </c>
      <c r="BR12" s="634">
        <f>Qld!BR12</f>
        <v>2.5000000000000001E-2</v>
      </c>
      <c r="BS12" s="634">
        <f>Qld!BS12</f>
        <v>2.5000000000000001E-2</v>
      </c>
      <c r="BT12" s="634">
        <f>Qld!BT12</f>
        <v>2.5000000000000001E-2</v>
      </c>
      <c r="BU12" s="634">
        <f>Qld!BU12</f>
        <v>2.5000000000000001E-2</v>
      </c>
      <c r="BV12" s="634">
        <f>Qld!BV12</f>
        <v>2.5000000000000001E-2</v>
      </c>
      <c r="BW12" s="634">
        <f>Qld!BW12</f>
        <v>2.5000000000000001E-2</v>
      </c>
      <c r="BX12" s="634">
        <f>Qld!BX12</f>
        <v>2.5000000000000001E-2</v>
      </c>
      <c r="BY12" s="634">
        <f>Qld!BY12</f>
        <v>2.5000000000000001E-2</v>
      </c>
      <c r="BZ12" s="634">
        <f>Qld!BZ12</f>
        <v>2.5000000000000001E-2</v>
      </c>
      <c r="CA12" s="634">
        <f>Qld!CA12</f>
        <v>2.5000000000000001E-2</v>
      </c>
      <c r="CB12" s="634">
        <f>Qld!CB12</f>
        <v>2.5000000000000001E-2</v>
      </c>
      <c r="CC12" s="634">
        <f>Qld!CC12</f>
        <v>2.5000000000000001E-2</v>
      </c>
      <c r="CD12" s="634">
        <f>Qld!CD12</f>
        <v>2.5000000000000001E-2</v>
      </c>
      <c r="CE12" s="634">
        <f>Qld!CE12</f>
        <v>2.5000000000000001E-2</v>
      </c>
      <c r="CF12" s="634">
        <f>Qld!CF12</f>
        <v>2.5000000000000001E-2</v>
      </c>
      <c r="CG12" s="634">
        <f>Qld!CG12</f>
        <v>2.5000000000000001E-2</v>
      </c>
      <c r="CH12" s="634">
        <f>Qld!CH12</f>
        <v>2.5000000000000001E-2</v>
      </c>
      <c r="CI12" s="634">
        <f>Qld!CI12</f>
        <v>2.5000000000000001E-2</v>
      </c>
      <c r="CJ12" s="634">
        <f>Qld!CJ12</f>
        <v>2.5000000000000001E-2</v>
      </c>
      <c r="CK12" s="634">
        <f>Qld!CK12</f>
        <v>2.5000000000000001E-2</v>
      </c>
      <c r="CL12" s="634">
        <f>Qld!CL12</f>
        <v>2.5000000000000001E-2</v>
      </c>
      <c r="CM12" s="634">
        <f>Qld!CM12</f>
        <v>2.5000000000000001E-2</v>
      </c>
      <c r="CN12" s="634">
        <f>Qld!CN12</f>
        <v>2.5000000000000001E-2</v>
      </c>
      <c r="CO12" s="634">
        <f>Qld!CO12</f>
        <v>2.5000000000000001E-2</v>
      </c>
      <c r="CP12" s="634">
        <f>Qld!CP12</f>
        <v>2.5000000000000001E-2</v>
      </c>
      <c r="CQ12" s="23" t="s">
        <v>77</v>
      </c>
    </row>
    <row r="13" spans="1:95" s="98" customFormat="1" outlineLevel="1" x14ac:dyDescent="0.2">
      <c r="B13" s="98" t="s">
        <v>311</v>
      </c>
      <c r="C13" s="25"/>
      <c r="K13" s="634">
        <f>Qld!K13</f>
        <v>2.1676761236850473E-2</v>
      </c>
      <c r="L13" s="634">
        <f>Qld!L13</f>
        <v>3.3697347893915763E-2</v>
      </c>
      <c r="M13" s="634">
        <f>Qld!M13</f>
        <v>4.4068819800784587E-2</v>
      </c>
      <c r="N13" s="634">
        <f>Qld!N13</f>
        <v>3.4403006649320611E-2</v>
      </c>
      <c r="O13" s="634">
        <f>Qld!O13</f>
        <v>3.4097261039687021E-2</v>
      </c>
      <c r="P13" s="634">
        <f>Qld!P13</f>
        <v>3.1081081081081097E-2</v>
      </c>
      <c r="Q13" s="634">
        <f>Qld!Q13</f>
        <v>2.6736566186107424E-2</v>
      </c>
      <c r="R13" s="634">
        <f>Qld!R13</f>
        <v>2.1189685984171591E-2</v>
      </c>
      <c r="S13" s="634">
        <f>Qld!S13</f>
        <v>3.0749999999999833E-2</v>
      </c>
      <c r="T13" s="634">
        <f>Qld!T13</f>
        <v>3.3460803059273299E-2</v>
      </c>
      <c r="U13" s="634">
        <f>Qld!U13</f>
        <v>1.4E-2</v>
      </c>
      <c r="V13" s="634">
        <f>Qld!V13</f>
        <v>1.4999999999999999E-2</v>
      </c>
      <c r="W13" s="634">
        <f>Qld!W13</f>
        <v>1.4999999999999999E-2</v>
      </c>
      <c r="X13" s="634">
        <f>Qld!X13</f>
        <v>2.5000000000000001E-2</v>
      </c>
      <c r="Y13" s="634">
        <f>Qld!Y13</f>
        <v>2.5000000000000001E-2</v>
      </c>
      <c r="Z13" s="634">
        <f>Qld!Z13</f>
        <v>2.5000000000000001E-2</v>
      </c>
      <c r="AA13" s="634">
        <f>Qld!AA13</f>
        <v>2.5000000000000001E-2</v>
      </c>
      <c r="AB13" s="634">
        <f>Qld!AB13</f>
        <v>2.5000000000000001E-2</v>
      </c>
      <c r="AC13" s="634">
        <f>Qld!AC13</f>
        <v>2.5000000000000001E-2</v>
      </c>
      <c r="AD13" s="634">
        <f>Qld!AD13</f>
        <v>2.5000000000000001E-2</v>
      </c>
      <c r="AE13" s="634">
        <f>Qld!AE13</f>
        <v>2.5000000000000001E-2</v>
      </c>
      <c r="AF13" s="634">
        <f>Qld!AF13</f>
        <v>2.5000000000000001E-2</v>
      </c>
      <c r="AG13" s="634">
        <f>Qld!AG13</f>
        <v>2.5000000000000001E-2</v>
      </c>
      <c r="AH13" s="634">
        <f>Qld!AH13</f>
        <v>2.5000000000000001E-2</v>
      </c>
      <c r="AI13" s="634">
        <f>Qld!AI13</f>
        <v>2.5000000000000001E-2</v>
      </c>
      <c r="AJ13" s="634">
        <f>Qld!AJ13</f>
        <v>2.5000000000000001E-2</v>
      </c>
      <c r="AK13" s="634">
        <f>Qld!AK13</f>
        <v>2.5000000000000001E-2</v>
      </c>
      <c r="AL13" s="634">
        <f>Qld!AL13</f>
        <v>2.5000000000000001E-2</v>
      </c>
      <c r="AM13" s="634">
        <f>Qld!AM13</f>
        <v>2.5000000000000001E-2</v>
      </c>
      <c r="AN13" s="634">
        <f>Qld!AN13</f>
        <v>2.5000000000000001E-2</v>
      </c>
      <c r="AO13" s="634">
        <f>Qld!AO13</f>
        <v>2.5000000000000001E-2</v>
      </c>
      <c r="AP13" s="634">
        <f>Qld!AP13</f>
        <v>2.5000000000000001E-2</v>
      </c>
      <c r="AQ13" s="634">
        <f>Qld!AQ13</f>
        <v>2.5000000000000001E-2</v>
      </c>
      <c r="AR13" s="634">
        <f>Qld!AR13</f>
        <v>2.5000000000000001E-2</v>
      </c>
      <c r="AS13" s="634">
        <f>Qld!AS13</f>
        <v>2.5000000000000001E-2</v>
      </c>
      <c r="AT13" s="634">
        <f>Qld!AT13</f>
        <v>2.5000000000000001E-2</v>
      </c>
      <c r="AU13" s="634">
        <f>Qld!AU13</f>
        <v>2.5000000000000001E-2</v>
      </c>
      <c r="AV13" s="634">
        <f>Qld!AV13</f>
        <v>2.5000000000000001E-2</v>
      </c>
      <c r="AW13" s="634">
        <f>Qld!AW13</f>
        <v>2.5000000000000001E-2</v>
      </c>
      <c r="AX13" s="634">
        <f>Qld!AX13</f>
        <v>2.5000000000000001E-2</v>
      </c>
      <c r="AY13" s="634">
        <f>Qld!AY13</f>
        <v>2.5000000000000001E-2</v>
      </c>
      <c r="AZ13" s="634">
        <f>Qld!AZ13</f>
        <v>2.5000000000000001E-2</v>
      </c>
      <c r="BA13" s="634">
        <f>Qld!BA13</f>
        <v>2.5000000000000001E-2</v>
      </c>
      <c r="BB13" s="634">
        <f>Qld!BB13</f>
        <v>2.5000000000000001E-2</v>
      </c>
      <c r="BC13" s="634">
        <f>Qld!BC13</f>
        <v>2.5000000000000001E-2</v>
      </c>
      <c r="BD13" s="634">
        <f>Qld!BD13</f>
        <v>2.5000000000000001E-2</v>
      </c>
      <c r="BE13" s="634">
        <f>Qld!BE13</f>
        <v>2.5000000000000001E-2</v>
      </c>
      <c r="BF13" s="634">
        <f>Qld!BF13</f>
        <v>2.5000000000000001E-2</v>
      </c>
      <c r="BG13" s="634">
        <f>Qld!BG13</f>
        <v>2.5000000000000001E-2</v>
      </c>
      <c r="BH13" s="634">
        <f>Qld!BH13</f>
        <v>2.5000000000000001E-2</v>
      </c>
      <c r="BI13" s="634">
        <f>Qld!BI13</f>
        <v>2.5000000000000001E-2</v>
      </c>
      <c r="BJ13" s="634">
        <f>Qld!BJ13</f>
        <v>2.5000000000000001E-2</v>
      </c>
      <c r="BK13" s="634">
        <f>Qld!BK13</f>
        <v>2.5000000000000001E-2</v>
      </c>
      <c r="BL13" s="634">
        <f>Qld!BL13</f>
        <v>2.5000000000000001E-2</v>
      </c>
      <c r="BM13" s="634">
        <f>Qld!BM13</f>
        <v>2.5000000000000001E-2</v>
      </c>
      <c r="BN13" s="634">
        <f>Qld!BN13</f>
        <v>2.5000000000000001E-2</v>
      </c>
      <c r="BO13" s="634">
        <f>Qld!BO13</f>
        <v>2.5000000000000001E-2</v>
      </c>
      <c r="BP13" s="634">
        <f>Qld!BP13</f>
        <v>2.5000000000000001E-2</v>
      </c>
      <c r="BQ13" s="634">
        <f>Qld!BQ13</f>
        <v>2.5000000000000001E-2</v>
      </c>
      <c r="BR13" s="634">
        <f>Qld!BR13</f>
        <v>2.5000000000000001E-2</v>
      </c>
      <c r="BS13" s="634">
        <f>Qld!BS13</f>
        <v>2.5000000000000001E-2</v>
      </c>
      <c r="BT13" s="634">
        <f>Qld!BT13</f>
        <v>2.5000000000000001E-2</v>
      </c>
      <c r="BU13" s="634">
        <f>Qld!BU13</f>
        <v>2.5000000000000001E-2</v>
      </c>
      <c r="BV13" s="634">
        <f>Qld!BV13</f>
        <v>2.5000000000000001E-2</v>
      </c>
      <c r="BW13" s="634">
        <f>Qld!BW13</f>
        <v>2.5000000000000001E-2</v>
      </c>
      <c r="BX13" s="634">
        <f>Qld!BX13</f>
        <v>2.5000000000000001E-2</v>
      </c>
      <c r="BY13" s="634">
        <f>Qld!BY13</f>
        <v>2.5000000000000001E-2</v>
      </c>
      <c r="BZ13" s="634">
        <f>Qld!BZ13</f>
        <v>2.5000000000000001E-2</v>
      </c>
      <c r="CA13" s="634">
        <f>Qld!CA13</f>
        <v>2.5000000000000001E-2</v>
      </c>
      <c r="CB13" s="634">
        <f>Qld!CB13</f>
        <v>2.5000000000000001E-2</v>
      </c>
      <c r="CC13" s="634">
        <f>Qld!CC13</f>
        <v>2.5000000000000001E-2</v>
      </c>
      <c r="CD13" s="634">
        <f>Qld!CD13</f>
        <v>2.5000000000000001E-2</v>
      </c>
      <c r="CE13" s="634">
        <f>Qld!CE13</f>
        <v>2.5000000000000001E-2</v>
      </c>
      <c r="CF13" s="634">
        <f>Qld!CF13</f>
        <v>2.5000000000000001E-2</v>
      </c>
      <c r="CG13" s="634">
        <f>Qld!CG13</f>
        <v>2.5000000000000001E-2</v>
      </c>
      <c r="CH13" s="634">
        <f>Qld!CH13</f>
        <v>2.5000000000000001E-2</v>
      </c>
      <c r="CI13" s="634">
        <f>Qld!CI13</f>
        <v>2.5000000000000001E-2</v>
      </c>
      <c r="CJ13" s="634">
        <f>Qld!CJ13</f>
        <v>2.5000000000000001E-2</v>
      </c>
      <c r="CK13" s="634">
        <f>Qld!CK13</f>
        <v>2.5000000000000001E-2</v>
      </c>
      <c r="CL13" s="634">
        <f>Qld!CL13</f>
        <v>2.5000000000000001E-2</v>
      </c>
      <c r="CM13" s="634">
        <f>Qld!CM13</f>
        <v>2.5000000000000001E-2</v>
      </c>
      <c r="CN13" s="634">
        <f>Qld!CN13</f>
        <v>2.5000000000000001E-2</v>
      </c>
      <c r="CO13" s="634">
        <f>Qld!CO13</f>
        <v>2.5000000000000001E-2</v>
      </c>
      <c r="CP13" s="634">
        <f>Qld!CP13</f>
        <v>2.5000000000000001E-2</v>
      </c>
      <c r="CQ13" s="23" t="s">
        <v>77</v>
      </c>
    </row>
    <row r="14" spans="1:95" s="98" customFormat="1" outlineLevel="1" x14ac:dyDescent="0.2">
      <c r="B14" s="98" t="s">
        <v>312</v>
      </c>
      <c r="C14" s="25"/>
      <c r="K14" s="634">
        <f>Qld!K14</f>
        <v>2.2927135678391997E-2</v>
      </c>
      <c r="L14" s="634">
        <f>Qld!L14</f>
        <v>3.5615597175314706E-2</v>
      </c>
      <c r="M14" s="634">
        <f>Qld!M14</f>
        <v>2.9350726356359269E-2</v>
      </c>
      <c r="N14" s="634">
        <f>Qld!N14</f>
        <v>3.6002304147465525E-2</v>
      </c>
      <c r="O14" s="634">
        <f>Qld!O14</f>
        <v>3.4195162635529464E-2</v>
      </c>
      <c r="P14" s="634">
        <f>Qld!P14</f>
        <v>2.123655913978495E-2</v>
      </c>
      <c r="Q14" s="634">
        <f>Qld!Q14</f>
        <v>2.737562516451697E-2</v>
      </c>
      <c r="R14" s="634">
        <f>Qld!R14</f>
        <v>2.4596464258262785E-2</v>
      </c>
      <c r="S14" s="634">
        <f>Qld!S14</f>
        <v>1.9254813703426077E-2</v>
      </c>
      <c r="T14" s="634">
        <f>Qld!T14</f>
        <v>2.2439024390243902E-2</v>
      </c>
      <c r="U14" s="634">
        <f>Qld!U14</f>
        <v>1.0999999999999999E-2</v>
      </c>
      <c r="V14" s="634">
        <f>Qld!V14</f>
        <v>1.4999999999999999E-2</v>
      </c>
      <c r="W14" s="634">
        <f>Qld!W14</f>
        <v>1.4999999999999999E-2</v>
      </c>
      <c r="X14" s="634">
        <f>Qld!X14</f>
        <v>2.5000000000000001E-2</v>
      </c>
      <c r="Y14" s="634">
        <f>Qld!Y14</f>
        <v>2.5000000000000001E-2</v>
      </c>
      <c r="Z14" s="634">
        <f>Qld!Z14</f>
        <v>2.5000000000000001E-2</v>
      </c>
      <c r="AA14" s="634">
        <f>Qld!AA14</f>
        <v>2.5000000000000001E-2</v>
      </c>
      <c r="AB14" s="634">
        <f>Qld!AB14</f>
        <v>2.5000000000000001E-2</v>
      </c>
      <c r="AC14" s="634">
        <f>Qld!AC14</f>
        <v>2.5000000000000001E-2</v>
      </c>
      <c r="AD14" s="634">
        <f>Qld!AD14</f>
        <v>2.5000000000000001E-2</v>
      </c>
      <c r="AE14" s="634">
        <f>Qld!AE14</f>
        <v>2.5000000000000001E-2</v>
      </c>
      <c r="AF14" s="634">
        <f>Qld!AF14</f>
        <v>2.5000000000000001E-2</v>
      </c>
      <c r="AG14" s="634">
        <f>Qld!AG14</f>
        <v>2.5000000000000001E-2</v>
      </c>
      <c r="AH14" s="634">
        <f>Qld!AH14</f>
        <v>2.5000000000000001E-2</v>
      </c>
      <c r="AI14" s="634">
        <f>Qld!AI14</f>
        <v>2.5000000000000001E-2</v>
      </c>
      <c r="AJ14" s="634">
        <f>Qld!AJ14</f>
        <v>2.5000000000000001E-2</v>
      </c>
      <c r="AK14" s="634">
        <f>Qld!AK14</f>
        <v>2.5000000000000001E-2</v>
      </c>
      <c r="AL14" s="634">
        <f>Qld!AL14</f>
        <v>2.5000000000000001E-2</v>
      </c>
      <c r="AM14" s="634">
        <f>Qld!AM14</f>
        <v>2.5000000000000001E-2</v>
      </c>
      <c r="AN14" s="634">
        <f>Qld!AN14</f>
        <v>2.5000000000000001E-2</v>
      </c>
      <c r="AO14" s="634">
        <f>Qld!AO14</f>
        <v>2.5000000000000001E-2</v>
      </c>
      <c r="AP14" s="634">
        <f>Qld!AP14</f>
        <v>2.5000000000000001E-2</v>
      </c>
      <c r="AQ14" s="634">
        <f>Qld!AQ14</f>
        <v>2.5000000000000001E-2</v>
      </c>
      <c r="AR14" s="634">
        <f>Qld!AR14</f>
        <v>2.5000000000000001E-2</v>
      </c>
      <c r="AS14" s="634">
        <f>Qld!AS14</f>
        <v>2.5000000000000001E-2</v>
      </c>
      <c r="AT14" s="634">
        <f>Qld!AT14</f>
        <v>2.5000000000000001E-2</v>
      </c>
      <c r="AU14" s="634">
        <f>Qld!AU14</f>
        <v>2.5000000000000001E-2</v>
      </c>
      <c r="AV14" s="634">
        <f>Qld!AV14</f>
        <v>2.5000000000000001E-2</v>
      </c>
      <c r="AW14" s="634">
        <f>Qld!AW14</f>
        <v>2.5000000000000001E-2</v>
      </c>
      <c r="AX14" s="634">
        <f>Qld!AX14</f>
        <v>2.5000000000000001E-2</v>
      </c>
      <c r="AY14" s="634">
        <f>Qld!AY14</f>
        <v>2.5000000000000001E-2</v>
      </c>
      <c r="AZ14" s="634">
        <f>Qld!AZ14</f>
        <v>2.5000000000000001E-2</v>
      </c>
      <c r="BA14" s="634">
        <f>Qld!BA14</f>
        <v>2.5000000000000001E-2</v>
      </c>
      <c r="BB14" s="634">
        <f>Qld!BB14</f>
        <v>2.5000000000000001E-2</v>
      </c>
      <c r="BC14" s="634">
        <f>Qld!BC14</f>
        <v>2.5000000000000001E-2</v>
      </c>
      <c r="BD14" s="634">
        <f>Qld!BD14</f>
        <v>2.5000000000000001E-2</v>
      </c>
      <c r="BE14" s="634">
        <f>Qld!BE14</f>
        <v>2.5000000000000001E-2</v>
      </c>
      <c r="BF14" s="634">
        <f>Qld!BF14</f>
        <v>2.5000000000000001E-2</v>
      </c>
      <c r="BG14" s="634">
        <f>Qld!BG14</f>
        <v>2.5000000000000001E-2</v>
      </c>
      <c r="BH14" s="634">
        <f>Qld!BH14</f>
        <v>2.5000000000000001E-2</v>
      </c>
      <c r="BI14" s="634">
        <f>Qld!BI14</f>
        <v>2.5000000000000001E-2</v>
      </c>
      <c r="BJ14" s="634">
        <f>Qld!BJ14</f>
        <v>2.5000000000000001E-2</v>
      </c>
      <c r="BK14" s="634">
        <f>Qld!BK14</f>
        <v>2.5000000000000001E-2</v>
      </c>
      <c r="BL14" s="634">
        <f>Qld!BL14</f>
        <v>2.5000000000000001E-2</v>
      </c>
      <c r="BM14" s="634">
        <f>Qld!BM14</f>
        <v>2.5000000000000001E-2</v>
      </c>
      <c r="BN14" s="634">
        <f>Qld!BN14</f>
        <v>2.5000000000000001E-2</v>
      </c>
      <c r="BO14" s="634">
        <f>Qld!BO14</f>
        <v>2.5000000000000001E-2</v>
      </c>
      <c r="BP14" s="634">
        <f>Qld!BP14</f>
        <v>2.5000000000000001E-2</v>
      </c>
      <c r="BQ14" s="634">
        <f>Qld!BQ14</f>
        <v>2.5000000000000001E-2</v>
      </c>
      <c r="BR14" s="634">
        <f>Qld!BR14</f>
        <v>2.5000000000000001E-2</v>
      </c>
      <c r="BS14" s="634">
        <f>Qld!BS14</f>
        <v>2.5000000000000001E-2</v>
      </c>
      <c r="BT14" s="634">
        <f>Qld!BT14</f>
        <v>2.5000000000000001E-2</v>
      </c>
      <c r="BU14" s="634">
        <f>Qld!BU14</f>
        <v>2.5000000000000001E-2</v>
      </c>
      <c r="BV14" s="634">
        <f>Qld!BV14</f>
        <v>2.5000000000000001E-2</v>
      </c>
      <c r="BW14" s="634">
        <f>Qld!BW14</f>
        <v>2.5000000000000001E-2</v>
      </c>
      <c r="BX14" s="634">
        <f>Qld!BX14</f>
        <v>2.5000000000000001E-2</v>
      </c>
      <c r="BY14" s="634">
        <f>Qld!BY14</f>
        <v>2.5000000000000001E-2</v>
      </c>
      <c r="BZ14" s="634">
        <f>Qld!BZ14</f>
        <v>2.5000000000000001E-2</v>
      </c>
      <c r="CA14" s="634">
        <f>Qld!CA14</f>
        <v>2.5000000000000001E-2</v>
      </c>
      <c r="CB14" s="634">
        <f>Qld!CB14</f>
        <v>2.5000000000000001E-2</v>
      </c>
      <c r="CC14" s="634">
        <f>Qld!CC14</f>
        <v>2.5000000000000001E-2</v>
      </c>
      <c r="CD14" s="634">
        <f>Qld!CD14</f>
        <v>2.5000000000000001E-2</v>
      </c>
      <c r="CE14" s="634">
        <f>Qld!CE14</f>
        <v>2.5000000000000001E-2</v>
      </c>
      <c r="CF14" s="634">
        <f>Qld!CF14</f>
        <v>2.5000000000000001E-2</v>
      </c>
      <c r="CG14" s="634">
        <f>Qld!CG14</f>
        <v>2.5000000000000001E-2</v>
      </c>
      <c r="CH14" s="634">
        <f>Qld!CH14</f>
        <v>2.5000000000000001E-2</v>
      </c>
      <c r="CI14" s="634">
        <f>Qld!CI14</f>
        <v>2.5000000000000001E-2</v>
      </c>
      <c r="CJ14" s="634">
        <f>Qld!CJ14</f>
        <v>2.5000000000000001E-2</v>
      </c>
      <c r="CK14" s="634">
        <f>Qld!CK14</f>
        <v>2.5000000000000001E-2</v>
      </c>
      <c r="CL14" s="634">
        <f>Qld!CL14</f>
        <v>2.5000000000000001E-2</v>
      </c>
      <c r="CM14" s="634">
        <f>Qld!CM14</f>
        <v>2.5000000000000001E-2</v>
      </c>
      <c r="CN14" s="634">
        <f>Qld!CN14</f>
        <v>2.5000000000000001E-2</v>
      </c>
      <c r="CO14" s="634">
        <f>Qld!CO14</f>
        <v>2.5000000000000001E-2</v>
      </c>
      <c r="CP14" s="634">
        <f>Qld!CP14</f>
        <v>2.5000000000000001E-2</v>
      </c>
      <c r="CQ14" s="23" t="s">
        <v>77</v>
      </c>
    </row>
    <row r="15" spans="1:95" s="98" customFormat="1" outlineLevel="1" x14ac:dyDescent="0.2">
      <c r="B15" s="532" t="s">
        <v>313</v>
      </c>
      <c r="C15" s="25"/>
      <c r="D15" s="532"/>
      <c r="E15" s="532"/>
      <c r="F15" s="532"/>
      <c r="G15" s="532"/>
      <c r="H15" s="532"/>
      <c r="I15" s="532"/>
      <c r="J15" s="532"/>
      <c r="K15" s="636">
        <f>Qld!K15</f>
        <v>2.4107701941139759E-2</v>
      </c>
      <c r="L15" s="636">
        <f>Qld!L15</f>
        <v>3.2100275145215518E-2</v>
      </c>
      <c r="M15" s="636">
        <f>Qld!M15</f>
        <v>2.962085308056861E-2</v>
      </c>
      <c r="N15" s="636">
        <f>Qld!N15</f>
        <v>3.3659378596087475E-2</v>
      </c>
      <c r="O15" s="636">
        <f>Qld!O15</f>
        <v>3.1171722794322454E-2</v>
      </c>
      <c r="P15" s="636">
        <f>Qld!P15</f>
        <v>2.3211875843454743E-2</v>
      </c>
      <c r="Q15" s="636">
        <f>Qld!Q15</f>
        <v>3.1126351886045844E-2</v>
      </c>
      <c r="R15" s="636">
        <f>Qld!R15</f>
        <v>2.3023791250959436E-2</v>
      </c>
      <c r="S15" s="636">
        <f>Qld!S15</f>
        <v>2.2755688922230677E-2</v>
      </c>
      <c r="T15" s="636">
        <f>Qld!T15</f>
        <v>3.0155642023346401E-2</v>
      </c>
      <c r="U15" s="636">
        <f>Qld!U15</f>
        <v>2.5000000000000001E-2</v>
      </c>
      <c r="V15" s="636">
        <f>Qld!V15</f>
        <v>1.4999999999999999E-2</v>
      </c>
      <c r="W15" s="636">
        <f>Qld!W15</f>
        <v>1.4999999999999999E-2</v>
      </c>
      <c r="X15" s="636">
        <f>Qld!X15</f>
        <v>2.5000000000000001E-2</v>
      </c>
      <c r="Y15" s="636">
        <f>Qld!Y15</f>
        <v>2.5000000000000001E-2</v>
      </c>
      <c r="Z15" s="636">
        <f>Qld!Z15</f>
        <v>2.5000000000000001E-2</v>
      </c>
      <c r="AA15" s="636">
        <f>Qld!AA15</f>
        <v>2.5000000000000001E-2</v>
      </c>
      <c r="AB15" s="636">
        <f>Qld!AB15</f>
        <v>2.5000000000000001E-2</v>
      </c>
      <c r="AC15" s="636">
        <f>Qld!AC15</f>
        <v>2.5000000000000001E-2</v>
      </c>
      <c r="AD15" s="636">
        <f>Qld!AD15</f>
        <v>2.5000000000000001E-2</v>
      </c>
      <c r="AE15" s="636">
        <f>Qld!AE15</f>
        <v>2.5000000000000001E-2</v>
      </c>
      <c r="AF15" s="636">
        <f>Qld!AF15</f>
        <v>2.5000000000000001E-2</v>
      </c>
      <c r="AG15" s="636">
        <f>Qld!AG15</f>
        <v>2.5000000000000001E-2</v>
      </c>
      <c r="AH15" s="636">
        <f>Qld!AH15</f>
        <v>2.5000000000000001E-2</v>
      </c>
      <c r="AI15" s="636">
        <f>Qld!AI15</f>
        <v>2.5000000000000001E-2</v>
      </c>
      <c r="AJ15" s="636">
        <f>Qld!AJ15</f>
        <v>2.5000000000000001E-2</v>
      </c>
      <c r="AK15" s="636">
        <f>Qld!AK15</f>
        <v>2.5000000000000001E-2</v>
      </c>
      <c r="AL15" s="636">
        <f>Qld!AL15</f>
        <v>2.5000000000000001E-2</v>
      </c>
      <c r="AM15" s="636">
        <f>Qld!AM15</f>
        <v>2.5000000000000001E-2</v>
      </c>
      <c r="AN15" s="636">
        <f>Qld!AN15</f>
        <v>2.5000000000000001E-2</v>
      </c>
      <c r="AO15" s="636">
        <f>Qld!AO15</f>
        <v>2.5000000000000001E-2</v>
      </c>
      <c r="AP15" s="636">
        <f>Qld!AP15</f>
        <v>2.5000000000000001E-2</v>
      </c>
      <c r="AQ15" s="636">
        <f>Qld!AQ15</f>
        <v>2.5000000000000001E-2</v>
      </c>
      <c r="AR15" s="636">
        <f>Qld!AR15</f>
        <v>2.5000000000000001E-2</v>
      </c>
      <c r="AS15" s="636">
        <f>Qld!AS15</f>
        <v>2.5000000000000001E-2</v>
      </c>
      <c r="AT15" s="636">
        <f>Qld!AT15</f>
        <v>2.5000000000000001E-2</v>
      </c>
      <c r="AU15" s="636">
        <f>Qld!AU15</f>
        <v>2.5000000000000001E-2</v>
      </c>
      <c r="AV15" s="636">
        <f>Qld!AV15</f>
        <v>2.5000000000000001E-2</v>
      </c>
      <c r="AW15" s="636">
        <f>Qld!AW15</f>
        <v>2.5000000000000001E-2</v>
      </c>
      <c r="AX15" s="636">
        <f>Qld!AX15</f>
        <v>2.5000000000000001E-2</v>
      </c>
      <c r="AY15" s="636">
        <f>Qld!AY15</f>
        <v>2.5000000000000001E-2</v>
      </c>
      <c r="AZ15" s="636">
        <f>Qld!AZ15</f>
        <v>2.5000000000000001E-2</v>
      </c>
      <c r="BA15" s="636">
        <f>Qld!BA15</f>
        <v>2.5000000000000001E-2</v>
      </c>
      <c r="BB15" s="636">
        <f>Qld!BB15</f>
        <v>2.5000000000000001E-2</v>
      </c>
      <c r="BC15" s="636">
        <f>Qld!BC15</f>
        <v>2.5000000000000001E-2</v>
      </c>
      <c r="BD15" s="636">
        <f>Qld!BD15</f>
        <v>2.5000000000000001E-2</v>
      </c>
      <c r="BE15" s="636">
        <f>Qld!BE15</f>
        <v>2.5000000000000001E-2</v>
      </c>
      <c r="BF15" s="636">
        <f>Qld!BF15</f>
        <v>2.5000000000000001E-2</v>
      </c>
      <c r="BG15" s="636">
        <f>Qld!BG15</f>
        <v>2.5000000000000001E-2</v>
      </c>
      <c r="BH15" s="636">
        <f>Qld!BH15</f>
        <v>2.5000000000000001E-2</v>
      </c>
      <c r="BI15" s="636">
        <f>Qld!BI15</f>
        <v>2.5000000000000001E-2</v>
      </c>
      <c r="BJ15" s="636">
        <f>Qld!BJ15</f>
        <v>2.5000000000000001E-2</v>
      </c>
      <c r="BK15" s="636">
        <f>Qld!BK15</f>
        <v>2.5000000000000001E-2</v>
      </c>
      <c r="BL15" s="636">
        <f>Qld!BL15</f>
        <v>2.5000000000000001E-2</v>
      </c>
      <c r="BM15" s="636">
        <f>Qld!BM15</f>
        <v>2.5000000000000001E-2</v>
      </c>
      <c r="BN15" s="636">
        <f>Qld!BN15</f>
        <v>2.5000000000000001E-2</v>
      </c>
      <c r="BO15" s="636">
        <f>Qld!BO15</f>
        <v>2.5000000000000001E-2</v>
      </c>
      <c r="BP15" s="636">
        <f>Qld!BP15</f>
        <v>2.5000000000000001E-2</v>
      </c>
      <c r="BQ15" s="636">
        <f>Qld!BQ15</f>
        <v>2.5000000000000001E-2</v>
      </c>
      <c r="BR15" s="636">
        <f>Qld!BR15</f>
        <v>2.5000000000000001E-2</v>
      </c>
      <c r="BS15" s="636">
        <f>Qld!BS15</f>
        <v>2.5000000000000001E-2</v>
      </c>
      <c r="BT15" s="636">
        <f>Qld!BT15</f>
        <v>2.5000000000000001E-2</v>
      </c>
      <c r="BU15" s="636">
        <f>Qld!BU15</f>
        <v>2.5000000000000001E-2</v>
      </c>
      <c r="BV15" s="636">
        <f>Qld!BV15</f>
        <v>2.5000000000000001E-2</v>
      </c>
      <c r="BW15" s="636">
        <f>Qld!BW15</f>
        <v>2.5000000000000001E-2</v>
      </c>
      <c r="BX15" s="636">
        <f>Qld!BX15</f>
        <v>2.5000000000000001E-2</v>
      </c>
      <c r="BY15" s="636">
        <f>Qld!BY15</f>
        <v>2.5000000000000001E-2</v>
      </c>
      <c r="BZ15" s="636">
        <f>Qld!BZ15</f>
        <v>2.5000000000000001E-2</v>
      </c>
      <c r="CA15" s="636">
        <f>Qld!CA15</f>
        <v>2.5000000000000001E-2</v>
      </c>
      <c r="CB15" s="636">
        <f>Qld!CB15</f>
        <v>2.5000000000000001E-2</v>
      </c>
      <c r="CC15" s="636">
        <f>Qld!CC15</f>
        <v>2.5000000000000001E-2</v>
      </c>
      <c r="CD15" s="636">
        <f>Qld!CD15</f>
        <v>2.5000000000000001E-2</v>
      </c>
      <c r="CE15" s="636">
        <f>Qld!CE15</f>
        <v>2.5000000000000001E-2</v>
      </c>
      <c r="CF15" s="636">
        <f>Qld!CF15</f>
        <v>2.5000000000000001E-2</v>
      </c>
      <c r="CG15" s="636">
        <f>Qld!CG15</f>
        <v>2.5000000000000001E-2</v>
      </c>
      <c r="CH15" s="636">
        <f>Qld!CH15</f>
        <v>2.5000000000000001E-2</v>
      </c>
      <c r="CI15" s="636">
        <f>Qld!CI15</f>
        <v>2.5000000000000001E-2</v>
      </c>
      <c r="CJ15" s="636">
        <f>Qld!CJ15</f>
        <v>2.5000000000000001E-2</v>
      </c>
      <c r="CK15" s="636">
        <f>Qld!CK15</f>
        <v>2.5000000000000001E-2</v>
      </c>
      <c r="CL15" s="636">
        <f>Qld!CL15</f>
        <v>2.5000000000000001E-2</v>
      </c>
      <c r="CM15" s="636">
        <f>Qld!CM15</f>
        <v>2.5000000000000001E-2</v>
      </c>
      <c r="CN15" s="636">
        <f>Qld!CN15</f>
        <v>2.5000000000000001E-2</v>
      </c>
      <c r="CO15" s="636">
        <f>Qld!CO15</f>
        <v>2.5000000000000001E-2</v>
      </c>
      <c r="CP15" s="636">
        <f>Qld!CP15</f>
        <v>2.5000000000000001E-2</v>
      </c>
      <c r="CQ15" s="23" t="s">
        <v>77</v>
      </c>
    </row>
    <row r="16" spans="1:95" x14ac:dyDescent="0.2">
      <c r="CQ16" s="23" t="s">
        <v>77</v>
      </c>
    </row>
    <row r="17" spans="2:95" s="233" customFormat="1" x14ac:dyDescent="0.2">
      <c r="B17" s="728" t="s">
        <v>302</v>
      </c>
      <c r="C17" s="312"/>
      <c r="D17" s="312"/>
      <c r="E17" s="312"/>
      <c r="F17" s="312"/>
      <c r="G17" s="312"/>
      <c r="H17" s="312"/>
      <c r="I17" s="312"/>
      <c r="J17" s="312"/>
      <c r="K17" s="312">
        <f t="shared" ref="K17:AK17" si="4">Fiscal_Year</f>
        <v>38533</v>
      </c>
      <c r="L17" s="312">
        <f t="shared" si="4"/>
        <v>38898</v>
      </c>
      <c r="M17" s="312">
        <f t="shared" si="4"/>
        <v>39263</v>
      </c>
      <c r="N17" s="312">
        <f t="shared" si="4"/>
        <v>39629</v>
      </c>
      <c r="O17" s="312">
        <f t="shared" si="4"/>
        <v>39994</v>
      </c>
      <c r="P17" s="312">
        <f t="shared" si="4"/>
        <v>40359</v>
      </c>
      <c r="Q17" s="312">
        <f t="shared" si="4"/>
        <v>40724</v>
      </c>
      <c r="R17" s="312">
        <f t="shared" si="4"/>
        <v>41090</v>
      </c>
      <c r="S17" s="312">
        <f t="shared" si="4"/>
        <v>41455</v>
      </c>
      <c r="T17" s="312">
        <f t="shared" si="4"/>
        <v>41820</v>
      </c>
      <c r="U17" s="312">
        <f t="shared" si="4"/>
        <v>42185</v>
      </c>
      <c r="V17" s="312">
        <f t="shared" si="4"/>
        <v>42551</v>
      </c>
      <c r="W17" s="312">
        <f t="shared" si="4"/>
        <v>42916</v>
      </c>
      <c r="X17" s="312">
        <f t="shared" si="4"/>
        <v>43281</v>
      </c>
      <c r="Y17" s="312">
        <f t="shared" si="4"/>
        <v>43646</v>
      </c>
      <c r="Z17" s="312">
        <f t="shared" si="4"/>
        <v>44012</v>
      </c>
      <c r="AA17" s="312">
        <f t="shared" si="4"/>
        <v>44377</v>
      </c>
      <c r="AB17" s="312">
        <f t="shared" si="4"/>
        <v>44742</v>
      </c>
      <c r="AC17" s="312">
        <f t="shared" si="4"/>
        <v>45107</v>
      </c>
      <c r="AD17" s="312">
        <f t="shared" si="4"/>
        <v>45473</v>
      </c>
      <c r="AE17" s="312">
        <f t="shared" si="4"/>
        <v>45838</v>
      </c>
      <c r="AF17" s="312">
        <f t="shared" si="4"/>
        <v>46203</v>
      </c>
      <c r="AG17" s="312">
        <f t="shared" si="4"/>
        <v>46568</v>
      </c>
      <c r="AH17" s="312">
        <f t="shared" si="4"/>
        <v>46934</v>
      </c>
      <c r="AI17" s="312">
        <f t="shared" si="4"/>
        <v>47299</v>
      </c>
      <c r="AJ17" s="312">
        <f t="shared" si="4"/>
        <v>47664</v>
      </c>
      <c r="AK17" s="312">
        <f t="shared" si="4"/>
        <v>48029</v>
      </c>
      <c r="AL17" s="312">
        <f t="shared" ref="AL17:CP17" si="5">Fiscal_Year</f>
        <v>48395</v>
      </c>
      <c r="AM17" s="312">
        <f t="shared" si="5"/>
        <v>48760</v>
      </c>
      <c r="AN17" s="312">
        <f t="shared" si="5"/>
        <v>49125</v>
      </c>
      <c r="AO17" s="312">
        <f t="shared" si="5"/>
        <v>49490</v>
      </c>
      <c r="AP17" s="312">
        <f t="shared" si="5"/>
        <v>49856</v>
      </c>
      <c r="AQ17" s="312">
        <f t="shared" si="5"/>
        <v>50221</v>
      </c>
      <c r="AR17" s="312">
        <f t="shared" si="5"/>
        <v>50586</v>
      </c>
      <c r="AS17" s="312">
        <f t="shared" si="5"/>
        <v>50951</v>
      </c>
      <c r="AT17" s="312">
        <f t="shared" si="5"/>
        <v>51317</v>
      </c>
      <c r="AU17" s="312">
        <f t="shared" si="5"/>
        <v>51682</v>
      </c>
      <c r="AV17" s="312">
        <f t="shared" si="5"/>
        <v>52047</v>
      </c>
      <c r="AW17" s="312">
        <f t="shared" si="5"/>
        <v>52412</v>
      </c>
      <c r="AX17" s="312">
        <f t="shared" si="5"/>
        <v>52778</v>
      </c>
      <c r="AY17" s="312">
        <f t="shared" si="5"/>
        <v>53143</v>
      </c>
      <c r="AZ17" s="312">
        <f t="shared" si="5"/>
        <v>53508</v>
      </c>
      <c r="BA17" s="312">
        <f t="shared" si="5"/>
        <v>53873</v>
      </c>
      <c r="BB17" s="312">
        <f t="shared" si="5"/>
        <v>54239</v>
      </c>
      <c r="BC17" s="312">
        <f t="shared" si="5"/>
        <v>54604</v>
      </c>
      <c r="BD17" s="312">
        <f t="shared" si="5"/>
        <v>54969</v>
      </c>
      <c r="BE17" s="312">
        <f t="shared" si="5"/>
        <v>55334</v>
      </c>
      <c r="BF17" s="312">
        <f t="shared" si="5"/>
        <v>55700</v>
      </c>
      <c r="BG17" s="312">
        <f t="shared" si="5"/>
        <v>56065</v>
      </c>
      <c r="BH17" s="312">
        <f t="shared" si="5"/>
        <v>56430</v>
      </c>
      <c r="BI17" s="312">
        <f t="shared" si="5"/>
        <v>56795</v>
      </c>
      <c r="BJ17" s="312">
        <f t="shared" si="5"/>
        <v>57161</v>
      </c>
      <c r="BK17" s="312">
        <f t="shared" si="5"/>
        <v>57526</v>
      </c>
      <c r="BL17" s="312">
        <f t="shared" si="5"/>
        <v>57891</v>
      </c>
      <c r="BM17" s="312">
        <f t="shared" si="5"/>
        <v>58256</v>
      </c>
      <c r="BN17" s="312">
        <f t="shared" si="5"/>
        <v>58622</v>
      </c>
      <c r="BO17" s="312">
        <f t="shared" si="5"/>
        <v>58987</v>
      </c>
      <c r="BP17" s="312">
        <f t="shared" si="5"/>
        <v>59352</v>
      </c>
      <c r="BQ17" s="312">
        <f t="shared" si="5"/>
        <v>59717</v>
      </c>
      <c r="BR17" s="312">
        <f t="shared" si="5"/>
        <v>60083</v>
      </c>
      <c r="BS17" s="312">
        <f t="shared" si="5"/>
        <v>60448</v>
      </c>
      <c r="BT17" s="312">
        <f t="shared" si="5"/>
        <v>60813</v>
      </c>
      <c r="BU17" s="312">
        <f t="shared" si="5"/>
        <v>61178</v>
      </c>
      <c r="BV17" s="312">
        <f t="shared" si="5"/>
        <v>61544</v>
      </c>
      <c r="BW17" s="312">
        <f t="shared" si="5"/>
        <v>61909</v>
      </c>
      <c r="BX17" s="312">
        <f t="shared" si="5"/>
        <v>62274</v>
      </c>
      <c r="BY17" s="312">
        <f t="shared" si="5"/>
        <v>62639</v>
      </c>
      <c r="BZ17" s="312">
        <f t="shared" si="5"/>
        <v>63005</v>
      </c>
      <c r="CA17" s="312">
        <f t="shared" si="5"/>
        <v>63370</v>
      </c>
      <c r="CB17" s="312">
        <f t="shared" si="5"/>
        <v>63735</v>
      </c>
      <c r="CC17" s="312">
        <f t="shared" si="5"/>
        <v>64100</v>
      </c>
      <c r="CD17" s="312">
        <f t="shared" si="5"/>
        <v>64466</v>
      </c>
      <c r="CE17" s="312">
        <f t="shared" si="5"/>
        <v>64831</v>
      </c>
      <c r="CF17" s="312">
        <f t="shared" si="5"/>
        <v>65196</v>
      </c>
      <c r="CG17" s="312">
        <f t="shared" si="5"/>
        <v>65561</v>
      </c>
      <c r="CH17" s="312">
        <f t="shared" si="5"/>
        <v>65927</v>
      </c>
      <c r="CI17" s="312">
        <f t="shared" si="5"/>
        <v>66292</v>
      </c>
      <c r="CJ17" s="312">
        <f t="shared" si="5"/>
        <v>66657</v>
      </c>
      <c r="CK17" s="312">
        <f t="shared" si="5"/>
        <v>67022</v>
      </c>
      <c r="CL17" s="312">
        <f t="shared" si="5"/>
        <v>67388</v>
      </c>
      <c r="CM17" s="312">
        <f t="shared" si="5"/>
        <v>67753</v>
      </c>
      <c r="CN17" s="312">
        <f t="shared" si="5"/>
        <v>68118</v>
      </c>
      <c r="CO17" s="312">
        <f t="shared" si="5"/>
        <v>68483</v>
      </c>
      <c r="CP17" s="312">
        <f t="shared" si="5"/>
        <v>68849</v>
      </c>
      <c r="CQ17" s="23" t="s">
        <v>77</v>
      </c>
    </row>
    <row r="18" spans="2:95" ht="5.0999999999999996" customHeight="1" x14ac:dyDescent="0.2">
      <c r="CQ18" s="23" t="s">
        <v>77</v>
      </c>
    </row>
    <row r="19" spans="2:95" outlineLevel="1" x14ac:dyDescent="0.2">
      <c r="B19" s="8" t="s">
        <v>79</v>
      </c>
      <c r="K19" s="625" t="str">
        <f>+APA!K25</f>
        <v>n.a.</v>
      </c>
      <c r="L19" s="625" t="str">
        <f>+APA!L25</f>
        <v>n.a.</v>
      </c>
      <c r="M19" s="625">
        <f>+APA!M25</f>
        <v>75.38</v>
      </c>
      <c r="N19" s="625">
        <f>+APA!N25</f>
        <v>82.087000000000003</v>
      </c>
      <c r="O19" s="625">
        <f>+APA!O25</f>
        <v>107.91500000000001</v>
      </c>
      <c r="P19" s="625">
        <f>+APA!P25</f>
        <v>120.773</v>
      </c>
      <c r="Q19" s="625">
        <f>+APA!Q25</f>
        <v>126.657</v>
      </c>
      <c r="R19" s="625">
        <f>+APA!R25</f>
        <v>138.44300000000001</v>
      </c>
      <c r="S19" s="625">
        <f>+APA!S25</f>
        <v>139.321</v>
      </c>
      <c r="T19" s="625">
        <f>+APA!T25</f>
        <v>133.554</v>
      </c>
      <c r="U19" s="625">
        <f>+APA!U25</f>
        <v>137.99799999999999</v>
      </c>
      <c r="V19" s="625">
        <f>+APA!V25</f>
        <v>143.42699999999999</v>
      </c>
      <c r="W19" s="625">
        <f>+APA!W25</f>
        <v>176</v>
      </c>
      <c r="X19" s="51">
        <f t="shared" ref="X19:BD19" si="6">+X36+X37</f>
        <v>160.35504738506114</v>
      </c>
      <c r="Y19" s="51">
        <f t="shared" si="6"/>
        <v>164.36392356968764</v>
      </c>
      <c r="Z19" s="51">
        <f t="shared" si="6"/>
        <v>168.47302165892984</v>
      </c>
      <c r="AA19" s="51">
        <f t="shared" si="6"/>
        <v>121.19877811163731</v>
      </c>
      <c r="AB19" s="51">
        <f t="shared" si="6"/>
        <v>124.07724909178869</v>
      </c>
      <c r="AC19" s="51">
        <f t="shared" si="6"/>
        <v>127.02408375771867</v>
      </c>
      <c r="AD19" s="51">
        <f t="shared" si="6"/>
        <v>130.04090574696448</v>
      </c>
      <c r="AE19" s="51">
        <f t="shared" si="6"/>
        <v>133.12937725845489</v>
      </c>
      <c r="AF19" s="51">
        <f t="shared" si="6"/>
        <v>119.24774849624222</v>
      </c>
      <c r="AG19" s="51">
        <f t="shared" si="6"/>
        <v>122.07988252302798</v>
      </c>
      <c r="AH19" s="51">
        <f t="shared" si="6"/>
        <v>124.97927973294988</v>
      </c>
      <c r="AI19" s="51">
        <f t="shared" si="6"/>
        <v>127.94753762660741</v>
      </c>
      <c r="AJ19" s="51">
        <f t="shared" si="6"/>
        <v>130.98629164523933</v>
      </c>
      <c r="AK19" s="51">
        <f t="shared" si="6"/>
        <v>134.09721607181376</v>
      </c>
      <c r="AL19" s="51">
        <f t="shared" si="6"/>
        <v>137.28202495351934</v>
      </c>
      <c r="AM19" s="51">
        <f t="shared" si="6"/>
        <v>140.54247304616541</v>
      </c>
      <c r="AN19" s="51">
        <f t="shared" si="6"/>
        <v>143.88035678101184</v>
      </c>
      <c r="AO19" s="51">
        <f t="shared" si="6"/>
        <v>147.29751525456086</v>
      </c>
      <c r="AP19" s="51">
        <f t="shared" si="6"/>
        <v>150.79583124185666</v>
      </c>
      <c r="AQ19" s="51">
        <f t="shared" si="6"/>
        <v>154.37723223385075</v>
      </c>
      <c r="AR19" s="51">
        <f t="shared" si="6"/>
        <v>158.0436914994047</v>
      </c>
      <c r="AS19" s="51">
        <f t="shared" si="6"/>
        <v>161.79722917251556</v>
      </c>
      <c r="AT19" s="51">
        <f t="shared" si="6"/>
        <v>165.63991336536279</v>
      </c>
      <c r="AU19" s="51">
        <f t="shared" si="6"/>
        <v>169.57386130779014</v>
      </c>
      <c r="AV19" s="51">
        <f t="shared" si="6"/>
        <v>173.60124051385014</v>
      </c>
      <c r="AW19" s="51">
        <f t="shared" si="6"/>
        <v>177.72426997605407</v>
      </c>
      <c r="AX19" s="51">
        <f t="shared" si="6"/>
        <v>181.94522138798536</v>
      </c>
      <c r="AY19" s="51">
        <f t="shared" si="6"/>
        <v>186.26642039595001</v>
      </c>
      <c r="AZ19" s="51">
        <f t="shared" si="6"/>
        <v>190.69024788035381</v>
      </c>
      <c r="BA19" s="51">
        <f t="shared" si="6"/>
        <v>34.12755699325546</v>
      </c>
      <c r="BB19" s="51">
        <f t="shared" si="6"/>
        <v>34.938086471845274</v>
      </c>
      <c r="BC19" s="51">
        <f t="shared" si="6"/>
        <v>35.767866025551598</v>
      </c>
      <c r="BD19" s="51">
        <f t="shared" si="6"/>
        <v>36.617352843658445</v>
      </c>
      <c r="BE19" s="51">
        <f t="shared" ref="BE19:CP19" si="7">+BE36+BE37</f>
        <v>37.487014973695331</v>
      </c>
      <c r="BF19" s="51">
        <f t="shared" si="7"/>
        <v>38.37733157932059</v>
      </c>
      <c r="BG19" s="51">
        <f t="shared" si="7"/>
        <v>39.288793204329451</v>
      </c>
      <c r="BH19" s="51">
        <f t="shared" si="7"/>
        <v>40.221902042932271</v>
      </c>
      <c r="BI19" s="51">
        <f t="shared" si="7"/>
        <v>41.177172216451908</v>
      </c>
      <c r="BJ19" s="51">
        <f t="shared" si="7"/>
        <v>42.15513005659264</v>
      </c>
      <c r="BK19" s="51">
        <f t="shared" si="7"/>
        <v>43.156314395436709</v>
      </c>
      <c r="BL19" s="51">
        <f t="shared" si="7"/>
        <v>44.181276862328332</v>
      </c>
      <c r="BM19" s="51">
        <f t="shared" si="7"/>
        <v>45.230582187808629</v>
      </c>
      <c r="BN19" s="51">
        <f t="shared" si="7"/>
        <v>46.304808514769078</v>
      </c>
      <c r="BO19" s="51">
        <f t="shared" si="7"/>
        <v>47.404547716994841</v>
      </c>
      <c r="BP19" s="51">
        <f t="shared" si="7"/>
        <v>48.530405725273468</v>
      </c>
      <c r="BQ19" s="51">
        <f t="shared" si="7"/>
        <v>49.68300286124871</v>
      </c>
      <c r="BR19" s="51">
        <f t="shared" si="7"/>
        <v>50.862974179203363</v>
      </c>
      <c r="BS19" s="51">
        <f t="shared" si="7"/>
        <v>52.070969815959437</v>
      </c>
      <c r="BT19" s="51">
        <f t="shared" si="7"/>
        <v>0</v>
      </c>
      <c r="BU19" s="51">
        <f t="shared" si="7"/>
        <v>0</v>
      </c>
      <c r="BV19" s="51">
        <f t="shared" si="7"/>
        <v>0</v>
      </c>
      <c r="BW19" s="51">
        <f t="shared" si="7"/>
        <v>0</v>
      </c>
      <c r="BX19" s="51">
        <f t="shared" si="7"/>
        <v>0</v>
      </c>
      <c r="BY19" s="51">
        <f t="shared" si="7"/>
        <v>0</v>
      </c>
      <c r="BZ19" s="51">
        <f t="shared" si="7"/>
        <v>0</v>
      </c>
      <c r="CA19" s="51">
        <f t="shared" si="7"/>
        <v>0</v>
      </c>
      <c r="CB19" s="51">
        <f t="shared" si="7"/>
        <v>0</v>
      </c>
      <c r="CC19" s="51">
        <f t="shared" si="7"/>
        <v>0</v>
      </c>
      <c r="CD19" s="51">
        <f t="shared" si="7"/>
        <v>0</v>
      </c>
      <c r="CE19" s="51">
        <f t="shared" si="7"/>
        <v>0</v>
      </c>
      <c r="CF19" s="51">
        <f t="shared" si="7"/>
        <v>0</v>
      </c>
      <c r="CG19" s="51">
        <f t="shared" si="7"/>
        <v>0</v>
      </c>
      <c r="CH19" s="51">
        <f t="shared" si="7"/>
        <v>0</v>
      </c>
      <c r="CI19" s="51">
        <f t="shared" si="7"/>
        <v>0</v>
      </c>
      <c r="CJ19" s="51">
        <f t="shared" si="7"/>
        <v>0</v>
      </c>
      <c r="CK19" s="51">
        <f t="shared" si="7"/>
        <v>0</v>
      </c>
      <c r="CL19" s="51">
        <f t="shared" si="7"/>
        <v>0</v>
      </c>
      <c r="CM19" s="51">
        <f t="shared" si="7"/>
        <v>0</v>
      </c>
      <c r="CN19" s="51">
        <f t="shared" si="7"/>
        <v>0</v>
      </c>
      <c r="CO19" s="51">
        <f t="shared" si="7"/>
        <v>0</v>
      </c>
      <c r="CP19" s="51">
        <f t="shared" si="7"/>
        <v>0</v>
      </c>
      <c r="CQ19" s="23" t="s">
        <v>77</v>
      </c>
    </row>
    <row r="20" spans="2:95" outlineLevel="1" x14ac:dyDescent="0.2">
      <c r="B20" s="8" t="s">
        <v>248</v>
      </c>
      <c r="K20" s="625" t="str">
        <f>+APA!K45</f>
        <v>n.a.</v>
      </c>
      <c r="L20" s="625" t="str">
        <f>+APA!L45</f>
        <v>n.a.</v>
      </c>
      <c r="M20" s="625">
        <f>+APA!M45</f>
        <v>46.53</v>
      </c>
      <c r="N20" s="625">
        <f>+APA!N45</f>
        <v>66.534000000000006</v>
      </c>
      <c r="O20" s="625">
        <f>+APA!O45</f>
        <v>83.43</v>
      </c>
      <c r="P20" s="625">
        <f>+APA!P45</f>
        <v>96.840999999999994</v>
      </c>
      <c r="Q20" s="625">
        <f>+APA!Q45</f>
        <v>101.26600000000001</v>
      </c>
      <c r="R20" s="625">
        <f>+APA!R45</f>
        <v>113.098</v>
      </c>
      <c r="S20" s="625">
        <f>+APA!S45</f>
        <v>112.65900000000001</v>
      </c>
      <c r="T20" s="625">
        <f>+APA!T45</f>
        <v>115.569</v>
      </c>
      <c r="U20" s="625">
        <f>+APA!U45</f>
        <v>120.80800000000001</v>
      </c>
      <c r="V20" s="625">
        <f>+APA!V45</f>
        <v>121.709</v>
      </c>
      <c r="W20" s="625">
        <f>+APA!W45</f>
        <v>149.48400000000001</v>
      </c>
      <c r="X20" s="51">
        <f t="shared" ref="X20:BD20" si="8">+X49</f>
        <v>133.22110000000001</v>
      </c>
      <c r="Y20" s="51">
        <f t="shared" si="8"/>
        <v>136.55162749999997</v>
      </c>
      <c r="Z20" s="51">
        <f t="shared" si="8"/>
        <v>139.96541818749995</v>
      </c>
      <c r="AA20" s="51">
        <f t="shared" si="8"/>
        <v>91.978484553421708</v>
      </c>
      <c r="AB20" s="51">
        <f t="shared" si="8"/>
        <v>94.126448194617694</v>
      </c>
      <c r="AC20" s="51">
        <f t="shared" si="8"/>
        <v>96.324512838118409</v>
      </c>
      <c r="AD20" s="51">
        <f t="shared" si="8"/>
        <v>98.573845554374202</v>
      </c>
      <c r="AE20" s="51">
        <f t="shared" si="8"/>
        <v>100.87564056104986</v>
      </c>
      <c r="AF20" s="51">
        <f t="shared" si="8"/>
        <v>86.187668381402091</v>
      </c>
      <c r="AG20" s="51">
        <f t="shared" si="8"/>
        <v>88.193300405316833</v>
      </c>
      <c r="AH20" s="51">
        <f t="shared" si="8"/>
        <v>90.245533062295948</v>
      </c>
      <c r="AI20" s="51">
        <f t="shared" si="8"/>
        <v>92.345447289187163</v>
      </c>
      <c r="AJ20" s="51">
        <f t="shared" si="8"/>
        <v>94.494149049383566</v>
      </c>
      <c r="AK20" s="51">
        <f t="shared" si="8"/>
        <v>96.692769911061617</v>
      </c>
      <c r="AL20" s="51">
        <f t="shared" si="8"/>
        <v>98.942467638748369</v>
      </c>
      <c r="AM20" s="51">
        <f t="shared" si="8"/>
        <v>101.24442679852518</v>
      </c>
      <c r="AN20" s="51">
        <f t="shared" si="8"/>
        <v>103.59985937718061</v>
      </c>
      <c r="AO20" s="51">
        <f t="shared" si="8"/>
        <v>106.01000541563386</v>
      </c>
      <c r="AP20" s="51">
        <f t="shared" si="8"/>
        <v>108.47613365695649</v>
      </c>
      <c r="AQ20" s="51">
        <f t="shared" si="8"/>
        <v>110.99954220932808</v>
      </c>
      <c r="AR20" s="51">
        <f t="shared" si="8"/>
        <v>113.58155922426897</v>
      </c>
      <c r="AS20" s="51">
        <f t="shared" si="8"/>
        <v>116.22354359050142</v>
      </c>
      <c r="AT20" s="51">
        <f t="shared" si="8"/>
        <v>118.92688564379831</v>
      </c>
      <c r="AU20" s="51">
        <f t="shared" si="8"/>
        <v>121.69300789318658</v>
      </c>
      <c r="AV20" s="51">
        <f t="shared" si="8"/>
        <v>124.52336576388149</v>
      </c>
      <c r="AW20" s="51">
        <f t="shared" si="8"/>
        <v>127.41944835733622</v>
      </c>
      <c r="AX20" s="51">
        <f t="shared" si="8"/>
        <v>130.38277922879956</v>
      </c>
      <c r="AY20" s="51">
        <f t="shared" si="8"/>
        <v>133.41491718278456</v>
      </c>
      <c r="AZ20" s="51">
        <f t="shared" si="8"/>
        <v>136.51745708685922</v>
      </c>
      <c r="BA20" s="51">
        <f t="shared" si="8"/>
        <v>24.469268341881151</v>
      </c>
      <c r="BB20" s="51">
        <f t="shared" si="8"/>
        <v>25.038340604186608</v>
      </c>
      <c r="BC20" s="51">
        <f t="shared" si="8"/>
        <v>25.620626511201465</v>
      </c>
      <c r="BD20" s="51">
        <f t="shared" si="8"/>
        <v>26.216432341449561</v>
      </c>
      <c r="BE20" s="51">
        <f t="shared" ref="BE20:CP20" si="9">+BE49</f>
        <v>26.826071458931224</v>
      </c>
      <c r="BF20" s="51">
        <f t="shared" si="9"/>
        <v>27.449864476687381</v>
      </c>
      <c r="BG20" s="51">
        <f t="shared" si="9"/>
        <v>28.088139424130414</v>
      </c>
      <c r="BH20" s="51">
        <f t="shared" si="9"/>
        <v>28.741231918228259</v>
      </c>
      <c r="BI20" s="51">
        <f t="shared" si="9"/>
        <v>29.409485338630297</v>
      </c>
      <c r="BJ20" s="51">
        <f t="shared" si="9"/>
        <v>30.09325100682549</v>
      </c>
      <c r="BK20" s="51">
        <f t="shared" si="9"/>
        <v>30.792888369425381</v>
      </c>
      <c r="BL20" s="51">
        <f t="shared" si="9"/>
        <v>31.508765185666721</v>
      </c>
      <c r="BM20" s="51">
        <f t="shared" si="9"/>
        <v>32.241257719230475</v>
      </c>
      <c r="BN20" s="51">
        <f t="shared" si="9"/>
        <v>32.990750934476473</v>
      </c>
      <c r="BO20" s="51">
        <f t="shared" si="9"/>
        <v>33.75763869719492</v>
      </c>
      <c r="BP20" s="51">
        <f t="shared" si="9"/>
        <v>34.542323979978555</v>
      </c>
      <c r="BQ20" s="51">
        <f t="shared" si="9"/>
        <v>35.345219072321427</v>
      </c>
      <c r="BR20" s="51">
        <f t="shared" si="9"/>
        <v>36.166745795552899</v>
      </c>
      <c r="BS20" s="51">
        <f t="shared" si="9"/>
        <v>37.007335722717713</v>
      </c>
      <c r="BT20" s="51">
        <f t="shared" si="9"/>
        <v>0</v>
      </c>
      <c r="BU20" s="51">
        <f t="shared" si="9"/>
        <v>0</v>
      </c>
      <c r="BV20" s="51">
        <f t="shared" si="9"/>
        <v>0</v>
      </c>
      <c r="BW20" s="51">
        <f t="shared" si="9"/>
        <v>0</v>
      </c>
      <c r="BX20" s="51">
        <f t="shared" si="9"/>
        <v>0</v>
      </c>
      <c r="BY20" s="51">
        <f t="shared" si="9"/>
        <v>0</v>
      </c>
      <c r="BZ20" s="51">
        <f t="shared" si="9"/>
        <v>0</v>
      </c>
      <c r="CA20" s="51">
        <f t="shared" si="9"/>
        <v>0</v>
      </c>
      <c r="CB20" s="51">
        <f t="shared" si="9"/>
        <v>0</v>
      </c>
      <c r="CC20" s="51">
        <f t="shared" si="9"/>
        <v>0</v>
      </c>
      <c r="CD20" s="51">
        <f t="shared" si="9"/>
        <v>0</v>
      </c>
      <c r="CE20" s="51">
        <f t="shared" si="9"/>
        <v>0</v>
      </c>
      <c r="CF20" s="51">
        <f t="shared" si="9"/>
        <v>0</v>
      </c>
      <c r="CG20" s="51">
        <f t="shared" si="9"/>
        <v>0</v>
      </c>
      <c r="CH20" s="51">
        <f t="shared" si="9"/>
        <v>0</v>
      </c>
      <c r="CI20" s="51">
        <f t="shared" si="9"/>
        <v>0</v>
      </c>
      <c r="CJ20" s="51">
        <f t="shared" si="9"/>
        <v>0</v>
      </c>
      <c r="CK20" s="51">
        <f t="shared" si="9"/>
        <v>0</v>
      </c>
      <c r="CL20" s="51">
        <f t="shared" si="9"/>
        <v>0</v>
      </c>
      <c r="CM20" s="51">
        <f t="shared" si="9"/>
        <v>0</v>
      </c>
      <c r="CN20" s="51">
        <f t="shared" si="9"/>
        <v>0</v>
      </c>
      <c r="CO20" s="51">
        <f t="shared" si="9"/>
        <v>0</v>
      </c>
      <c r="CP20" s="51">
        <f t="shared" si="9"/>
        <v>0</v>
      </c>
      <c r="CQ20" s="23" t="s">
        <v>77</v>
      </c>
    </row>
    <row r="21" spans="2:95" outlineLevel="1" x14ac:dyDescent="0.2">
      <c r="B21" s="731" t="s">
        <v>582</v>
      </c>
      <c r="E21" s="511" t="s">
        <v>585</v>
      </c>
      <c r="K21" s="625"/>
      <c r="L21" s="625"/>
      <c r="M21" s="23">
        <f t="shared" ref="M21:W25" si="10">SUMIF($E$36:$E$37,$E21,M$47:M$48)</f>
        <v>0</v>
      </c>
      <c r="N21" s="23">
        <f t="shared" si="10"/>
        <v>0</v>
      </c>
      <c r="O21" s="23">
        <f t="shared" si="10"/>
        <v>0</v>
      </c>
      <c r="P21" s="23">
        <f t="shared" si="10"/>
        <v>0</v>
      </c>
      <c r="Q21" s="23">
        <f t="shared" si="10"/>
        <v>0</v>
      </c>
      <c r="R21" s="23">
        <f t="shared" si="10"/>
        <v>0</v>
      </c>
      <c r="S21" s="23">
        <f t="shared" si="10"/>
        <v>0</v>
      </c>
      <c r="T21" s="23">
        <f t="shared" si="10"/>
        <v>0</v>
      </c>
      <c r="U21" s="23">
        <f t="shared" si="10"/>
        <v>0</v>
      </c>
      <c r="V21" s="23">
        <f t="shared" si="10"/>
        <v>0</v>
      </c>
      <c r="W21" s="23">
        <f t="shared" si="10"/>
        <v>0</v>
      </c>
      <c r="X21" s="23">
        <f t="shared" ref="X21:AG25" si="11">SUMIF($E$36:$E$37,$E21,X$47:X$48)</f>
        <v>0</v>
      </c>
      <c r="Y21" s="51">
        <f t="shared" si="11"/>
        <v>0</v>
      </c>
      <c r="Z21" s="51">
        <f t="shared" si="11"/>
        <v>0</v>
      </c>
      <c r="AA21" s="51">
        <f t="shared" si="11"/>
        <v>0</v>
      </c>
      <c r="AB21" s="51">
        <f t="shared" si="11"/>
        <v>0</v>
      </c>
      <c r="AC21" s="51">
        <f t="shared" si="11"/>
        <v>0</v>
      </c>
      <c r="AD21" s="51">
        <f t="shared" si="11"/>
        <v>0</v>
      </c>
      <c r="AE21" s="51">
        <f t="shared" si="11"/>
        <v>0</v>
      </c>
      <c r="AF21" s="51">
        <f t="shared" si="11"/>
        <v>0</v>
      </c>
      <c r="AG21" s="51">
        <f t="shared" si="11"/>
        <v>0</v>
      </c>
      <c r="AH21" s="51">
        <f t="shared" ref="AH21:AQ25" si="12">SUMIF($E$36:$E$37,$E21,AH$47:AH$48)</f>
        <v>0</v>
      </c>
      <c r="AI21" s="51">
        <f t="shared" si="12"/>
        <v>0</v>
      </c>
      <c r="AJ21" s="51">
        <f t="shared" si="12"/>
        <v>0</v>
      </c>
      <c r="AK21" s="51">
        <f t="shared" si="12"/>
        <v>0</v>
      </c>
      <c r="AL21" s="51">
        <f t="shared" si="12"/>
        <v>0</v>
      </c>
      <c r="AM21" s="51">
        <f t="shared" si="12"/>
        <v>0</v>
      </c>
      <c r="AN21" s="51">
        <f t="shared" si="12"/>
        <v>0</v>
      </c>
      <c r="AO21" s="51">
        <f t="shared" si="12"/>
        <v>0</v>
      </c>
      <c r="AP21" s="51">
        <f t="shared" si="12"/>
        <v>0</v>
      </c>
      <c r="AQ21" s="51">
        <f t="shared" si="12"/>
        <v>0</v>
      </c>
      <c r="AR21" s="51">
        <f t="shared" ref="AR21:BG25" si="13">SUMIF($E$36:$E$37,$E21,AR$47:AR$48)</f>
        <v>0</v>
      </c>
      <c r="AS21" s="51">
        <f t="shared" si="13"/>
        <v>0</v>
      </c>
      <c r="AT21" s="51">
        <f t="shared" si="13"/>
        <v>0</v>
      </c>
      <c r="AU21" s="51">
        <f t="shared" si="13"/>
        <v>0</v>
      </c>
      <c r="AV21" s="51">
        <f t="shared" si="13"/>
        <v>0</v>
      </c>
      <c r="AW21" s="51">
        <f t="shared" si="13"/>
        <v>0</v>
      </c>
      <c r="AX21" s="51">
        <f t="shared" si="13"/>
        <v>0</v>
      </c>
      <c r="AY21" s="51">
        <f t="shared" si="13"/>
        <v>0</v>
      </c>
      <c r="AZ21" s="51">
        <f t="shared" si="13"/>
        <v>0</v>
      </c>
      <c r="BA21" s="51">
        <f t="shared" si="13"/>
        <v>0</v>
      </c>
      <c r="BB21" s="51">
        <f t="shared" si="13"/>
        <v>0</v>
      </c>
      <c r="BC21" s="51">
        <f t="shared" si="13"/>
        <v>0</v>
      </c>
      <c r="BD21" s="23">
        <f t="shared" si="13"/>
        <v>0</v>
      </c>
      <c r="BE21" s="23">
        <f t="shared" si="13"/>
        <v>0</v>
      </c>
      <c r="BF21" s="23">
        <f t="shared" si="13"/>
        <v>0</v>
      </c>
      <c r="BG21" s="23">
        <f t="shared" si="13"/>
        <v>0</v>
      </c>
      <c r="BH21" s="23">
        <f t="shared" ref="BE21:CM25" si="14">SUMIF($E$36:$E$37,$E21,BH$47:BH$48)</f>
        <v>0</v>
      </c>
      <c r="BI21" s="23">
        <f t="shared" si="14"/>
        <v>0</v>
      </c>
      <c r="BJ21" s="23">
        <f t="shared" si="14"/>
        <v>0</v>
      </c>
      <c r="BK21" s="23">
        <f t="shared" si="14"/>
        <v>0</v>
      </c>
      <c r="BL21" s="23">
        <f t="shared" si="14"/>
        <v>0</v>
      </c>
      <c r="BM21" s="23">
        <f t="shared" si="14"/>
        <v>0</v>
      </c>
      <c r="BN21" s="23">
        <f t="shared" si="14"/>
        <v>0</v>
      </c>
      <c r="BO21" s="23">
        <f t="shared" si="14"/>
        <v>0</v>
      </c>
      <c r="BP21" s="23">
        <f t="shared" si="14"/>
        <v>0</v>
      </c>
      <c r="BQ21" s="23">
        <f t="shared" si="14"/>
        <v>0</v>
      </c>
      <c r="BR21" s="23">
        <f t="shared" si="14"/>
        <v>0</v>
      </c>
      <c r="BS21" s="23">
        <f t="shared" si="14"/>
        <v>0</v>
      </c>
      <c r="BT21" s="23">
        <f t="shared" si="14"/>
        <v>0</v>
      </c>
      <c r="BU21" s="23">
        <f t="shared" si="14"/>
        <v>0</v>
      </c>
      <c r="BV21" s="23">
        <f t="shared" si="14"/>
        <v>0</v>
      </c>
      <c r="BW21" s="23">
        <f t="shared" si="14"/>
        <v>0</v>
      </c>
      <c r="BX21" s="23">
        <f t="shared" si="14"/>
        <v>0</v>
      </c>
      <c r="BY21" s="23">
        <f t="shared" si="14"/>
        <v>0</v>
      </c>
      <c r="BZ21" s="23">
        <f t="shared" si="14"/>
        <v>0</v>
      </c>
      <c r="CA21" s="23">
        <f t="shared" si="14"/>
        <v>0</v>
      </c>
      <c r="CB21" s="23">
        <f t="shared" si="14"/>
        <v>0</v>
      </c>
      <c r="CC21" s="23">
        <f t="shared" si="14"/>
        <v>0</v>
      </c>
      <c r="CD21" s="23">
        <f t="shared" si="14"/>
        <v>0</v>
      </c>
      <c r="CE21" s="23">
        <f t="shared" si="14"/>
        <v>0</v>
      </c>
      <c r="CF21" s="23">
        <f t="shared" si="14"/>
        <v>0</v>
      </c>
      <c r="CG21" s="23">
        <f t="shared" si="14"/>
        <v>0</v>
      </c>
      <c r="CH21" s="23">
        <f t="shared" si="14"/>
        <v>0</v>
      </c>
      <c r="CI21" s="23">
        <f t="shared" si="14"/>
        <v>0</v>
      </c>
      <c r="CJ21" s="23">
        <f t="shared" si="14"/>
        <v>0</v>
      </c>
      <c r="CK21" s="23">
        <f t="shared" si="14"/>
        <v>0</v>
      </c>
      <c r="CL21" s="23">
        <f t="shared" si="14"/>
        <v>0</v>
      </c>
      <c r="CM21" s="23">
        <f t="shared" si="14"/>
        <v>0</v>
      </c>
      <c r="CN21" s="23">
        <f t="shared" ref="CM21:CP25" si="15">SUMIF($E$36:$E$37,$E21,CN$47:CN$48)</f>
        <v>0</v>
      </c>
      <c r="CO21" s="23">
        <f t="shared" si="15"/>
        <v>0</v>
      </c>
      <c r="CP21" s="23">
        <f t="shared" si="15"/>
        <v>0</v>
      </c>
      <c r="CQ21" s="23" t="s">
        <v>77</v>
      </c>
    </row>
    <row r="22" spans="2:95" outlineLevel="1" x14ac:dyDescent="0.2">
      <c r="B22" s="731" t="s">
        <v>581</v>
      </c>
      <c r="E22" s="511" t="s">
        <v>574</v>
      </c>
      <c r="F22" s="24"/>
      <c r="G22" s="24"/>
      <c r="H22" s="24"/>
      <c r="I22" s="24"/>
      <c r="J22" s="24"/>
      <c r="K22" s="625"/>
      <c r="L22" s="625"/>
      <c r="M22" s="23">
        <f t="shared" si="10"/>
        <v>0</v>
      </c>
      <c r="N22" s="23">
        <f t="shared" si="10"/>
        <v>0</v>
      </c>
      <c r="O22" s="23">
        <f t="shared" si="10"/>
        <v>0</v>
      </c>
      <c r="P22" s="23">
        <f t="shared" si="10"/>
        <v>0</v>
      </c>
      <c r="Q22" s="23">
        <f t="shared" si="10"/>
        <v>0</v>
      </c>
      <c r="R22" s="23">
        <f t="shared" si="10"/>
        <v>0</v>
      </c>
      <c r="S22" s="23">
        <f t="shared" si="10"/>
        <v>0</v>
      </c>
      <c r="T22" s="23">
        <f t="shared" si="10"/>
        <v>0</v>
      </c>
      <c r="U22" s="23">
        <f t="shared" si="10"/>
        <v>0</v>
      </c>
      <c r="V22" s="23">
        <f t="shared" si="10"/>
        <v>0</v>
      </c>
      <c r="W22" s="23">
        <f t="shared" si="10"/>
        <v>0</v>
      </c>
      <c r="X22" s="23">
        <f t="shared" si="11"/>
        <v>0</v>
      </c>
      <c r="Y22" s="51">
        <f t="shared" si="11"/>
        <v>0</v>
      </c>
      <c r="Z22" s="51">
        <f t="shared" si="11"/>
        <v>0</v>
      </c>
      <c r="AA22" s="51">
        <f t="shared" si="11"/>
        <v>0</v>
      </c>
      <c r="AB22" s="51">
        <f t="shared" si="11"/>
        <v>0</v>
      </c>
      <c r="AC22" s="51">
        <f t="shared" si="11"/>
        <v>0</v>
      </c>
      <c r="AD22" s="51">
        <f t="shared" si="11"/>
        <v>0</v>
      </c>
      <c r="AE22" s="51">
        <f t="shared" si="11"/>
        <v>0</v>
      </c>
      <c r="AF22" s="51">
        <f t="shared" si="11"/>
        <v>0</v>
      </c>
      <c r="AG22" s="51">
        <f t="shared" si="11"/>
        <v>0</v>
      </c>
      <c r="AH22" s="51">
        <f t="shared" si="12"/>
        <v>0</v>
      </c>
      <c r="AI22" s="51">
        <f t="shared" si="12"/>
        <v>0</v>
      </c>
      <c r="AJ22" s="51">
        <f t="shared" si="12"/>
        <v>0</v>
      </c>
      <c r="AK22" s="51">
        <f t="shared" si="12"/>
        <v>0</v>
      </c>
      <c r="AL22" s="51">
        <f t="shared" si="12"/>
        <v>0</v>
      </c>
      <c r="AM22" s="51">
        <f t="shared" si="12"/>
        <v>0</v>
      </c>
      <c r="AN22" s="51">
        <f t="shared" si="12"/>
        <v>0</v>
      </c>
      <c r="AO22" s="51">
        <f t="shared" si="12"/>
        <v>0</v>
      </c>
      <c r="AP22" s="51">
        <f t="shared" si="12"/>
        <v>0</v>
      </c>
      <c r="AQ22" s="51">
        <f t="shared" si="12"/>
        <v>0</v>
      </c>
      <c r="AR22" s="51">
        <f t="shared" si="13"/>
        <v>0</v>
      </c>
      <c r="AS22" s="51">
        <f t="shared" si="13"/>
        <v>0</v>
      </c>
      <c r="AT22" s="51">
        <f t="shared" si="13"/>
        <v>0</v>
      </c>
      <c r="AU22" s="51">
        <f t="shared" si="13"/>
        <v>0</v>
      </c>
      <c r="AV22" s="51">
        <f t="shared" si="13"/>
        <v>0</v>
      </c>
      <c r="AW22" s="51">
        <f t="shared" si="13"/>
        <v>0</v>
      </c>
      <c r="AX22" s="51">
        <f t="shared" si="13"/>
        <v>0</v>
      </c>
      <c r="AY22" s="51">
        <f t="shared" si="13"/>
        <v>0</v>
      </c>
      <c r="AZ22" s="51">
        <f t="shared" si="13"/>
        <v>0</v>
      </c>
      <c r="BA22" s="51">
        <f t="shared" si="13"/>
        <v>0</v>
      </c>
      <c r="BB22" s="51">
        <f t="shared" si="13"/>
        <v>0</v>
      </c>
      <c r="BC22" s="51">
        <f t="shared" si="13"/>
        <v>0</v>
      </c>
      <c r="BD22" s="23">
        <f t="shared" si="13"/>
        <v>0</v>
      </c>
      <c r="BE22" s="23">
        <f t="shared" si="14"/>
        <v>0</v>
      </c>
      <c r="BF22" s="23">
        <f t="shared" si="14"/>
        <v>0</v>
      </c>
      <c r="BG22" s="23">
        <f t="shared" si="14"/>
        <v>0</v>
      </c>
      <c r="BH22" s="23">
        <f t="shared" si="14"/>
        <v>0</v>
      </c>
      <c r="BI22" s="23">
        <f t="shared" si="14"/>
        <v>0</v>
      </c>
      <c r="BJ22" s="23">
        <f t="shared" si="14"/>
        <v>0</v>
      </c>
      <c r="BK22" s="23">
        <f t="shared" si="14"/>
        <v>0</v>
      </c>
      <c r="BL22" s="23">
        <f t="shared" si="14"/>
        <v>0</v>
      </c>
      <c r="BM22" s="23">
        <f t="shared" si="14"/>
        <v>0</v>
      </c>
      <c r="BN22" s="23">
        <f t="shared" si="14"/>
        <v>0</v>
      </c>
      <c r="BO22" s="23">
        <f t="shared" si="14"/>
        <v>0</v>
      </c>
      <c r="BP22" s="23">
        <f t="shared" si="14"/>
        <v>0</v>
      </c>
      <c r="BQ22" s="23">
        <f t="shared" si="14"/>
        <v>0</v>
      </c>
      <c r="BR22" s="23">
        <f t="shared" si="14"/>
        <v>0</v>
      </c>
      <c r="BS22" s="23">
        <f t="shared" si="14"/>
        <v>0</v>
      </c>
      <c r="BT22" s="23">
        <f t="shared" si="14"/>
        <v>0</v>
      </c>
      <c r="BU22" s="23">
        <f t="shared" si="14"/>
        <v>0</v>
      </c>
      <c r="BV22" s="23">
        <f t="shared" si="14"/>
        <v>0</v>
      </c>
      <c r="BW22" s="23">
        <f t="shared" si="14"/>
        <v>0</v>
      </c>
      <c r="BX22" s="23">
        <f t="shared" si="14"/>
        <v>0</v>
      </c>
      <c r="BY22" s="23">
        <f t="shared" si="14"/>
        <v>0</v>
      </c>
      <c r="BZ22" s="23">
        <f t="shared" si="14"/>
        <v>0</v>
      </c>
      <c r="CA22" s="23">
        <f t="shared" si="14"/>
        <v>0</v>
      </c>
      <c r="CB22" s="23">
        <f t="shared" si="14"/>
        <v>0</v>
      </c>
      <c r="CC22" s="23">
        <f t="shared" si="14"/>
        <v>0</v>
      </c>
      <c r="CD22" s="23">
        <f t="shared" si="14"/>
        <v>0</v>
      </c>
      <c r="CE22" s="23">
        <f t="shared" si="14"/>
        <v>0</v>
      </c>
      <c r="CF22" s="23">
        <f t="shared" si="14"/>
        <v>0</v>
      </c>
      <c r="CG22" s="23">
        <f t="shared" si="14"/>
        <v>0</v>
      </c>
      <c r="CH22" s="23">
        <f t="shared" si="14"/>
        <v>0</v>
      </c>
      <c r="CI22" s="23">
        <f t="shared" si="14"/>
        <v>0</v>
      </c>
      <c r="CJ22" s="23">
        <f t="shared" si="14"/>
        <v>0</v>
      </c>
      <c r="CK22" s="23">
        <f t="shared" si="14"/>
        <v>0</v>
      </c>
      <c r="CL22" s="23">
        <f t="shared" si="14"/>
        <v>0</v>
      </c>
      <c r="CM22" s="23">
        <f t="shared" si="15"/>
        <v>0</v>
      </c>
      <c r="CN22" s="23">
        <f t="shared" si="15"/>
        <v>0</v>
      </c>
      <c r="CO22" s="23">
        <f t="shared" si="15"/>
        <v>0</v>
      </c>
      <c r="CP22" s="23">
        <f t="shared" si="15"/>
        <v>0</v>
      </c>
      <c r="CQ22" s="23" t="s">
        <v>77</v>
      </c>
    </row>
    <row r="23" spans="2:95" outlineLevel="1" x14ac:dyDescent="0.2">
      <c r="B23" s="510" t="s">
        <v>587</v>
      </c>
      <c r="D23" s="24"/>
      <c r="E23" s="512">
        <f>E37</f>
        <v>0.1</v>
      </c>
      <c r="F23" s="24"/>
      <c r="G23" s="24"/>
      <c r="H23" s="24"/>
      <c r="I23" s="24"/>
      <c r="J23" s="24"/>
      <c r="K23" s="625"/>
      <c r="L23" s="625"/>
      <c r="M23" s="23">
        <f t="shared" si="10"/>
        <v>46.53</v>
      </c>
      <c r="N23" s="23">
        <f t="shared" si="10"/>
        <v>66.534000000000006</v>
      </c>
      <c r="O23" s="23">
        <f t="shared" si="10"/>
        <v>83.43</v>
      </c>
      <c r="P23" s="23">
        <f t="shared" si="10"/>
        <v>96.840999999999994</v>
      </c>
      <c r="Q23" s="23">
        <f t="shared" si="10"/>
        <v>101.26600000000001</v>
      </c>
      <c r="R23" s="23">
        <f t="shared" si="10"/>
        <v>113.098</v>
      </c>
      <c r="S23" s="23">
        <f t="shared" si="10"/>
        <v>112.65900000000001</v>
      </c>
      <c r="T23" s="23">
        <f t="shared" si="10"/>
        <v>115.569</v>
      </c>
      <c r="U23" s="23">
        <f t="shared" si="10"/>
        <v>120.80800000000001</v>
      </c>
      <c r="V23" s="23">
        <f t="shared" si="10"/>
        <v>121.709</v>
      </c>
      <c r="W23" s="23">
        <f t="shared" si="10"/>
        <v>149.48400000000001</v>
      </c>
      <c r="X23" s="23">
        <f t="shared" si="11"/>
        <v>133.22110000000001</v>
      </c>
      <c r="Y23" s="51">
        <f t="shared" si="11"/>
        <v>136.55162749999997</v>
      </c>
      <c r="Z23" s="51">
        <f t="shared" si="11"/>
        <v>139.96541818749995</v>
      </c>
      <c r="AA23" s="51">
        <f t="shared" si="11"/>
        <v>91.978484553421708</v>
      </c>
      <c r="AB23" s="51">
        <f t="shared" si="11"/>
        <v>94.126448194617694</v>
      </c>
      <c r="AC23" s="51">
        <f t="shared" si="11"/>
        <v>96.324512838118409</v>
      </c>
      <c r="AD23" s="51">
        <f t="shared" si="11"/>
        <v>98.573845554374202</v>
      </c>
      <c r="AE23" s="51">
        <f t="shared" si="11"/>
        <v>100.87564056104986</v>
      </c>
      <c r="AF23" s="51">
        <f t="shared" si="11"/>
        <v>86.187668381402091</v>
      </c>
      <c r="AG23" s="51">
        <f t="shared" si="11"/>
        <v>88.193300405316833</v>
      </c>
      <c r="AH23" s="51">
        <f t="shared" si="12"/>
        <v>90.245533062295948</v>
      </c>
      <c r="AI23" s="51">
        <f t="shared" si="12"/>
        <v>92.345447289187163</v>
      </c>
      <c r="AJ23" s="51">
        <f t="shared" si="12"/>
        <v>94.494149049383566</v>
      </c>
      <c r="AK23" s="51">
        <f t="shared" si="12"/>
        <v>96.692769911061617</v>
      </c>
      <c r="AL23" s="51">
        <f t="shared" si="12"/>
        <v>98.942467638748369</v>
      </c>
      <c r="AM23" s="51">
        <f t="shared" si="12"/>
        <v>101.24442679852518</v>
      </c>
      <c r="AN23" s="51">
        <f t="shared" si="12"/>
        <v>103.59985937718061</v>
      </c>
      <c r="AO23" s="51">
        <f t="shared" si="12"/>
        <v>106.01000541563386</v>
      </c>
      <c r="AP23" s="51">
        <f t="shared" si="12"/>
        <v>108.47613365695649</v>
      </c>
      <c r="AQ23" s="51">
        <f t="shared" si="12"/>
        <v>110.99954220932808</v>
      </c>
      <c r="AR23" s="51">
        <f t="shared" si="13"/>
        <v>113.58155922426897</v>
      </c>
      <c r="AS23" s="51">
        <f t="shared" si="13"/>
        <v>116.22354359050142</v>
      </c>
      <c r="AT23" s="51">
        <f t="shared" si="13"/>
        <v>118.92688564379831</v>
      </c>
      <c r="AU23" s="51">
        <f t="shared" si="13"/>
        <v>121.69300789318658</v>
      </c>
      <c r="AV23" s="51">
        <f t="shared" si="13"/>
        <v>124.52336576388149</v>
      </c>
      <c r="AW23" s="51">
        <f t="shared" si="13"/>
        <v>127.41944835733622</v>
      </c>
      <c r="AX23" s="51">
        <f t="shared" si="13"/>
        <v>130.38277922879956</v>
      </c>
      <c r="AY23" s="51">
        <f t="shared" si="13"/>
        <v>133.41491718278456</v>
      </c>
      <c r="AZ23" s="51">
        <f t="shared" si="13"/>
        <v>136.51745708685922</v>
      </c>
      <c r="BA23" s="51">
        <f t="shared" si="13"/>
        <v>24.469268341881151</v>
      </c>
      <c r="BB23" s="51">
        <f t="shared" si="13"/>
        <v>25.038340604186608</v>
      </c>
      <c r="BC23" s="51">
        <f t="shared" si="13"/>
        <v>25.620626511201465</v>
      </c>
      <c r="BD23" s="23">
        <f t="shared" si="13"/>
        <v>26.216432341449561</v>
      </c>
      <c r="BE23" s="23">
        <f t="shared" si="14"/>
        <v>26.826071458931224</v>
      </c>
      <c r="BF23" s="23">
        <f t="shared" si="14"/>
        <v>27.449864476687381</v>
      </c>
      <c r="BG23" s="23">
        <f t="shared" si="14"/>
        <v>28.088139424130414</v>
      </c>
      <c r="BH23" s="23">
        <f t="shared" si="14"/>
        <v>28.741231918228259</v>
      </c>
      <c r="BI23" s="23">
        <f t="shared" si="14"/>
        <v>29.409485338630297</v>
      </c>
      <c r="BJ23" s="23">
        <f t="shared" si="14"/>
        <v>30.09325100682549</v>
      </c>
      <c r="BK23" s="23">
        <f t="shared" si="14"/>
        <v>30.792888369425381</v>
      </c>
      <c r="BL23" s="23">
        <f t="shared" si="14"/>
        <v>31.508765185666721</v>
      </c>
      <c r="BM23" s="23">
        <f t="shared" si="14"/>
        <v>32.241257719230475</v>
      </c>
      <c r="BN23" s="23">
        <f t="shared" si="14"/>
        <v>32.990750934476473</v>
      </c>
      <c r="BO23" s="23">
        <f t="shared" si="14"/>
        <v>33.75763869719492</v>
      </c>
      <c r="BP23" s="23">
        <f t="shared" si="14"/>
        <v>34.542323979978555</v>
      </c>
      <c r="BQ23" s="23">
        <f t="shared" si="14"/>
        <v>35.345219072321427</v>
      </c>
      <c r="BR23" s="23">
        <f t="shared" si="14"/>
        <v>36.166745795552899</v>
      </c>
      <c r="BS23" s="23">
        <f t="shared" si="14"/>
        <v>37.007335722717713</v>
      </c>
      <c r="BT23" s="23">
        <f t="shared" si="14"/>
        <v>0</v>
      </c>
      <c r="BU23" s="23">
        <f t="shared" si="14"/>
        <v>0</v>
      </c>
      <c r="BV23" s="23">
        <f t="shared" si="14"/>
        <v>0</v>
      </c>
      <c r="BW23" s="23">
        <f t="shared" si="14"/>
        <v>0</v>
      </c>
      <c r="BX23" s="23">
        <f t="shared" si="14"/>
        <v>0</v>
      </c>
      <c r="BY23" s="23">
        <f t="shared" si="14"/>
        <v>0</v>
      </c>
      <c r="BZ23" s="23">
        <f t="shared" si="14"/>
        <v>0</v>
      </c>
      <c r="CA23" s="23">
        <f t="shared" si="14"/>
        <v>0</v>
      </c>
      <c r="CB23" s="23">
        <f t="shared" si="14"/>
        <v>0</v>
      </c>
      <c r="CC23" s="23">
        <f t="shared" si="14"/>
        <v>0</v>
      </c>
      <c r="CD23" s="23">
        <f t="shared" si="14"/>
        <v>0</v>
      </c>
      <c r="CE23" s="23">
        <f t="shared" si="14"/>
        <v>0</v>
      </c>
      <c r="CF23" s="23">
        <f t="shared" si="14"/>
        <v>0</v>
      </c>
      <c r="CG23" s="23">
        <f t="shared" si="14"/>
        <v>0</v>
      </c>
      <c r="CH23" s="23">
        <f t="shared" si="14"/>
        <v>0</v>
      </c>
      <c r="CI23" s="23">
        <f t="shared" si="14"/>
        <v>0</v>
      </c>
      <c r="CJ23" s="23">
        <f t="shared" si="14"/>
        <v>0</v>
      </c>
      <c r="CK23" s="23">
        <f t="shared" si="14"/>
        <v>0</v>
      </c>
      <c r="CL23" s="23">
        <f t="shared" si="14"/>
        <v>0</v>
      </c>
      <c r="CM23" s="23">
        <f t="shared" si="15"/>
        <v>0</v>
      </c>
      <c r="CN23" s="23">
        <f t="shared" si="15"/>
        <v>0</v>
      </c>
      <c r="CO23" s="23">
        <f t="shared" si="15"/>
        <v>0</v>
      </c>
      <c r="CP23" s="23">
        <f t="shared" si="15"/>
        <v>0</v>
      </c>
      <c r="CQ23" s="23" t="s">
        <v>77</v>
      </c>
    </row>
    <row r="24" spans="2:95" outlineLevel="1" x14ac:dyDescent="0.2">
      <c r="B24" s="510" t="s">
        <v>583</v>
      </c>
      <c r="D24" s="24"/>
      <c r="E24" s="511" t="s">
        <v>586</v>
      </c>
      <c r="F24" s="24"/>
      <c r="G24" s="24"/>
      <c r="H24" s="24"/>
      <c r="I24" s="24"/>
      <c r="J24" s="24"/>
      <c r="K24" s="625"/>
      <c r="L24" s="625"/>
      <c r="M24" s="23">
        <f t="shared" si="10"/>
        <v>0</v>
      </c>
      <c r="N24" s="23">
        <f t="shared" si="10"/>
        <v>0</v>
      </c>
      <c r="O24" s="23">
        <f t="shared" si="10"/>
        <v>0</v>
      </c>
      <c r="P24" s="23">
        <f t="shared" si="10"/>
        <v>0</v>
      </c>
      <c r="Q24" s="23">
        <f t="shared" si="10"/>
        <v>0</v>
      </c>
      <c r="R24" s="23">
        <f t="shared" si="10"/>
        <v>0</v>
      </c>
      <c r="S24" s="23">
        <f t="shared" si="10"/>
        <v>0</v>
      </c>
      <c r="T24" s="23">
        <f t="shared" si="10"/>
        <v>0</v>
      </c>
      <c r="U24" s="23">
        <f t="shared" si="10"/>
        <v>0</v>
      </c>
      <c r="V24" s="23">
        <f t="shared" si="10"/>
        <v>0</v>
      </c>
      <c r="W24" s="23">
        <f t="shared" si="10"/>
        <v>0</v>
      </c>
      <c r="X24" s="23">
        <f t="shared" si="11"/>
        <v>0</v>
      </c>
      <c r="Y24" s="51">
        <f t="shared" si="11"/>
        <v>0</v>
      </c>
      <c r="Z24" s="51">
        <f t="shared" si="11"/>
        <v>0</v>
      </c>
      <c r="AA24" s="51">
        <f t="shared" si="11"/>
        <v>0</v>
      </c>
      <c r="AB24" s="51">
        <f t="shared" si="11"/>
        <v>0</v>
      </c>
      <c r="AC24" s="51">
        <f t="shared" si="11"/>
        <v>0</v>
      </c>
      <c r="AD24" s="51">
        <f t="shared" si="11"/>
        <v>0</v>
      </c>
      <c r="AE24" s="51">
        <f t="shared" si="11"/>
        <v>0</v>
      </c>
      <c r="AF24" s="51">
        <f t="shared" si="11"/>
        <v>0</v>
      </c>
      <c r="AG24" s="51">
        <f t="shared" si="11"/>
        <v>0</v>
      </c>
      <c r="AH24" s="51">
        <f t="shared" si="12"/>
        <v>0</v>
      </c>
      <c r="AI24" s="51">
        <f t="shared" si="12"/>
        <v>0</v>
      </c>
      <c r="AJ24" s="51">
        <f t="shared" si="12"/>
        <v>0</v>
      </c>
      <c r="AK24" s="51">
        <f t="shared" si="12"/>
        <v>0</v>
      </c>
      <c r="AL24" s="51">
        <f t="shared" si="12"/>
        <v>0</v>
      </c>
      <c r="AM24" s="51">
        <f t="shared" si="12"/>
        <v>0</v>
      </c>
      <c r="AN24" s="51">
        <f t="shared" si="12"/>
        <v>0</v>
      </c>
      <c r="AO24" s="51">
        <f t="shared" si="12"/>
        <v>0</v>
      </c>
      <c r="AP24" s="51">
        <f t="shared" si="12"/>
        <v>0</v>
      </c>
      <c r="AQ24" s="51">
        <f t="shared" si="12"/>
        <v>0</v>
      </c>
      <c r="AR24" s="51">
        <f t="shared" si="13"/>
        <v>0</v>
      </c>
      <c r="AS24" s="51">
        <f t="shared" si="13"/>
        <v>0</v>
      </c>
      <c r="AT24" s="51">
        <f t="shared" si="13"/>
        <v>0</v>
      </c>
      <c r="AU24" s="51">
        <f t="shared" si="13"/>
        <v>0</v>
      </c>
      <c r="AV24" s="51">
        <f t="shared" si="13"/>
        <v>0</v>
      </c>
      <c r="AW24" s="51">
        <f t="shared" si="13"/>
        <v>0</v>
      </c>
      <c r="AX24" s="51">
        <f t="shared" si="13"/>
        <v>0</v>
      </c>
      <c r="AY24" s="51">
        <f t="shared" si="13"/>
        <v>0</v>
      </c>
      <c r="AZ24" s="51">
        <f t="shared" si="13"/>
        <v>0</v>
      </c>
      <c r="BA24" s="51">
        <f t="shared" si="13"/>
        <v>0</v>
      </c>
      <c r="BB24" s="51">
        <f t="shared" si="13"/>
        <v>0</v>
      </c>
      <c r="BC24" s="51">
        <f t="shared" si="13"/>
        <v>0</v>
      </c>
      <c r="BD24" s="23">
        <f t="shared" si="13"/>
        <v>0</v>
      </c>
      <c r="BE24" s="23">
        <f t="shared" si="14"/>
        <v>0</v>
      </c>
      <c r="BF24" s="23">
        <f t="shared" si="14"/>
        <v>0</v>
      </c>
      <c r="BG24" s="23">
        <f t="shared" si="14"/>
        <v>0</v>
      </c>
      <c r="BH24" s="23">
        <f t="shared" si="14"/>
        <v>0</v>
      </c>
      <c r="BI24" s="23">
        <f t="shared" si="14"/>
        <v>0</v>
      </c>
      <c r="BJ24" s="23">
        <f t="shared" si="14"/>
        <v>0</v>
      </c>
      <c r="BK24" s="23">
        <f t="shared" si="14"/>
        <v>0</v>
      </c>
      <c r="BL24" s="23">
        <f t="shared" si="14"/>
        <v>0</v>
      </c>
      <c r="BM24" s="23">
        <f t="shared" si="14"/>
        <v>0</v>
      </c>
      <c r="BN24" s="23">
        <f t="shared" si="14"/>
        <v>0</v>
      </c>
      <c r="BO24" s="23">
        <f t="shared" si="14"/>
        <v>0</v>
      </c>
      <c r="BP24" s="23">
        <f t="shared" si="14"/>
        <v>0</v>
      </c>
      <c r="BQ24" s="23">
        <f t="shared" si="14"/>
        <v>0</v>
      </c>
      <c r="BR24" s="23">
        <f t="shared" si="14"/>
        <v>0</v>
      </c>
      <c r="BS24" s="23">
        <f t="shared" si="14"/>
        <v>0</v>
      </c>
      <c r="BT24" s="23">
        <f t="shared" si="14"/>
        <v>0</v>
      </c>
      <c r="BU24" s="23">
        <f t="shared" si="14"/>
        <v>0</v>
      </c>
      <c r="BV24" s="23">
        <f t="shared" si="14"/>
        <v>0</v>
      </c>
      <c r="BW24" s="23">
        <f t="shared" si="14"/>
        <v>0</v>
      </c>
      <c r="BX24" s="23">
        <f t="shared" si="14"/>
        <v>0</v>
      </c>
      <c r="BY24" s="23">
        <f t="shared" si="14"/>
        <v>0</v>
      </c>
      <c r="BZ24" s="23">
        <f t="shared" si="14"/>
        <v>0</v>
      </c>
      <c r="CA24" s="23">
        <f t="shared" si="14"/>
        <v>0</v>
      </c>
      <c r="CB24" s="23">
        <f t="shared" si="14"/>
        <v>0</v>
      </c>
      <c r="CC24" s="23">
        <f t="shared" si="14"/>
        <v>0</v>
      </c>
      <c r="CD24" s="23">
        <f t="shared" si="14"/>
        <v>0</v>
      </c>
      <c r="CE24" s="23">
        <f t="shared" si="14"/>
        <v>0</v>
      </c>
      <c r="CF24" s="23">
        <f t="shared" si="14"/>
        <v>0</v>
      </c>
      <c r="CG24" s="23">
        <f t="shared" si="14"/>
        <v>0</v>
      </c>
      <c r="CH24" s="23">
        <f t="shared" si="14"/>
        <v>0</v>
      </c>
      <c r="CI24" s="23">
        <f t="shared" si="14"/>
        <v>0</v>
      </c>
      <c r="CJ24" s="23">
        <f t="shared" si="14"/>
        <v>0</v>
      </c>
      <c r="CK24" s="23">
        <f t="shared" si="14"/>
        <v>0</v>
      </c>
      <c r="CL24" s="23">
        <f t="shared" si="14"/>
        <v>0</v>
      </c>
      <c r="CM24" s="23">
        <f t="shared" si="15"/>
        <v>0</v>
      </c>
      <c r="CN24" s="23">
        <f t="shared" si="15"/>
        <v>0</v>
      </c>
      <c r="CO24" s="23">
        <f t="shared" si="15"/>
        <v>0</v>
      </c>
      <c r="CP24" s="23">
        <f t="shared" si="15"/>
        <v>0</v>
      </c>
      <c r="CQ24" s="23" t="s">
        <v>77</v>
      </c>
    </row>
    <row r="25" spans="2:95" outlineLevel="1" x14ac:dyDescent="0.2">
      <c r="B25" s="510" t="s">
        <v>584</v>
      </c>
      <c r="D25" s="24"/>
      <c r="E25" s="511" t="s">
        <v>579</v>
      </c>
      <c r="F25" s="24"/>
      <c r="G25" s="24"/>
      <c r="H25" s="24"/>
      <c r="I25" s="24"/>
      <c r="J25" s="24"/>
      <c r="K25" s="625"/>
      <c r="L25" s="625"/>
      <c r="M25" s="23">
        <f t="shared" si="10"/>
        <v>0</v>
      </c>
      <c r="N25" s="23">
        <f t="shared" si="10"/>
        <v>0</v>
      </c>
      <c r="O25" s="23">
        <f t="shared" si="10"/>
        <v>0</v>
      </c>
      <c r="P25" s="23">
        <f t="shared" si="10"/>
        <v>0</v>
      </c>
      <c r="Q25" s="23">
        <f t="shared" si="10"/>
        <v>0</v>
      </c>
      <c r="R25" s="23">
        <f t="shared" si="10"/>
        <v>0</v>
      </c>
      <c r="S25" s="23">
        <f t="shared" si="10"/>
        <v>0</v>
      </c>
      <c r="T25" s="23">
        <f t="shared" si="10"/>
        <v>0</v>
      </c>
      <c r="U25" s="23">
        <f t="shared" si="10"/>
        <v>0</v>
      </c>
      <c r="V25" s="23">
        <f t="shared" si="10"/>
        <v>0</v>
      </c>
      <c r="W25" s="23">
        <f t="shared" si="10"/>
        <v>0</v>
      </c>
      <c r="X25" s="23">
        <f t="shared" si="11"/>
        <v>0</v>
      </c>
      <c r="Y25" s="51">
        <f t="shared" si="11"/>
        <v>0</v>
      </c>
      <c r="Z25" s="51">
        <f t="shared" si="11"/>
        <v>0</v>
      </c>
      <c r="AA25" s="51">
        <f t="shared" si="11"/>
        <v>0</v>
      </c>
      <c r="AB25" s="51">
        <f t="shared" si="11"/>
        <v>0</v>
      </c>
      <c r="AC25" s="51">
        <f t="shared" si="11"/>
        <v>0</v>
      </c>
      <c r="AD25" s="51">
        <f t="shared" si="11"/>
        <v>0</v>
      </c>
      <c r="AE25" s="51">
        <f t="shared" si="11"/>
        <v>0</v>
      </c>
      <c r="AF25" s="51">
        <f t="shared" si="11"/>
        <v>0</v>
      </c>
      <c r="AG25" s="51">
        <f t="shared" si="11"/>
        <v>0</v>
      </c>
      <c r="AH25" s="51">
        <f t="shared" si="12"/>
        <v>0</v>
      </c>
      <c r="AI25" s="51">
        <f t="shared" si="12"/>
        <v>0</v>
      </c>
      <c r="AJ25" s="51">
        <f t="shared" si="12"/>
        <v>0</v>
      </c>
      <c r="AK25" s="51">
        <f t="shared" si="12"/>
        <v>0</v>
      </c>
      <c r="AL25" s="51">
        <f t="shared" si="12"/>
        <v>0</v>
      </c>
      <c r="AM25" s="51">
        <f t="shared" si="12"/>
        <v>0</v>
      </c>
      <c r="AN25" s="51">
        <f t="shared" si="12"/>
        <v>0</v>
      </c>
      <c r="AO25" s="51">
        <f t="shared" si="12"/>
        <v>0</v>
      </c>
      <c r="AP25" s="51">
        <f t="shared" si="12"/>
        <v>0</v>
      </c>
      <c r="AQ25" s="51">
        <f t="shared" si="12"/>
        <v>0</v>
      </c>
      <c r="AR25" s="51">
        <f t="shared" si="13"/>
        <v>0</v>
      </c>
      <c r="AS25" s="51">
        <f t="shared" si="13"/>
        <v>0</v>
      </c>
      <c r="AT25" s="51">
        <f t="shared" si="13"/>
        <v>0</v>
      </c>
      <c r="AU25" s="51">
        <f t="shared" si="13"/>
        <v>0</v>
      </c>
      <c r="AV25" s="51">
        <f t="shared" si="13"/>
        <v>0</v>
      </c>
      <c r="AW25" s="51">
        <f t="shared" si="13"/>
        <v>0</v>
      </c>
      <c r="AX25" s="51">
        <f t="shared" si="13"/>
        <v>0</v>
      </c>
      <c r="AY25" s="51">
        <f t="shared" si="13"/>
        <v>0</v>
      </c>
      <c r="AZ25" s="51">
        <f t="shared" si="13"/>
        <v>0</v>
      </c>
      <c r="BA25" s="51">
        <f t="shared" si="13"/>
        <v>0</v>
      </c>
      <c r="BB25" s="51">
        <f t="shared" si="13"/>
        <v>0</v>
      </c>
      <c r="BC25" s="51">
        <f t="shared" si="13"/>
        <v>0</v>
      </c>
      <c r="BD25" s="23">
        <f t="shared" si="13"/>
        <v>0</v>
      </c>
      <c r="BE25" s="23">
        <f t="shared" si="14"/>
        <v>0</v>
      </c>
      <c r="BF25" s="23">
        <f t="shared" si="14"/>
        <v>0</v>
      </c>
      <c r="BG25" s="23">
        <f t="shared" si="14"/>
        <v>0</v>
      </c>
      <c r="BH25" s="23">
        <f t="shared" si="14"/>
        <v>0</v>
      </c>
      <c r="BI25" s="23">
        <f t="shared" si="14"/>
        <v>0</v>
      </c>
      <c r="BJ25" s="23">
        <f t="shared" si="14"/>
        <v>0</v>
      </c>
      <c r="BK25" s="23">
        <f t="shared" si="14"/>
        <v>0</v>
      </c>
      <c r="BL25" s="23">
        <f t="shared" si="14"/>
        <v>0</v>
      </c>
      <c r="BM25" s="23">
        <f t="shared" si="14"/>
        <v>0</v>
      </c>
      <c r="BN25" s="23">
        <f t="shared" si="14"/>
        <v>0</v>
      </c>
      <c r="BO25" s="23">
        <f t="shared" si="14"/>
        <v>0</v>
      </c>
      <c r="BP25" s="23">
        <f t="shared" si="14"/>
        <v>0</v>
      </c>
      <c r="BQ25" s="23">
        <f t="shared" si="14"/>
        <v>0</v>
      </c>
      <c r="BR25" s="23">
        <f t="shared" si="14"/>
        <v>0</v>
      </c>
      <c r="BS25" s="23">
        <f t="shared" si="14"/>
        <v>0</v>
      </c>
      <c r="BT25" s="23">
        <f t="shared" si="14"/>
        <v>0</v>
      </c>
      <c r="BU25" s="23">
        <f t="shared" si="14"/>
        <v>0</v>
      </c>
      <c r="BV25" s="23">
        <f t="shared" si="14"/>
        <v>0</v>
      </c>
      <c r="BW25" s="23">
        <f t="shared" si="14"/>
        <v>0</v>
      </c>
      <c r="BX25" s="23">
        <f t="shared" si="14"/>
        <v>0</v>
      </c>
      <c r="BY25" s="23">
        <f t="shared" si="14"/>
        <v>0</v>
      </c>
      <c r="BZ25" s="23">
        <f t="shared" si="14"/>
        <v>0</v>
      </c>
      <c r="CA25" s="23">
        <f t="shared" si="14"/>
        <v>0</v>
      </c>
      <c r="CB25" s="23">
        <f t="shared" si="14"/>
        <v>0</v>
      </c>
      <c r="CC25" s="23">
        <f t="shared" si="14"/>
        <v>0</v>
      </c>
      <c r="CD25" s="23">
        <f t="shared" si="14"/>
        <v>0</v>
      </c>
      <c r="CE25" s="23">
        <f t="shared" si="14"/>
        <v>0</v>
      </c>
      <c r="CF25" s="23">
        <f t="shared" si="14"/>
        <v>0</v>
      </c>
      <c r="CG25" s="23">
        <f t="shared" si="14"/>
        <v>0</v>
      </c>
      <c r="CH25" s="23">
        <f t="shared" si="14"/>
        <v>0</v>
      </c>
      <c r="CI25" s="23">
        <f t="shared" si="14"/>
        <v>0</v>
      </c>
      <c r="CJ25" s="23">
        <f t="shared" si="14"/>
        <v>0</v>
      </c>
      <c r="CK25" s="23">
        <f t="shared" si="14"/>
        <v>0</v>
      </c>
      <c r="CL25" s="23">
        <f t="shared" si="14"/>
        <v>0</v>
      </c>
      <c r="CM25" s="23">
        <f t="shared" si="15"/>
        <v>0</v>
      </c>
      <c r="CN25" s="23">
        <f t="shared" si="15"/>
        <v>0</v>
      </c>
      <c r="CO25" s="23">
        <f t="shared" si="15"/>
        <v>0</v>
      </c>
      <c r="CP25" s="23">
        <f t="shared" si="15"/>
        <v>0</v>
      </c>
      <c r="CQ25" s="23" t="s">
        <v>77</v>
      </c>
    </row>
    <row r="26" spans="2:95" outlineLevel="1" x14ac:dyDescent="0.2">
      <c r="B26" s="311" t="s">
        <v>46</v>
      </c>
      <c r="D26" s="24"/>
      <c r="E26" s="24"/>
      <c r="F26" s="24"/>
      <c r="G26" s="24"/>
      <c r="H26" s="24"/>
      <c r="I26" s="24"/>
      <c r="J26" s="24"/>
      <c r="K26" s="625"/>
      <c r="L26" s="625"/>
      <c r="M26" s="245" t="b">
        <f t="shared" ref="M26:W26" si="16">IF(ABS(M20-SUM(M21:M25)&lt;0.1),TRUE,M20-SUM(M21:M25))</f>
        <v>1</v>
      </c>
      <c r="N26" s="245" t="b">
        <f t="shared" si="16"/>
        <v>1</v>
      </c>
      <c r="O26" s="245" t="b">
        <f t="shared" si="16"/>
        <v>1</v>
      </c>
      <c r="P26" s="245" t="b">
        <f t="shared" si="16"/>
        <v>1</v>
      </c>
      <c r="Q26" s="245" t="b">
        <f t="shared" si="16"/>
        <v>1</v>
      </c>
      <c r="R26" s="245" t="b">
        <f t="shared" si="16"/>
        <v>1</v>
      </c>
      <c r="S26" s="245" t="b">
        <f t="shared" si="16"/>
        <v>1</v>
      </c>
      <c r="T26" s="245" t="b">
        <f t="shared" si="16"/>
        <v>1</v>
      </c>
      <c r="U26" s="245" t="b">
        <f t="shared" si="16"/>
        <v>1</v>
      </c>
      <c r="V26" s="245" t="b">
        <f t="shared" si="16"/>
        <v>1</v>
      </c>
      <c r="W26" s="245" t="b">
        <f t="shared" si="16"/>
        <v>1</v>
      </c>
      <c r="X26" s="245" t="b">
        <f>IF(ABS(X20-SUM(X21:X25)&lt;0.1),TRUE,X20-SUM(X21:X25))</f>
        <v>1</v>
      </c>
      <c r="Y26" s="245" t="b">
        <f t="shared" ref="Y26:BD26" si="17">IF(ABS(Y20-SUM(Y21:Y25)&lt;0.1),TRUE,Y20-SUM(Y21:Y25))</f>
        <v>1</v>
      </c>
      <c r="Z26" s="245" t="b">
        <f t="shared" si="17"/>
        <v>1</v>
      </c>
      <c r="AA26" s="245" t="b">
        <f t="shared" si="17"/>
        <v>1</v>
      </c>
      <c r="AB26" s="245" t="b">
        <f t="shared" si="17"/>
        <v>1</v>
      </c>
      <c r="AC26" s="245" t="b">
        <f t="shared" si="17"/>
        <v>1</v>
      </c>
      <c r="AD26" s="245" t="b">
        <f t="shared" si="17"/>
        <v>1</v>
      </c>
      <c r="AE26" s="245" t="b">
        <f t="shared" si="17"/>
        <v>1</v>
      </c>
      <c r="AF26" s="245" t="b">
        <f t="shared" si="17"/>
        <v>1</v>
      </c>
      <c r="AG26" s="245" t="b">
        <f t="shared" si="17"/>
        <v>1</v>
      </c>
      <c r="AH26" s="245" t="b">
        <f t="shared" si="17"/>
        <v>1</v>
      </c>
      <c r="AI26" s="245" t="b">
        <f t="shared" si="17"/>
        <v>1</v>
      </c>
      <c r="AJ26" s="245" t="b">
        <f t="shared" si="17"/>
        <v>1</v>
      </c>
      <c r="AK26" s="245" t="b">
        <f t="shared" si="17"/>
        <v>1</v>
      </c>
      <c r="AL26" s="245" t="b">
        <f t="shared" si="17"/>
        <v>1</v>
      </c>
      <c r="AM26" s="245" t="b">
        <f t="shared" si="17"/>
        <v>1</v>
      </c>
      <c r="AN26" s="245" t="b">
        <f t="shared" si="17"/>
        <v>1</v>
      </c>
      <c r="AO26" s="245" t="b">
        <f t="shared" si="17"/>
        <v>1</v>
      </c>
      <c r="AP26" s="245" t="b">
        <f t="shared" si="17"/>
        <v>1</v>
      </c>
      <c r="AQ26" s="245" t="b">
        <f t="shared" si="17"/>
        <v>1</v>
      </c>
      <c r="AR26" s="245" t="b">
        <f t="shared" si="17"/>
        <v>1</v>
      </c>
      <c r="AS26" s="245" t="b">
        <f t="shared" si="17"/>
        <v>1</v>
      </c>
      <c r="AT26" s="245" t="b">
        <f t="shared" si="17"/>
        <v>1</v>
      </c>
      <c r="AU26" s="245" t="b">
        <f t="shared" si="17"/>
        <v>1</v>
      </c>
      <c r="AV26" s="245" t="b">
        <f t="shared" si="17"/>
        <v>1</v>
      </c>
      <c r="AW26" s="245" t="b">
        <f t="shared" si="17"/>
        <v>1</v>
      </c>
      <c r="AX26" s="245" t="b">
        <f t="shared" si="17"/>
        <v>1</v>
      </c>
      <c r="AY26" s="245" t="b">
        <f t="shared" si="17"/>
        <v>1</v>
      </c>
      <c r="AZ26" s="245" t="b">
        <f t="shared" si="17"/>
        <v>1</v>
      </c>
      <c r="BA26" s="245" t="b">
        <f t="shared" si="17"/>
        <v>1</v>
      </c>
      <c r="BB26" s="245" t="b">
        <f t="shared" si="17"/>
        <v>1</v>
      </c>
      <c r="BC26" s="245" t="b">
        <f t="shared" si="17"/>
        <v>1</v>
      </c>
      <c r="BD26" s="245" t="b">
        <f t="shared" si="17"/>
        <v>1</v>
      </c>
      <c r="BE26" s="245" t="b">
        <f t="shared" ref="BE26:CP26" si="18">IF(ABS(BE20-SUM(BE21:BE25)&lt;0.1),TRUE,BE20-SUM(BE21:BE25))</f>
        <v>1</v>
      </c>
      <c r="BF26" s="245" t="b">
        <f t="shared" si="18"/>
        <v>1</v>
      </c>
      <c r="BG26" s="245" t="b">
        <f t="shared" si="18"/>
        <v>1</v>
      </c>
      <c r="BH26" s="245" t="b">
        <f t="shared" si="18"/>
        <v>1</v>
      </c>
      <c r="BI26" s="245" t="b">
        <f t="shared" si="18"/>
        <v>1</v>
      </c>
      <c r="BJ26" s="245" t="b">
        <f t="shared" si="18"/>
        <v>1</v>
      </c>
      <c r="BK26" s="245" t="b">
        <f t="shared" si="18"/>
        <v>1</v>
      </c>
      <c r="BL26" s="245" t="b">
        <f t="shared" si="18"/>
        <v>1</v>
      </c>
      <c r="BM26" s="245" t="b">
        <f t="shared" si="18"/>
        <v>1</v>
      </c>
      <c r="BN26" s="245" t="b">
        <f t="shared" si="18"/>
        <v>1</v>
      </c>
      <c r="BO26" s="245" t="b">
        <f t="shared" si="18"/>
        <v>1</v>
      </c>
      <c r="BP26" s="245" t="b">
        <f t="shared" si="18"/>
        <v>1</v>
      </c>
      <c r="BQ26" s="245" t="b">
        <f t="shared" si="18"/>
        <v>1</v>
      </c>
      <c r="BR26" s="245" t="b">
        <f t="shared" si="18"/>
        <v>1</v>
      </c>
      <c r="BS26" s="245" t="b">
        <f t="shared" si="18"/>
        <v>1</v>
      </c>
      <c r="BT26" s="245" t="b">
        <f t="shared" si="18"/>
        <v>1</v>
      </c>
      <c r="BU26" s="245" t="b">
        <f t="shared" si="18"/>
        <v>1</v>
      </c>
      <c r="BV26" s="245" t="b">
        <f t="shared" si="18"/>
        <v>1</v>
      </c>
      <c r="BW26" s="245" t="b">
        <f t="shared" si="18"/>
        <v>1</v>
      </c>
      <c r="BX26" s="245" t="b">
        <f t="shared" si="18"/>
        <v>1</v>
      </c>
      <c r="BY26" s="245" t="b">
        <f t="shared" si="18"/>
        <v>1</v>
      </c>
      <c r="BZ26" s="245" t="b">
        <f t="shared" si="18"/>
        <v>1</v>
      </c>
      <c r="CA26" s="245" t="b">
        <f t="shared" si="18"/>
        <v>1</v>
      </c>
      <c r="CB26" s="245" t="b">
        <f t="shared" si="18"/>
        <v>1</v>
      </c>
      <c r="CC26" s="245" t="b">
        <f t="shared" si="18"/>
        <v>1</v>
      </c>
      <c r="CD26" s="245" t="b">
        <f t="shared" si="18"/>
        <v>1</v>
      </c>
      <c r="CE26" s="245" t="b">
        <f t="shared" si="18"/>
        <v>1</v>
      </c>
      <c r="CF26" s="245" t="b">
        <f t="shared" si="18"/>
        <v>1</v>
      </c>
      <c r="CG26" s="245" t="b">
        <f t="shared" si="18"/>
        <v>1</v>
      </c>
      <c r="CH26" s="245" t="b">
        <f t="shared" si="18"/>
        <v>1</v>
      </c>
      <c r="CI26" s="245" t="b">
        <f t="shared" si="18"/>
        <v>1</v>
      </c>
      <c r="CJ26" s="245" t="b">
        <f t="shared" si="18"/>
        <v>1</v>
      </c>
      <c r="CK26" s="245" t="b">
        <f t="shared" si="18"/>
        <v>1</v>
      </c>
      <c r="CL26" s="245" t="b">
        <f t="shared" si="18"/>
        <v>1</v>
      </c>
      <c r="CM26" s="245" t="b">
        <f t="shared" si="18"/>
        <v>1</v>
      </c>
      <c r="CN26" s="245" t="b">
        <f t="shared" si="18"/>
        <v>1</v>
      </c>
      <c r="CO26" s="245" t="b">
        <f t="shared" si="18"/>
        <v>1</v>
      </c>
      <c r="CP26" s="245" t="b">
        <f t="shared" si="18"/>
        <v>1</v>
      </c>
      <c r="CQ26" s="23" t="s">
        <v>77</v>
      </c>
    </row>
    <row r="27" spans="2:95" s="98" customFormat="1" outlineLevel="1" x14ac:dyDescent="0.2">
      <c r="B27" s="532" t="s">
        <v>303</v>
      </c>
      <c r="C27" s="24"/>
      <c r="D27" s="532"/>
      <c r="E27" s="532"/>
      <c r="F27" s="532"/>
      <c r="G27" s="532"/>
      <c r="H27" s="532"/>
      <c r="I27" s="532"/>
      <c r="J27" s="532"/>
      <c r="K27" s="94" t="str">
        <f t="shared" ref="K27:W27" si="19">IF(ISERROR(+K20/K19),"n.a.",+K20/K19)</f>
        <v>n.a.</v>
      </c>
      <c r="L27" s="94" t="str">
        <f t="shared" si="19"/>
        <v>n.a.</v>
      </c>
      <c r="M27" s="94">
        <f t="shared" si="19"/>
        <v>0.61727248607057583</v>
      </c>
      <c r="N27" s="94">
        <f t="shared" si="19"/>
        <v>0.81053029103268492</v>
      </c>
      <c r="O27" s="94">
        <f t="shared" si="19"/>
        <v>0.77310846499559838</v>
      </c>
      <c r="P27" s="94">
        <f t="shared" si="19"/>
        <v>0.80184312718902406</v>
      </c>
      <c r="Q27" s="94">
        <f t="shared" si="19"/>
        <v>0.79952943777288277</v>
      </c>
      <c r="R27" s="94">
        <f t="shared" si="19"/>
        <v>0.81692826650679329</v>
      </c>
      <c r="S27" s="94">
        <f>IF(ISERROR(+S20/S19),"n.a.",+S20/S19)</f>
        <v>0.8086289934754991</v>
      </c>
      <c r="T27" s="94">
        <f t="shared" si="19"/>
        <v>0.86533536996271176</v>
      </c>
      <c r="U27" s="94">
        <f t="shared" si="19"/>
        <v>0.87543297728952607</v>
      </c>
      <c r="V27" s="94">
        <f t="shared" si="19"/>
        <v>0.84857802226916834</v>
      </c>
      <c r="W27" s="94">
        <f t="shared" si="19"/>
        <v>0.84934090909090909</v>
      </c>
      <c r="X27" s="283">
        <f t="shared" ref="X27:BD28" si="20">W27</f>
        <v>0.84934090909090909</v>
      </c>
      <c r="Y27" s="283">
        <f t="shared" si="20"/>
        <v>0.84934090909090909</v>
      </c>
      <c r="Z27" s="283">
        <f t="shared" si="20"/>
        <v>0.84934090909090909</v>
      </c>
      <c r="AA27" s="283">
        <f t="shared" si="20"/>
        <v>0.84934090909090909</v>
      </c>
      <c r="AB27" s="283">
        <f t="shared" si="20"/>
        <v>0.84934090909090909</v>
      </c>
      <c r="AC27" s="283">
        <f t="shared" si="20"/>
        <v>0.84934090909090909</v>
      </c>
      <c r="AD27" s="283">
        <f t="shared" si="20"/>
        <v>0.84934090909090909</v>
      </c>
      <c r="AE27" s="283">
        <f t="shared" si="20"/>
        <v>0.84934090909090909</v>
      </c>
      <c r="AF27" s="283">
        <f t="shared" si="20"/>
        <v>0.84934090909090909</v>
      </c>
      <c r="AG27" s="283">
        <f t="shared" si="20"/>
        <v>0.84934090909090909</v>
      </c>
      <c r="AH27" s="283">
        <f t="shared" si="20"/>
        <v>0.84934090909090909</v>
      </c>
      <c r="AI27" s="283">
        <f t="shared" si="20"/>
        <v>0.84934090909090909</v>
      </c>
      <c r="AJ27" s="283">
        <f t="shared" si="20"/>
        <v>0.84934090909090909</v>
      </c>
      <c r="AK27" s="283">
        <f t="shared" si="20"/>
        <v>0.84934090909090909</v>
      </c>
      <c r="AL27" s="283">
        <f t="shared" si="20"/>
        <v>0.84934090909090909</v>
      </c>
      <c r="AM27" s="283">
        <f t="shared" si="20"/>
        <v>0.84934090909090909</v>
      </c>
      <c r="AN27" s="283">
        <f t="shared" si="20"/>
        <v>0.84934090909090909</v>
      </c>
      <c r="AO27" s="283">
        <f t="shared" si="20"/>
        <v>0.84934090909090909</v>
      </c>
      <c r="AP27" s="283">
        <f t="shared" si="20"/>
        <v>0.84934090909090909</v>
      </c>
      <c r="AQ27" s="283">
        <f t="shared" si="20"/>
        <v>0.84934090909090909</v>
      </c>
      <c r="AR27" s="283">
        <f t="shared" si="20"/>
        <v>0.84934090909090909</v>
      </c>
      <c r="AS27" s="283">
        <f t="shared" si="20"/>
        <v>0.84934090909090909</v>
      </c>
      <c r="AT27" s="283">
        <f t="shared" si="20"/>
        <v>0.84934090909090909</v>
      </c>
      <c r="AU27" s="283">
        <f t="shared" si="20"/>
        <v>0.84934090909090909</v>
      </c>
      <c r="AV27" s="283">
        <f t="shared" si="20"/>
        <v>0.84934090909090909</v>
      </c>
      <c r="AW27" s="283">
        <f t="shared" si="20"/>
        <v>0.84934090909090909</v>
      </c>
      <c r="AX27" s="283">
        <f t="shared" si="20"/>
        <v>0.84934090909090909</v>
      </c>
      <c r="AY27" s="283">
        <f t="shared" si="20"/>
        <v>0.84934090909090909</v>
      </c>
      <c r="AZ27" s="283">
        <f t="shared" si="20"/>
        <v>0.84934090909090909</v>
      </c>
      <c r="BA27" s="283">
        <f t="shared" si="20"/>
        <v>0.84934090909090909</v>
      </c>
      <c r="BB27" s="283">
        <f t="shared" si="20"/>
        <v>0.84934090909090909</v>
      </c>
      <c r="BC27" s="283">
        <f t="shared" si="20"/>
        <v>0.84934090909090909</v>
      </c>
      <c r="BD27" s="283">
        <f t="shared" si="20"/>
        <v>0.84934090909090909</v>
      </c>
      <c r="BE27" s="283">
        <f t="shared" ref="BE27:CP27" si="21">BD27</f>
        <v>0.84934090909090909</v>
      </c>
      <c r="BF27" s="283">
        <f t="shared" si="21"/>
        <v>0.84934090909090909</v>
      </c>
      <c r="BG27" s="283">
        <f t="shared" si="21"/>
        <v>0.84934090909090909</v>
      </c>
      <c r="BH27" s="283">
        <f t="shared" si="21"/>
        <v>0.84934090909090909</v>
      </c>
      <c r="BI27" s="283">
        <f t="shared" si="21"/>
        <v>0.84934090909090909</v>
      </c>
      <c r="BJ27" s="283">
        <f t="shared" si="21"/>
        <v>0.84934090909090909</v>
      </c>
      <c r="BK27" s="283">
        <f t="shared" si="21"/>
        <v>0.84934090909090909</v>
      </c>
      <c r="BL27" s="283">
        <f t="shared" si="21"/>
        <v>0.84934090909090909</v>
      </c>
      <c r="BM27" s="283">
        <f t="shared" si="21"/>
        <v>0.84934090909090909</v>
      </c>
      <c r="BN27" s="283">
        <f t="shared" si="21"/>
        <v>0.84934090909090909</v>
      </c>
      <c r="BO27" s="283">
        <f t="shared" si="21"/>
        <v>0.84934090909090909</v>
      </c>
      <c r="BP27" s="283">
        <f t="shared" si="21"/>
        <v>0.84934090909090909</v>
      </c>
      <c r="BQ27" s="283">
        <f t="shared" si="21"/>
        <v>0.84934090909090909</v>
      </c>
      <c r="BR27" s="283">
        <f t="shared" si="21"/>
        <v>0.84934090909090909</v>
      </c>
      <c r="BS27" s="283">
        <f t="shared" si="21"/>
        <v>0.84934090909090909</v>
      </c>
      <c r="BT27" s="283">
        <f t="shared" si="21"/>
        <v>0.84934090909090909</v>
      </c>
      <c r="BU27" s="283">
        <f t="shared" si="21"/>
        <v>0.84934090909090909</v>
      </c>
      <c r="BV27" s="283">
        <f t="shared" si="21"/>
        <v>0.84934090909090909</v>
      </c>
      <c r="BW27" s="283">
        <f t="shared" si="21"/>
        <v>0.84934090909090909</v>
      </c>
      <c r="BX27" s="283">
        <f t="shared" si="21"/>
        <v>0.84934090909090909</v>
      </c>
      <c r="BY27" s="283">
        <f t="shared" si="21"/>
        <v>0.84934090909090909</v>
      </c>
      <c r="BZ27" s="283">
        <f t="shared" si="21"/>
        <v>0.84934090909090909</v>
      </c>
      <c r="CA27" s="283">
        <f t="shared" si="21"/>
        <v>0.84934090909090909</v>
      </c>
      <c r="CB27" s="283">
        <f t="shared" si="21"/>
        <v>0.84934090909090909</v>
      </c>
      <c r="CC27" s="283">
        <f t="shared" si="21"/>
        <v>0.84934090909090909</v>
      </c>
      <c r="CD27" s="283">
        <f t="shared" si="21"/>
        <v>0.84934090909090909</v>
      </c>
      <c r="CE27" s="283">
        <f t="shared" si="21"/>
        <v>0.84934090909090909</v>
      </c>
      <c r="CF27" s="283">
        <f t="shared" si="21"/>
        <v>0.84934090909090909</v>
      </c>
      <c r="CG27" s="283">
        <f t="shared" si="21"/>
        <v>0.84934090909090909</v>
      </c>
      <c r="CH27" s="283">
        <f t="shared" si="21"/>
        <v>0.84934090909090909</v>
      </c>
      <c r="CI27" s="283">
        <f t="shared" si="21"/>
        <v>0.84934090909090909</v>
      </c>
      <c r="CJ27" s="283">
        <f t="shared" si="21"/>
        <v>0.84934090909090909</v>
      </c>
      <c r="CK27" s="283">
        <f t="shared" si="21"/>
        <v>0.84934090909090909</v>
      </c>
      <c r="CL27" s="283">
        <f t="shared" si="21"/>
        <v>0.84934090909090909</v>
      </c>
      <c r="CM27" s="283">
        <f t="shared" si="21"/>
        <v>0.84934090909090909</v>
      </c>
      <c r="CN27" s="283">
        <f t="shared" si="21"/>
        <v>0.84934090909090909</v>
      </c>
      <c r="CO27" s="283">
        <f t="shared" si="21"/>
        <v>0.84934090909090909</v>
      </c>
      <c r="CP27" s="283">
        <f t="shared" si="21"/>
        <v>0.84934090909090909</v>
      </c>
      <c r="CQ27" s="23" t="s">
        <v>77</v>
      </c>
    </row>
    <row r="28" spans="2:95" outlineLevel="1" x14ac:dyDescent="0.2">
      <c r="B28" s="485" t="s">
        <v>316</v>
      </c>
      <c r="D28" s="485"/>
      <c r="E28" s="485"/>
      <c r="F28" s="485"/>
      <c r="G28" s="485"/>
      <c r="H28" s="485"/>
      <c r="I28" s="485"/>
      <c r="J28" s="485"/>
      <c r="K28" s="85"/>
      <c r="L28" s="85"/>
      <c r="M28" s="85"/>
      <c r="N28" s="315"/>
      <c r="O28" s="315"/>
      <c r="P28" s="315"/>
      <c r="Q28" s="315"/>
      <c r="R28" s="315"/>
      <c r="S28" s="315"/>
      <c r="T28" s="533">
        <v>0.9</v>
      </c>
      <c r="U28" s="533">
        <v>0.9</v>
      </c>
      <c r="V28" s="533">
        <v>0.95</v>
      </c>
      <c r="W28" s="282">
        <f>V28</f>
        <v>0.95</v>
      </c>
      <c r="X28" s="197">
        <v>1</v>
      </c>
      <c r="Y28" s="283">
        <f t="shared" si="20"/>
        <v>1</v>
      </c>
      <c r="Z28" s="283">
        <f t="shared" si="20"/>
        <v>1</v>
      </c>
      <c r="AA28" s="197">
        <v>0.95</v>
      </c>
      <c r="AB28" s="283">
        <f>AA28</f>
        <v>0.95</v>
      </c>
      <c r="AC28" s="283">
        <f t="shared" si="20"/>
        <v>0.95</v>
      </c>
      <c r="AD28" s="283">
        <f t="shared" si="20"/>
        <v>0.95</v>
      </c>
      <c r="AE28" s="283">
        <f t="shared" si="20"/>
        <v>0.95</v>
      </c>
      <c r="AF28" s="283">
        <f t="shared" si="20"/>
        <v>0.95</v>
      </c>
      <c r="AG28" s="283">
        <f t="shared" si="20"/>
        <v>0.95</v>
      </c>
      <c r="AH28" s="283">
        <f t="shared" si="20"/>
        <v>0.95</v>
      </c>
      <c r="AI28" s="283">
        <f t="shared" si="20"/>
        <v>0.95</v>
      </c>
      <c r="AJ28" s="283">
        <f t="shared" si="20"/>
        <v>0.95</v>
      </c>
      <c r="AK28" s="283">
        <f t="shared" si="20"/>
        <v>0.95</v>
      </c>
      <c r="AL28" s="283">
        <f t="shared" si="20"/>
        <v>0.95</v>
      </c>
      <c r="AM28" s="283">
        <f t="shared" si="20"/>
        <v>0.95</v>
      </c>
      <c r="AN28" s="283">
        <f t="shared" si="20"/>
        <v>0.95</v>
      </c>
      <c r="AO28" s="283">
        <f t="shared" si="20"/>
        <v>0.95</v>
      </c>
      <c r="AP28" s="283">
        <f t="shared" si="20"/>
        <v>0.95</v>
      </c>
      <c r="AQ28" s="283">
        <f t="shared" si="20"/>
        <v>0.95</v>
      </c>
      <c r="AR28" s="283">
        <f t="shared" si="20"/>
        <v>0.95</v>
      </c>
      <c r="AS28" s="283">
        <f t="shared" si="20"/>
        <v>0.95</v>
      </c>
      <c r="AT28" s="283">
        <f t="shared" si="20"/>
        <v>0.95</v>
      </c>
      <c r="AU28" s="283">
        <f t="shared" si="20"/>
        <v>0.95</v>
      </c>
      <c r="AV28" s="283">
        <f t="shared" si="20"/>
        <v>0.95</v>
      </c>
      <c r="AW28" s="283">
        <f t="shared" si="20"/>
        <v>0.95</v>
      </c>
      <c r="AX28" s="283">
        <f t="shared" si="20"/>
        <v>0.95</v>
      </c>
      <c r="AY28" s="283">
        <f t="shared" si="20"/>
        <v>0.95</v>
      </c>
      <c r="AZ28" s="283">
        <f t="shared" si="20"/>
        <v>0.95</v>
      </c>
      <c r="BA28" s="283">
        <f t="shared" si="20"/>
        <v>0.95</v>
      </c>
      <c r="BB28" s="283">
        <f t="shared" si="20"/>
        <v>0.95</v>
      </c>
      <c r="BC28" s="283">
        <f t="shared" si="20"/>
        <v>0.95</v>
      </c>
      <c r="BD28" s="283">
        <f t="shared" si="20"/>
        <v>0.95</v>
      </c>
      <c r="BE28" s="283">
        <f t="shared" ref="BE28:CP28" si="22">BD28</f>
        <v>0.95</v>
      </c>
      <c r="BF28" s="283">
        <f t="shared" si="22"/>
        <v>0.95</v>
      </c>
      <c r="BG28" s="283">
        <f t="shared" si="22"/>
        <v>0.95</v>
      </c>
      <c r="BH28" s="283">
        <f t="shared" si="22"/>
        <v>0.95</v>
      </c>
      <c r="BI28" s="283">
        <f t="shared" si="22"/>
        <v>0.95</v>
      </c>
      <c r="BJ28" s="283">
        <f t="shared" si="22"/>
        <v>0.95</v>
      </c>
      <c r="BK28" s="283">
        <f t="shared" si="22"/>
        <v>0.95</v>
      </c>
      <c r="BL28" s="283">
        <f t="shared" si="22"/>
        <v>0.95</v>
      </c>
      <c r="BM28" s="283">
        <f t="shared" si="22"/>
        <v>0.95</v>
      </c>
      <c r="BN28" s="283">
        <f t="shared" si="22"/>
        <v>0.95</v>
      </c>
      <c r="BO28" s="283">
        <f t="shared" si="22"/>
        <v>0.95</v>
      </c>
      <c r="BP28" s="283">
        <f t="shared" si="22"/>
        <v>0.95</v>
      </c>
      <c r="BQ28" s="283">
        <f t="shared" si="22"/>
        <v>0.95</v>
      </c>
      <c r="BR28" s="283">
        <f t="shared" si="22"/>
        <v>0.95</v>
      </c>
      <c r="BS28" s="283">
        <f t="shared" si="22"/>
        <v>0.95</v>
      </c>
      <c r="BT28" s="283">
        <f t="shared" si="22"/>
        <v>0.95</v>
      </c>
      <c r="BU28" s="283">
        <f t="shared" si="22"/>
        <v>0.95</v>
      </c>
      <c r="BV28" s="283">
        <f t="shared" si="22"/>
        <v>0.95</v>
      </c>
      <c r="BW28" s="283">
        <f t="shared" si="22"/>
        <v>0.95</v>
      </c>
      <c r="BX28" s="283">
        <f t="shared" si="22"/>
        <v>0.95</v>
      </c>
      <c r="BY28" s="283">
        <f t="shared" si="22"/>
        <v>0.95</v>
      </c>
      <c r="BZ28" s="283">
        <f t="shared" si="22"/>
        <v>0.95</v>
      </c>
      <c r="CA28" s="283">
        <f t="shared" si="22"/>
        <v>0.95</v>
      </c>
      <c r="CB28" s="283">
        <f t="shared" si="22"/>
        <v>0.95</v>
      </c>
      <c r="CC28" s="283">
        <f t="shared" si="22"/>
        <v>0.95</v>
      </c>
      <c r="CD28" s="283">
        <f t="shared" si="22"/>
        <v>0.95</v>
      </c>
      <c r="CE28" s="283">
        <f t="shared" si="22"/>
        <v>0.95</v>
      </c>
      <c r="CF28" s="283">
        <f t="shared" si="22"/>
        <v>0.95</v>
      </c>
      <c r="CG28" s="283">
        <f t="shared" si="22"/>
        <v>0.95</v>
      </c>
      <c r="CH28" s="283">
        <f t="shared" si="22"/>
        <v>0.95</v>
      </c>
      <c r="CI28" s="283">
        <f t="shared" si="22"/>
        <v>0.95</v>
      </c>
      <c r="CJ28" s="283">
        <f t="shared" si="22"/>
        <v>0.95</v>
      </c>
      <c r="CK28" s="283">
        <f t="shared" si="22"/>
        <v>0.95</v>
      </c>
      <c r="CL28" s="283">
        <f t="shared" si="22"/>
        <v>0.95</v>
      </c>
      <c r="CM28" s="283">
        <f t="shared" si="22"/>
        <v>0.95</v>
      </c>
      <c r="CN28" s="283">
        <f t="shared" si="22"/>
        <v>0.95</v>
      </c>
      <c r="CO28" s="283">
        <f t="shared" si="22"/>
        <v>0.95</v>
      </c>
      <c r="CP28" s="283">
        <f t="shared" si="22"/>
        <v>0.95</v>
      </c>
      <c r="CQ28" s="23" t="s">
        <v>77</v>
      </c>
    </row>
    <row r="29" spans="2:95" outlineLevel="1" x14ac:dyDescent="0.2">
      <c r="CQ29" s="23" t="s">
        <v>77</v>
      </c>
    </row>
    <row r="30" spans="2:95" outlineLevel="1" x14ac:dyDescent="0.2">
      <c r="B30" s="358" t="s">
        <v>578</v>
      </c>
      <c r="D30" s="218"/>
      <c r="E30" s="218"/>
      <c r="F30" s="218"/>
      <c r="G30" s="218"/>
      <c r="H30" s="218"/>
      <c r="I30" s="218"/>
      <c r="J30" s="218"/>
      <c r="K30" s="66"/>
      <c r="L30" s="66"/>
      <c r="M30" s="66"/>
      <c r="N30" s="248"/>
      <c r="O30" s="248"/>
      <c r="P30" s="248"/>
      <c r="Q30" s="248"/>
      <c r="R30" s="248"/>
      <c r="S30" s="248"/>
      <c r="T30" s="248"/>
      <c r="U30" s="248"/>
      <c r="V30" s="248"/>
      <c r="W30" s="248"/>
      <c r="X30" s="248"/>
      <c r="Y30" s="66"/>
      <c r="Z30" s="66"/>
      <c r="AA30" s="66"/>
      <c r="AB30" s="66"/>
      <c r="AC30" s="66"/>
      <c r="AD30" s="66"/>
      <c r="AE30" s="66"/>
      <c r="AF30" s="66"/>
      <c r="AG30" s="66"/>
      <c r="AH30" s="66"/>
      <c r="AI30" s="66"/>
      <c r="AJ30" s="66"/>
      <c r="AK30" s="66"/>
      <c r="AL30" s="66"/>
      <c r="AM30" s="66"/>
      <c r="AN30" s="66"/>
      <c r="AO30" s="66"/>
      <c r="AP30" s="66"/>
      <c r="AQ30" s="66"/>
      <c r="AR30" s="66"/>
      <c r="AS30" s="66"/>
      <c r="AT30" s="66"/>
      <c r="AU30" s="66"/>
      <c r="AV30" s="66"/>
      <c r="AW30" s="66"/>
      <c r="AX30" s="66"/>
      <c r="AY30" s="66"/>
      <c r="AZ30" s="66"/>
      <c r="BA30" s="66"/>
      <c r="BB30" s="66"/>
      <c r="BC30" s="66"/>
      <c r="BD30" s="66"/>
      <c r="BE30" s="66"/>
      <c r="BF30" s="66"/>
      <c r="BG30" s="66"/>
      <c r="BH30" s="66"/>
      <c r="BI30" s="66"/>
      <c r="BJ30" s="66"/>
      <c r="BK30" s="66"/>
      <c r="BL30" s="66"/>
      <c r="BM30" s="66"/>
      <c r="BN30" s="66"/>
      <c r="BO30" s="66"/>
      <c r="BP30" s="66"/>
      <c r="BQ30" s="66"/>
      <c r="BR30" s="66"/>
      <c r="BS30" s="66"/>
      <c r="BT30" s="66"/>
      <c r="BU30" s="66"/>
      <c r="BV30" s="66"/>
      <c r="BW30" s="66"/>
      <c r="BX30" s="66"/>
      <c r="BY30" s="66"/>
      <c r="BZ30" s="66"/>
      <c r="CA30" s="66"/>
      <c r="CB30" s="66"/>
      <c r="CC30" s="66"/>
      <c r="CD30" s="66"/>
      <c r="CE30" s="66"/>
      <c r="CF30" s="66"/>
      <c r="CG30" s="66"/>
      <c r="CH30" s="66"/>
      <c r="CI30" s="66"/>
      <c r="CJ30" s="66"/>
      <c r="CK30" s="66"/>
      <c r="CL30" s="66"/>
      <c r="CM30" s="66"/>
      <c r="CN30" s="66"/>
      <c r="CO30" s="66"/>
      <c r="CP30" s="66"/>
      <c r="CQ30" s="23" t="s">
        <v>77</v>
      </c>
    </row>
    <row r="31" spans="2:95" outlineLevel="1" x14ac:dyDescent="0.2">
      <c r="B31" s="518" t="s">
        <v>580</v>
      </c>
      <c r="D31" s="617">
        <f>Valuation!$D$14</f>
        <v>0.8322059038275248</v>
      </c>
      <c r="E31" s="485"/>
      <c r="F31" s="485"/>
      <c r="G31" s="485"/>
      <c r="H31" s="485"/>
      <c r="I31" s="485"/>
      <c r="J31" s="485"/>
      <c r="K31" s="485"/>
      <c r="L31" s="485"/>
      <c r="M31" s="516"/>
      <c r="N31" s="516"/>
      <c r="O31" s="516"/>
      <c r="P31" s="517"/>
      <c r="Q31" s="517"/>
      <c r="R31" s="517"/>
      <c r="S31" s="517"/>
      <c r="T31" s="517"/>
      <c r="U31" s="517"/>
      <c r="V31" s="517"/>
      <c r="W31" s="227"/>
      <c r="X31" s="227"/>
      <c r="Y31" s="227"/>
      <c r="Z31" s="227"/>
      <c r="AA31" s="227"/>
      <c r="AB31" s="227"/>
      <c r="AC31" s="227"/>
      <c r="AD31" s="227"/>
      <c r="AE31" s="227"/>
      <c r="AF31" s="227"/>
      <c r="AG31" s="227"/>
      <c r="AH31" s="227"/>
      <c r="AI31" s="227"/>
      <c r="AJ31" s="227"/>
      <c r="AK31" s="227"/>
      <c r="AL31" s="227"/>
      <c r="AM31" s="227"/>
      <c r="AN31" s="227"/>
      <c r="AO31" s="227"/>
      <c r="AP31" s="227"/>
      <c r="AQ31" s="227"/>
      <c r="AR31" s="227"/>
      <c r="AS31" s="227"/>
      <c r="AT31" s="227"/>
      <c r="AU31" s="227"/>
      <c r="AV31" s="227"/>
      <c r="AW31" s="227"/>
      <c r="AX31" s="227"/>
      <c r="AY31" s="227"/>
      <c r="AZ31" s="227"/>
      <c r="BA31" s="227"/>
      <c r="BB31" s="227"/>
      <c r="BC31" s="227"/>
      <c r="BD31" s="227"/>
      <c r="BE31" s="227"/>
      <c r="BF31" s="227"/>
      <c r="BG31" s="227"/>
      <c r="BH31" s="227"/>
      <c r="BI31" s="227"/>
      <c r="BJ31" s="227"/>
      <c r="BK31" s="227"/>
      <c r="BL31" s="227"/>
      <c r="BM31" s="227"/>
      <c r="BN31" s="227"/>
      <c r="BO31" s="227"/>
      <c r="BP31" s="227"/>
      <c r="BQ31" s="227"/>
      <c r="BR31" s="227"/>
      <c r="BS31" s="227"/>
      <c r="BT31" s="227"/>
      <c r="BU31" s="227"/>
      <c r="BV31" s="227"/>
      <c r="BW31" s="227"/>
      <c r="BX31" s="227"/>
      <c r="BY31" s="227"/>
      <c r="BZ31" s="227"/>
      <c r="CA31" s="227"/>
      <c r="CB31" s="227"/>
      <c r="CC31" s="227"/>
      <c r="CD31" s="227"/>
      <c r="CE31" s="227"/>
      <c r="CF31" s="227"/>
      <c r="CG31" s="227"/>
      <c r="CH31" s="227"/>
      <c r="CI31" s="227"/>
      <c r="CJ31" s="227"/>
      <c r="CK31" s="227"/>
      <c r="CL31" s="227"/>
      <c r="CM31" s="227"/>
      <c r="CN31" s="227"/>
      <c r="CO31" s="227"/>
      <c r="CP31" s="227"/>
      <c r="CQ31" s="23" t="s">
        <v>77</v>
      </c>
    </row>
    <row r="32" spans="2:95" outlineLevel="1" x14ac:dyDescent="0.2">
      <c r="B32" s="8" t="s">
        <v>332</v>
      </c>
      <c r="X32" s="675"/>
      <c r="Y32" s="675"/>
      <c r="Z32" s="675">
        <v>0</v>
      </c>
      <c r="AA32" s="675">
        <v>1</v>
      </c>
      <c r="AB32" s="675"/>
      <c r="AC32" s="675"/>
      <c r="AD32" s="675"/>
      <c r="AE32" s="675"/>
      <c r="AF32" s="675"/>
      <c r="AG32" s="675"/>
      <c r="AH32" s="675"/>
      <c r="AI32" s="675"/>
      <c r="AJ32" s="675"/>
      <c r="AK32" s="675"/>
      <c r="AL32" s="675"/>
      <c r="AM32" s="675"/>
      <c r="AN32" s="675"/>
      <c r="AO32" s="675"/>
      <c r="AP32" s="675"/>
      <c r="AQ32" s="675"/>
      <c r="AR32" s="666"/>
      <c r="AS32" s="675"/>
      <c r="AT32" s="675"/>
      <c r="AU32" s="675"/>
      <c r="AV32" s="675"/>
      <c r="AW32" s="675"/>
      <c r="AX32" s="675"/>
      <c r="AY32" s="675"/>
      <c r="AZ32" s="675"/>
      <c r="BA32" s="675">
        <v>2</v>
      </c>
      <c r="BB32" s="675"/>
      <c r="BC32" s="675"/>
      <c r="BD32" s="675"/>
      <c r="BE32" s="675"/>
      <c r="BF32" s="675"/>
      <c r="BG32" s="675"/>
      <c r="BH32" s="675"/>
      <c r="BI32" s="675"/>
      <c r="BJ32" s="675"/>
      <c r="BK32" s="675"/>
      <c r="BL32" s="675"/>
      <c r="BM32" s="675"/>
      <c r="BN32" s="675"/>
      <c r="BO32" s="675"/>
      <c r="BP32" s="675"/>
      <c r="BQ32" s="675"/>
      <c r="BR32" s="675"/>
      <c r="BS32" s="675"/>
      <c r="BT32" s="675"/>
      <c r="BU32" s="675"/>
      <c r="BV32" s="675"/>
      <c r="BW32" s="675"/>
      <c r="BX32" s="675"/>
      <c r="BY32" s="675"/>
      <c r="BZ32" s="675"/>
      <c r="CA32" s="675"/>
      <c r="CB32" s="675"/>
      <c r="CC32" s="675"/>
      <c r="CD32" s="675"/>
      <c r="CE32" s="675"/>
      <c r="CF32" s="675"/>
      <c r="CG32" s="675"/>
      <c r="CH32" s="675">
        <v>2</v>
      </c>
      <c r="CI32" s="675"/>
      <c r="CJ32" s="675"/>
      <c r="CK32" s="675"/>
      <c r="CL32" s="675"/>
      <c r="CM32" s="675"/>
      <c r="CN32" s="675"/>
      <c r="CO32" s="675"/>
      <c r="CP32" s="675"/>
      <c r="CQ32" s="23" t="s">
        <v>77</v>
      </c>
    </row>
    <row r="33" spans="1:95" outlineLevel="1" x14ac:dyDescent="0.2">
      <c r="B33" s="12" t="s">
        <v>544</v>
      </c>
      <c r="S33" s="265"/>
      <c r="T33" s="265"/>
      <c r="U33" s="265"/>
      <c r="V33" s="39"/>
      <c r="W33" s="265"/>
      <c r="X33" s="675"/>
      <c r="Y33" s="675"/>
      <c r="Z33" s="675"/>
      <c r="AA33" s="675"/>
      <c r="AB33" s="675"/>
      <c r="AC33" s="675"/>
      <c r="AD33" s="675"/>
      <c r="AE33" s="675"/>
      <c r="AF33" s="675">
        <v>1</v>
      </c>
      <c r="AG33" s="675"/>
      <c r="AH33" s="675"/>
      <c r="AI33" s="675"/>
      <c r="AJ33" s="675"/>
      <c r="AK33" s="675"/>
      <c r="AL33" s="675"/>
      <c r="AM33" s="675"/>
      <c r="AN33" s="675"/>
      <c r="AO33" s="675"/>
      <c r="AP33" s="675"/>
      <c r="AQ33" s="675"/>
      <c r="AR33" s="675"/>
      <c r="AS33" s="675"/>
      <c r="AT33" s="675"/>
      <c r="AU33" s="675"/>
      <c r="AV33" s="675"/>
      <c r="AW33" s="675"/>
      <c r="AX33" s="675"/>
      <c r="AY33" s="675"/>
      <c r="AZ33" s="675"/>
      <c r="BA33" s="666"/>
      <c r="BB33" s="675"/>
      <c r="BC33" s="675"/>
      <c r="BD33" s="675"/>
      <c r="BE33" s="675"/>
      <c r="BF33" s="675"/>
      <c r="BG33" s="675"/>
      <c r="BH33" s="675"/>
      <c r="BI33" s="675"/>
      <c r="BJ33" s="675"/>
      <c r="BK33" s="675"/>
      <c r="BL33" s="675"/>
      <c r="BM33" s="675"/>
      <c r="BN33" s="675"/>
      <c r="BO33" s="675"/>
      <c r="BP33" s="675"/>
      <c r="BQ33" s="675"/>
      <c r="BR33" s="675"/>
      <c r="BS33" s="675"/>
      <c r="BT33" s="675">
        <v>2</v>
      </c>
      <c r="BU33" s="675"/>
      <c r="BV33" s="666"/>
      <c r="BW33" s="675"/>
      <c r="BX33" s="675"/>
      <c r="BY33" s="675"/>
      <c r="BZ33" s="675"/>
      <c r="CA33" s="675"/>
      <c r="CB33" s="675"/>
      <c r="CC33" s="675"/>
      <c r="CD33" s="675"/>
      <c r="CE33" s="675"/>
      <c r="CF33" s="675"/>
      <c r="CG33" s="675"/>
      <c r="CH33" s="675"/>
      <c r="CI33" s="675"/>
      <c r="CJ33" s="675"/>
      <c r="CK33" s="675"/>
      <c r="CL33" s="675"/>
      <c r="CM33" s="675"/>
      <c r="CN33" s="675"/>
      <c r="CO33" s="675"/>
      <c r="CP33" s="675"/>
      <c r="CQ33" s="23" t="s">
        <v>77</v>
      </c>
    </row>
    <row r="34" spans="1:95" outlineLevel="1" x14ac:dyDescent="0.2">
      <c r="B34" s="24"/>
      <c r="X34" s="534"/>
      <c r="Y34" s="534"/>
      <c r="Z34" s="534"/>
      <c r="AA34" s="534"/>
      <c r="AB34" s="534"/>
      <c r="AC34" s="534"/>
      <c r="AD34" s="534"/>
      <c r="AE34" s="534"/>
      <c r="AF34" s="534"/>
      <c r="AG34" s="534"/>
      <c r="AH34" s="534"/>
      <c r="AI34" s="534"/>
      <c r="AJ34" s="534"/>
      <c r="AK34" s="534"/>
      <c r="AL34" s="534"/>
      <c r="AM34" s="534"/>
      <c r="AN34" s="534"/>
      <c r="AO34" s="534"/>
      <c r="AP34" s="534"/>
      <c r="AQ34" s="534"/>
      <c r="AR34" s="534"/>
      <c r="AS34" s="534"/>
      <c r="AT34" s="534"/>
      <c r="AU34" s="534"/>
      <c r="AV34" s="534"/>
      <c r="AW34" s="534"/>
      <c r="AX34" s="534"/>
      <c r="AY34" s="534"/>
      <c r="AZ34" s="534"/>
      <c r="BA34" s="534"/>
      <c r="BB34" s="534"/>
      <c r="BC34" s="534"/>
      <c r="BD34" s="534"/>
      <c r="BE34" s="534"/>
      <c r="BF34" s="534"/>
      <c r="BG34" s="534"/>
      <c r="BH34" s="534"/>
      <c r="BI34" s="534"/>
      <c r="BJ34" s="534"/>
      <c r="BK34" s="534"/>
      <c r="BL34" s="534"/>
      <c r="BM34" s="534"/>
      <c r="BN34" s="534"/>
      <c r="BO34" s="534"/>
      <c r="BP34" s="534"/>
      <c r="BQ34" s="534"/>
      <c r="BR34" s="534"/>
      <c r="BS34" s="534"/>
      <c r="BT34" s="534"/>
      <c r="BU34" s="534"/>
      <c r="BV34" s="534"/>
      <c r="BW34" s="534"/>
      <c r="BX34" s="534"/>
      <c r="BY34" s="534"/>
      <c r="BZ34" s="534"/>
      <c r="CA34" s="534"/>
      <c r="CB34" s="534"/>
      <c r="CC34" s="534"/>
      <c r="CD34" s="534"/>
      <c r="CE34" s="534"/>
      <c r="CF34" s="534"/>
      <c r="CG34" s="534"/>
      <c r="CH34" s="534"/>
      <c r="CI34" s="534"/>
      <c r="CJ34" s="534"/>
      <c r="CK34" s="534"/>
      <c r="CL34" s="534"/>
      <c r="CM34" s="534"/>
      <c r="CN34" s="534"/>
      <c r="CO34" s="534"/>
      <c r="CP34" s="534"/>
      <c r="CQ34" s="23" t="s">
        <v>77</v>
      </c>
    </row>
    <row r="35" spans="1:95" outlineLevel="1" x14ac:dyDescent="0.2">
      <c r="B35" s="358" t="s">
        <v>315</v>
      </c>
      <c r="D35" s="218"/>
      <c r="E35" s="218"/>
      <c r="F35" s="218"/>
      <c r="G35" s="218"/>
      <c r="H35" s="218"/>
      <c r="I35" s="218"/>
      <c r="J35" s="218"/>
      <c r="K35" s="66"/>
      <c r="L35" s="66"/>
      <c r="M35" s="66"/>
      <c r="N35" s="248"/>
      <c r="O35" s="248"/>
      <c r="P35" s="248"/>
      <c r="Q35" s="248"/>
      <c r="R35" s="248"/>
      <c r="S35" s="248"/>
      <c r="T35" s="248"/>
      <c r="U35" s="248"/>
      <c r="V35" s="248"/>
      <c r="W35" s="248"/>
      <c r="X35" s="248"/>
      <c r="Y35" s="451"/>
      <c r="Z35" s="451"/>
      <c r="AA35" s="66"/>
      <c r="AB35" s="66"/>
      <c r="AC35" s="66"/>
      <c r="AD35" s="66"/>
      <c r="AE35" s="66"/>
      <c r="AF35" s="66"/>
      <c r="AG35" s="66"/>
      <c r="AH35" s="66"/>
      <c r="AI35" s="66"/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6"/>
      <c r="AV35" s="66"/>
      <c r="AW35" s="66"/>
      <c r="AX35" s="66"/>
      <c r="AY35" s="66"/>
      <c r="AZ35" s="66"/>
      <c r="BA35" s="66"/>
      <c r="BB35" s="66"/>
      <c r="BC35" s="66"/>
      <c r="BD35" s="66"/>
      <c r="BE35" s="66"/>
      <c r="BF35" s="66"/>
      <c r="BG35" s="66"/>
      <c r="BH35" s="66"/>
      <c r="BI35" s="66"/>
      <c r="BJ35" s="66"/>
      <c r="BK35" s="66"/>
      <c r="BL35" s="66"/>
      <c r="BM35" s="66"/>
      <c r="BN35" s="66"/>
      <c r="BO35" s="66"/>
      <c r="BP35" s="66"/>
      <c r="BQ35" s="66"/>
      <c r="BR35" s="66"/>
      <c r="BS35" s="66"/>
      <c r="BT35" s="66"/>
      <c r="BU35" s="66"/>
      <c r="BV35" s="66"/>
      <c r="BW35" s="66"/>
      <c r="BX35" s="66"/>
      <c r="BY35" s="66"/>
      <c r="BZ35" s="66"/>
      <c r="CA35" s="66"/>
      <c r="CB35" s="66"/>
      <c r="CC35" s="66"/>
      <c r="CD35" s="66"/>
      <c r="CE35" s="66"/>
      <c r="CF35" s="66"/>
      <c r="CG35" s="66"/>
      <c r="CH35" s="66"/>
      <c r="CI35" s="66"/>
      <c r="CJ35" s="66"/>
      <c r="CK35" s="66"/>
      <c r="CL35" s="66"/>
      <c r="CM35" s="66"/>
      <c r="CN35" s="66"/>
      <c r="CO35" s="66"/>
      <c r="CP35" s="66"/>
      <c r="CQ35" s="23" t="s">
        <v>77</v>
      </c>
    </row>
    <row r="36" spans="1:95" outlineLevel="1" x14ac:dyDescent="0.2">
      <c r="B36" s="8" t="s">
        <v>332</v>
      </c>
      <c r="D36" s="309">
        <v>0.85</v>
      </c>
      <c r="E36" s="619">
        <f>Valuation!$E$13</f>
        <v>0.1</v>
      </c>
      <c r="K36" s="9" t="str">
        <f t="shared" ref="K36:R36" si="23">IF(ISERROR(+K47/K$27),"n.a",+K47/K$27)</f>
        <v>n.a</v>
      </c>
      <c r="L36" s="9" t="str">
        <f t="shared" si="23"/>
        <v>n.a</v>
      </c>
      <c r="M36" s="9">
        <f t="shared" si="23"/>
        <v>75.38</v>
      </c>
      <c r="N36" s="9">
        <f t="shared" si="23"/>
        <v>82.087000000000003</v>
      </c>
      <c r="O36" s="9">
        <f t="shared" si="23"/>
        <v>107.91500000000001</v>
      </c>
      <c r="P36" s="9">
        <f t="shared" si="23"/>
        <v>120.77299999999998</v>
      </c>
      <c r="Q36" s="9">
        <f t="shared" si="23"/>
        <v>126.657</v>
      </c>
      <c r="R36" s="9">
        <f t="shared" si="23"/>
        <v>138.44300000000001</v>
      </c>
      <c r="S36" s="9">
        <f>IF(ISERROR(+S47/((S20-S48)/(S19-S37))),"n.a", +S47/((S20-S48)/(S19-S37)))</f>
        <v>139.321</v>
      </c>
      <c r="T36" s="9">
        <f>IF(ISERROR(+T47/((T20-T48)/(T19-T37))),"n.a", +T47/((T20-T48)/(T19-T37)))</f>
        <v>133.554</v>
      </c>
      <c r="U36" s="9">
        <f>IF(ISERROR(+U47/((U20-U48)/(U19-U37))),"n.a", +U47/((U20-U48)/(U19-U37)))</f>
        <v>137.99799999999999</v>
      </c>
      <c r="V36" s="9">
        <f>+U36*(1+V$7*V$28)+80/7-11</f>
        <v>140.39304292857142</v>
      </c>
      <c r="W36" s="9">
        <f>+V36*(1+W$7*W$28)+3</f>
        <v>145.39364379030357</v>
      </c>
      <c r="X36" s="257">
        <f>+W36*(1+X$7*X$28)-20</f>
        <v>129.02848488506115</v>
      </c>
      <c r="Y36" s="51">
        <f>+IF(Y32=0,X36*(1+Y$9*Y$28),IF(Y32=1,-Y42/(1-PERCENTILE($D36:$E36,$D$31)),IF(Y32=2,)))</f>
        <v>132.25419700718766</v>
      </c>
      <c r="Z36" s="51">
        <f>+IF(Z32=0,Y36*(1+Z$9*Z$28),IF(Z32=1,-Z42/(1-PERCENTILE($D36:$E36,$D$31)),IF(Z32=2,)))</f>
        <v>135.56055193236733</v>
      </c>
      <c r="AA36" s="51">
        <f>+IF(AA32=0,Z36*(1+AA$9*AA$28),IF(AA32=1,-AA42/(1-PERCENTILE($D36:$E36,$D$31)),IF(AA32=2,)))</f>
        <v>87.504637229068962</v>
      </c>
      <c r="AB36" s="51">
        <f t="shared" ref="AB36:CM36" si="24">+IF(AB32=0,AA36*(1+AB$9*AB$28),IF(AB32=1,-AB42/(1-PERCENTILE($D36:$E36,$D$31)),IF(AB32=2,)))</f>
        <v>89.582872363259341</v>
      </c>
      <c r="AC36" s="51">
        <f t="shared" si="24"/>
        <v>91.710465581886751</v>
      </c>
      <c r="AD36" s="51">
        <f t="shared" si="24"/>
        <v>93.888589139456556</v>
      </c>
      <c r="AE36" s="51">
        <f t="shared" si="24"/>
        <v>96.118443131518646</v>
      </c>
      <c r="AF36" s="51">
        <f t="shared" si="24"/>
        <v>98.401256155892213</v>
      </c>
      <c r="AG36" s="51">
        <f t="shared" si="24"/>
        <v>100.73828598959464</v>
      </c>
      <c r="AH36" s="51">
        <f t="shared" si="24"/>
        <v>103.13082028184751</v>
      </c>
      <c r="AI36" s="51">
        <f t="shared" si="24"/>
        <v>105.58017726354137</v>
      </c>
      <c r="AJ36" s="51">
        <f t="shared" si="24"/>
        <v>108.08770647355047</v>
      </c>
      <c r="AK36" s="51">
        <f t="shared" si="24"/>
        <v>110.65478950229729</v>
      </c>
      <c r="AL36" s="51">
        <f t="shared" si="24"/>
        <v>113.28284075297684</v>
      </c>
      <c r="AM36" s="51">
        <f t="shared" si="24"/>
        <v>115.97330822086003</v>
      </c>
      <c r="AN36" s="51">
        <f t="shared" si="24"/>
        <v>118.72767429110546</v>
      </c>
      <c r="AO36" s="51">
        <f t="shared" si="24"/>
        <v>121.5474565555192</v>
      </c>
      <c r="AP36" s="51">
        <f t="shared" si="24"/>
        <v>124.43420864871278</v>
      </c>
      <c r="AQ36" s="51">
        <f t="shared" si="24"/>
        <v>127.38952110411971</v>
      </c>
      <c r="AR36" s="51">
        <f t="shared" si="24"/>
        <v>130.41502223034254</v>
      </c>
      <c r="AS36" s="51">
        <f t="shared" si="24"/>
        <v>133.51237900831316</v>
      </c>
      <c r="AT36" s="51">
        <f t="shared" si="24"/>
        <v>136.68329800976059</v>
      </c>
      <c r="AU36" s="51">
        <f t="shared" si="24"/>
        <v>139.9295263374924</v>
      </c>
      <c r="AV36" s="51">
        <f t="shared" si="24"/>
        <v>143.25285258800784</v>
      </c>
      <c r="AW36" s="51">
        <f t="shared" si="24"/>
        <v>146.65510783697303</v>
      </c>
      <c r="AX36" s="51">
        <f t="shared" si="24"/>
        <v>150.13816664810113</v>
      </c>
      <c r="AY36" s="51">
        <f t="shared" si="24"/>
        <v>153.70394810599353</v>
      </c>
      <c r="AZ36" s="51">
        <f t="shared" si="24"/>
        <v>157.35441687351087</v>
      </c>
      <c r="BA36" s="51">
        <f t="shared" si="24"/>
        <v>0</v>
      </c>
      <c r="BB36" s="51">
        <f t="shared" si="24"/>
        <v>0</v>
      </c>
      <c r="BC36" s="51">
        <f t="shared" si="24"/>
        <v>0</v>
      </c>
      <c r="BD36" s="51">
        <f t="shared" si="24"/>
        <v>0</v>
      </c>
      <c r="BE36" s="51">
        <f t="shared" si="24"/>
        <v>0</v>
      </c>
      <c r="BF36" s="51">
        <f t="shared" si="24"/>
        <v>0</v>
      </c>
      <c r="BG36" s="51">
        <f t="shared" si="24"/>
        <v>0</v>
      </c>
      <c r="BH36" s="51">
        <f t="shared" si="24"/>
        <v>0</v>
      </c>
      <c r="BI36" s="51">
        <f t="shared" si="24"/>
        <v>0</v>
      </c>
      <c r="BJ36" s="51">
        <f t="shared" si="24"/>
        <v>0</v>
      </c>
      <c r="BK36" s="51">
        <f t="shared" si="24"/>
        <v>0</v>
      </c>
      <c r="BL36" s="51">
        <f t="shared" si="24"/>
        <v>0</v>
      </c>
      <c r="BM36" s="51">
        <f t="shared" si="24"/>
        <v>0</v>
      </c>
      <c r="BN36" s="51">
        <f t="shared" si="24"/>
        <v>0</v>
      </c>
      <c r="BO36" s="51">
        <f t="shared" si="24"/>
        <v>0</v>
      </c>
      <c r="BP36" s="51">
        <f t="shared" si="24"/>
        <v>0</v>
      </c>
      <c r="BQ36" s="51">
        <f t="shared" si="24"/>
        <v>0</v>
      </c>
      <c r="BR36" s="51">
        <f t="shared" si="24"/>
        <v>0</v>
      </c>
      <c r="BS36" s="51">
        <f t="shared" si="24"/>
        <v>0</v>
      </c>
      <c r="BT36" s="51">
        <f t="shared" si="24"/>
        <v>0</v>
      </c>
      <c r="BU36" s="51">
        <f t="shared" si="24"/>
        <v>0</v>
      </c>
      <c r="BV36" s="51">
        <f t="shared" si="24"/>
        <v>0</v>
      </c>
      <c r="BW36" s="51">
        <f t="shared" si="24"/>
        <v>0</v>
      </c>
      <c r="BX36" s="51">
        <f t="shared" si="24"/>
        <v>0</v>
      </c>
      <c r="BY36" s="51">
        <f t="shared" si="24"/>
        <v>0</v>
      </c>
      <c r="BZ36" s="51">
        <f t="shared" si="24"/>
        <v>0</v>
      </c>
      <c r="CA36" s="51">
        <f t="shared" si="24"/>
        <v>0</v>
      </c>
      <c r="CB36" s="51">
        <f t="shared" si="24"/>
        <v>0</v>
      </c>
      <c r="CC36" s="51">
        <f t="shared" si="24"/>
        <v>0</v>
      </c>
      <c r="CD36" s="51">
        <f t="shared" si="24"/>
        <v>0</v>
      </c>
      <c r="CE36" s="51">
        <f t="shared" si="24"/>
        <v>0</v>
      </c>
      <c r="CF36" s="51">
        <f t="shared" si="24"/>
        <v>0</v>
      </c>
      <c r="CG36" s="51">
        <f t="shared" si="24"/>
        <v>0</v>
      </c>
      <c r="CH36" s="51">
        <f t="shared" si="24"/>
        <v>0</v>
      </c>
      <c r="CI36" s="51">
        <f t="shared" si="24"/>
        <v>0</v>
      </c>
      <c r="CJ36" s="51">
        <f t="shared" si="24"/>
        <v>0</v>
      </c>
      <c r="CK36" s="51">
        <f t="shared" si="24"/>
        <v>0</v>
      </c>
      <c r="CL36" s="51">
        <f t="shared" si="24"/>
        <v>0</v>
      </c>
      <c r="CM36" s="51">
        <f t="shared" si="24"/>
        <v>0</v>
      </c>
      <c r="CN36" s="51">
        <f t="shared" ref="CN36:CP36" si="25">+IF(CN32=0,CM36*(1+CN$9*CN$28),IF(CN32=1,-CN42/(1-PERCENTILE($D36:$E36,$D$31)),IF(CN32=2,)))</f>
        <v>0</v>
      </c>
      <c r="CO36" s="51">
        <f t="shared" si="25"/>
        <v>0</v>
      </c>
      <c r="CP36" s="51">
        <f t="shared" si="25"/>
        <v>0</v>
      </c>
      <c r="CQ36" s="23" t="s">
        <v>77</v>
      </c>
    </row>
    <row r="37" spans="1:95" outlineLevel="1" x14ac:dyDescent="0.2">
      <c r="B37" s="12" t="s">
        <v>544</v>
      </c>
      <c r="D37" s="309">
        <v>0.85</v>
      </c>
      <c r="E37" s="619">
        <f>Valuation!$E$13</f>
        <v>0.1</v>
      </c>
      <c r="S37" s="265"/>
      <c r="T37" s="265"/>
      <c r="U37" s="265"/>
      <c r="V37" s="39">
        <f>21.288*6.08%*(1+V$28*V$7)*(11/12)+21.288*(1+V$28*V$7)*(1/12)</f>
        <v>3.0026376296000006</v>
      </c>
      <c r="W37" s="265">
        <f>25*(1+5%)^2+3</f>
        <v>30.5625</v>
      </c>
      <c r="X37" s="51">
        <f>+IF(X33=0,W37*(1+X$9*X$28),IF(X33=1,-X43/(1-PERCENTILE($D37:$E37,$D$31)),IF(X33=2,)))</f>
        <v>31.326562499999998</v>
      </c>
      <c r="Y37" s="51">
        <f t="shared" ref="Y37:CJ37" si="26">+IF(Y33=0,X37*(1+Y$9*Y$28),IF(Y33=1,-Y43/(1-PERCENTILE($D37:$E37,$D$31)),IF(Y33=2,)))</f>
        <v>32.109726562499993</v>
      </c>
      <c r="Z37" s="51">
        <f t="shared" si="26"/>
        <v>32.912469726562492</v>
      </c>
      <c r="AA37" s="51">
        <f t="shared" si="26"/>
        <v>33.694140882568348</v>
      </c>
      <c r="AB37" s="51">
        <f t="shared" si="26"/>
        <v>34.494376728529346</v>
      </c>
      <c r="AC37" s="51">
        <f t="shared" si="26"/>
        <v>35.313618175831913</v>
      </c>
      <c r="AD37" s="51">
        <f t="shared" si="26"/>
        <v>36.15231660750792</v>
      </c>
      <c r="AE37" s="51">
        <f t="shared" si="26"/>
        <v>37.010934126936235</v>
      </c>
      <c r="AF37" s="51">
        <f t="shared" si="26"/>
        <v>20.846492340350018</v>
      </c>
      <c r="AG37" s="51">
        <f t="shared" si="26"/>
        <v>21.341596533433329</v>
      </c>
      <c r="AH37" s="51">
        <f t="shared" si="26"/>
        <v>21.848459451102368</v>
      </c>
      <c r="AI37" s="51">
        <f t="shared" si="26"/>
        <v>22.367360363066048</v>
      </c>
      <c r="AJ37" s="51">
        <f t="shared" si="26"/>
        <v>22.898585171688865</v>
      </c>
      <c r="AK37" s="51">
        <f t="shared" si="26"/>
        <v>23.442426569516474</v>
      </c>
      <c r="AL37" s="51">
        <f t="shared" si="26"/>
        <v>23.999184200542491</v>
      </c>
      <c r="AM37" s="51">
        <f t="shared" si="26"/>
        <v>24.569164825305375</v>
      </c>
      <c r="AN37" s="51">
        <f t="shared" si="26"/>
        <v>25.152682489906375</v>
      </c>
      <c r="AO37" s="51">
        <f t="shared" si="26"/>
        <v>25.750058699041649</v>
      </c>
      <c r="AP37" s="51">
        <f t="shared" si="26"/>
        <v>26.361622593143885</v>
      </c>
      <c r="AQ37" s="51">
        <f t="shared" si="26"/>
        <v>26.98771112973105</v>
      </c>
      <c r="AR37" s="51">
        <f t="shared" si="26"/>
        <v>27.628669269062161</v>
      </c>
      <c r="AS37" s="51">
        <f t="shared" si="26"/>
        <v>28.284850164202386</v>
      </c>
      <c r="AT37" s="51">
        <f t="shared" si="26"/>
        <v>28.956615355602189</v>
      </c>
      <c r="AU37" s="51">
        <f t="shared" si="26"/>
        <v>29.644334970297738</v>
      </c>
      <c r="AV37" s="51">
        <f t="shared" si="26"/>
        <v>30.348387925842307</v>
      </c>
      <c r="AW37" s="51">
        <f t="shared" si="26"/>
        <v>31.069162139081058</v>
      </c>
      <c r="AX37" s="51">
        <f t="shared" si="26"/>
        <v>31.807054739884233</v>
      </c>
      <c r="AY37" s="51">
        <f t="shared" si="26"/>
        <v>32.562472289956482</v>
      </c>
      <c r="AZ37" s="51">
        <f t="shared" si="26"/>
        <v>33.335831006842945</v>
      </c>
      <c r="BA37" s="51">
        <f t="shared" si="26"/>
        <v>34.12755699325546</v>
      </c>
      <c r="BB37" s="51">
        <f t="shared" si="26"/>
        <v>34.938086471845274</v>
      </c>
      <c r="BC37" s="51">
        <f t="shared" si="26"/>
        <v>35.767866025551598</v>
      </c>
      <c r="BD37" s="51">
        <f t="shared" si="26"/>
        <v>36.617352843658445</v>
      </c>
      <c r="BE37" s="51">
        <f t="shared" si="26"/>
        <v>37.487014973695331</v>
      </c>
      <c r="BF37" s="51">
        <f t="shared" si="26"/>
        <v>38.37733157932059</v>
      </c>
      <c r="BG37" s="51">
        <f t="shared" si="26"/>
        <v>39.288793204329451</v>
      </c>
      <c r="BH37" s="51">
        <f t="shared" si="26"/>
        <v>40.221902042932271</v>
      </c>
      <c r="BI37" s="51">
        <f t="shared" si="26"/>
        <v>41.177172216451908</v>
      </c>
      <c r="BJ37" s="51">
        <f t="shared" si="26"/>
        <v>42.15513005659264</v>
      </c>
      <c r="BK37" s="51">
        <f t="shared" si="26"/>
        <v>43.156314395436709</v>
      </c>
      <c r="BL37" s="51">
        <f t="shared" si="26"/>
        <v>44.181276862328332</v>
      </c>
      <c r="BM37" s="51">
        <f t="shared" si="26"/>
        <v>45.230582187808629</v>
      </c>
      <c r="BN37" s="51">
        <f t="shared" si="26"/>
        <v>46.304808514769078</v>
      </c>
      <c r="BO37" s="51">
        <f t="shared" si="26"/>
        <v>47.404547716994841</v>
      </c>
      <c r="BP37" s="51">
        <f t="shared" si="26"/>
        <v>48.530405725273468</v>
      </c>
      <c r="BQ37" s="51">
        <f t="shared" si="26"/>
        <v>49.68300286124871</v>
      </c>
      <c r="BR37" s="51">
        <f t="shared" si="26"/>
        <v>50.862974179203363</v>
      </c>
      <c r="BS37" s="51">
        <f t="shared" si="26"/>
        <v>52.070969815959437</v>
      </c>
      <c r="BT37" s="51">
        <f t="shared" si="26"/>
        <v>0</v>
      </c>
      <c r="BU37" s="51">
        <f t="shared" si="26"/>
        <v>0</v>
      </c>
      <c r="BV37" s="51">
        <f t="shared" si="26"/>
        <v>0</v>
      </c>
      <c r="BW37" s="51">
        <f t="shared" si="26"/>
        <v>0</v>
      </c>
      <c r="BX37" s="51">
        <f t="shared" si="26"/>
        <v>0</v>
      </c>
      <c r="BY37" s="51">
        <f t="shared" si="26"/>
        <v>0</v>
      </c>
      <c r="BZ37" s="51">
        <f t="shared" si="26"/>
        <v>0</v>
      </c>
      <c r="CA37" s="51">
        <f t="shared" si="26"/>
        <v>0</v>
      </c>
      <c r="CB37" s="51">
        <f t="shared" si="26"/>
        <v>0</v>
      </c>
      <c r="CC37" s="51">
        <f t="shared" si="26"/>
        <v>0</v>
      </c>
      <c r="CD37" s="51">
        <f t="shared" si="26"/>
        <v>0</v>
      </c>
      <c r="CE37" s="51">
        <f t="shared" si="26"/>
        <v>0</v>
      </c>
      <c r="CF37" s="51">
        <f t="shared" si="26"/>
        <v>0</v>
      </c>
      <c r="CG37" s="51">
        <f t="shared" si="26"/>
        <v>0</v>
      </c>
      <c r="CH37" s="51">
        <f t="shared" si="26"/>
        <v>0</v>
      </c>
      <c r="CI37" s="51">
        <f t="shared" si="26"/>
        <v>0</v>
      </c>
      <c r="CJ37" s="51">
        <f t="shared" si="26"/>
        <v>0</v>
      </c>
      <c r="CK37" s="51">
        <f t="shared" ref="CK37:CP37" si="27">+IF(CK33=0,CJ37*(1+CK$9*CK$28),IF(CK33=1,-CK43/(1-PERCENTILE($D37:$E37,$D$31)),IF(CK33=2,)))</f>
        <v>0</v>
      </c>
      <c r="CL37" s="51">
        <f t="shared" si="27"/>
        <v>0</v>
      </c>
      <c r="CM37" s="51">
        <f t="shared" si="27"/>
        <v>0</v>
      </c>
      <c r="CN37" s="51">
        <f t="shared" si="27"/>
        <v>0</v>
      </c>
      <c r="CO37" s="51">
        <f t="shared" si="27"/>
        <v>0</v>
      </c>
      <c r="CP37" s="51">
        <f t="shared" si="27"/>
        <v>0</v>
      </c>
      <c r="CQ37" s="23" t="s">
        <v>77</v>
      </c>
    </row>
    <row r="38" spans="1:95" outlineLevel="1" x14ac:dyDescent="0.2">
      <c r="B38" s="485" t="s">
        <v>299</v>
      </c>
      <c r="D38" s="485"/>
      <c r="E38" s="485"/>
      <c r="F38" s="485"/>
      <c r="G38" s="485"/>
      <c r="H38" s="485"/>
      <c r="I38" s="485"/>
      <c r="J38" s="485"/>
      <c r="K38" s="85">
        <f t="shared" ref="K38:R38" si="28">SUM(K36:K36)</f>
        <v>0</v>
      </c>
      <c r="L38" s="85">
        <f t="shared" si="28"/>
        <v>0</v>
      </c>
      <c r="M38" s="85">
        <f t="shared" si="28"/>
        <v>75.38</v>
      </c>
      <c r="N38" s="85">
        <f t="shared" si="28"/>
        <v>82.087000000000003</v>
      </c>
      <c r="O38" s="85">
        <f t="shared" si="28"/>
        <v>107.91500000000001</v>
      </c>
      <c r="P38" s="85">
        <f t="shared" si="28"/>
        <v>120.77299999999998</v>
      </c>
      <c r="Q38" s="85">
        <f t="shared" si="28"/>
        <v>126.657</v>
      </c>
      <c r="R38" s="85">
        <f t="shared" si="28"/>
        <v>138.44300000000001</v>
      </c>
      <c r="S38" s="85">
        <f t="shared" ref="S38:BD38" si="29">SUM(S36:S37)</f>
        <v>139.321</v>
      </c>
      <c r="T38" s="85">
        <f t="shared" si="29"/>
        <v>133.554</v>
      </c>
      <c r="U38" s="85">
        <f t="shared" si="29"/>
        <v>137.99799999999999</v>
      </c>
      <c r="V38" s="85">
        <f t="shared" si="29"/>
        <v>143.39568055817142</v>
      </c>
      <c r="W38" s="85">
        <f t="shared" si="29"/>
        <v>175.95614379030357</v>
      </c>
      <c r="X38" s="85">
        <f t="shared" si="29"/>
        <v>160.35504738506114</v>
      </c>
      <c r="Y38" s="85">
        <f t="shared" si="29"/>
        <v>164.36392356968764</v>
      </c>
      <c r="Z38" s="85">
        <f t="shared" si="29"/>
        <v>168.47302165892984</v>
      </c>
      <c r="AA38" s="85">
        <f t="shared" si="29"/>
        <v>121.19877811163731</v>
      </c>
      <c r="AB38" s="85">
        <f t="shared" si="29"/>
        <v>124.07724909178869</v>
      </c>
      <c r="AC38" s="85">
        <f t="shared" si="29"/>
        <v>127.02408375771867</v>
      </c>
      <c r="AD38" s="85">
        <f t="shared" si="29"/>
        <v>130.04090574696448</v>
      </c>
      <c r="AE38" s="85">
        <f t="shared" si="29"/>
        <v>133.12937725845489</v>
      </c>
      <c r="AF38" s="85">
        <f t="shared" si="29"/>
        <v>119.24774849624222</v>
      </c>
      <c r="AG38" s="85">
        <f t="shared" si="29"/>
        <v>122.07988252302798</v>
      </c>
      <c r="AH38" s="85">
        <f t="shared" si="29"/>
        <v>124.97927973294988</v>
      </c>
      <c r="AI38" s="85">
        <f t="shared" si="29"/>
        <v>127.94753762660741</v>
      </c>
      <c r="AJ38" s="85">
        <f t="shared" si="29"/>
        <v>130.98629164523933</v>
      </c>
      <c r="AK38" s="85">
        <f t="shared" si="29"/>
        <v>134.09721607181376</v>
      </c>
      <c r="AL38" s="85">
        <f t="shared" si="29"/>
        <v>137.28202495351934</v>
      </c>
      <c r="AM38" s="85">
        <f t="shared" si="29"/>
        <v>140.54247304616541</v>
      </c>
      <c r="AN38" s="85">
        <f t="shared" si="29"/>
        <v>143.88035678101184</v>
      </c>
      <c r="AO38" s="85">
        <f t="shared" si="29"/>
        <v>147.29751525456086</v>
      </c>
      <c r="AP38" s="85">
        <f t="shared" si="29"/>
        <v>150.79583124185666</v>
      </c>
      <c r="AQ38" s="85">
        <f t="shared" si="29"/>
        <v>154.37723223385075</v>
      </c>
      <c r="AR38" s="85">
        <f t="shared" si="29"/>
        <v>158.0436914994047</v>
      </c>
      <c r="AS38" s="85">
        <f t="shared" si="29"/>
        <v>161.79722917251556</v>
      </c>
      <c r="AT38" s="85">
        <f t="shared" si="29"/>
        <v>165.63991336536279</v>
      </c>
      <c r="AU38" s="85">
        <f t="shared" si="29"/>
        <v>169.57386130779014</v>
      </c>
      <c r="AV38" s="85">
        <f t="shared" si="29"/>
        <v>173.60124051385014</v>
      </c>
      <c r="AW38" s="85">
        <f t="shared" si="29"/>
        <v>177.72426997605407</v>
      </c>
      <c r="AX38" s="85">
        <f t="shared" si="29"/>
        <v>181.94522138798536</v>
      </c>
      <c r="AY38" s="85">
        <f t="shared" si="29"/>
        <v>186.26642039595001</v>
      </c>
      <c r="AZ38" s="85">
        <f t="shared" si="29"/>
        <v>190.69024788035381</v>
      </c>
      <c r="BA38" s="85">
        <f t="shared" si="29"/>
        <v>34.12755699325546</v>
      </c>
      <c r="BB38" s="85">
        <f t="shared" si="29"/>
        <v>34.938086471845274</v>
      </c>
      <c r="BC38" s="85">
        <f t="shared" si="29"/>
        <v>35.767866025551598</v>
      </c>
      <c r="BD38" s="85">
        <f t="shared" si="29"/>
        <v>36.617352843658445</v>
      </c>
      <c r="BE38" s="85">
        <f t="shared" ref="BE38:CP38" si="30">SUM(BE36:BE37)</f>
        <v>37.487014973695331</v>
      </c>
      <c r="BF38" s="85">
        <f t="shared" si="30"/>
        <v>38.37733157932059</v>
      </c>
      <c r="BG38" s="85">
        <f t="shared" si="30"/>
        <v>39.288793204329451</v>
      </c>
      <c r="BH38" s="85">
        <f t="shared" si="30"/>
        <v>40.221902042932271</v>
      </c>
      <c r="BI38" s="85">
        <f t="shared" si="30"/>
        <v>41.177172216451908</v>
      </c>
      <c r="BJ38" s="85">
        <f t="shared" si="30"/>
        <v>42.15513005659264</v>
      </c>
      <c r="BK38" s="85">
        <f t="shared" si="30"/>
        <v>43.156314395436709</v>
      </c>
      <c r="BL38" s="85">
        <f t="shared" si="30"/>
        <v>44.181276862328332</v>
      </c>
      <c r="BM38" s="85">
        <f t="shared" si="30"/>
        <v>45.230582187808629</v>
      </c>
      <c r="BN38" s="85">
        <f t="shared" si="30"/>
        <v>46.304808514769078</v>
      </c>
      <c r="BO38" s="85">
        <f t="shared" si="30"/>
        <v>47.404547716994841</v>
      </c>
      <c r="BP38" s="85">
        <f t="shared" si="30"/>
        <v>48.530405725273468</v>
      </c>
      <c r="BQ38" s="85">
        <f t="shared" si="30"/>
        <v>49.68300286124871</v>
      </c>
      <c r="BR38" s="85">
        <f t="shared" si="30"/>
        <v>50.862974179203363</v>
      </c>
      <c r="BS38" s="85">
        <f t="shared" si="30"/>
        <v>52.070969815959437</v>
      </c>
      <c r="BT38" s="85">
        <f t="shared" si="30"/>
        <v>0</v>
      </c>
      <c r="BU38" s="85">
        <f t="shared" si="30"/>
        <v>0</v>
      </c>
      <c r="BV38" s="85">
        <f t="shared" si="30"/>
        <v>0</v>
      </c>
      <c r="BW38" s="85">
        <f t="shared" si="30"/>
        <v>0</v>
      </c>
      <c r="BX38" s="85">
        <f t="shared" si="30"/>
        <v>0</v>
      </c>
      <c r="BY38" s="85">
        <f t="shared" si="30"/>
        <v>0</v>
      </c>
      <c r="BZ38" s="85">
        <f t="shared" si="30"/>
        <v>0</v>
      </c>
      <c r="CA38" s="85">
        <f t="shared" si="30"/>
        <v>0</v>
      </c>
      <c r="CB38" s="85">
        <f t="shared" si="30"/>
        <v>0</v>
      </c>
      <c r="CC38" s="85">
        <f t="shared" si="30"/>
        <v>0</v>
      </c>
      <c r="CD38" s="85">
        <f t="shared" si="30"/>
        <v>0</v>
      </c>
      <c r="CE38" s="85">
        <f t="shared" si="30"/>
        <v>0</v>
      </c>
      <c r="CF38" s="85">
        <f t="shared" si="30"/>
        <v>0</v>
      </c>
      <c r="CG38" s="85">
        <f t="shared" si="30"/>
        <v>0</v>
      </c>
      <c r="CH38" s="85">
        <f t="shared" si="30"/>
        <v>0</v>
      </c>
      <c r="CI38" s="85">
        <f t="shared" si="30"/>
        <v>0</v>
      </c>
      <c r="CJ38" s="85">
        <f t="shared" si="30"/>
        <v>0</v>
      </c>
      <c r="CK38" s="85">
        <f t="shared" si="30"/>
        <v>0</v>
      </c>
      <c r="CL38" s="85">
        <f t="shared" si="30"/>
        <v>0</v>
      </c>
      <c r="CM38" s="85">
        <f t="shared" si="30"/>
        <v>0</v>
      </c>
      <c r="CN38" s="85">
        <f t="shared" si="30"/>
        <v>0</v>
      </c>
      <c r="CO38" s="85">
        <f t="shared" si="30"/>
        <v>0</v>
      </c>
      <c r="CP38" s="85">
        <f t="shared" si="30"/>
        <v>0</v>
      </c>
      <c r="CQ38" s="23" t="s">
        <v>77</v>
      </c>
    </row>
    <row r="39" spans="1:95" s="98" customFormat="1" outlineLevel="1" x14ac:dyDescent="0.2">
      <c r="A39" s="8"/>
      <c r="B39" s="25" t="s">
        <v>300</v>
      </c>
      <c r="C39" s="24"/>
      <c r="K39" s="118">
        <f t="shared" ref="K39:BD39" si="31">SUM(K19)-SUM(K38)</f>
        <v>0</v>
      </c>
      <c r="L39" s="118">
        <f t="shared" si="31"/>
        <v>0</v>
      </c>
      <c r="M39" s="118">
        <f t="shared" si="31"/>
        <v>0</v>
      </c>
      <c r="N39" s="118">
        <f t="shared" si="31"/>
        <v>0</v>
      </c>
      <c r="O39" s="118">
        <f t="shared" si="31"/>
        <v>0</v>
      </c>
      <c r="P39" s="118">
        <f t="shared" si="31"/>
        <v>0</v>
      </c>
      <c r="Q39" s="118">
        <f t="shared" si="31"/>
        <v>0</v>
      </c>
      <c r="R39" s="118">
        <f t="shared" si="31"/>
        <v>0</v>
      </c>
      <c r="S39" s="118">
        <f t="shared" si="31"/>
        <v>0</v>
      </c>
      <c r="T39" s="118">
        <f t="shared" si="31"/>
        <v>0</v>
      </c>
      <c r="U39" s="118">
        <f t="shared" si="31"/>
        <v>0</v>
      </c>
      <c r="V39" s="118">
        <f t="shared" si="31"/>
        <v>3.1319441828571826E-2</v>
      </c>
      <c r="W39" s="118">
        <f t="shared" si="31"/>
        <v>4.3856209696429005E-2</v>
      </c>
      <c r="X39" s="118">
        <f t="shared" si="31"/>
        <v>0</v>
      </c>
      <c r="Y39" s="118">
        <f t="shared" si="31"/>
        <v>0</v>
      </c>
      <c r="Z39" s="118">
        <f t="shared" si="31"/>
        <v>0</v>
      </c>
      <c r="AA39" s="118">
        <f t="shared" si="31"/>
        <v>0</v>
      </c>
      <c r="AB39" s="118">
        <f t="shared" si="31"/>
        <v>0</v>
      </c>
      <c r="AC39" s="118">
        <f t="shared" si="31"/>
        <v>0</v>
      </c>
      <c r="AD39" s="118">
        <f t="shared" si="31"/>
        <v>0</v>
      </c>
      <c r="AE39" s="118">
        <f t="shared" si="31"/>
        <v>0</v>
      </c>
      <c r="AF39" s="118">
        <f t="shared" si="31"/>
        <v>0</v>
      </c>
      <c r="AG39" s="118">
        <f t="shared" si="31"/>
        <v>0</v>
      </c>
      <c r="AH39" s="118">
        <f t="shared" si="31"/>
        <v>0</v>
      </c>
      <c r="AI39" s="118">
        <f t="shared" si="31"/>
        <v>0</v>
      </c>
      <c r="AJ39" s="118">
        <f t="shared" si="31"/>
        <v>0</v>
      </c>
      <c r="AK39" s="118">
        <f t="shared" si="31"/>
        <v>0</v>
      </c>
      <c r="AL39" s="118">
        <f t="shared" si="31"/>
        <v>0</v>
      </c>
      <c r="AM39" s="118">
        <f t="shared" si="31"/>
        <v>0</v>
      </c>
      <c r="AN39" s="118">
        <f t="shared" si="31"/>
        <v>0</v>
      </c>
      <c r="AO39" s="118">
        <f t="shared" si="31"/>
        <v>0</v>
      </c>
      <c r="AP39" s="118">
        <f t="shared" si="31"/>
        <v>0</v>
      </c>
      <c r="AQ39" s="118">
        <f t="shared" si="31"/>
        <v>0</v>
      </c>
      <c r="AR39" s="118">
        <f t="shared" si="31"/>
        <v>0</v>
      </c>
      <c r="AS39" s="118">
        <f t="shared" si="31"/>
        <v>0</v>
      </c>
      <c r="AT39" s="118">
        <f t="shared" si="31"/>
        <v>0</v>
      </c>
      <c r="AU39" s="118">
        <f t="shared" si="31"/>
        <v>0</v>
      </c>
      <c r="AV39" s="118">
        <f t="shared" si="31"/>
        <v>0</v>
      </c>
      <c r="AW39" s="118">
        <f t="shared" si="31"/>
        <v>0</v>
      </c>
      <c r="AX39" s="118">
        <f t="shared" si="31"/>
        <v>0</v>
      </c>
      <c r="AY39" s="118">
        <f t="shared" si="31"/>
        <v>0</v>
      </c>
      <c r="AZ39" s="118">
        <f t="shared" si="31"/>
        <v>0</v>
      </c>
      <c r="BA39" s="118">
        <f t="shared" si="31"/>
        <v>0</v>
      </c>
      <c r="BB39" s="118">
        <f t="shared" si="31"/>
        <v>0</v>
      </c>
      <c r="BC39" s="118">
        <f t="shared" si="31"/>
        <v>0</v>
      </c>
      <c r="BD39" s="118">
        <f t="shared" si="31"/>
        <v>0</v>
      </c>
      <c r="BE39" s="118">
        <f t="shared" ref="BE39:CP39" si="32">SUM(BE19)-SUM(BE38)</f>
        <v>0</v>
      </c>
      <c r="BF39" s="118">
        <f t="shared" si="32"/>
        <v>0</v>
      </c>
      <c r="BG39" s="118">
        <f t="shared" si="32"/>
        <v>0</v>
      </c>
      <c r="BH39" s="118">
        <f t="shared" si="32"/>
        <v>0</v>
      </c>
      <c r="BI39" s="118">
        <f t="shared" si="32"/>
        <v>0</v>
      </c>
      <c r="BJ39" s="118">
        <f t="shared" si="32"/>
        <v>0</v>
      </c>
      <c r="BK39" s="118">
        <f t="shared" si="32"/>
        <v>0</v>
      </c>
      <c r="BL39" s="118">
        <f t="shared" si="32"/>
        <v>0</v>
      </c>
      <c r="BM39" s="118">
        <f t="shared" si="32"/>
        <v>0</v>
      </c>
      <c r="BN39" s="118">
        <f t="shared" si="32"/>
        <v>0</v>
      </c>
      <c r="BO39" s="118">
        <f t="shared" si="32"/>
        <v>0</v>
      </c>
      <c r="BP39" s="118">
        <f t="shared" si="32"/>
        <v>0</v>
      </c>
      <c r="BQ39" s="118">
        <f t="shared" si="32"/>
        <v>0</v>
      </c>
      <c r="BR39" s="118">
        <f t="shared" si="32"/>
        <v>0</v>
      </c>
      <c r="BS39" s="118">
        <f t="shared" si="32"/>
        <v>0</v>
      </c>
      <c r="BT39" s="118">
        <f t="shared" si="32"/>
        <v>0</v>
      </c>
      <c r="BU39" s="118">
        <f t="shared" si="32"/>
        <v>0</v>
      </c>
      <c r="BV39" s="118">
        <f t="shared" si="32"/>
        <v>0</v>
      </c>
      <c r="BW39" s="118">
        <f t="shared" si="32"/>
        <v>0</v>
      </c>
      <c r="BX39" s="118">
        <f t="shared" si="32"/>
        <v>0</v>
      </c>
      <c r="BY39" s="118">
        <f t="shared" si="32"/>
        <v>0</v>
      </c>
      <c r="BZ39" s="118">
        <f t="shared" si="32"/>
        <v>0</v>
      </c>
      <c r="CA39" s="118">
        <f t="shared" si="32"/>
        <v>0</v>
      </c>
      <c r="CB39" s="118">
        <f t="shared" si="32"/>
        <v>0</v>
      </c>
      <c r="CC39" s="118">
        <f t="shared" si="32"/>
        <v>0</v>
      </c>
      <c r="CD39" s="118">
        <f t="shared" si="32"/>
        <v>0</v>
      </c>
      <c r="CE39" s="118">
        <f t="shared" si="32"/>
        <v>0</v>
      </c>
      <c r="CF39" s="118">
        <f t="shared" si="32"/>
        <v>0</v>
      </c>
      <c r="CG39" s="118">
        <f t="shared" si="32"/>
        <v>0</v>
      </c>
      <c r="CH39" s="118">
        <f t="shared" si="32"/>
        <v>0</v>
      </c>
      <c r="CI39" s="118">
        <f t="shared" si="32"/>
        <v>0</v>
      </c>
      <c r="CJ39" s="118">
        <f t="shared" si="32"/>
        <v>0</v>
      </c>
      <c r="CK39" s="118">
        <f t="shared" si="32"/>
        <v>0</v>
      </c>
      <c r="CL39" s="118">
        <f t="shared" si="32"/>
        <v>0</v>
      </c>
      <c r="CM39" s="118">
        <f t="shared" si="32"/>
        <v>0</v>
      </c>
      <c r="CN39" s="118">
        <f t="shared" si="32"/>
        <v>0</v>
      </c>
      <c r="CO39" s="118">
        <f t="shared" si="32"/>
        <v>0</v>
      </c>
      <c r="CP39" s="118">
        <f t="shared" si="32"/>
        <v>0</v>
      </c>
      <c r="CQ39" s="23" t="s">
        <v>77</v>
      </c>
    </row>
    <row r="40" spans="1:95" outlineLevel="1" x14ac:dyDescent="0.2">
      <c r="B40" s="24"/>
      <c r="CQ40" s="23" t="s">
        <v>77</v>
      </c>
    </row>
    <row r="41" spans="1:95" outlineLevel="1" x14ac:dyDescent="0.2">
      <c r="B41" s="358" t="s">
        <v>588</v>
      </c>
      <c r="D41" s="218"/>
      <c r="E41" s="218"/>
      <c r="F41" s="218"/>
      <c r="G41" s="218"/>
      <c r="H41" s="218"/>
      <c r="I41" s="218"/>
      <c r="J41" s="218"/>
      <c r="K41" s="66"/>
      <c r="L41" s="66"/>
      <c r="M41" s="66"/>
      <c r="N41" s="248"/>
      <c r="O41" s="248"/>
      <c r="P41" s="248"/>
      <c r="Q41" s="248"/>
      <c r="R41" s="248"/>
      <c r="S41" s="248"/>
      <c r="T41" s="248"/>
      <c r="U41" s="248"/>
      <c r="V41" s="248"/>
      <c r="W41" s="248"/>
      <c r="X41" s="248"/>
      <c r="Y41" s="66"/>
      <c r="Z41" s="66"/>
      <c r="AA41" s="66"/>
      <c r="AB41" s="66"/>
      <c r="AC41" s="66"/>
      <c r="AD41" s="66"/>
      <c r="AE41" s="66"/>
      <c r="AF41" s="66"/>
      <c r="AG41" s="66"/>
      <c r="AH41" s="66"/>
      <c r="AI41" s="66"/>
      <c r="AJ41" s="66"/>
      <c r="AK41" s="66"/>
      <c r="AL41" s="66"/>
      <c r="AM41" s="66"/>
      <c r="AN41" s="66"/>
      <c r="AO41" s="66"/>
      <c r="AP41" s="66"/>
      <c r="AQ41" s="66"/>
      <c r="AR41" s="66"/>
      <c r="AS41" s="66"/>
      <c r="AT41" s="66"/>
      <c r="AU41" s="66"/>
      <c r="AV41" s="66"/>
      <c r="AW41" s="66"/>
      <c r="AX41" s="66"/>
      <c r="AY41" s="66"/>
      <c r="AZ41" s="66"/>
      <c r="BA41" s="66"/>
      <c r="BB41" s="66"/>
      <c r="BC41" s="66"/>
      <c r="BD41" s="66"/>
      <c r="BE41" s="66"/>
      <c r="BF41" s="66"/>
      <c r="BG41" s="66"/>
      <c r="BH41" s="66"/>
      <c r="BI41" s="66"/>
      <c r="BJ41" s="66"/>
      <c r="BK41" s="66"/>
      <c r="BL41" s="66"/>
      <c r="BM41" s="66"/>
      <c r="BN41" s="66"/>
      <c r="BO41" s="66"/>
      <c r="BP41" s="66"/>
      <c r="BQ41" s="66"/>
      <c r="BR41" s="66"/>
      <c r="BS41" s="66"/>
      <c r="BT41" s="66"/>
      <c r="BU41" s="66"/>
      <c r="BV41" s="66"/>
      <c r="BW41" s="66"/>
      <c r="BX41" s="66"/>
      <c r="BY41" s="66"/>
      <c r="BZ41" s="66"/>
      <c r="CA41" s="66"/>
      <c r="CB41" s="66"/>
      <c r="CC41" s="66"/>
      <c r="CD41" s="66"/>
      <c r="CE41" s="66"/>
      <c r="CF41" s="66"/>
      <c r="CG41" s="66"/>
      <c r="CH41" s="66"/>
      <c r="CI41" s="66"/>
      <c r="CJ41" s="66"/>
      <c r="CK41" s="66"/>
      <c r="CL41" s="66"/>
      <c r="CM41" s="66"/>
      <c r="CN41" s="66"/>
      <c r="CO41" s="66"/>
      <c r="CP41" s="66"/>
      <c r="CQ41" s="23" t="s">
        <v>77</v>
      </c>
    </row>
    <row r="42" spans="1:95" outlineLevel="1" x14ac:dyDescent="0.2">
      <c r="B42" s="8" t="s">
        <v>332</v>
      </c>
      <c r="D42" s="535"/>
      <c r="E42" s="535"/>
      <c r="S42" s="9">
        <f t="shared" ref="S42:W43" si="33">S47-S36</f>
        <v>-26.661999999999992</v>
      </c>
      <c r="T42" s="9">
        <f t="shared" si="33"/>
        <v>-17.984999999999999</v>
      </c>
      <c r="U42" s="9">
        <f t="shared" si="33"/>
        <v>-17.189999999999984</v>
      </c>
      <c r="V42" s="9">
        <f t="shared" si="33"/>
        <v>-21.284042928571409</v>
      </c>
      <c r="W42" s="9">
        <f t="shared" si="33"/>
        <v>-21.867625324394467</v>
      </c>
      <c r="X42" s="157">
        <f>IF(X32&lt;&gt;2,W42*(1+X$7),)</f>
        <v>-22.414315957504328</v>
      </c>
      <c r="Y42" s="157">
        <f>IF(Y32&lt;&gt;2,X42*(1+Y$7),)</f>
        <v>-22.974673856441935</v>
      </c>
      <c r="Z42" s="157">
        <f>IF(Z32&lt;&gt;2,Y42*(1+Z$7),)</f>
        <v>-23.549040702852981</v>
      </c>
      <c r="AA42" s="157">
        <f>IF(AA32&lt;&gt;2,Z42*(1+AA$7),)</f>
        <v>-24.137766720424302</v>
      </c>
      <c r="AB42" s="157">
        <f t="shared" ref="AB42:BD42" si="34">IF(AB32&lt;&gt;2,AA42*(1+AB$7),)</f>
        <v>-24.741210888434907</v>
      </c>
      <c r="AC42" s="157">
        <f t="shared" si="34"/>
        <v>-25.359741160645775</v>
      </c>
      <c r="AD42" s="157">
        <f t="shared" si="34"/>
        <v>-25.993734689661917</v>
      </c>
      <c r="AE42" s="157">
        <f t="shared" si="34"/>
        <v>-26.643578056903461</v>
      </c>
      <c r="AF42" s="157">
        <f t="shared" si="34"/>
        <v>-27.309667508326047</v>
      </c>
      <c r="AG42" s="157">
        <f t="shared" si="34"/>
        <v>-27.992409196034195</v>
      </c>
      <c r="AH42" s="157">
        <f t="shared" si="34"/>
        <v>-28.692219425935047</v>
      </c>
      <c r="AI42" s="157">
        <f t="shared" si="34"/>
        <v>-29.409524911583421</v>
      </c>
      <c r="AJ42" s="157">
        <f t="shared" si="34"/>
        <v>-30.144763034373003</v>
      </c>
      <c r="AK42" s="157">
        <f t="shared" si="34"/>
        <v>-30.898382110232326</v>
      </c>
      <c r="AL42" s="157">
        <f t="shared" si="34"/>
        <v>-31.670841662988131</v>
      </c>
      <c r="AM42" s="157">
        <f t="shared" si="34"/>
        <v>-32.462612704562829</v>
      </c>
      <c r="AN42" s="157">
        <f t="shared" si="34"/>
        <v>-33.274178022176898</v>
      </c>
      <c r="AO42" s="157">
        <f t="shared" si="34"/>
        <v>-34.106032472731314</v>
      </c>
      <c r="AP42" s="157">
        <f t="shared" si="34"/>
        <v>-34.958683284549593</v>
      </c>
      <c r="AQ42" s="157">
        <f t="shared" si="34"/>
        <v>-35.83265036666333</v>
      </c>
      <c r="AR42" s="157">
        <f t="shared" si="34"/>
        <v>-36.72846662582991</v>
      </c>
      <c r="AS42" s="157">
        <f t="shared" si="34"/>
        <v>-37.646678291475652</v>
      </c>
      <c r="AT42" s="157">
        <f t="shared" si="34"/>
        <v>-38.587845248762541</v>
      </c>
      <c r="AU42" s="157">
        <f t="shared" si="34"/>
        <v>-39.552541379981598</v>
      </c>
      <c r="AV42" s="157">
        <f t="shared" si="34"/>
        <v>-40.541354914481133</v>
      </c>
      <c r="AW42" s="157">
        <f t="shared" si="34"/>
        <v>-41.55488878734316</v>
      </c>
      <c r="AX42" s="157">
        <f t="shared" si="34"/>
        <v>-42.593761007026735</v>
      </c>
      <c r="AY42" s="157">
        <f t="shared" si="34"/>
        <v>-43.658605032202402</v>
      </c>
      <c r="AZ42" s="157">
        <f t="shared" si="34"/>
        <v>-44.75007015800746</v>
      </c>
      <c r="BA42" s="157">
        <f t="shared" si="34"/>
        <v>0</v>
      </c>
      <c r="BB42" s="157">
        <f t="shared" si="34"/>
        <v>0</v>
      </c>
      <c r="BC42" s="157">
        <f t="shared" si="34"/>
        <v>0</v>
      </c>
      <c r="BD42" s="157">
        <f t="shared" si="34"/>
        <v>0</v>
      </c>
      <c r="BE42" s="157">
        <f t="shared" ref="BE42:CP42" si="35">IF(BE32&lt;&gt;2,BD42*(1+BE$7),)</f>
        <v>0</v>
      </c>
      <c r="BF42" s="157">
        <f t="shared" si="35"/>
        <v>0</v>
      </c>
      <c r="BG42" s="157">
        <f t="shared" si="35"/>
        <v>0</v>
      </c>
      <c r="BH42" s="157">
        <f t="shared" si="35"/>
        <v>0</v>
      </c>
      <c r="BI42" s="157">
        <f t="shared" si="35"/>
        <v>0</v>
      </c>
      <c r="BJ42" s="157">
        <f t="shared" si="35"/>
        <v>0</v>
      </c>
      <c r="BK42" s="157">
        <f t="shared" si="35"/>
        <v>0</v>
      </c>
      <c r="BL42" s="157">
        <f t="shared" si="35"/>
        <v>0</v>
      </c>
      <c r="BM42" s="157">
        <f t="shared" si="35"/>
        <v>0</v>
      </c>
      <c r="BN42" s="157">
        <f t="shared" si="35"/>
        <v>0</v>
      </c>
      <c r="BO42" s="157">
        <f t="shared" si="35"/>
        <v>0</v>
      </c>
      <c r="BP42" s="157">
        <f t="shared" si="35"/>
        <v>0</v>
      </c>
      <c r="BQ42" s="157">
        <f t="shared" si="35"/>
        <v>0</v>
      </c>
      <c r="BR42" s="157">
        <f t="shared" si="35"/>
        <v>0</v>
      </c>
      <c r="BS42" s="157">
        <f t="shared" si="35"/>
        <v>0</v>
      </c>
      <c r="BT42" s="157">
        <f t="shared" si="35"/>
        <v>0</v>
      </c>
      <c r="BU42" s="157">
        <f t="shared" si="35"/>
        <v>0</v>
      </c>
      <c r="BV42" s="157">
        <f t="shared" si="35"/>
        <v>0</v>
      </c>
      <c r="BW42" s="157">
        <f t="shared" si="35"/>
        <v>0</v>
      </c>
      <c r="BX42" s="157">
        <f t="shared" si="35"/>
        <v>0</v>
      </c>
      <c r="BY42" s="157">
        <f t="shared" si="35"/>
        <v>0</v>
      </c>
      <c r="BZ42" s="157">
        <f t="shared" si="35"/>
        <v>0</v>
      </c>
      <c r="CA42" s="157">
        <f t="shared" si="35"/>
        <v>0</v>
      </c>
      <c r="CB42" s="157">
        <f t="shared" si="35"/>
        <v>0</v>
      </c>
      <c r="CC42" s="157">
        <f t="shared" si="35"/>
        <v>0</v>
      </c>
      <c r="CD42" s="157">
        <f t="shared" si="35"/>
        <v>0</v>
      </c>
      <c r="CE42" s="157">
        <f t="shared" si="35"/>
        <v>0</v>
      </c>
      <c r="CF42" s="157">
        <f t="shared" si="35"/>
        <v>0</v>
      </c>
      <c r="CG42" s="157">
        <f t="shared" si="35"/>
        <v>0</v>
      </c>
      <c r="CH42" s="157">
        <f t="shared" si="35"/>
        <v>0</v>
      </c>
      <c r="CI42" s="157">
        <f t="shared" si="35"/>
        <v>0</v>
      </c>
      <c r="CJ42" s="157">
        <f t="shared" si="35"/>
        <v>0</v>
      </c>
      <c r="CK42" s="157">
        <f t="shared" si="35"/>
        <v>0</v>
      </c>
      <c r="CL42" s="157">
        <f t="shared" si="35"/>
        <v>0</v>
      </c>
      <c r="CM42" s="157">
        <f t="shared" si="35"/>
        <v>0</v>
      </c>
      <c r="CN42" s="157">
        <f t="shared" si="35"/>
        <v>0</v>
      </c>
      <c r="CO42" s="157">
        <f t="shared" si="35"/>
        <v>0</v>
      </c>
      <c r="CP42" s="157">
        <f t="shared" si="35"/>
        <v>0</v>
      </c>
      <c r="CQ42" s="23" t="s">
        <v>77</v>
      </c>
    </row>
    <row r="43" spans="1:95" outlineLevel="1" x14ac:dyDescent="0.2">
      <c r="B43" s="12" t="s">
        <v>544</v>
      </c>
      <c r="D43" s="619"/>
      <c r="E43" s="619"/>
      <c r="S43" s="9">
        <f t="shared" si="33"/>
        <v>0</v>
      </c>
      <c r="T43" s="9">
        <f t="shared" si="33"/>
        <v>0</v>
      </c>
      <c r="U43" s="9">
        <f t="shared" si="33"/>
        <v>0</v>
      </c>
      <c r="V43" s="9">
        <f t="shared" si="33"/>
        <v>-0.40263762960000049</v>
      </c>
      <c r="W43" s="9">
        <f t="shared" si="33"/>
        <v>-4.6045184659090914</v>
      </c>
      <c r="X43" s="157">
        <f t="shared" ref="X43:BD43" si="36">IF(X33&lt;&gt;2,W43*(1+X$7),)</f>
        <v>-4.7196314275568181</v>
      </c>
      <c r="Y43" s="157">
        <f t="shared" si="36"/>
        <v>-4.837622213245738</v>
      </c>
      <c r="Z43" s="157">
        <f t="shared" si="36"/>
        <v>-4.9585627685768809</v>
      </c>
      <c r="AA43" s="157">
        <f t="shared" si="36"/>
        <v>-5.0825268377913027</v>
      </c>
      <c r="AB43" s="157">
        <f t="shared" si="36"/>
        <v>-5.2095900087360851</v>
      </c>
      <c r="AC43" s="157">
        <f t="shared" si="36"/>
        <v>-5.3398297589544867</v>
      </c>
      <c r="AD43" s="157">
        <f t="shared" si="36"/>
        <v>-5.4733255029283487</v>
      </c>
      <c r="AE43" s="157">
        <f t="shared" si="36"/>
        <v>-5.6101586405015569</v>
      </c>
      <c r="AF43" s="157">
        <f t="shared" si="36"/>
        <v>-5.7504126065140957</v>
      </c>
      <c r="AG43" s="157">
        <f t="shared" si="36"/>
        <v>-5.8941729216769474</v>
      </c>
      <c r="AH43" s="157">
        <f t="shared" si="36"/>
        <v>-6.0415272447188704</v>
      </c>
      <c r="AI43" s="157">
        <f t="shared" si="36"/>
        <v>-6.1925654258368414</v>
      </c>
      <c r="AJ43" s="157">
        <f t="shared" si="36"/>
        <v>-6.3473795614827617</v>
      </c>
      <c r="AK43" s="157">
        <f t="shared" si="36"/>
        <v>-6.5060640505198304</v>
      </c>
      <c r="AL43" s="157">
        <f t="shared" si="36"/>
        <v>-6.6687156517828257</v>
      </c>
      <c r="AM43" s="157">
        <f t="shared" si="36"/>
        <v>-6.8354335430773956</v>
      </c>
      <c r="AN43" s="157">
        <f t="shared" si="36"/>
        <v>-7.0063193816543299</v>
      </c>
      <c r="AO43" s="157">
        <f t="shared" si="36"/>
        <v>-7.1814773661956872</v>
      </c>
      <c r="AP43" s="157">
        <f t="shared" si="36"/>
        <v>-7.361014300350579</v>
      </c>
      <c r="AQ43" s="157">
        <f t="shared" si="36"/>
        <v>-7.5450396578593431</v>
      </c>
      <c r="AR43" s="157">
        <f t="shared" si="36"/>
        <v>-7.7336656493058262</v>
      </c>
      <c r="AS43" s="157">
        <f t="shared" si="36"/>
        <v>-7.9270072905384712</v>
      </c>
      <c r="AT43" s="157">
        <f t="shared" si="36"/>
        <v>-8.1251824728019315</v>
      </c>
      <c r="AU43" s="157">
        <f t="shared" si="36"/>
        <v>-8.3283120346219786</v>
      </c>
      <c r="AV43" s="157">
        <f t="shared" si="36"/>
        <v>-8.5365198354875265</v>
      </c>
      <c r="AW43" s="157">
        <f t="shared" si="36"/>
        <v>-8.7499328313747142</v>
      </c>
      <c r="AX43" s="157">
        <f t="shared" si="36"/>
        <v>-8.9686811521590819</v>
      </c>
      <c r="AY43" s="157">
        <f t="shared" si="36"/>
        <v>-9.1928981809630574</v>
      </c>
      <c r="AZ43" s="157">
        <f t="shared" si="36"/>
        <v>-9.4227206354871331</v>
      </c>
      <c r="BA43" s="157">
        <f t="shared" si="36"/>
        <v>-9.6582886513743098</v>
      </c>
      <c r="BB43" s="157">
        <f t="shared" si="36"/>
        <v>-9.899745867658666</v>
      </c>
      <c r="BC43" s="157">
        <f t="shared" si="36"/>
        <v>-10.147239514350131</v>
      </c>
      <c r="BD43" s="157">
        <f t="shared" si="36"/>
        <v>-10.400920502208884</v>
      </c>
      <c r="BE43" s="157">
        <f t="shared" ref="BE43:CP43" si="37">IF(BE33&lt;&gt;2,BD43*(1+BE$7),)</f>
        <v>-10.660943514764105</v>
      </c>
      <c r="BF43" s="157">
        <f t="shared" si="37"/>
        <v>-10.927467102633207</v>
      </c>
      <c r="BG43" s="157">
        <f t="shared" si="37"/>
        <v>-11.200653780199037</v>
      </c>
      <c r="BH43" s="157">
        <f t="shared" si="37"/>
        <v>-11.480670124704012</v>
      </c>
      <c r="BI43" s="157">
        <f t="shared" si="37"/>
        <v>-11.767686877821612</v>
      </c>
      <c r="BJ43" s="157">
        <f t="shared" si="37"/>
        <v>-12.061879049767152</v>
      </c>
      <c r="BK43" s="157">
        <f t="shared" si="37"/>
        <v>-12.363426026011329</v>
      </c>
      <c r="BL43" s="157">
        <f t="shared" si="37"/>
        <v>-12.67251167666161</v>
      </c>
      <c r="BM43" s="157">
        <f t="shared" si="37"/>
        <v>-12.98932446857815</v>
      </c>
      <c r="BN43" s="157">
        <f t="shared" si="37"/>
        <v>-13.314057580292603</v>
      </c>
      <c r="BO43" s="157">
        <f t="shared" si="37"/>
        <v>-13.646909019799917</v>
      </c>
      <c r="BP43" s="157">
        <f t="shared" si="37"/>
        <v>-13.988081745294913</v>
      </c>
      <c r="BQ43" s="157">
        <f t="shared" si="37"/>
        <v>-14.337783788927284</v>
      </c>
      <c r="BR43" s="157">
        <f t="shared" si="37"/>
        <v>-14.696228383650466</v>
      </c>
      <c r="BS43" s="157">
        <f t="shared" si="37"/>
        <v>-15.063634093241726</v>
      </c>
      <c r="BT43" s="157">
        <f t="shared" si="37"/>
        <v>0</v>
      </c>
      <c r="BU43" s="157">
        <f t="shared" si="37"/>
        <v>0</v>
      </c>
      <c r="BV43" s="157">
        <f t="shared" si="37"/>
        <v>0</v>
      </c>
      <c r="BW43" s="157">
        <f t="shared" si="37"/>
        <v>0</v>
      </c>
      <c r="BX43" s="157">
        <f t="shared" si="37"/>
        <v>0</v>
      </c>
      <c r="BY43" s="157">
        <f t="shared" si="37"/>
        <v>0</v>
      </c>
      <c r="BZ43" s="157">
        <f t="shared" si="37"/>
        <v>0</v>
      </c>
      <c r="CA43" s="157">
        <f t="shared" si="37"/>
        <v>0</v>
      </c>
      <c r="CB43" s="157">
        <f t="shared" si="37"/>
        <v>0</v>
      </c>
      <c r="CC43" s="157">
        <f t="shared" si="37"/>
        <v>0</v>
      </c>
      <c r="CD43" s="157">
        <f t="shared" si="37"/>
        <v>0</v>
      </c>
      <c r="CE43" s="157">
        <f t="shared" si="37"/>
        <v>0</v>
      </c>
      <c r="CF43" s="157">
        <f t="shared" si="37"/>
        <v>0</v>
      </c>
      <c r="CG43" s="157">
        <f t="shared" si="37"/>
        <v>0</v>
      </c>
      <c r="CH43" s="157">
        <f t="shared" si="37"/>
        <v>0</v>
      </c>
      <c r="CI43" s="157">
        <f t="shared" si="37"/>
        <v>0</v>
      </c>
      <c r="CJ43" s="157">
        <f t="shared" si="37"/>
        <v>0</v>
      </c>
      <c r="CK43" s="157">
        <f t="shared" si="37"/>
        <v>0</v>
      </c>
      <c r="CL43" s="157">
        <f t="shared" si="37"/>
        <v>0</v>
      </c>
      <c r="CM43" s="157">
        <f t="shared" si="37"/>
        <v>0</v>
      </c>
      <c r="CN43" s="157">
        <f t="shared" si="37"/>
        <v>0</v>
      </c>
      <c r="CO43" s="157">
        <f t="shared" si="37"/>
        <v>0</v>
      </c>
      <c r="CP43" s="157">
        <f t="shared" si="37"/>
        <v>0</v>
      </c>
      <c r="CQ43" s="23" t="s">
        <v>77</v>
      </c>
    </row>
    <row r="44" spans="1:95" outlineLevel="1" x14ac:dyDescent="0.2">
      <c r="B44" s="485" t="s">
        <v>299</v>
      </c>
      <c r="D44" s="485"/>
      <c r="E44" s="485"/>
      <c r="F44" s="485"/>
      <c r="G44" s="485"/>
      <c r="H44" s="485"/>
      <c r="I44" s="485"/>
      <c r="J44" s="485"/>
      <c r="K44" s="85"/>
      <c r="L44" s="85"/>
      <c r="M44" s="85"/>
      <c r="N44" s="85"/>
      <c r="O44" s="85"/>
      <c r="P44" s="85"/>
      <c r="Q44" s="85"/>
      <c r="R44" s="85"/>
      <c r="S44" s="85">
        <f t="shared" ref="S44:BC44" si="38">S42+S43</f>
        <v>-26.661999999999992</v>
      </c>
      <c r="T44" s="85">
        <f t="shared" si="38"/>
        <v>-17.984999999999999</v>
      </c>
      <c r="U44" s="85">
        <f t="shared" si="38"/>
        <v>-17.189999999999984</v>
      </c>
      <c r="V44" s="85">
        <f t="shared" si="38"/>
        <v>-21.68668055817141</v>
      </c>
      <c r="W44" s="85">
        <f t="shared" si="38"/>
        <v>-26.472143790303559</v>
      </c>
      <c r="X44" s="85">
        <f t="shared" si="38"/>
        <v>-27.133947385061148</v>
      </c>
      <c r="Y44" s="85">
        <f t="shared" si="38"/>
        <v>-27.812296069687672</v>
      </c>
      <c r="Z44" s="85">
        <f t="shared" si="38"/>
        <v>-28.50760347142986</v>
      </c>
      <c r="AA44" s="85">
        <f t="shared" si="38"/>
        <v>-29.220293558215605</v>
      </c>
      <c r="AB44" s="85">
        <f t="shared" si="38"/>
        <v>-29.950800897170993</v>
      </c>
      <c r="AC44" s="85">
        <f t="shared" si="38"/>
        <v>-30.699570919600262</v>
      </c>
      <c r="AD44" s="85">
        <f t="shared" si="38"/>
        <v>-31.467060192590267</v>
      </c>
      <c r="AE44" s="85">
        <f t="shared" si="38"/>
        <v>-32.253736697405017</v>
      </c>
      <c r="AF44" s="85">
        <f t="shared" si="38"/>
        <v>-33.06008011484014</v>
      </c>
      <c r="AG44" s="85">
        <f t="shared" si="38"/>
        <v>-33.886582117711143</v>
      </c>
      <c r="AH44" s="85">
        <f t="shared" si="38"/>
        <v>-34.733746670653915</v>
      </c>
      <c r="AI44" s="85">
        <f t="shared" si="38"/>
        <v>-35.602090337420265</v>
      </c>
      <c r="AJ44" s="85">
        <f t="shared" si="38"/>
        <v>-36.492142595855768</v>
      </c>
      <c r="AK44" s="85">
        <f t="shared" si="38"/>
        <v>-37.404446160752158</v>
      </c>
      <c r="AL44" s="85">
        <f t="shared" si="38"/>
        <v>-38.339557314770957</v>
      </c>
      <c r="AM44" s="85">
        <f t="shared" si="38"/>
        <v>-39.298046247640222</v>
      </c>
      <c r="AN44" s="85">
        <f t="shared" si="38"/>
        <v>-40.280497403831227</v>
      </c>
      <c r="AO44" s="85">
        <f t="shared" si="38"/>
        <v>-41.287509838927001</v>
      </c>
      <c r="AP44" s="85">
        <f t="shared" si="38"/>
        <v>-42.319697584900169</v>
      </c>
      <c r="AQ44" s="85">
        <f t="shared" si="38"/>
        <v>-43.377690024522671</v>
      </c>
      <c r="AR44" s="85">
        <f t="shared" si="38"/>
        <v>-44.462132275135737</v>
      </c>
      <c r="AS44" s="85">
        <f t="shared" si="38"/>
        <v>-45.573685582014122</v>
      </c>
      <c r="AT44" s="85">
        <f t="shared" si="38"/>
        <v>-46.713027721564472</v>
      </c>
      <c r="AU44" s="85">
        <f t="shared" si="38"/>
        <v>-47.880853414603578</v>
      </c>
      <c r="AV44" s="85">
        <f t="shared" si="38"/>
        <v>-49.077874749968657</v>
      </c>
      <c r="AW44" s="85">
        <f t="shared" si="38"/>
        <v>-50.304821618717874</v>
      </c>
      <c r="AX44" s="85">
        <f t="shared" si="38"/>
        <v>-51.562442159185821</v>
      </c>
      <c r="AY44" s="85">
        <f t="shared" si="38"/>
        <v>-52.851503213165458</v>
      </c>
      <c r="AZ44" s="85">
        <f t="shared" si="38"/>
        <v>-54.172790793494592</v>
      </c>
      <c r="BA44" s="85">
        <f t="shared" si="38"/>
        <v>-9.6582886513743098</v>
      </c>
      <c r="BB44" s="85">
        <f t="shared" si="38"/>
        <v>-9.899745867658666</v>
      </c>
      <c r="BC44" s="85">
        <f t="shared" si="38"/>
        <v>-10.147239514350131</v>
      </c>
      <c r="BD44" s="85">
        <f>BD42+BD43</f>
        <v>-10.400920502208884</v>
      </c>
      <c r="BE44" s="85">
        <f t="shared" ref="BE44:CP44" si="39">BE42+BE43</f>
        <v>-10.660943514764105</v>
      </c>
      <c r="BF44" s="85">
        <f t="shared" si="39"/>
        <v>-10.927467102633207</v>
      </c>
      <c r="BG44" s="85">
        <f t="shared" si="39"/>
        <v>-11.200653780199037</v>
      </c>
      <c r="BH44" s="85">
        <f t="shared" si="39"/>
        <v>-11.480670124704012</v>
      </c>
      <c r="BI44" s="85">
        <f t="shared" si="39"/>
        <v>-11.767686877821612</v>
      </c>
      <c r="BJ44" s="85">
        <f t="shared" si="39"/>
        <v>-12.061879049767152</v>
      </c>
      <c r="BK44" s="85">
        <f t="shared" si="39"/>
        <v>-12.363426026011329</v>
      </c>
      <c r="BL44" s="85">
        <f t="shared" si="39"/>
        <v>-12.67251167666161</v>
      </c>
      <c r="BM44" s="85">
        <f t="shared" si="39"/>
        <v>-12.98932446857815</v>
      </c>
      <c r="BN44" s="85">
        <f t="shared" si="39"/>
        <v>-13.314057580292603</v>
      </c>
      <c r="BO44" s="85">
        <f t="shared" si="39"/>
        <v>-13.646909019799917</v>
      </c>
      <c r="BP44" s="85">
        <f t="shared" si="39"/>
        <v>-13.988081745294913</v>
      </c>
      <c r="BQ44" s="85">
        <f t="shared" si="39"/>
        <v>-14.337783788927284</v>
      </c>
      <c r="BR44" s="85">
        <f t="shared" si="39"/>
        <v>-14.696228383650466</v>
      </c>
      <c r="BS44" s="85">
        <f t="shared" si="39"/>
        <v>-15.063634093241726</v>
      </c>
      <c r="BT44" s="85">
        <f t="shared" si="39"/>
        <v>0</v>
      </c>
      <c r="BU44" s="85">
        <f t="shared" si="39"/>
        <v>0</v>
      </c>
      <c r="BV44" s="85">
        <f t="shared" si="39"/>
        <v>0</v>
      </c>
      <c r="BW44" s="85">
        <f t="shared" si="39"/>
        <v>0</v>
      </c>
      <c r="BX44" s="85">
        <f t="shared" si="39"/>
        <v>0</v>
      </c>
      <c r="BY44" s="85">
        <f t="shared" si="39"/>
        <v>0</v>
      </c>
      <c r="BZ44" s="85">
        <f t="shared" si="39"/>
        <v>0</v>
      </c>
      <c r="CA44" s="85">
        <f t="shared" si="39"/>
        <v>0</v>
      </c>
      <c r="CB44" s="85">
        <f t="shared" si="39"/>
        <v>0</v>
      </c>
      <c r="CC44" s="85">
        <f t="shared" si="39"/>
        <v>0</v>
      </c>
      <c r="CD44" s="85">
        <f t="shared" si="39"/>
        <v>0</v>
      </c>
      <c r="CE44" s="85">
        <f t="shared" si="39"/>
        <v>0</v>
      </c>
      <c r="CF44" s="85">
        <f t="shared" si="39"/>
        <v>0</v>
      </c>
      <c r="CG44" s="85">
        <f t="shared" si="39"/>
        <v>0</v>
      </c>
      <c r="CH44" s="85">
        <f t="shared" si="39"/>
        <v>0</v>
      </c>
      <c r="CI44" s="85">
        <f t="shared" si="39"/>
        <v>0</v>
      </c>
      <c r="CJ44" s="85">
        <f t="shared" si="39"/>
        <v>0</v>
      </c>
      <c r="CK44" s="85">
        <f t="shared" si="39"/>
        <v>0</v>
      </c>
      <c r="CL44" s="85">
        <f t="shared" si="39"/>
        <v>0</v>
      </c>
      <c r="CM44" s="85">
        <f t="shared" si="39"/>
        <v>0</v>
      </c>
      <c r="CN44" s="85">
        <f t="shared" si="39"/>
        <v>0</v>
      </c>
      <c r="CO44" s="85">
        <f t="shared" si="39"/>
        <v>0</v>
      </c>
      <c r="CP44" s="85">
        <f t="shared" si="39"/>
        <v>0</v>
      </c>
      <c r="CQ44" s="23" t="s">
        <v>77</v>
      </c>
    </row>
    <row r="45" spans="1:95" s="98" customFormat="1" outlineLevel="1" x14ac:dyDescent="0.2">
      <c r="A45" s="8"/>
      <c r="B45" s="25"/>
      <c r="C45" s="24"/>
      <c r="K45" s="118"/>
      <c r="L45" s="118"/>
      <c r="M45" s="118"/>
      <c r="N45" s="118"/>
      <c r="O45" s="118"/>
      <c r="P45" s="118"/>
      <c r="Q45" s="118"/>
      <c r="R45" s="118"/>
      <c r="S45" s="118"/>
      <c r="T45" s="118"/>
      <c r="U45" s="118"/>
      <c r="V45" s="118"/>
      <c r="W45" s="118"/>
      <c r="X45" s="118"/>
      <c r="Y45" s="118"/>
      <c r="Z45" s="118"/>
      <c r="AA45" s="118"/>
      <c r="AB45" s="118"/>
      <c r="AC45" s="118"/>
      <c r="AD45" s="118"/>
      <c r="AE45" s="118"/>
      <c r="AF45" s="118"/>
      <c r="AG45" s="118"/>
      <c r="AH45" s="118"/>
      <c r="AI45" s="118"/>
      <c r="AJ45" s="118"/>
      <c r="AK45" s="118"/>
      <c r="AL45" s="118"/>
      <c r="AM45" s="118"/>
      <c r="AN45" s="118"/>
      <c r="AO45" s="118"/>
      <c r="AP45" s="118"/>
      <c r="AQ45" s="118"/>
      <c r="AR45" s="118"/>
      <c r="AS45" s="118"/>
      <c r="AT45" s="118"/>
      <c r="AU45" s="118"/>
      <c r="AV45" s="118"/>
      <c r="AW45" s="118"/>
      <c r="AX45" s="118"/>
      <c r="AY45" s="118"/>
      <c r="AZ45" s="118"/>
      <c r="BA45" s="118"/>
      <c r="BB45" s="118"/>
      <c r="BC45" s="118"/>
      <c r="BD45" s="118"/>
      <c r="BE45" s="118"/>
      <c r="BF45" s="118"/>
      <c r="BG45" s="118"/>
      <c r="BH45" s="118"/>
      <c r="BI45" s="118"/>
      <c r="BJ45" s="118"/>
      <c r="BK45" s="118"/>
      <c r="BL45" s="118"/>
      <c r="BM45" s="118"/>
      <c r="BN45" s="118"/>
      <c r="BO45" s="118"/>
      <c r="BP45" s="118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23" t="s">
        <v>77</v>
      </c>
    </row>
    <row r="46" spans="1:95" outlineLevel="1" x14ac:dyDescent="0.2">
      <c r="B46" s="358" t="s">
        <v>18</v>
      </c>
      <c r="D46" s="218"/>
      <c r="E46" s="218"/>
      <c r="F46" s="218"/>
      <c r="G46" s="218"/>
      <c r="H46" s="218"/>
      <c r="I46" s="218"/>
      <c r="J46" s="218"/>
      <c r="K46" s="66"/>
      <c r="L46" s="66"/>
      <c r="M46" s="66"/>
      <c r="N46" s="66"/>
      <c r="O46" s="66"/>
      <c r="P46" s="66"/>
      <c r="Q46" s="66"/>
      <c r="R46" s="66"/>
      <c r="S46" s="248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  <c r="AX46" s="66"/>
      <c r="AY46" s="66"/>
      <c r="AZ46" s="66"/>
      <c r="BA46" s="66"/>
      <c r="BB46" s="66"/>
      <c r="BC46" s="66"/>
      <c r="BD46" s="66"/>
      <c r="BE46" s="66"/>
      <c r="BF46" s="66"/>
      <c r="BG46" s="66"/>
      <c r="BH46" s="66"/>
      <c r="BI46" s="66"/>
      <c r="BJ46" s="66"/>
      <c r="BK46" s="66"/>
      <c r="BL46" s="66"/>
      <c r="BM46" s="66"/>
      <c r="BN46" s="66"/>
      <c r="BO46" s="66"/>
      <c r="BP46" s="66"/>
      <c r="BQ46" s="66"/>
      <c r="BR46" s="66"/>
      <c r="BS46" s="66"/>
      <c r="BT46" s="66"/>
      <c r="BU46" s="66"/>
      <c r="BV46" s="66"/>
      <c r="BW46" s="66"/>
      <c r="BX46" s="66"/>
      <c r="BY46" s="66"/>
      <c r="BZ46" s="66"/>
      <c r="CA46" s="66"/>
      <c r="CB46" s="66"/>
      <c r="CC46" s="66"/>
      <c r="CD46" s="66"/>
      <c r="CE46" s="66"/>
      <c r="CF46" s="66"/>
      <c r="CG46" s="66"/>
      <c r="CH46" s="66"/>
      <c r="CI46" s="66"/>
      <c r="CJ46" s="66"/>
      <c r="CK46" s="66"/>
      <c r="CL46" s="66"/>
      <c r="CM46" s="66"/>
      <c r="CN46" s="66"/>
      <c r="CO46" s="66"/>
      <c r="CP46" s="66"/>
      <c r="CQ46" s="23" t="s">
        <v>77</v>
      </c>
    </row>
    <row r="47" spans="1:95" outlineLevel="1" x14ac:dyDescent="0.2">
      <c r="B47" s="8" t="s">
        <v>331</v>
      </c>
      <c r="K47" s="9" t="s">
        <v>78</v>
      </c>
      <c r="L47" s="9" t="s">
        <v>78</v>
      </c>
      <c r="M47" s="9">
        <f t="shared" ref="M47:R47" si="40">+M20</f>
        <v>46.53</v>
      </c>
      <c r="N47" s="9">
        <f t="shared" si="40"/>
        <v>66.534000000000006</v>
      </c>
      <c r="O47" s="9">
        <f t="shared" si="40"/>
        <v>83.43</v>
      </c>
      <c r="P47" s="9">
        <f t="shared" si="40"/>
        <v>96.840999999999994</v>
      </c>
      <c r="Q47" s="9">
        <f t="shared" si="40"/>
        <v>101.26600000000001</v>
      </c>
      <c r="R47" s="9">
        <f t="shared" si="40"/>
        <v>113.098</v>
      </c>
      <c r="S47" s="9">
        <f>+S20-S48</f>
        <v>112.65900000000001</v>
      </c>
      <c r="T47" s="9">
        <f>+T20-T48</f>
        <v>115.569</v>
      </c>
      <c r="U47" s="9">
        <f>+U20-U48</f>
        <v>120.80800000000001</v>
      </c>
      <c r="V47" s="9">
        <f>+V20-V48</f>
        <v>119.10900000000001</v>
      </c>
      <c r="W47" s="9">
        <f>+W20-W48</f>
        <v>123.5260184659091</v>
      </c>
      <c r="X47" s="272">
        <f>X36+X42</f>
        <v>106.61416892755682</v>
      </c>
      <c r="Y47" s="272">
        <f t="shared" ref="Y47:BD47" si="41">Y36+Y42</f>
        <v>109.27952315074572</v>
      </c>
      <c r="Z47" s="272">
        <f>Z36+Z42</f>
        <v>112.01151122951435</v>
      </c>
      <c r="AA47" s="272">
        <f t="shared" si="41"/>
        <v>63.366870508644659</v>
      </c>
      <c r="AB47" s="272">
        <f t="shared" si="41"/>
        <v>64.841661474824434</v>
      </c>
      <c r="AC47" s="272">
        <f t="shared" si="41"/>
        <v>66.350724421240983</v>
      </c>
      <c r="AD47" s="272">
        <f t="shared" si="41"/>
        <v>67.894854449794636</v>
      </c>
      <c r="AE47" s="272">
        <f t="shared" si="41"/>
        <v>69.474865074615181</v>
      </c>
      <c r="AF47" s="272">
        <f t="shared" si="41"/>
        <v>71.091588647566169</v>
      </c>
      <c r="AG47" s="272">
        <f t="shared" si="41"/>
        <v>72.745876793560456</v>
      </c>
      <c r="AH47" s="272">
        <f t="shared" si="41"/>
        <v>74.438600855912455</v>
      </c>
      <c r="AI47" s="272">
        <f t="shared" si="41"/>
        <v>76.170652351957955</v>
      </c>
      <c r="AJ47" s="272">
        <f t="shared" si="41"/>
        <v>77.942943439177469</v>
      </c>
      <c r="AK47" s="272">
        <f t="shared" si="41"/>
        <v>79.756407392064972</v>
      </c>
      <c r="AL47" s="272">
        <f t="shared" si="41"/>
        <v>81.6119990899887</v>
      </c>
      <c r="AM47" s="272">
        <f t="shared" si="41"/>
        <v>83.510695516297204</v>
      </c>
      <c r="AN47" s="272">
        <f t="shared" si="41"/>
        <v>85.453496268928561</v>
      </c>
      <c r="AO47" s="272">
        <f t="shared" si="41"/>
        <v>87.44142408278789</v>
      </c>
      <c r="AP47" s="272">
        <f t="shared" si="41"/>
        <v>89.47552536416319</v>
      </c>
      <c r="AQ47" s="272">
        <f t="shared" si="41"/>
        <v>91.556870737456379</v>
      </c>
      <c r="AR47" s="272">
        <f t="shared" si="41"/>
        <v>93.686555604512634</v>
      </c>
      <c r="AS47" s="272">
        <f t="shared" si="41"/>
        <v>95.865700716837509</v>
      </c>
      <c r="AT47" s="272">
        <f t="shared" si="41"/>
        <v>98.095452760998057</v>
      </c>
      <c r="AU47" s="272">
        <f t="shared" si="41"/>
        <v>100.37698495751081</v>
      </c>
      <c r="AV47" s="272">
        <f t="shared" si="41"/>
        <v>102.71149767352671</v>
      </c>
      <c r="AW47" s="272">
        <f t="shared" si="41"/>
        <v>105.10021904962987</v>
      </c>
      <c r="AX47" s="272">
        <f t="shared" si="41"/>
        <v>107.54440564107441</v>
      </c>
      <c r="AY47" s="272">
        <f t="shared" si="41"/>
        <v>110.04534307379113</v>
      </c>
      <c r="AZ47" s="272">
        <f t="shared" si="41"/>
        <v>112.60434671550341</v>
      </c>
      <c r="BA47" s="272">
        <f t="shared" si="41"/>
        <v>0</v>
      </c>
      <c r="BB47" s="272">
        <f t="shared" si="41"/>
        <v>0</v>
      </c>
      <c r="BC47" s="272">
        <f t="shared" si="41"/>
        <v>0</v>
      </c>
      <c r="BD47" s="272">
        <f t="shared" si="41"/>
        <v>0</v>
      </c>
      <c r="BE47" s="272">
        <f t="shared" ref="BE47:CP47" si="42">BE36+BE42</f>
        <v>0</v>
      </c>
      <c r="BF47" s="272">
        <f t="shared" si="42"/>
        <v>0</v>
      </c>
      <c r="BG47" s="272">
        <f t="shared" si="42"/>
        <v>0</v>
      </c>
      <c r="BH47" s="272">
        <f t="shared" si="42"/>
        <v>0</v>
      </c>
      <c r="BI47" s="272">
        <f t="shared" si="42"/>
        <v>0</v>
      </c>
      <c r="BJ47" s="272">
        <f t="shared" si="42"/>
        <v>0</v>
      </c>
      <c r="BK47" s="272">
        <f t="shared" si="42"/>
        <v>0</v>
      </c>
      <c r="BL47" s="272">
        <f t="shared" si="42"/>
        <v>0</v>
      </c>
      <c r="BM47" s="272">
        <f t="shared" si="42"/>
        <v>0</v>
      </c>
      <c r="BN47" s="272">
        <f t="shared" si="42"/>
        <v>0</v>
      </c>
      <c r="BO47" s="272">
        <f t="shared" si="42"/>
        <v>0</v>
      </c>
      <c r="BP47" s="272">
        <f t="shared" si="42"/>
        <v>0</v>
      </c>
      <c r="BQ47" s="272">
        <f t="shared" si="42"/>
        <v>0</v>
      </c>
      <c r="BR47" s="272">
        <f t="shared" si="42"/>
        <v>0</v>
      </c>
      <c r="BS47" s="272">
        <f t="shared" si="42"/>
        <v>0</v>
      </c>
      <c r="BT47" s="272">
        <f t="shared" si="42"/>
        <v>0</v>
      </c>
      <c r="BU47" s="272">
        <f t="shared" si="42"/>
        <v>0</v>
      </c>
      <c r="BV47" s="272">
        <f t="shared" si="42"/>
        <v>0</v>
      </c>
      <c r="BW47" s="272">
        <f t="shared" si="42"/>
        <v>0</v>
      </c>
      <c r="BX47" s="272">
        <f t="shared" si="42"/>
        <v>0</v>
      </c>
      <c r="BY47" s="272">
        <f t="shared" si="42"/>
        <v>0</v>
      </c>
      <c r="BZ47" s="272">
        <f t="shared" si="42"/>
        <v>0</v>
      </c>
      <c r="CA47" s="272">
        <f t="shared" si="42"/>
        <v>0</v>
      </c>
      <c r="CB47" s="272">
        <f t="shared" si="42"/>
        <v>0</v>
      </c>
      <c r="CC47" s="272">
        <f t="shared" si="42"/>
        <v>0</v>
      </c>
      <c r="CD47" s="272">
        <f t="shared" si="42"/>
        <v>0</v>
      </c>
      <c r="CE47" s="272">
        <f t="shared" si="42"/>
        <v>0</v>
      </c>
      <c r="CF47" s="272">
        <f t="shared" si="42"/>
        <v>0</v>
      </c>
      <c r="CG47" s="272">
        <f t="shared" si="42"/>
        <v>0</v>
      </c>
      <c r="CH47" s="272">
        <f t="shared" si="42"/>
        <v>0</v>
      </c>
      <c r="CI47" s="272">
        <f t="shared" si="42"/>
        <v>0</v>
      </c>
      <c r="CJ47" s="272">
        <f t="shared" si="42"/>
        <v>0</v>
      </c>
      <c r="CK47" s="272">
        <f t="shared" si="42"/>
        <v>0</v>
      </c>
      <c r="CL47" s="272">
        <f t="shared" si="42"/>
        <v>0</v>
      </c>
      <c r="CM47" s="272">
        <f t="shared" si="42"/>
        <v>0</v>
      </c>
      <c r="CN47" s="272">
        <f t="shared" si="42"/>
        <v>0</v>
      </c>
      <c r="CO47" s="272">
        <f t="shared" si="42"/>
        <v>0</v>
      </c>
      <c r="CP47" s="272">
        <f t="shared" si="42"/>
        <v>0</v>
      </c>
      <c r="CQ47" s="23" t="s">
        <v>77</v>
      </c>
    </row>
    <row r="48" spans="1:95" outlineLevel="1" x14ac:dyDescent="0.2">
      <c r="B48" s="12" t="s">
        <v>544</v>
      </c>
      <c r="S48" s="265"/>
      <c r="T48" s="265"/>
      <c r="U48" s="265"/>
      <c r="V48" s="39">
        <v>2.6</v>
      </c>
      <c r="W48" s="250">
        <f>W37*W27</f>
        <v>25.957981534090909</v>
      </c>
      <c r="X48" s="272">
        <f>X37+X43</f>
        <v>26.606931072443182</v>
      </c>
      <c r="Y48" s="272">
        <f t="shared" ref="Y48:BD48" si="43">Y37+Y43</f>
        <v>27.272104349254256</v>
      </c>
      <c r="Z48" s="272">
        <f t="shared" si="43"/>
        <v>27.953906957985609</v>
      </c>
      <c r="AA48" s="272">
        <f t="shared" si="43"/>
        <v>28.611614044777046</v>
      </c>
      <c r="AB48" s="272">
        <f t="shared" si="43"/>
        <v>29.28478671979326</v>
      </c>
      <c r="AC48" s="272">
        <f t="shared" si="43"/>
        <v>29.973788416877426</v>
      </c>
      <c r="AD48" s="272">
        <f t="shared" si="43"/>
        <v>30.678991104579573</v>
      </c>
      <c r="AE48" s="272">
        <f t="shared" si="43"/>
        <v>31.400775486434679</v>
      </c>
      <c r="AF48" s="272">
        <f t="shared" si="43"/>
        <v>15.096079733835921</v>
      </c>
      <c r="AG48" s="272">
        <f t="shared" si="43"/>
        <v>15.447423611756381</v>
      </c>
      <c r="AH48" s="272">
        <f t="shared" si="43"/>
        <v>15.806932206383497</v>
      </c>
      <c r="AI48" s="272">
        <f t="shared" si="43"/>
        <v>16.174794937229208</v>
      </c>
      <c r="AJ48" s="272">
        <f t="shared" si="43"/>
        <v>16.551205610206104</v>
      </c>
      <c r="AK48" s="272">
        <f t="shared" si="43"/>
        <v>16.936362518996646</v>
      </c>
      <c r="AL48" s="272">
        <f t="shared" si="43"/>
        <v>17.330468548759665</v>
      </c>
      <c r="AM48" s="272">
        <f t="shared" si="43"/>
        <v>17.733731282227978</v>
      </c>
      <c r="AN48" s="272">
        <f t="shared" si="43"/>
        <v>18.146363108252046</v>
      </c>
      <c r="AO48" s="272">
        <f t="shared" si="43"/>
        <v>18.568581332845962</v>
      </c>
      <c r="AP48" s="272">
        <f t="shared" si="43"/>
        <v>19.000608292793306</v>
      </c>
      <c r="AQ48" s="272">
        <f t="shared" si="43"/>
        <v>19.442671471871705</v>
      </c>
      <c r="AR48" s="272">
        <f t="shared" si="43"/>
        <v>19.895003619756334</v>
      </c>
      <c r="AS48" s="272">
        <f t="shared" si="43"/>
        <v>20.357842873663913</v>
      </c>
      <c r="AT48" s="272">
        <f t="shared" si="43"/>
        <v>20.831432882800257</v>
      </c>
      <c r="AU48" s="272">
        <f t="shared" si="43"/>
        <v>21.316022935675761</v>
      </c>
      <c r="AV48" s="272">
        <f t="shared" si="43"/>
        <v>21.811868090354778</v>
      </c>
      <c r="AW48" s="272">
        <f t="shared" si="43"/>
        <v>22.319229307706344</v>
      </c>
      <c r="AX48" s="272">
        <f t="shared" si="43"/>
        <v>22.838373587725151</v>
      </c>
      <c r="AY48" s="272">
        <f t="shared" si="43"/>
        <v>23.369574108993426</v>
      </c>
      <c r="AZ48" s="272">
        <f t="shared" si="43"/>
        <v>23.913110371355813</v>
      </c>
      <c r="BA48" s="272">
        <f t="shared" si="43"/>
        <v>24.469268341881151</v>
      </c>
      <c r="BB48" s="272">
        <f t="shared" si="43"/>
        <v>25.038340604186608</v>
      </c>
      <c r="BC48" s="272">
        <f t="shared" si="43"/>
        <v>25.620626511201465</v>
      </c>
      <c r="BD48" s="272">
        <f t="shared" si="43"/>
        <v>26.216432341449561</v>
      </c>
      <c r="BE48" s="272">
        <f t="shared" ref="BE48:CP48" si="44">BE37+BE43</f>
        <v>26.826071458931224</v>
      </c>
      <c r="BF48" s="272">
        <f t="shared" si="44"/>
        <v>27.449864476687381</v>
      </c>
      <c r="BG48" s="272">
        <f t="shared" si="44"/>
        <v>28.088139424130414</v>
      </c>
      <c r="BH48" s="272">
        <f t="shared" si="44"/>
        <v>28.741231918228259</v>
      </c>
      <c r="BI48" s="272">
        <f t="shared" si="44"/>
        <v>29.409485338630297</v>
      </c>
      <c r="BJ48" s="272">
        <f t="shared" si="44"/>
        <v>30.09325100682549</v>
      </c>
      <c r="BK48" s="272">
        <f t="shared" si="44"/>
        <v>30.792888369425381</v>
      </c>
      <c r="BL48" s="272">
        <f t="shared" si="44"/>
        <v>31.508765185666721</v>
      </c>
      <c r="BM48" s="272">
        <f t="shared" si="44"/>
        <v>32.241257719230475</v>
      </c>
      <c r="BN48" s="272">
        <f t="shared" si="44"/>
        <v>32.990750934476473</v>
      </c>
      <c r="BO48" s="272">
        <f t="shared" si="44"/>
        <v>33.75763869719492</v>
      </c>
      <c r="BP48" s="272">
        <f t="shared" si="44"/>
        <v>34.542323979978555</v>
      </c>
      <c r="BQ48" s="272">
        <f t="shared" si="44"/>
        <v>35.345219072321427</v>
      </c>
      <c r="BR48" s="272">
        <f t="shared" si="44"/>
        <v>36.166745795552899</v>
      </c>
      <c r="BS48" s="272">
        <f t="shared" si="44"/>
        <v>37.007335722717713</v>
      </c>
      <c r="BT48" s="272">
        <f t="shared" si="44"/>
        <v>0</v>
      </c>
      <c r="BU48" s="272">
        <f t="shared" si="44"/>
        <v>0</v>
      </c>
      <c r="BV48" s="272">
        <f t="shared" si="44"/>
        <v>0</v>
      </c>
      <c r="BW48" s="272">
        <f t="shared" si="44"/>
        <v>0</v>
      </c>
      <c r="BX48" s="272">
        <f t="shared" si="44"/>
        <v>0</v>
      </c>
      <c r="BY48" s="272">
        <f t="shared" si="44"/>
        <v>0</v>
      </c>
      <c r="BZ48" s="272">
        <f t="shared" si="44"/>
        <v>0</v>
      </c>
      <c r="CA48" s="272">
        <f t="shared" si="44"/>
        <v>0</v>
      </c>
      <c r="CB48" s="272">
        <f t="shared" si="44"/>
        <v>0</v>
      </c>
      <c r="CC48" s="272">
        <f t="shared" si="44"/>
        <v>0</v>
      </c>
      <c r="CD48" s="272">
        <f t="shared" si="44"/>
        <v>0</v>
      </c>
      <c r="CE48" s="272">
        <f t="shared" si="44"/>
        <v>0</v>
      </c>
      <c r="CF48" s="272">
        <f t="shared" si="44"/>
        <v>0</v>
      </c>
      <c r="CG48" s="272">
        <f t="shared" si="44"/>
        <v>0</v>
      </c>
      <c r="CH48" s="272">
        <f t="shared" si="44"/>
        <v>0</v>
      </c>
      <c r="CI48" s="272">
        <f t="shared" si="44"/>
        <v>0</v>
      </c>
      <c r="CJ48" s="272">
        <f t="shared" si="44"/>
        <v>0</v>
      </c>
      <c r="CK48" s="272">
        <f t="shared" si="44"/>
        <v>0</v>
      </c>
      <c r="CL48" s="272">
        <f t="shared" si="44"/>
        <v>0</v>
      </c>
      <c r="CM48" s="272">
        <f t="shared" si="44"/>
        <v>0</v>
      </c>
      <c r="CN48" s="272">
        <f t="shared" si="44"/>
        <v>0</v>
      </c>
      <c r="CO48" s="272">
        <f t="shared" si="44"/>
        <v>0</v>
      </c>
      <c r="CP48" s="272">
        <f t="shared" si="44"/>
        <v>0</v>
      </c>
      <c r="CQ48" s="23" t="s">
        <v>77</v>
      </c>
    </row>
    <row r="49" spans="1:95" outlineLevel="1" x14ac:dyDescent="0.2">
      <c r="B49" s="485" t="s">
        <v>299</v>
      </c>
      <c r="D49" s="485"/>
      <c r="E49" s="485"/>
      <c r="F49" s="485"/>
      <c r="G49" s="485"/>
      <c r="H49" s="485"/>
      <c r="I49" s="485"/>
      <c r="J49" s="485"/>
      <c r="K49" s="85">
        <f t="shared" ref="K49:R49" si="45">SUM(K47:K47)</f>
        <v>0</v>
      </c>
      <c r="L49" s="85">
        <f t="shared" si="45"/>
        <v>0</v>
      </c>
      <c r="M49" s="85">
        <f t="shared" si="45"/>
        <v>46.53</v>
      </c>
      <c r="N49" s="85">
        <f t="shared" si="45"/>
        <v>66.534000000000006</v>
      </c>
      <c r="O49" s="85">
        <f t="shared" si="45"/>
        <v>83.43</v>
      </c>
      <c r="P49" s="85">
        <f t="shared" si="45"/>
        <v>96.840999999999994</v>
      </c>
      <c r="Q49" s="85">
        <f t="shared" si="45"/>
        <v>101.26600000000001</v>
      </c>
      <c r="R49" s="85">
        <f t="shared" si="45"/>
        <v>113.098</v>
      </c>
      <c r="S49" s="85">
        <f>SUM(S47:S47)</f>
        <v>112.65900000000001</v>
      </c>
      <c r="T49" s="85">
        <f>SUM(T47:T47)</f>
        <v>115.569</v>
      </c>
      <c r="U49" s="85">
        <f>SUM(U47:U47)</f>
        <v>120.80800000000001</v>
      </c>
      <c r="V49" s="85">
        <f>SUM(V47:V48)</f>
        <v>121.709</v>
      </c>
      <c r="W49" s="85">
        <f>SUM(W47:W48)</f>
        <v>149.48400000000001</v>
      </c>
      <c r="X49" s="85">
        <f>SUM(X47:X48)</f>
        <v>133.22110000000001</v>
      </c>
      <c r="Y49" s="85">
        <f t="shared" ref="Y49:BD49" si="46">SUM(Y47:Y48)</f>
        <v>136.55162749999997</v>
      </c>
      <c r="Z49" s="85">
        <f t="shared" si="46"/>
        <v>139.96541818749995</v>
      </c>
      <c r="AA49" s="85">
        <f t="shared" si="46"/>
        <v>91.978484553421708</v>
      </c>
      <c r="AB49" s="85">
        <f t="shared" si="46"/>
        <v>94.126448194617694</v>
      </c>
      <c r="AC49" s="85">
        <f t="shared" si="46"/>
        <v>96.324512838118409</v>
      </c>
      <c r="AD49" s="85">
        <f t="shared" si="46"/>
        <v>98.573845554374202</v>
      </c>
      <c r="AE49" s="85">
        <f t="shared" si="46"/>
        <v>100.87564056104986</v>
      </c>
      <c r="AF49" s="85">
        <f t="shared" si="46"/>
        <v>86.187668381402091</v>
      </c>
      <c r="AG49" s="85">
        <f t="shared" si="46"/>
        <v>88.193300405316833</v>
      </c>
      <c r="AH49" s="85">
        <f t="shared" si="46"/>
        <v>90.245533062295948</v>
      </c>
      <c r="AI49" s="85">
        <f t="shared" si="46"/>
        <v>92.345447289187163</v>
      </c>
      <c r="AJ49" s="85">
        <f t="shared" si="46"/>
        <v>94.494149049383566</v>
      </c>
      <c r="AK49" s="85">
        <f t="shared" si="46"/>
        <v>96.692769911061617</v>
      </c>
      <c r="AL49" s="85">
        <f t="shared" si="46"/>
        <v>98.942467638748369</v>
      </c>
      <c r="AM49" s="85">
        <f t="shared" si="46"/>
        <v>101.24442679852518</v>
      </c>
      <c r="AN49" s="85">
        <f t="shared" si="46"/>
        <v>103.59985937718061</v>
      </c>
      <c r="AO49" s="85">
        <f t="shared" si="46"/>
        <v>106.01000541563386</v>
      </c>
      <c r="AP49" s="85">
        <f t="shared" si="46"/>
        <v>108.47613365695649</v>
      </c>
      <c r="AQ49" s="85">
        <f t="shared" si="46"/>
        <v>110.99954220932808</v>
      </c>
      <c r="AR49" s="85">
        <f t="shared" si="46"/>
        <v>113.58155922426897</v>
      </c>
      <c r="AS49" s="85">
        <f t="shared" si="46"/>
        <v>116.22354359050142</v>
      </c>
      <c r="AT49" s="85">
        <f t="shared" si="46"/>
        <v>118.92688564379831</v>
      </c>
      <c r="AU49" s="85">
        <f t="shared" si="46"/>
        <v>121.69300789318658</v>
      </c>
      <c r="AV49" s="85">
        <f t="shared" si="46"/>
        <v>124.52336576388149</v>
      </c>
      <c r="AW49" s="85">
        <f t="shared" si="46"/>
        <v>127.41944835733622</v>
      </c>
      <c r="AX49" s="85">
        <f t="shared" si="46"/>
        <v>130.38277922879956</v>
      </c>
      <c r="AY49" s="85">
        <f t="shared" si="46"/>
        <v>133.41491718278456</v>
      </c>
      <c r="AZ49" s="85">
        <f t="shared" si="46"/>
        <v>136.51745708685922</v>
      </c>
      <c r="BA49" s="85">
        <f t="shared" si="46"/>
        <v>24.469268341881151</v>
      </c>
      <c r="BB49" s="85">
        <f t="shared" si="46"/>
        <v>25.038340604186608</v>
      </c>
      <c r="BC49" s="85">
        <f t="shared" si="46"/>
        <v>25.620626511201465</v>
      </c>
      <c r="BD49" s="85">
        <f t="shared" si="46"/>
        <v>26.216432341449561</v>
      </c>
      <c r="BE49" s="85">
        <f t="shared" ref="BE49:CP49" si="47">SUM(BE47:BE48)</f>
        <v>26.826071458931224</v>
      </c>
      <c r="BF49" s="85">
        <f t="shared" si="47"/>
        <v>27.449864476687381</v>
      </c>
      <c r="BG49" s="85">
        <f t="shared" si="47"/>
        <v>28.088139424130414</v>
      </c>
      <c r="BH49" s="85">
        <f t="shared" si="47"/>
        <v>28.741231918228259</v>
      </c>
      <c r="BI49" s="85">
        <f t="shared" si="47"/>
        <v>29.409485338630297</v>
      </c>
      <c r="BJ49" s="85">
        <f t="shared" si="47"/>
        <v>30.09325100682549</v>
      </c>
      <c r="BK49" s="85">
        <f t="shared" si="47"/>
        <v>30.792888369425381</v>
      </c>
      <c r="BL49" s="85">
        <f t="shared" si="47"/>
        <v>31.508765185666721</v>
      </c>
      <c r="BM49" s="85">
        <f t="shared" si="47"/>
        <v>32.241257719230475</v>
      </c>
      <c r="BN49" s="85">
        <f t="shared" si="47"/>
        <v>32.990750934476473</v>
      </c>
      <c r="BO49" s="85">
        <f t="shared" si="47"/>
        <v>33.75763869719492</v>
      </c>
      <c r="BP49" s="85">
        <f t="shared" si="47"/>
        <v>34.542323979978555</v>
      </c>
      <c r="BQ49" s="85">
        <f t="shared" si="47"/>
        <v>35.345219072321427</v>
      </c>
      <c r="BR49" s="85">
        <f t="shared" si="47"/>
        <v>36.166745795552899</v>
      </c>
      <c r="BS49" s="85">
        <f t="shared" si="47"/>
        <v>37.007335722717713</v>
      </c>
      <c r="BT49" s="85">
        <f t="shared" si="47"/>
        <v>0</v>
      </c>
      <c r="BU49" s="85">
        <f t="shared" si="47"/>
        <v>0</v>
      </c>
      <c r="BV49" s="85">
        <f t="shared" si="47"/>
        <v>0</v>
      </c>
      <c r="BW49" s="85">
        <f t="shared" si="47"/>
        <v>0</v>
      </c>
      <c r="BX49" s="85">
        <f t="shared" si="47"/>
        <v>0</v>
      </c>
      <c r="BY49" s="85">
        <f t="shared" si="47"/>
        <v>0</v>
      </c>
      <c r="BZ49" s="85">
        <f t="shared" si="47"/>
        <v>0</v>
      </c>
      <c r="CA49" s="85">
        <f t="shared" si="47"/>
        <v>0</v>
      </c>
      <c r="CB49" s="85">
        <f t="shared" si="47"/>
        <v>0</v>
      </c>
      <c r="CC49" s="85">
        <f t="shared" si="47"/>
        <v>0</v>
      </c>
      <c r="CD49" s="85">
        <f t="shared" si="47"/>
        <v>0</v>
      </c>
      <c r="CE49" s="85">
        <f t="shared" si="47"/>
        <v>0</v>
      </c>
      <c r="CF49" s="85">
        <f t="shared" si="47"/>
        <v>0</v>
      </c>
      <c r="CG49" s="85">
        <f t="shared" si="47"/>
        <v>0</v>
      </c>
      <c r="CH49" s="85">
        <f t="shared" si="47"/>
        <v>0</v>
      </c>
      <c r="CI49" s="85">
        <f t="shared" si="47"/>
        <v>0</v>
      </c>
      <c r="CJ49" s="85">
        <f t="shared" si="47"/>
        <v>0</v>
      </c>
      <c r="CK49" s="85">
        <f t="shared" si="47"/>
        <v>0</v>
      </c>
      <c r="CL49" s="85">
        <f t="shared" si="47"/>
        <v>0</v>
      </c>
      <c r="CM49" s="85">
        <f t="shared" si="47"/>
        <v>0</v>
      </c>
      <c r="CN49" s="85">
        <f t="shared" si="47"/>
        <v>0</v>
      </c>
      <c r="CO49" s="85">
        <f t="shared" si="47"/>
        <v>0</v>
      </c>
      <c r="CP49" s="85">
        <f t="shared" si="47"/>
        <v>0</v>
      </c>
      <c r="CQ49" s="23" t="s">
        <v>77</v>
      </c>
    </row>
    <row r="50" spans="1:95" s="98" customFormat="1" outlineLevel="1" x14ac:dyDescent="0.2">
      <c r="A50" s="8"/>
      <c r="B50" s="25" t="s">
        <v>300</v>
      </c>
      <c r="C50" s="24"/>
      <c r="K50" s="118">
        <f t="shared" ref="K50:R50" si="48">SUM(K20)-SUM(K49)</f>
        <v>0</v>
      </c>
      <c r="L50" s="118">
        <f t="shared" si="48"/>
        <v>0</v>
      </c>
      <c r="M50" s="118">
        <f t="shared" si="48"/>
        <v>0</v>
      </c>
      <c r="N50" s="118">
        <f t="shared" si="48"/>
        <v>0</v>
      </c>
      <c r="O50" s="118">
        <f t="shared" si="48"/>
        <v>0</v>
      </c>
      <c r="P50" s="118">
        <f t="shared" si="48"/>
        <v>0</v>
      </c>
      <c r="Q50" s="118">
        <f t="shared" si="48"/>
        <v>0</v>
      </c>
      <c r="R50" s="118">
        <f t="shared" si="48"/>
        <v>0</v>
      </c>
      <c r="S50" s="118">
        <f>SUM(S20)-SUM(S49)-S48</f>
        <v>0</v>
      </c>
      <c r="T50" s="118">
        <f t="shared" ref="T50:BD50" si="49">SUM(T20)-SUM(T49)</f>
        <v>0</v>
      </c>
      <c r="U50" s="118">
        <f t="shared" si="49"/>
        <v>0</v>
      </c>
      <c r="V50" s="118">
        <f t="shared" si="49"/>
        <v>0</v>
      </c>
      <c r="W50" s="118">
        <f t="shared" si="49"/>
        <v>0</v>
      </c>
      <c r="X50" s="118">
        <f t="shared" si="49"/>
        <v>0</v>
      </c>
      <c r="Y50" s="118">
        <f t="shared" si="49"/>
        <v>0</v>
      </c>
      <c r="Z50" s="118">
        <f t="shared" si="49"/>
        <v>0</v>
      </c>
      <c r="AA50" s="118">
        <f t="shared" si="49"/>
        <v>0</v>
      </c>
      <c r="AB50" s="118">
        <f t="shared" si="49"/>
        <v>0</v>
      </c>
      <c r="AC50" s="118">
        <f t="shared" si="49"/>
        <v>0</v>
      </c>
      <c r="AD50" s="118">
        <f t="shared" si="49"/>
        <v>0</v>
      </c>
      <c r="AE50" s="118">
        <f t="shared" si="49"/>
        <v>0</v>
      </c>
      <c r="AF50" s="118">
        <f t="shared" si="49"/>
        <v>0</v>
      </c>
      <c r="AG50" s="118">
        <f t="shared" si="49"/>
        <v>0</v>
      </c>
      <c r="AH50" s="118">
        <f t="shared" si="49"/>
        <v>0</v>
      </c>
      <c r="AI50" s="118">
        <f t="shared" si="49"/>
        <v>0</v>
      </c>
      <c r="AJ50" s="118">
        <f t="shared" si="49"/>
        <v>0</v>
      </c>
      <c r="AK50" s="118">
        <f t="shared" si="49"/>
        <v>0</v>
      </c>
      <c r="AL50" s="118">
        <f t="shared" si="49"/>
        <v>0</v>
      </c>
      <c r="AM50" s="118">
        <f t="shared" si="49"/>
        <v>0</v>
      </c>
      <c r="AN50" s="118">
        <f t="shared" si="49"/>
        <v>0</v>
      </c>
      <c r="AO50" s="118">
        <f t="shared" si="49"/>
        <v>0</v>
      </c>
      <c r="AP50" s="118">
        <f t="shared" si="49"/>
        <v>0</v>
      </c>
      <c r="AQ50" s="118">
        <f t="shared" si="49"/>
        <v>0</v>
      </c>
      <c r="AR50" s="118">
        <f t="shared" si="49"/>
        <v>0</v>
      </c>
      <c r="AS50" s="118">
        <f t="shared" si="49"/>
        <v>0</v>
      </c>
      <c r="AT50" s="118">
        <f t="shared" si="49"/>
        <v>0</v>
      </c>
      <c r="AU50" s="118">
        <f t="shared" si="49"/>
        <v>0</v>
      </c>
      <c r="AV50" s="118">
        <f t="shared" si="49"/>
        <v>0</v>
      </c>
      <c r="AW50" s="118">
        <f t="shared" si="49"/>
        <v>0</v>
      </c>
      <c r="AX50" s="118">
        <f t="shared" si="49"/>
        <v>0</v>
      </c>
      <c r="AY50" s="118">
        <f t="shared" si="49"/>
        <v>0</v>
      </c>
      <c r="AZ50" s="118">
        <f t="shared" si="49"/>
        <v>0</v>
      </c>
      <c r="BA50" s="118">
        <f t="shared" si="49"/>
        <v>0</v>
      </c>
      <c r="BB50" s="118">
        <f t="shared" si="49"/>
        <v>0</v>
      </c>
      <c r="BC50" s="118">
        <f t="shared" si="49"/>
        <v>0</v>
      </c>
      <c r="BD50" s="118">
        <f t="shared" si="49"/>
        <v>0</v>
      </c>
      <c r="BE50" s="118">
        <f t="shared" ref="BE50:CP50" si="50">SUM(BE20)-SUM(BE49)</f>
        <v>0</v>
      </c>
      <c r="BF50" s="118">
        <f t="shared" si="50"/>
        <v>0</v>
      </c>
      <c r="BG50" s="118">
        <f t="shared" si="50"/>
        <v>0</v>
      </c>
      <c r="BH50" s="118">
        <f t="shared" si="50"/>
        <v>0</v>
      </c>
      <c r="BI50" s="118">
        <f t="shared" si="50"/>
        <v>0</v>
      </c>
      <c r="BJ50" s="118">
        <f t="shared" si="50"/>
        <v>0</v>
      </c>
      <c r="BK50" s="118">
        <f t="shared" si="50"/>
        <v>0</v>
      </c>
      <c r="BL50" s="118">
        <f t="shared" si="50"/>
        <v>0</v>
      </c>
      <c r="BM50" s="118">
        <f t="shared" si="50"/>
        <v>0</v>
      </c>
      <c r="BN50" s="118">
        <f t="shared" si="50"/>
        <v>0</v>
      </c>
      <c r="BO50" s="118">
        <f t="shared" si="50"/>
        <v>0</v>
      </c>
      <c r="BP50" s="118">
        <f t="shared" si="50"/>
        <v>0</v>
      </c>
      <c r="BQ50" s="118">
        <f t="shared" si="50"/>
        <v>0</v>
      </c>
      <c r="BR50" s="118">
        <f t="shared" si="50"/>
        <v>0</v>
      </c>
      <c r="BS50" s="118">
        <f t="shared" si="50"/>
        <v>0</v>
      </c>
      <c r="BT50" s="118">
        <f t="shared" si="50"/>
        <v>0</v>
      </c>
      <c r="BU50" s="118">
        <f t="shared" si="50"/>
        <v>0</v>
      </c>
      <c r="BV50" s="118">
        <f t="shared" si="50"/>
        <v>0</v>
      </c>
      <c r="BW50" s="118">
        <f t="shared" si="50"/>
        <v>0</v>
      </c>
      <c r="BX50" s="118">
        <f t="shared" si="50"/>
        <v>0</v>
      </c>
      <c r="BY50" s="118">
        <f t="shared" si="50"/>
        <v>0</v>
      </c>
      <c r="BZ50" s="118">
        <f t="shared" si="50"/>
        <v>0</v>
      </c>
      <c r="CA50" s="118">
        <f t="shared" si="50"/>
        <v>0</v>
      </c>
      <c r="CB50" s="118">
        <f t="shared" si="50"/>
        <v>0</v>
      </c>
      <c r="CC50" s="118">
        <f t="shared" si="50"/>
        <v>0</v>
      </c>
      <c r="CD50" s="118">
        <f t="shared" si="50"/>
        <v>0</v>
      </c>
      <c r="CE50" s="118">
        <f t="shared" si="50"/>
        <v>0</v>
      </c>
      <c r="CF50" s="118">
        <f t="shared" si="50"/>
        <v>0</v>
      </c>
      <c r="CG50" s="118">
        <f t="shared" si="50"/>
        <v>0</v>
      </c>
      <c r="CH50" s="118">
        <f t="shared" si="50"/>
        <v>0</v>
      </c>
      <c r="CI50" s="118">
        <f t="shared" si="50"/>
        <v>0</v>
      </c>
      <c r="CJ50" s="118">
        <f t="shared" si="50"/>
        <v>0</v>
      </c>
      <c r="CK50" s="118">
        <f t="shared" si="50"/>
        <v>0</v>
      </c>
      <c r="CL50" s="118">
        <f t="shared" si="50"/>
        <v>0</v>
      </c>
      <c r="CM50" s="118">
        <f t="shared" si="50"/>
        <v>0</v>
      </c>
      <c r="CN50" s="118">
        <f t="shared" si="50"/>
        <v>0</v>
      </c>
      <c r="CO50" s="118">
        <f t="shared" si="50"/>
        <v>0</v>
      </c>
      <c r="CP50" s="118">
        <f t="shared" si="50"/>
        <v>0</v>
      </c>
      <c r="CQ50" s="23" t="s">
        <v>77</v>
      </c>
    </row>
    <row r="51" spans="1:95" outlineLevel="1" x14ac:dyDescent="0.2">
      <c r="B51" s="24"/>
      <c r="CQ51" s="23" t="s">
        <v>77</v>
      </c>
    </row>
    <row r="52" spans="1:95" outlineLevel="1" x14ac:dyDescent="0.2">
      <c r="B52" s="358" t="s">
        <v>314</v>
      </c>
      <c r="D52" s="218"/>
      <c r="E52" s="218"/>
      <c r="F52" s="218"/>
      <c r="G52" s="218"/>
      <c r="H52" s="218"/>
      <c r="I52" s="218"/>
      <c r="J52" s="218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66"/>
      <c r="CM52" s="66"/>
      <c r="CN52" s="66"/>
      <c r="CO52" s="66"/>
      <c r="CP52" s="66"/>
      <c r="CQ52" s="23" t="s">
        <v>77</v>
      </c>
    </row>
    <row r="53" spans="1:95" s="12" customFormat="1" outlineLevel="1" x14ac:dyDescent="0.2">
      <c r="A53" s="8"/>
      <c r="B53" s="12" t="s">
        <v>331</v>
      </c>
      <c r="C53" s="13"/>
      <c r="K53" s="93" t="str">
        <f>IF(ISERROR(+K47/#REF!-1),"n.a.",+K47/#REF!-1)</f>
        <v>n.a.</v>
      </c>
      <c r="L53" s="93" t="str">
        <f t="shared" ref="L53:BD53" si="51">IF(ISERROR(+L47/K47-1),"n.a.",+L47/K47-1)</f>
        <v>n.a.</v>
      </c>
      <c r="M53" s="93" t="str">
        <f t="shared" si="51"/>
        <v>n.a.</v>
      </c>
      <c r="N53" s="93">
        <f t="shared" si="51"/>
        <v>0.42991618310767254</v>
      </c>
      <c r="O53" s="93">
        <f t="shared" si="51"/>
        <v>0.25394535124898554</v>
      </c>
      <c r="P53" s="93">
        <f t="shared" si="51"/>
        <v>0.16074553517919199</v>
      </c>
      <c r="Q53" s="93">
        <f t="shared" si="51"/>
        <v>4.5693456284012113E-2</v>
      </c>
      <c r="R53" s="93">
        <f t="shared" si="51"/>
        <v>0.11684079552860771</v>
      </c>
      <c r="S53" s="93">
        <f t="shared" si="51"/>
        <v>-3.881589418026743E-3</v>
      </c>
      <c r="T53" s="92">
        <f t="shared" si="51"/>
        <v>2.5830160040476002E-2</v>
      </c>
      <c r="U53" s="92">
        <f t="shared" si="51"/>
        <v>4.5332225769886492E-2</v>
      </c>
      <c r="V53" s="92">
        <f t="shared" si="51"/>
        <v>-1.4063638169657611E-2</v>
      </c>
      <c r="W53" s="92">
        <f t="shared" si="51"/>
        <v>3.7083834688470985E-2</v>
      </c>
      <c r="X53" s="92">
        <f t="shared" si="51"/>
        <v>-0.13690920947977969</v>
      </c>
      <c r="Y53" s="92">
        <f t="shared" si="51"/>
        <v>2.4999999999999689E-2</v>
      </c>
      <c r="Z53" s="92">
        <f t="shared" si="51"/>
        <v>2.4999999999999911E-2</v>
      </c>
      <c r="AA53" s="92">
        <f t="shared" si="51"/>
        <v>-0.43428251424262654</v>
      </c>
      <c r="AB53" s="92">
        <f t="shared" si="51"/>
        <v>2.327384884785455E-2</v>
      </c>
      <c r="AC53" s="92">
        <f t="shared" si="51"/>
        <v>2.3273045632898448E-2</v>
      </c>
      <c r="AD53" s="92">
        <f t="shared" si="51"/>
        <v>2.3272240687990609E-2</v>
      </c>
      <c r="AE53" s="92">
        <f t="shared" si="51"/>
        <v>2.3271434008138137E-2</v>
      </c>
      <c r="AF53" s="92">
        <f t="shared" si="51"/>
        <v>2.3270625588328153E-2</v>
      </c>
      <c r="AG53" s="92">
        <f t="shared" si="51"/>
        <v>2.3269815423528684E-2</v>
      </c>
      <c r="AH53" s="92">
        <f t="shared" si="51"/>
        <v>2.3269003508688879E-2</v>
      </c>
      <c r="AI53" s="92">
        <f t="shared" si="51"/>
        <v>2.3268189838739239E-2</v>
      </c>
      <c r="AJ53" s="92">
        <f t="shared" si="51"/>
        <v>2.3267374408589392E-2</v>
      </c>
      <c r="AK53" s="92">
        <f t="shared" si="51"/>
        <v>2.3266557213131644E-2</v>
      </c>
      <c r="AL53" s="92">
        <f t="shared" si="51"/>
        <v>2.3265738247236323E-2</v>
      </c>
      <c r="AM53" s="92">
        <f t="shared" si="51"/>
        <v>2.3264917505757099E-2</v>
      </c>
      <c r="AN53" s="92">
        <f t="shared" si="51"/>
        <v>2.3264094983524775E-2</v>
      </c>
      <c r="AO53" s="92">
        <f t="shared" si="51"/>
        <v>2.3263270675352832E-2</v>
      </c>
      <c r="AP53" s="92">
        <f t="shared" si="51"/>
        <v>2.3262444576033658E-2</v>
      </c>
      <c r="AQ53" s="92">
        <f t="shared" si="51"/>
        <v>2.3261616680339881E-2</v>
      </c>
      <c r="AR53" s="92">
        <f t="shared" si="51"/>
        <v>2.326078698302414E-2</v>
      </c>
      <c r="AS53" s="92">
        <f t="shared" si="51"/>
        <v>2.3259955478819094E-2</v>
      </c>
      <c r="AT53" s="92">
        <f t="shared" si="51"/>
        <v>2.3259122162436974E-2</v>
      </c>
      <c r="AU53" s="92">
        <f t="shared" si="51"/>
        <v>2.3258287028569358E-2</v>
      </c>
      <c r="AV53" s="92">
        <f t="shared" si="51"/>
        <v>2.3257450071887398E-2</v>
      </c>
      <c r="AW53" s="92">
        <f t="shared" si="51"/>
        <v>2.3256611287042261E-2</v>
      </c>
      <c r="AX53" s="92">
        <f t="shared" si="51"/>
        <v>2.3255770668664022E-2</v>
      </c>
      <c r="AY53" s="92">
        <f t="shared" si="51"/>
        <v>2.3254928211361436E-2</v>
      </c>
      <c r="AZ53" s="92">
        <f t="shared" si="51"/>
        <v>2.3254083909723722E-2</v>
      </c>
      <c r="BA53" s="92">
        <f t="shared" si="51"/>
        <v>-1</v>
      </c>
      <c r="BB53" s="92" t="str">
        <f t="shared" si="51"/>
        <v>n.a.</v>
      </c>
      <c r="BC53" s="92" t="str">
        <f t="shared" si="51"/>
        <v>n.a.</v>
      </c>
      <c r="BD53" s="92" t="str">
        <f t="shared" si="51"/>
        <v>n.a.</v>
      </c>
      <c r="BE53" s="92" t="str">
        <f t="shared" ref="BE53:CP53" si="52">IF(ISERROR(+BE47/BD47-1),"n.a.",+BE47/BD47-1)</f>
        <v>n.a.</v>
      </c>
      <c r="BF53" s="92" t="str">
        <f t="shared" si="52"/>
        <v>n.a.</v>
      </c>
      <c r="BG53" s="92" t="str">
        <f t="shared" si="52"/>
        <v>n.a.</v>
      </c>
      <c r="BH53" s="92" t="str">
        <f t="shared" si="52"/>
        <v>n.a.</v>
      </c>
      <c r="BI53" s="92" t="str">
        <f t="shared" si="52"/>
        <v>n.a.</v>
      </c>
      <c r="BJ53" s="92" t="str">
        <f t="shared" si="52"/>
        <v>n.a.</v>
      </c>
      <c r="BK53" s="92" t="str">
        <f t="shared" si="52"/>
        <v>n.a.</v>
      </c>
      <c r="BL53" s="92" t="str">
        <f t="shared" si="52"/>
        <v>n.a.</v>
      </c>
      <c r="BM53" s="92" t="str">
        <f t="shared" si="52"/>
        <v>n.a.</v>
      </c>
      <c r="BN53" s="92" t="str">
        <f t="shared" si="52"/>
        <v>n.a.</v>
      </c>
      <c r="BO53" s="92" t="str">
        <f t="shared" si="52"/>
        <v>n.a.</v>
      </c>
      <c r="BP53" s="92" t="str">
        <f t="shared" si="52"/>
        <v>n.a.</v>
      </c>
      <c r="BQ53" s="92" t="str">
        <f t="shared" si="52"/>
        <v>n.a.</v>
      </c>
      <c r="BR53" s="92" t="str">
        <f t="shared" si="52"/>
        <v>n.a.</v>
      </c>
      <c r="BS53" s="92" t="str">
        <f t="shared" si="52"/>
        <v>n.a.</v>
      </c>
      <c r="BT53" s="92" t="str">
        <f t="shared" si="52"/>
        <v>n.a.</v>
      </c>
      <c r="BU53" s="92" t="str">
        <f t="shared" si="52"/>
        <v>n.a.</v>
      </c>
      <c r="BV53" s="92" t="str">
        <f t="shared" si="52"/>
        <v>n.a.</v>
      </c>
      <c r="BW53" s="92" t="str">
        <f t="shared" si="52"/>
        <v>n.a.</v>
      </c>
      <c r="BX53" s="92" t="str">
        <f t="shared" si="52"/>
        <v>n.a.</v>
      </c>
      <c r="BY53" s="92" t="str">
        <f t="shared" si="52"/>
        <v>n.a.</v>
      </c>
      <c r="BZ53" s="92" t="str">
        <f t="shared" si="52"/>
        <v>n.a.</v>
      </c>
      <c r="CA53" s="92" t="str">
        <f t="shared" si="52"/>
        <v>n.a.</v>
      </c>
      <c r="CB53" s="92" t="str">
        <f t="shared" si="52"/>
        <v>n.a.</v>
      </c>
      <c r="CC53" s="92" t="str">
        <f t="shared" si="52"/>
        <v>n.a.</v>
      </c>
      <c r="CD53" s="92" t="str">
        <f t="shared" si="52"/>
        <v>n.a.</v>
      </c>
      <c r="CE53" s="92" t="str">
        <f t="shared" si="52"/>
        <v>n.a.</v>
      </c>
      <c r="CF53" s="92" t="str">
        <f t="shared" si="52"/>
        <v>n.a.</v>
      </c>
      <c r="CG53" s="92" t="str">
        <f t="shared" si="52"/>
        <v>n.a.</v>
      </c>
      <c r="CH53" s="92" t="str">
        <f t="shared" si="52"/>
        <v>n.a.</v>
      </c>
      <c r="CI53" s="92" t="str">
        <f t="shared" si="52"/>
        <v>n.a.</v>
      </c>
      <c r="CJ53" s="92" t="str">
        <f t="shared" si="52"/>
        <v>n.a.</v>
      </c>
      <c r="CK53" s="92" t="str">
        <f t="shared" si="52"/>
        <v>n.a.</v>
      </c>
      <c r="CL53" s="92" t="str">
        <f t="shared" si="52"/>
        <v>n.a.</v>
      </c>
      <c r="CM53" s="92" t="str">
        <f t="shared" si="52"/>
        <v>n.a.</v>
      </c>
      <c r="CN53" s="92" t="str">
        <f t="shared" si="52"/>
        <v>n.a.</v>
      </c>
      <c r="CO53" s="92" t="str">
        <f t="shared" si="52"/>
        <v>n.a.</v>
      </c>
      <c r="CP53" s="92" t="str">
        <f t="shared" si="52"/>
        <v>n.a.</v>
      </c>
      <c r="CQ53" s="23" t="s">
        <v>77</v>
      </c>
    </row>
    <row r="54" spans="1:95" outlineLevel="1" x14ac:dyDescent="0.2">
      <c r="B54" s="12" t="s">
        <v>544</v>
      </c>
      <c r="S54" s="93" t="str">
        <f>IF(ISERROR(+NSW!S48/NSW!R48-1),"n.a.",+NSW!S48/NSW!R48-1)</f>
        <v>n.a.</v>
      </c>
      <c r="T54" s="93" t="str">
        <f>IF(ISERROR(+NSW!T48/NSW!S48-1),"n.a.",+NSW!T48/NSW!S48-1)</f>
        <v>n.a.</v>
      </c>
      <c r="U54" s="93" t="str">
        <f>IF(ISERROR(+NSW!U48/NSW!T48-1),"n.a.",+NSW!U48/NSW!T48-1)</f>
        <v>n.a.</v>
      </c>
      <c r="V54" s="93" t="str">
        <f>IF(ISERROR(+NSW!V48/NSW!U48-1),"n.a.",+NSW!V48/NSW!U48-1)</f>
        <v>n.a.</v>
      </c>
      <c r="W54" s="93">
        <f>IF(ISERROR(+NSW!W48/NSW!V48-1),"n.a.",+NSW!W48/NSW!V48-1)</f>
        <v>8.9838390515734261</v>
      </c>
      <c r="X54" s="93">
        <f>IF(ISERROR(+NSW!X48/NSW!W48-1),"n.a.",+NSW!X48/NSW!W48-1)</f>
        <v>2.4999999999999911E-2</v>
      </c>
      <c r="Y54" s="93">
        <f>IF(ISERROR(+NSW!Y48/NSW!X48-1),"n.a.",+NSW!Y48/NSW!X48-1)</f>
        <v>2.4999999999999911E-2</v>
      </c>
      <c r="Z54" s="93">
        <f>IF(ISERROR(+NSW!Z48/NSW!Y48-1),"n.a.",+NSW!Z48/NSW!Y48-1)</f>
        <v>2.4999999999999911E-2</v>
      </c>
      <c r="AA54" s="93">
        <f>IF(ISERROR(+NSW!AA48/NSW!Z48-1),"n.a.",+NSW!AA48/NSW!Z48-1)</f>
        <v>2.3528270584142863E-2</v>
      </c>
      <c r="AB54" s="93">
        <f>IF(ISERROR(+NSW!AB48/NSW!AA48-1),"n.a.",+NSW!AB48/NSW!AA48-1)</f>
        <v>2.3527951759823917E-2</v>
      </c>
      <c r="AC54" s="93">
        <f>IF(ISERROR(+NSW!AC48/NSW!AB48-1),"n.a.",+NSW!AC48/NSW!AB48-1)</f>
        <v>2.3527632407801535E-2</v>
      </c>
      <c r="AD54" s="93">
        <f>IF(ISERROR(+NSW!AD48/NSW!AC48-1),"n.a.",+NSW!AD48/NSW!AC48-1)</f>
        <v>2.3527312527003241E-2</v>
      </c>
      <c r="AE54" s="93">
        <f>IF(ISERROR(+NSW!AE48/NSW!AD48-1),"n.a.",+NSW!AE48/NSW!AD48-1)</f>
        <v>2.3526992116353007E-2</v>
      </c>
      <c r="AF54" s="93">
        <f>IF(ISERROR(+NSW!AF48/NSW!AE48-1),"n.a.",+NSW!AF48/NSW!AE48-1)</f>
        <v>-0.51924500271155671</v>
      </c>
      <c r="AG54" s="93">
        <f>IF(ISERROR(+NSW!AG48/NSW!AF48-1),"n.a.",+NSW!AG48/NSW!AF48-1)</f>
        <v>2.3273848847854772E-2</v>
      </c>
      <c r="AH54" s="93">
        <f>IF(ISERROR(+NSW!AH48/NSW!AG48-1),"n.a.",+NSW!AH48/NSW!AG48-1)</f>
        <v>2.3273045632898226E-2</v>
      </c>
      <c r="AI54" s="93">
        <f>IF(ISERROR(+NSW!AI48/NSW!AH48-1),"n.a.",+NSW!AI48/NSW!AH48-1)</f>
        <v>2.3272240687990831E-2</v>
      </c>
      <c r="AJ54" s="93">
        <f>IF(ISERROR(+NSW!AJ48/NSW!AI48-1),"n.a.",+NSW!AJ48/NSW!AI48-1)</f>
        <v>2.3271434008138137E-2</v>
      </c>
      <c r="AK54" s="93">
        <f>IF(ISERROR(+NSW!AK48/NSW!AJ48-1),"n.a.",+NSW!AK48/NSW!AJ48-1)</f>
        <v>2.3270625588328153E-2</v>
      </c>
      <c r="AL54" s="93">
        <f>IF(ISERROR(+NSW!AL48/NSW!AK48-1),"n.a.",+NSW!AL48/NSW!AK48-1)</f>
        <v>2.3269815423528684E-2</v>
      </c>
      <c r="AM54" s="93">
        <f>IF(ISERROR(+NSW!AM48/NSW!AL48-1),"n.a.",+NSW!AM48/NSW!AL48-1)</f>
        <v>2.3269003508689101E-2</v>
      </c>
      <c r="AN54" s="93">
        <f>IF(ISERROR(+NSW!AN48/NSW!AM48-1),"n.a.",+NSW!AN48/NSW!AM48-1)</f>
        <v>2.3268189838739239E-2</v>
      </c>
      <c r="AO54" s="93">
        <f>IF(ISERROR(+NSW!AO48/NSW!AN48-1),"n.a.",+NSW!AO48/NSW!AN48-1)</f>
        <v>2.3267374408589392E-2</v>
      </c>
      <c r="AP54" s="93">
        <f>IF(ISERROR(+NSW!AP48/NSW!AO48-1),"n.a.",+NSW!AP48/NSW!AO48-1)</f>
        <v>2.3266557213131422E-2</v>
      </c>
      <c r="AQ54" s="93">
        <f>IF(ISERROR(+NSW!AQ48/NSW!AP48-1),"n.a.",+NSW!AQ48/NSW!AP48-1)</f>
        <v>2.3265738247236545E-2</v>
      </c>
      <c r="AR54" s="93">
        <f>IF(ISERROR(+NSW!AR48/NSW!AQ48-1),"n.a.",+NSW!AR48/NSW!AQ48-1)</f>
        <v>2.3264917505756877E-2</v>
      </c>
      <c r="AS54" s="93">
        <f>IF(ISERROR(+NSW!AS48/NSW!AR48-1),"n.a.",+NSW!AS48/NSW!AR48-1)</f>
        <v>2.3264094983524553E-2</v>
      </c>
      <c r="AT54" s="93">
        <f>IF(ISERROR(+NSW!AT48/NSW!AS48-1),"n.a.",+NSW!AT48/NSW!AS48-1)</f>
        <v>2.3263270675352832E-2</v>
      </c>
      <c r="AU54" s="93">
        <f>IF(ISERROR(+NSW!AU48/NSW!AT48-1),"n.a.",+NSW!AU48/NSW!AT48-1)</f>
        <v>2.3262444576033658E-2</v>
      </c>
      <c r="AV54" s="93">
        <f>IF(ISERROR(+NSW!AV48/NSW!AU48-1),"n.a.",+NSW!AV48/NSW!AU48-1)</f>
        <v>2.3261616680339658E-2</v>
      </c>
      <c r="AW54" s="93">
        <f>IF(ISERROR(+NSW!AW48/NSW!AV48-1),"n.a.",+NSW!AW48/NSW!AV48-1)</f>
        <v>2.326078698302414E-2</v>
      </c>
      <c r="AX54" s="93">
        <f>IF(ISERROR(+NSW!AX48/NSW!AW48-1),"n.a.",+NSW!AX48/NSW!AW48-1)</f>
        <v>2.3259955478819316E-2</v>
      </c>
      <c r="AY54" s="93">
        <f>IF(ISERROR(+NSW!AY48/NSW!AX48-1),"n.a.",+NSW!AY48/NSW!AX48-1)</f>
        <v>2.3259122162436974E-2</v>
      </c>
      <c r="AZ54" s="93">
        <f>IF(ISERROR(+NSW!AZ48/NSW!AY48-1),"n.a.",+NSW!AZ48/NSW!AY48-1)</f>
        <v>2.3258287028569136E-2</v>
      </c>
      <c r="BA54" s="93">
        <f>IF(ISERROR(+NSW!BA48/NSW!AZ48-1),"n.a.",+NSW!BA48/NSW!AZ48-1)</f>
        <v>2.3257450071887176E-2</v>
      </c>
      <c r="BB54" s="93">
        <f>IF(ISERROR(+NSW!BB48/NSW!BA48-1),"n.a.",+NSW!BB48/NSW!BA48-1)</f>
        <v>2.3256611287042261E-2</v>
      </c>
      <c r="BC54" s="93">
        <f>IF(ISERROR(+NSW!BC48/NSW!BB48-1),"n.a.",+NSW!BC48/NSW!BB48-1)</f>
        <v>2.32557706686638E-2</v>
      </c>
      <c r="BD54" s="93">
        <f>IF(ISERROR(+NSW!BD48/NSW!BC48-1),"n.a.",+NSW!BD48/NSW!BC48-1)</f>
        <v>2.3254928211361436E-2</v>
      </c>
      <c r="BE54" s="93">
        <f>IF(ISERROR(+NSW!BE48/NSW!BD48-1),"n.a.",+NSW!BE48/NSW!BD48-1)</f>
        <v>2.3254083909723722E-2</v>
      </c>
      <c r="BF54" s="93">
        <f>IF(ISERROR(+NSW!BF48/NSW!BE48-1),"n.a.",+NSW!BF48/NSW!BE48-1)</f>
        <v>2.3253237758318113E-2</v>
      </c>
      <c r="BG54" s="93">
        <f>IF(ISERROR(+NSW!BG48/NSW!BF48-1),"n.a.",+NSW!BG48/NSW!BF48-1)</f>
        <v>2.3252389751690972E-2</v>
      </c>
      <c r="BH54" s="93">
        <f>IF(ISERROR(+NSW!BH48/NSW!BG48-1),"n.a.",+NSW!BH48/NSW!BG48-1)</f>
        <v>2.3251539884367567E-2</v>
      </c>
      <c r="BI54" s="93">
        <f>IF(ISERROR(+NSW!BI48/NSW!BH48-1),"n.a.",+NSW!BI48/NSW!BH48-1)</f>
        <v>2.3250688150852072E-2</v>
      </c>
      <c r="BJ54" s="93">
        <f>IF(ISERROR(+NSW!BJ48/NSW!BI48-1),"n.a.",+NSW!BJ48/NSW!BI48-1)</f>
        <v>2.3249834545626902E-2</v>
      </c>
      <c r="BK54" s="93">
        <f>IF(ISERROR(+NSW!BK48/NSW!BJ48-1),"n.a.",+NSW!BK48/NSW!BJ48-1)</f>
        <v>2.324897906315293E-2</v>
      </c>
      <c r="BL54" s="93">
        <f>IF(ISERROR(+NSW!BL48/NSW!BK48-1),"n.a.",+NSW!BL48/NSW!BK48-1)</f>
        <v>2.3248121697870383E-2</v>
      </c>
      <c r="BM54" s="93">
        <f>IF(ISERROR(+NSW!BM48/NSW!BL48-1),"n.a.",+NSW!BM48/NSW!BL48-1)</f>
        <v>2.3247262444196393E-2</v>
      </c>
      <c r="BN54" s="93">
        <f>IF(ISERROR(+NSW!BN48/NSW!BM48-1),"n.a.",+NSW!BN48/NSW!BM48-1)</f>
        <v>2.3246401296527441E-2</v>
      </c>
      <c r="BO54" s="93">
        <f>IF(ISERROR(+NSW!BO48/NSW!BN48-1),"n.a.",+NSW!BO48/NSW!BN48-1)</f>
        <v>2.3245538249237807E-2</v>
      </c>
      <c r="BP54" s="93">
        <f>IF(ISERROR(+NSW!BP48/NSW!BO48-1),"n.a.",+NSW!BP48/NSW!BO48-1)</f>
        <v>2.3244673296679341E-2</v>
      </c>
      <c r="BQ54" s="93">
        <f>IF(ISERROR(+NSW!BQ48/NSW!BP48-1),"n.a.",+NSW!BQ48/NSW!BP48-1)</f>
        <v>2.3243806433181691E-2</v>
      </c>
      <c r="BR54" s="93">
        <f>IF(ISERROR(+NSW!BR48/NSW!BQ48-1),"n.a.",+NSW!BR48/NSW!BQ48-1)</f>
        <v>2.3242937653053186E-2</v>
      </c>
      <c r="BS54" s="93">
        <f>IF(ISERROR(+NSW!BS48/NSW!BR48-1),"n.a.",+NSW!BS48/NSW!BR48-1)</f>
        <v>2.3242066950579066E-2</v>
      </c>
      <c r="BT54" s="93">
        <f>IF(ISERROR(+NSW!BT48/NSW!BS48-1),"n.a.",+NSW!BT48/NSW!BS48-1)</f>
        <v>-1</v>
      </c>
      <c r="BU54" s="93" t="str">
        <f>IF(ISERROR(+NSW!BU48/NSW!BT48-1),"n.a.",+NSW!BU48/NSW!BT48-1)</f>
        <v>n.a.</v>
      </c>
      <c r="BV54" s="93" t="str">
        <f>IF(ISERROR(+NSW!BV48/NSW!BU48-1),"n.a.",+NSW!BV48/NSW!BU48-1)</f>
        <v>n.a.</v>
      </c>
      <c r="BW54" s="93" t="str">
        <f>IF(ISERROR(+NSW!BW48/NSW!BV48-1),"n.a.",+NSW!BW48/NSW!BV48-1)</f>
        <v>n.a.</v>
      </c>
      <c r="BX54" s="93" t="str">
        <f>IF(ISERROR(+NSW!BX48/NSW!BW48-1),"n.a.",+NSW!BX48/NSW!BW48-1)</f>
        <v>n.a.</v>
      </c>
      <c r="BY54" s="93" t="str">
        <f>IF(ISERROR(+NSW!BY48/NSW!BX48-1),"n.a.",+NSW!BY48/NSW!BX48-1)</f>
        <v>n.a.</v>
      </c>
      <c r="BZ54" s="93" t="str">
        <f>IF(ISERROR(+NSW!BZ48/NSW!BY48-1),"n.a.",+NSW!BZ48/NSW!BY48-1)</f>
        <v>n.a.</v>
      </c>
      <c r="CA54" s="93" t="str">
        <f>IF(ISERROR(+NSW!CA48/NSW!BZ48-1),"n.a.",+NSW!CA48/NSW!BZ48-1)</f>
        <v>n.a.</v>
      </c>
      <c r="CB54" s="93" t="str">
        <f>IF(ISERROR(+NSW!CB48/NSW!CA48-1),"n.a.",+NSW!CB48/NSW!CA48-1)</f>
        <v>n.a.</v>
      </c>
      <c r="CC54" s="93" t="str">
        <f>IF(ISERROR(+NSW!CC48/NSW!CB48-1),"n.a.",+NSW!CC48/NSW!CB48-1)</f>
        <v>n.a.</v>
      </c>
      <c r="CD54" s="93" t="str">
        <f>IF(ISERROR(+NSW!CD48/NSW!CC48-1),"n.a.",+NSW!CD48/NSW!CC48-1)</f>
        <v>n.a.</v>
      </c>
      <c r="CE54" s="93" t="str">
        <f>IF(ISERROR(+NSW!CE48/NSW!CD48-1),"n.a.",+NSW!CE48/NSW!CD48-1)</f>
        <v>n.a.</v>
      </c>
      <c r="CF54" s="93" t="str">
        <f>IF(ISERROR(+NSW!CF48/NSW!CE48-1),"n.a.",+NSW!CF48/NSW!CE48-1)</f>
        <v>n.a.</v>
      </c>
      <c r="CG54" s="93" t="str">
        <f>IF(ISERROR(+NSW!CG48/NSW!CF48-1),"n.a.",+NSW!CG48/NSW!CF48-1)</f>
        <v>n.a.</v>
      </c>
      <c r="CH54" s="93" t="str">
        <f>IF(ISERROR(+NSW!CH48/NSW!CG48-1),"n.a.",+NSW!CH48/NSW!CG48-1)</f>
        <v>n.a.</v>
      </c>
      <c r="CI54" s="93" t="str">
        <f>IF(ISERROR(+NSW!CI48/NSW!CH48-1),"n.a.",+NSW!CI48/NSW!CH48-1)</f>
        <v>n.a.</v>
      </c>
      <c r="CJ54" s="93" t="str">
        <f>IF(ISERROR(+NSW!CJ48/NSW!CI48-1),"n.a.",+NSW!CJ48/NSW!CI48-1)</f>
        <v>n.a.</v>
      </c>
      <c r="CK54" s="93" t="str">
        <f>IF(ISERROR(+NSW!CK48/NSW!CJ48-1),"n.a.",+NSW!CK48/NSW!CJ48-1)</f>
        <v>n.a.</v>
      </c>
      <c r="CL54" s="93" t="str">
        <f>IF(ISERROR(+NSW!CL48/NSW!CK48-1),"n.a.",+NSW!CL48/NSW!CK48-1)</f>
        <v>n.a.</v>
      </c>
      <c r="CM54" s="93" t="str">
        <f>IF(ISERROR(+NSW!CM48/NSW!CL48-1),"n.a.",+NSW!CM48/NSW!CL48-1)</f>
        <v>n.a.</v>
      </c>
      <c r="CN54" s="93" t="str">
        <f>IF(ISERROR(+NSW!CN48/NSW!CM48-1),"n.a.",+NSW!CN48/NSW!CM48-1)</f>
        <v>n.a.</v>
      </c>
      <c r="CO54" s="93" t="str">
        <f>IF(ISERROR(+NSW!CO48/NSW!CN48-1),"n.a.",+NSW!CO48/NSW!CN48-1)</f>
        <v>n.a.</v>
      </c>
      <c r="CP54" s="93" t="str">
        <f>IF(ISERROR(+NSW!CP48/NSW!CO48-1),"n.a.",+NSW!CP48/NSW!CO48-1)</f>
        <v>n.a.</v>
      </c>
      <c r="CQ54" s="23" t="s">
        <v>77</v>
      </c>
    </row>
    <row r="55" spans="1:95" s="12" customFormat="1" outlineLevel="1" x14ac:dyDescent="0.2">
      <c r="A55" s="8"/>
      <c r="B55" s="74" t="s">
        <v>299</v>
      </c>
      <c r="C55" s="13"/>
      <c r="D55" s="74"/>
      <c r="E55" s="74"/>
      <c r="F55" s="74"/>
      <c r="G55" s="74"/>
      <c r="H55" s="74"/>
      <c r="I55" s="74"/>
      <c r="J55" s="74"/>
      <c r="K55" s="94" t="str">
        <f>IF(ISERROR(+K49/#REF!-1),"n.a.",+K49/#REF!-1)</f>
        <v>n.a.</v>
      </c>
      <c r="L55" s="94" t="str">
        <f t="shared" ref="L55:BD55" si="53">IF(ISERROR(+L49/K49-1),"n.a.",+L49/K49-1)</f>
        <v>n.a.</v>
      </c>
      <c r="M55" s="94" t="str">
        <f t="shared" si="53"/>
        <v>n.a.</v>
      </c>
      <c r="N55" s="94">
        <f t="shared" si="53"/>
        <v>0.42991618310767254</v>
      </c>
      <c r="O55" s="94">
        <f t="shared" si="53"/>
        <v>0.25394535124898554</v>
      </c>
      <c r="P55" s="94">
        <f t="shared" si="53"/>
        <v>0.16074553517919199</v>
      </c>
      <c r="Q55" s="94">
        <f t="shared" si="53"/>
        <v>4.5693456284012113E-2</v>
      </c>
      <c r="R55" s="94">
        <f t="shared" si="53"/>
        <v>0.11684079552860771</v>
      </c>
      <c r="S55" s="94">
        <f t="shared" si="53"/>
        <v>-3.881589418026743E-3</v>
      </c>
      <c r="T55" s="94">
        <f t="shared" si="53"/>
        <v>2.5830160040476002E-2</v>
      </c>
      <c r="U55" s="94">
        <f t="shared" si="53"/>
        <v>4.5332225769886492E-2</v>
      </c>
      <c r="V55" s="94">
        <f t="shared" si="53"/>
        <v>7.4581153565989045E-3</v>
      </c>
      <c r="W55" s="94">
        <f t="shared" si="53"/>
        <v>0.22820826726043264</v>
      </c>
      <c r="X55" s="94">
        <f t="shared" si="53"/>
        <v>-0.10879358325974686</v>
      </c>
      <c r="Y55" s="94">
        <f t="shared" si="53"/>
        <v>2.4999999999999689E-2</v>
      </c>
      <c r="Z55" s="94">
        <f t="shared" si="53"/>
        <v>2.4999999999999911E-2</v>
      </c>
      <c r="AA55" s="94">
        <f t="shared" si="53"/>
        <v>-0.34284849969007458</v>
      </c>
      <c r="AB55" s="94">
        <f t="shared" si="53"/>
        <v>2.3352892272849202E-2</v>
      </c>
      <c r="AC55" s="94">
        <f t="shared" si="53"/>
        <v>2.335225311971767E-2</v>
      </c>
      <c r="AD55" s="94">
        <f t="shared" si="53"/>
        <v>2.335161268903585E-2</v>
      </c>
      <c r="AE55" s="94">
        <f t="shared" si="53"/>
        <v>2.3350970977448204E-2</v>
      </c>
      <c r="AF55" s="94">
        <f t="shared" si="53"/>
        <v>-0.14560474756795838</v>
      </c>
      <c r="AG55" s="94">
        <f t="shared" si="53"/>
        <v>2.3270521892288842E-2</v>
      </c>
      <c r="AH55" s="94">
        <f t="shared" si="53"/>
        <v>2.3269711503566715E-2</v>
      </c>
      <c r="AI55" s="94">
        <f t="shared" si="53"/>
        <v>2.3268899364156326E-2</v>
      </c>
      <c r="AJ55" s="94">
        <f t="shared" si="53"/>
        <v>2.3268085468984401E-2</v>
      </c>
      <c r="AK55" s="94">
        <f t="shared" si="53"/>
        <v>2.3267269812959901E-2</v>
      </c>
      <c r="AL55" s="94">
        <f t="shared" si="53"/>
        <v>2.3266452390970249E-2</v>
      </c>
      <c r="AM55" s="94">
        <f t="shared" si="53"/>
        <v>2.3265633197885993E-2</v>
      </c>
      <c r="AN55" s="94">
        <f t="shared" si="53"/>
        <v>2.3264812228555476E-2</v>
      </c>
      <c r="AO55" s="94">
        <f t="shared" si="53"/>
        <v>2.3263989477809277E-2</v>
      </c>
      <c r="AP55" s="94">
        <f t="shared" si="53"/>
        <v>2.3263164940457104E-2</v>
      </c>
      <c r="AQ55" s="94">
        <f t="shared" si="53"/>
        <v>2.3262338611289346E-2</v>
      </c>
      <c r="AR55" s="94">
        <f t="shared" si="53"/>
        <v>2.3261510485075743E-2</v>
      </c>
      <c r="AS55" s="94">
        <f t="shared" si="53"/>
        <v>2.3260680556566493E-2</v>
      </c>
      <c r="AT55" s="94">
        <f t="shared" si="53"/>
        <v>2.3259848820491813E-2</v>
      </c>
      <c r="AU55" s="94">
        <f t="shared" si="53"/>
        <v>2.3259015271560823E-2</v>
      </c>
      <c r="AV55" s="94">
        <f t="shared" si="53"/>
        <v>2.3258179904462439E-2</v>
      </c>
      <c r="AW55" s="94">
        <f t="shared" si="53"/>
        <v>2.325734271386648E-2</v>
      </c>
      <c r="AX55" s="94">
        <f t="shared" si="53"/>
        <v>2.3256503694419894E-2</v>
      </c>
      <c r="AY55" s="94">
        <f t="shared" si="53"/>
        <v>2.3255662840750757E-2</v>
      </c>
      <c r="AZ55" s="94">
        <f t="shared" si="53"/>
        <v>2.3254820147465605E-2</v>
      </c>
      <c r="BA55" s="94">
        <f t="shared" si="53"/>
        <v>-0.82076088388965096</v>
      </c>
      <c r="BB55" s="94">
        <f t="shared" si="53"/>
        <v>2.3256611287042261E-2</v>
      </c>
      <c r="BC55" s="94">
        <f t="shared" si="53"/>
        <v>2.32557706686638E-2</v>
      </c>
      <c r="BD55" s="94">
        <f t="shared" si="53"/>
        <v>2.3254928211361436E-2</v>
      </c>
      <c r="BE55" s="94">
        <f t="shared" ref="BE55:CP55" si="54">IF(ISERROR(+BE49/BD49-1),"n.a.",+BE49/BD49-1)</f>
        <v>2.3254083909723722E-2</v>
      </c>
      <c r="BF55" s="94">
        <f t="shared" si="54"/>
        <v>2.3253237758318113E-2</v>
      </c>
      <c r="BG55" s="94">
        <f t="shared" si="54"/>
        <v>2.3252389751690972E-2</v>
      </c>
      <c r="BH55" s="94">
        <f t="shared" si="54"/>
        <v>2.3251539884367567E-2</v>
      </c>
      <c r="BI55" s="94">
        <f t="shared" si="54"/>
        <v>2.3250688150852072E-2</v>
      </c>
      <c r="BJ55" s="94">
        <f t="shared" si="54"/>
        <v>2.3249834545626902E-2</v>
      </c>
      <c r="BK55" s="94">
        <f t="shared" si="54"/>
        <v>2.324897906315293E-2</v>
      </c>
      <c r="BL55" s="94">
        <f t="shared" si="54"/>
        <v>2.3248121697870383E-2</v>
      </c>
      <c r="BM55" s="94">
        <f t="shared" si="54"/>
        <v>2.3247262444196393E-2</v>
      </c>
      <c r="BN55" s="94">
        <f t="shared" si="54"/>
        <v>2.3246401296527441E-2</v>
      </c>
      <c r="BO55" s="94">
        <f t="shared" si="54"/>
        <v>2.3245538249237807E-2</v>
      </c>
      <c r="BP55" s="94">
        <f t="shared" si="54"/>
        <v>2.3244673296679341E-2</v>
      </c>
      <c r="BQ55" s="94">
        <f t="shared" si="54"/>
        <v>2.3243806433181691E-2</v>
      </c>
      <c r="BR55" s="94">
        <f t="shared" si="54"/>
        <v>2.3242937653053186E-2</v>
      </c>
      <c r="BS55" s="94">
        <f t="shared" si="54"/>
        <v>2.3242066950579066E-2</v>
      </c>
      <c r="BT55" s="94">
        <f t="shared" si="54"/>
        <v>-1</v>
      </c>
      <c r="BU55" s="94" t="str">
        <f t="shared" si="54"/>
        <v>n.a.</v>
      </c>
      <c r="BV55" s="94" t="str">
        <f t="shared" si="54"/>
        <v>n.a.</v>
      </c>
      <c r="BW55" s="94" t="str">
        <f t="shared" si="54"/>
        <v>n.a.</v>
      </c>
      <c r="BX55" s="94" t="str">
        <f t="shared" si="54"/>
        <v>n.a.</v>
      </c>
      <c r="BY55" s="94" t="str">
        <f t="shared" si="54"/>
        <v>n.a.</v>
      </c>
      <c r="BZ55" s="94" t="str">
        <f t="shared" si="54"/>
        <v>n.a.</v>
      </c>
      <c r="CA55" s="94" t="str">
        <f t="shared" si="54"/>
        <v>n.a.</v>
      </c>
      <c r="CB55" s="94" t="str">
        <f t="shared" si="54"/>
        <v>n.a.</v>
      </c>
      <c r="CC55" s="94" t="str">
        <f t="shared" si="54"/>
        <v>n.a.</v>
      </c>
      <c r="CD55" s="94" t="str">
        <f t="shared" si="54"/>
        <v>n.a.</v>
      </c>
      <c r="CE55" s="94" t="str">
        <f t="shared" si="54"/>
        <v>n.a.</v>
      </c>
      <c r="CF55" s="94" t="str">
        <f t="shared" si="54"/>
        <v>n.a.</v>
      </c>
      <c r="CG55" s="94" t="str">
        <f t="shared" si="54"/>
        <v>n.a.</v>
      </c>
      <c r="CH55" s="94" t="str">
        <f t="shared" si="54"/>
        <v>n.a.</v>
      </c>
      <c r="CI55" s="94" t="str">
        <f t="shared" si="54"/>
        <v>n.a.</v>
      </c>
      <c r="CJ55" s="94" t="str">
        <f t="shared" si="54"/>
        <v>n.a.</v>
      </c>
      <c r="CK55" s="94" t="str">
        <f t="shared" si="54"/>
        <v>n.a.</v>
      </c>
      <c r="CL55" s="94" t="str">
        <f t="shared" si="54"/>
        <v>n.a.</v>
      </c>
      <c r="CM55" s="94" t="str">
        <f t="shared" si="54"/>
        <v>n.a.</v>
      </c>
      <c r="CN55" s="94" t="str">
        <f t="shared" si="54"/>
        <v>n.a.</v>
      </c>
      <c r="CO55" s="94" t="str">
        <f t="shared" si="54"/>
        <v>n.a.</v>
      </c>
      <c r="CP55" s="94" t="str">
        <f t="shared" si="54"/>
        <v>n.a.</v>
      </c>
      <c r="CQ55" s="23" t="s">
        <v>77</v>
      </c>
    </row>
    <row r="56" spans="1:95" ht="11.25" customHeight="1" x14ac:dyDescent="0.2">
      <c r="CQ56" s="23" t="s">
        <v>77</v>
      </c>
    </row>
    <row r="57" spans="1:95" s="233" customFormat="1" x14ac:dyDescent="0.2">
      <c r="B57" s="728" t="s">
        <v>396</v>
      </c>
      <c r="C57" s="312"/>
      <c r="D57" s="312"/>
      <c r="E57" s="312"/>
      <c r="F57" s="312"/>
      <c r="G57" s="312"/>
      <c r="H57" s="312"/>
      <c r="I57" s="312"/>
      <c r="J57" s="312"/>
      <c r="K57" s="312">
        <f t="shared" ref="K57:BV57" si="55">Calendar_Year</f>
        <v>38717</v>
      </c>
      <c r="L57" s="312">
        <f t="shared" si="55"/>
        <v>39082</v>
      </c>
      <c r="M57" s="312">
        <f t="shared" si="55"/>
        <v>39447</v>
      </c>
      <c r="N57" s="312">
        <f t="shared" si="55"/>
        <v>39813</v>
      </c>
      <c r="O57" s="312">
        <f t="shared" si="55"/>
        <v>40178</v>
      </c>
      <c r="P57" s="312">
        <f t="shared" si="55"/>
        <v>40543</v>
      </c>
      <c r="Q57" s="312">
        <f t="shared" si="55"/>
        <v>40908</v>
      </c>
      <c r="R57" s="312">
        <f t="shared" si="55"/>
        <v>41274</v>
      </c>
      <c r="S57" s="312">
        <f t="shared" si="55"/>
        <v>41639</v>
      </c>
      <c r="T57" s="312">
        <f t="shared" si="55"/>
        <v>42004</v>
      </c>
      <c r="U57" s="312">
        <f t="shared" si="55"/>
        <v>42369</v>
      </c>
      <c r="V57" s="312">
        <f t="shared" si="55"/>
        <v>42735</v>
      </c>
      <c r="W57" s="312">
        <f t="shared" si="55"/>
        <v>43100</v>
      </c>
      <c r="X57" s="312">
        <f t="shared" si="55"/>
        <v>43465</v>
      </c>
      <c r="Y57" s="312">
        <f t="shared" si="55"/>
        <v>43830</v>
      </c>
      <c r="Z57" s="312">
        <f t="shared" si="55"/>
        <v>44196</v>
      </c>
      <c r="AA57" s="312">
        <f t="shared" si="55"/>
        <v>44561</v>
      </c>
      <c r="AB57" s="312">
        <f t="shared" si="55"/>
        <v>44926</v>
      </c>
      <c r="AC57" s="312">
        <f t="shared" si="55"/>
        <v>45291</v>
      </c>
      <c r="AD57" s="312">
        <f t="shared" si="55"/>
        <v>45657</v>
      </c>
      <c r="AE57" s="312">
        <f t="shared" si="55"/>
        <v>46022</v>
      </c>
      <c r="AF57" s="312">
        <f t="shared" si="55"/>
        <v>46387</v>
      </c>
      <c r="AG57" s="312">
        <f t="shared" si="55"/>
        <v>46752</v>
      </c>
      <c r="AH57" s="312">
        <f t="shared" si="55"/>
        <v>47118</v>
      </c>
      <c r="AI57" s="312">
        <f t="shared" si="55"/>
        <v>47483</v>
      </c>
      <c r="AJ57" s="312">
        <f t="shared" si="55"/>
        <v>47848</v>
      </c>
      <c r="AK57" s="312">
        <f t="shared" si="55"/>
        <v>48213</v>
      </c>
      <c r="AL57" s="312">
        <f t="shared" si="55"/>
        <v>48579</v>
      </c>
      <c r="AM57" s="312">
        <f t="shared" si="55"/>
        <v>48944</v>
      </c>
      <c r="AN57" s="312">
        <f t="shared" si="55"/>
        <v>49309</v>
      </c>
      <c r="AO57" s="312">
        <f t="shared" si="55"/>
        <v>49674</v>
      </c>
      <c r="AP57" s="312">
        <f t="shared" si="55"/>
        <v>50040</v>
      </c>
      <c r="AQ57" s="312">
        <f t="shared" si="55"/>
        <v>50405</v>
      </c>
      <c r="AR57" s="312">
        <f t="shared" si="55"/>
        <v>50770</v>
      </c>
      <c r="AS57" s="312">
        <f t="shared" si="55"/>
        <v>51135</v>
      </c>
      <c r="AT57" s="312">
        <f t="shared" si="55"/>
        <v>51501</v>
      </c>
      <c r="AU57" s="312">
        <f t="shared" si="55"/>
        <v>51866</v>
      </c>
      <c r="AV57" s="312">
        <f t="shared" si="55"/>
        <v>52231</v>
      </c>
      <c r="AW57" s="312">
        <f t="shared" si="55"/>
        <v>52596</v>
      </c>
      <c r="AX57" s="312">
        <f t="shared" si="55"/>
        <v>52962</v>
      </c>
      <c r="AY57" s="312">
        <f t="shared" si="55"/>
        <v>53327</v>
      </c>
      <c r="AZ57" s="312">
        <f t="shared" si="55"/>
        <v>53692</v>
      </c>
      <c r="BA57" s="312">
        <f t="shared" si="55"/>
        <v>54057</v>
      </c>
      <c r="BB57" s="312">
        <f t="shared" si="55"/>
        <v>54423</v>
      </c>
      <c r="BC57" s="312">
        <f t="shared" si="55"/>
        <v>54788</v>
      </c>
      <c r="BD57" s="312">
        <f t="shared" si="55"/>
        <v>55153</v>
      </c>
      <c r="BE57" s="312">
        <f t="shared" si="55"/>
        <v>55518</v>
      </c>
      <c r="BF57" s="312">
        <f t="shared" si="55"/>
        <v>55884</v>
      </c>
      <c r="BG57" s="312">
        <f t="shared" si="55"/>
        <v>56249</v>
      </c>
      <c r="BH57" s="312">
        <f t="shared" si="55"/>
        <v>56614</v>
      </c>
      <c r="BI57" s="312">
        <f t="shared" si="55"/>
        <v>56979</v>
      </c>
      <c r="BJ57" s="312">
        <f t="shared" si="55"/>
        <v>57345</v>
      </c>
      <c r="BK57" s="312">
        <f t="shared" si="55"/>
        <v>57710</v>
      </c>
      <c r="BL57" s="312">
        <f t="shared" si="55"/>
        <v>58075</v>
      </c>
      <c r="BM57" s="312">
        <f t="shared" si="55"/>
        <v>58440</v>
      </c>
      <c r="BN57" s="312">
        <f t="shared" si="55"/>
        <v>58806</v>
      </c>
      <c r="BO57" s="312">
        <f t="shared" si="55"/>
        <v>59171</v>
      </c>
      <c r="BP57" s="312">
        <f t="shared" si="55"/>
        <v>59536</v>
      </c>
      <c r="BQ57" s="312">
        <f t="shared" si="55"/>
        <v>59901</v>
      </c>
      <c r="BR57" s="312">
        <f t="shared" si="55"/>
        <v>60267</v>
      </c>
      <c r="BS57" s="312">
        <f t="shared" si="55"/>
        <v>60632</v>
      </c>
      <c r="BT57" s="312">
        <f t="shared" si="55"/>
        <v>60997</v>
      </c>
      <c r="BU57" s="312">
        <f t="shared" si="55"/>
        <v>61362</v>
      </c>
      <c r="BV57" s="312">
        <f t="shared" si="55"/>
        <v>61728</v>
      </c>
      <c r="BW57" s="312">
        <f t="shared" ref="BW57:CP57" si="56">Calendar_Year</f>
        <v>62093</v>
      </c>
      <c r="BX57" s="312">
        <f t="shared" si="56"/>
        <v>62458</v>
      </c>
      <c r="BY57" s="312">
        <f t="shared" si="56"/>
        <v>62823</v>
      </c>
      <c r="BZ57" s="312">
        <f t="shared" si="56"/>
        <v>63189</v>
      </c>
      <c r="CA57" s="312">
        <f t="shared" si="56"/>
        <v>63554</v>
      </c>
      <c r="CB57" s="312">
        <f t="shared" si="56"/>
        <v>63919</v>
      </c>
      <c r="CC57" s="312">
        <f t="shared" si="56"/>
        <v>64284</v>
      </c>
      <c r="CD57" s="312">
        <f t="shared" si="56"/>
        <v>64650</v>
      </c>
      <c r="CE57" s="312">
        <f t="shared" si="56"/>
        <v>65015</v>
      </c>
      <c r="CF57" s="312">
        <f t="shared" si="56"/>
        <v>65380</v>
      </c>
      <c r="CG57" s="312">
        <f t="shared" si="56"/>
        <v>65745</v>
      </c>
      <c r="CH57" s="312">
        <f t="shared" si="56"/>
        <v>66111</v>
      </c>
      <c r="CI57" s="312">
        <f t="shared" si="56"/>
        <v>66476</v>
      </c>
      <c r="CJ57" s="312">
        <f t="shared" si="56"/>
        <v>66841</v>
      </c>
      <c r="CK57" s="312">
        <f t="shared" si="56"/>
        <v>67206</v>
      </c>
      <c r="CL57" s="312">
        <f t="shared" si="56"/>
        <v>67572</v>
      </c>
      <c r="CM57" s="312">
        <f t="shared" si="56"/>
        <v>67937</v>
      </c>
      <c r="CN57" s="312">
        <f t="shared" si="56"/>
        <v>68302</v>
      </c>
      <c r="CO57" s="312">
        <f t="shared" si="56"/>
        <v>68667</v>
      </c>
      <c r="CP57" s="312">
        <f t="shared" si="56"/>
        <v>69033</v>
      </c>
      <c r="CQ57" s="23" t="s">
        <v>77</v>
      </c>
    </row>
    <row r="58" spans="1:95" ht="5.0999999999999996" customHeight="1" x14ac:dyDescent="0.2">
      <c r="B58" s="107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  <c r="AZ58" s="108"/>
      <c r="BA58" s="108"/>
      <c r="BB58" s="108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23" t="s">
        <v>77</v>
      </c>
    </row>
    <row r="59" spans="1:95" outlineLevel="1" x14ac:dyDescent="0.2">
      <c r="B59" s="1" t="s">
        <v>317</v>
      </c>
      <c r="D59" s="3"/>
      <c r="E59" s="3"/>
      <c r="F59" s="3"/>
      <c r="G59" s="3"/>
      <c r="H59" s="3"/>
      <c r="I59" s="3"/>
      <c r="J59" s="3"/>
      <c r="K59" s="4"/>
      <c r="L59" s="3"/>
      <c r="M59" s="3"/>
      <c r="N59" s="3"/>
      <c r="O59" s="3"/>
      <c r="P59" s="3"/>
      <c r="Q59" s="3"/>
      <c r="R59" s="3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23" t="s">
        <v>77</v>
      </c>
    </row>
    <row r="60" spans="1:95" outlineLevel="1" x14ac:dyDescent="0.2">
      <c r="A60" s="98"/>
      <c r="B60" s="7" t="s">
        <v>318</v>
      </c>
      <c r="D60" s="9"/>
      <c r="E60" s="9"/>
      <c r="F60" s="9"/>
      <c r="G60" s="9"/>
      <c r="H60" s="9"/>
      <c r="I60" s="9"/>
      <c r="J60" s="9"/>
      <c r="S60" s="39"/>
      <c r="T60" s="39"/>
      <c r="U60" s="39"/>
      <c r="V60" s="157"/>
      <c r="W60" s="157"/>
      <c r="X60" s="157"/>
      <c r="Y60" s="157"/>
      <c r="Z60" s="157"/>
      <c r="AA60" s="157"/>
      <c r="AB60" s="157"/>
      <c r="AC60" s="157"/>
      <c r="AD60" s="157"/>
      <c r="AE60" s="157"/>
      <c r="AF60" s="157"/>
      <c r="AG60" s="157"/>
      <c r="AH60" s="157"/>
      <c r="AI60" s="157"/>
      <c r="AJ60" s="157"/>
      <c r="AK60" s="157"/>
      <c r="AL60" s="157"/>
      <c r="AM60" s="157"/>
      <c r="AN60" s="157"/>
      <c r="AO60" s="157"/>
      <c r="AP60" s="157"/>
      <c r="AQ60" s="157"/>
      <c r="AR60" s="157"/>
      <c r="AS60" s="157"/>
      <c r="AT60" s="157"/>
      <c r="AU60" s="157"/>
      <c r="AV60" s="157"/>
      <c r="AW60" s="157"/>
      <c r="AX60" s="157"/>
      <c r="AY60" s="157"/>
      <c r="AZ60" s="157"/>
      <c r="BA60" s="157"/>
      <c r="BB60" s="157"/>
      <c r="BC60" s="157"/>
      <c r="BD60" s="157"/>
      <c r="BE60" s="157"/>
      <c r="BF60" s="157"/>
      <c r="BG60" s="157"/>
      <c r="BH60" s="157"/>
      <c r="BI60" s="157"/>
      <c r="BJ60" s="157"/>
      <c r="BK60" s="157"/>
      <c r="BL60" s="157"/>
      <c r="BM60" s="157"/>
      <c r="BN60" s="157"/>
      <c r="BO60" s="157"/>
      <c r="BP60" s="157"/>
      <c r="BQ60" s="157"/>
      <c r="BR60" s="157"/>
      <c r="BS60" s="157"/>
      <c r="BT60" s="157"/>
      <c r="BU60" s="157"/>
      <c r="BV60" s="157"/>
      <c r="BW60" s="157"/>
      <c r="BX60" s="157"/>
      <c r="BY60" s="157"/>
      <c r="BZ60" s="157"/>
      <c r="CA60" s="157"/>
      <c r="CB60" s="157"/>
      <c r="CC60" s="157"/>
      <c r="CD60" s="157"/>
      <c r="CE60" s="157"/>
      <c r="CF60" s="157"/>
      <c r="CG60" s="157"/>
      <c r="CH60" s="157"/>
      <c r="CI60" s="157"/>
      <c r="CJ60" s="157"/>
      <c r="CK60" s="157"/>
      <c r="CL60" s="157"/>
      <c r="CM60" s="157"/>
      <c r="CN60" s="157"/>
      <c r="CO60" s="157"/>
      <c r="CP60" s="157"/>
      <c r="CQ60" s="23" t="s">
        <v>77</v>
      </c>
    </row>
    <row r="61" spans="1:95" outlineLevel="1" x14ac:dyDescent="0.2">
      <c r="B61" s="7" t="s">
        <v>328</v>
      </c>
      <c r="D61" s="9"/>
      <c r="E61" s="9"/>
      <c r="F61" s="9"/>
      <c r="G61" s="9"/>
      <c r="H61" s="9"/>
      <c r="I61" s="9"/>
      <c r="J61" s="9"/>
      <c r="S61" s="39"/>
      <c r="T61" s="39"/>
      <c r="U61" s="39"/>
      <c r="V61" s="157"/>
      <c r="W61" s="157"/>
      <c r="X61" s="157"/>
      <c r="Y61" s="157"/>
      <c r="Z61" s="157"/>
      <c r="AA61" s="157"/>
      <c r="AB61" s="157"/>
      <c r="AC61" s="157"/>
      <c r="AD61" s="157"/>
      <c r="AE61" s="157"/>
      <c r="AF61" s="157"/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57"/>
      <c r="AR61" s="157"/>
      <c r="AS61" s="157"/>
      <c r="AT61" s="157"/>
      <c r="AU61" s="157"/>
      <c r="AV61" s="157"/>
      <c r="AW61" s="157"/>
      <c r="AX61" s="157"/>
      <c r="AY61" s="157"/>
      <c r="AZ61" s="157"/>
      <c r="BA61" s="157"/>
      <c r="BB61" s="157"/>
      <c r="BC61" s="157"/>
      <c r="BD61" s="157"/>
      <c r="BE61" s="157"/>
      <c r="BF61" s="157"/>
      <c r="BG61" s="157"/>
      <c r="BH61" s="157"/>
      <c r="BI61" s="157"/>
      <c r="BJ61" s="157"/>
      <c r="BK61" s="157"/>
      <c r="BL61" s="157"/>
      <c r="BM61" s="157"/>
      <c r="BN61" s="157"/>
      <c r="BO61" s="157"/>
      <c r="BP61" s="157"/>
      <c r="BQ61" s="157"/>
      <c r="BR61" s="157"/>
      <c r="BS61" s="157"/>
      <c r="BT61" s="157"/>
      <c r="BU61" s="157"/>
      <c r="BV61" s="157"/>
      <c r="BW61" s="157"/>
      <c r="BX61" s="157"/>
      <c r="BY61" s="157"/>
      <c r="BZ61" s="157"/>
      <c r="CA61" s="157"/>
      <c r="CB61" s="157"/>
      <c r="CC61" s="157"/>
      <c r="CD61" s="157"/>
      <c r="CE61" s="157"/>
      <c r="CF61" s="157"/>
      <c r="CG61" s="157"/>
      <c r="CH61" s="157"/>
      <c r="CI61" s="157"/>
      <c r="CJ61" s="157"/>
      <c r="CK61" s="157"/>
      <c r="CL61" s="157"/>
      <c r="CM61" s="157"/>
      <c r="CN61" s="157"/>
      <c r="CO61" s="157"/>
      <c r="CP61" s="157"/>
      <c r="CQ61" s="23" t="s">
        <v>77</v>
      </c>
    </row>
    <row r="62" spans="1:95" outlineLevel="1" x14ac:dyDescent="0.2">
      <c r="B62" s="7" t="s">
        <v>14</v>
      </c>
      <c r="D62" s="9"/>
      <c r="E62" s="9"/>
      <c r="F62" s="9"/>
      <c r="G62" s="9"/>
      <c r="H62" s="9"/>
      <c r="I62" s="9"/>
      <c r="J62" s="9"/>
      <c r="S62" s="39"/>
      <c r="T62" s="39"/>
      <c r="U62" s="39"/>
      <c r="V62" s="157"/>
      <c r="W62" s="157"/>
      <c r="X62" s="157"/>
      <c r="Y62" s="157"/>
      <c r="Z62" s="157"/>
      <c r="AA62" s="157"/>
      <c r="AB62" s="157"/>
      <c r="AC62" s="157"/>
      <c r="AD62" s="157"/>
      <c r="AE62" s="157"/>
      <c r="AF62" s="157"/>
      <c r="AG62" s="157"/>
      <c r="AH62" s="157"/>
      <c r="AI62" s="157"/>
      <c r="AJ62" s="157"/>
      <c r="AK62" s="157"/>
      <c r="AL62" s="157"/>
      <c r="AM62" s="157"/>
      <c r="AN62" s="157"/>
      <c r="AO62" s="157"/>
      <c r="AP62" s="157"/>
      <c r="AQ62" s="157"/>
      <c r="AR62" s="157"/>
      <c r="AS62" s="157"/>
      <c r="AT62" s="157"/>
      <c r="AU62" s="157"/>
      <c r="AV62" s="157"/>
      <c r="AW62" s="157"/>
      <c r="AX62" s="157"/>
      <c r="AY62" s="157"/>
      <c r="AZ62" s="157"/>
      <c r="BA62" s="157"/>
      <c r="BB62" s="157"/>
      <c r="BC62" s="157"/>
      <c r="BD62" s="157"/>
      <c r="BE62" s="157"/>
      <c r="BF62" s="157"/>
      <c r="BG62" s="157"/>
      <c r="BH62" s="157"/>
      <c r="BI62" s="157"/>
      <c r="BJ62" s="157"/>
      <c r="BK62" s="157"/>
      <c r="BL62" s="157"/>
      <c r="BM62" s="157"/>
      <c r="BN62" s="157"/>
      <c r="BO62" s="157"/>
      <c r="BP62" s="157"/>
      <c r="BQ62" s="157"/>
      <c r="BR62" s="157"/>
      <c r="BS62" s="157"/>
      <c r="BT62" s="157"/>
      <c r="BU62" s="157"/>
      <c r="BV62" s="157"/>
      <c r="BW62" s="157"/>
      <c r="BX62" s="157"/>
      <c r="BY62" s="157"/>
      <c r="BZ62" s="157"/>
      <c r="CA62" s="157"/>
      <c r="CB62" s="157"/>
      <c r="CC62" s="157"/>
      <c r="CD62" s="157"/>
      <c r="CE62" s="157"/>
      <c r="CF62" s="157"/>
      <c r="CG62" s="157"/>
      <c r="CH62" s="157"/>
      <c r="CI62" s="157"/>
      <c r="CJ62" s="157"/>
      <c r="CK62" s="157"/>
      <c r="CL62" s="157"/>
      <c r="CM62" s="157"/>
      <c r="CN62" s="157"/>
      <c r="CO62" s="157"/>
      <c r="CP62" s="157"/>
      <c r="CQ62" s="23" t="s">
        <v>77</v>
      </c>
    </row>
    <row r="63" spans="1:95" outlineLevel="1" x14ac:dyDescent="0.2">
      <c r="B63" s="7" t="s">
        <v>319</v>
      </c>
      <c r="D63" s="9"/>
      <c r="E63" s="9"/>
      <c r="F63" s="9"/>
      <c r="G63" s="9"/>
      <c r="H63" s="9"/>
      <c r="I63" s="9"/>
      <c r="J63" s="9"/>
      <c r="S63" s="39"/>
      <c r="T63" s="39"/>
      <c r="U63" s="39"/>
      <c r="V63" s="157"/>
      <c r="W63" s="157"/>
      <c r="X63" s="157"/>
      <c r="Y63" s="157"/>
      <c r="Z63" s="157"/>
      <c r="AA63" s="157"/>
      <c r="AB63" s="157"/>
      <c r="AC63" s="157"/>
      <c r="AD63" s="157"/>
      <c r="AE63" s="157"/>
      <c r="AF63" s="157"/>
      <c r="AG63" s="157"/>
      <c r="AH63" s="157"/>
      <c r="AI63" s="157"/>
      <c r="AJ63" s="157"/>
      <c r="AK63" s="157"/>
      <c r="AL63" s="157"/>
      <c r="AM63" s="157"/>
      <c r="AN63" s="157"/>
      <c r="AO63" s="157"/>
      <c r="AP63" s="157"/>
      <c r="AQ63" s="157"/>
      <c r="AR63" s="157"/>
      <c r="AS63" s="157"/>
      <c r="AT63" s="157"/>
      <c r="AU63" s="157"/>
      <c r="AV63" s="157"/>
      <c r="AW63" s="157"/>
      <c r="AX63" s="157"/>
      <c r="AY63" s="157"/>
      <c r="AZ63" s="157"/>
      <c r="BA63" s="157"/>
      <c r="BB63" s="157"/>
      <c r="BC63" s="157"/>
      <c r="BD63" s="157"/>
      <c r="BE63" s="157"/>
      <c r="BF63" s="157"/>
      <c r="BG63" s="157"/>
      <c r="BH63" s="157"/>
      <c r="BI63" s="157"/>
      <c r="BJ63" s="157"/>
      <c r="BK63" s="157"/>
      <c r="BL63" s="157"/>
      <c r="BM63" s="157"/>
      <c r="BN63" s="157"/>
      <c r="BO63" s="157"/>
      <c r="BP63" s="157"/>
      <c r="BQ63" s="157"/>
      <c r="BR63" s="157"/>
      <c r="BS63" s="157"/>
      <c r="BT63" s="157"/>
      <c r="BU63" s="157"/>
      <c r="BV63" s="157"/>
      <c r="BW63" s="157"/>
      <c r="BX63" s="157"/>
      <c r="BY63" s="157"/>
      <c r="BZ63" s="157"/>
      <c r="CA63" s="157"/>
      <c r="CB63" s="157"/>
      <c r="CC63" s="157"/>
      <c r="CD63" s="157"/>
      <c r="CE63" s="157"/>
      <c r="CF63" s="157"/>
      <c r="CG63" s="157"/>
      <c r="CH63" s="157"/>
      <c r="CI63" s="157"/>
      <c r="CJ63" s="157"/>
      <c r="CK63" s="157"/>
      <c r="CL63" s="157"/>
      <c r="CM63" s="157"/>
      <c r="CN63" s="157"/>
      <c r="CO63" s="157"/>
      <c r="CP63" s="157"/>
      <c r="CQ63" s="23" t="s">
        <v>77</v>
      </c>
    </row>
    <row r="64" spans="1:95" outlineLevel="1" x14ac:dyDescent="0.2">
      <c r="A64" s="233"/>
      <c r="B64" s="1" t="s">
        <v>320</v>
      </c>
      <c r="D64" s="3"/>
      <c r="E64" s="3">
        <f>SUM(E59:E63)</f>
        <v>0</v>
      </c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23" t="s">
        <v>77</v>
      </c>
    </row>
    <row r="65" spans="1:96" ht="5.0999999999999996" customHeight="1" outlineLevel="1" x14ac:dyDescent="0.2">
      <c r="CQ65" s="23" t="s">
        <v>77</v>
      </c>
    </row>
    <row r="66" spans="1:96" outlineLevel="1" x14ac:dyDescent="0.2">
      <c r="A66" s="233"/>
      <c r="B66" s="358" t="s">
        <v>323</v>
      </c>
      <c r="D66" s="66"/>
      <c r="E66" s="66"/>
      <c r="F66" s="66"/>
      <c r="G66" s="66"/>
      <c r="H66" s="66"/>
      <c r="I66" s="66"/>
      <c r="J66" s="66"/>
      <c r="K66" s="66"/>
      <c r="L66" s="66"/>
      <c r="M66" s="66"/>
      <c r="N66" s="66"/>
      <c r="O66" s="66"/>
      <c r="P66" s="66"/>
      <c r="Q66" s="66"/>
      <c r="R66" s="66"/>
      <c r="S66" s="66"/>
      <c r="T66" s="66"/>
      <c r="U66" s="66"/>
      <c r="V66" s="66"/>
      <c r="W66" s="66"/>
      <c r="X66" s="66"/>
      <c r="Y66" s="66"/>
      <c r="Z66" s="66"/>
      <c r="AA66" s="66"/>
      <c r="AB66" s="66"/>
      <c r="AC66" s="66"/>
      <c r="AD66" s="66"/>
      <c r="AE66" s="66"/>
      <c r="AF66" s="66"/>
      <c r="AG66" s="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  <c r="AZ66" s="66"/>
      <c r="BA66" s="66"/>
      <c r="BB66" s="66"/>
      <c r="BC66" s="66"/>
      <c r="BD66" s="66"/>
      <c r="BE66" s="66"/>
      <c r="BF66" s="66"/>
      <c r="BG66" s="66"/>
      <c r="BH66" s="66"/>
      <c r="BI66" s="66"/>
      <c r="BJ66" s="66"/>
      <c r="BK66" s="66"/>
      <c r="BL66" s="66"/>
      <c r="BM66" s="66"/>
      <c r="BN66" s="66"/>
      <c r="BO66" s="66"/>
      <c r="BP66" s="66"/>
      <c r="BQ66" s="66"/>
      <c r="BR66" s="66"/>
      <c r="BS66" s="66"/>
      <c r="BT66" s="66"/>
      <c r="BU66" s="66"/>
      <c r="BV66" s="66"/>
      <c r="BW66" s="66"/>
      <c r="BX66" s="66"/>
      <c r="BY66" s="66"/>
      <c r="BZ66" s="66"/>
      <c r="CA66" s="66"/>
      <c r="CB66" s="66"/>
      <c r="CC66" s="66"/>
      <c r="CD66" s="66"/>
      <c r="CE66" s="66"/>
      <c r="CF66" s="66"/>
      <c r="CG66" s="66"/>
      <c r="CH66" s="66"/>
      <c r="CI66" s="66"/>
      <c r="CJ66" s="66"/>
      <c r="CK66" s="66"/>
      <c r="CL66" s="66"/>
      <c r="CM66" s="66"/>
      <c r="CN66" s="66"/>
      <c r="CO66" s="66"/>
      <c r="CP66" s="66"/>
      <c r="CQ66" s="23" t="s">
        <v>77</v>
      </c>
      <c r="CR66" s="233"/>
    </row>
    <row r="67" spans="1:96" outlineLevel="1" x14ac:dyDescent="0.2">
      <c r="B67" s="8" t="s">
        <v>51</v>
      </c>
      <c r="D67" s="75"/>
      <c r="E67" s="72"/>
      <c r="F67" s="72"/>
      <c r="G67" s="72"/>
      <c r="H67" s="72"/>
      <c r="I67" s="72"/>
      <c r="J67" s="72"/>
      <c r="K67" s="125">
        <v>5.2900000000000003E-2</v>
      </c>
      <c r="L67" s="72">
        <f t="shared" ref="L67:N76" si="57">+K67</f>
        <v>5.2900000000000003E-2</v>
      </c>
      <c r="M67" s="72">
        <f t="shared" si="57"/>
        <v>5.2900000000000003E-2</v>
      </c>
      <c r="N67" s="72">
        <f t="shared" si="57"/>
        <v>5.2900000000000003E-2</v>
      </c>
      <c r="O67" s="72">
        <f t="shared" ref="O67:R76" si="58">+N67</f>
        <v>5.2900000000000003E-2</v>
      </c>
      <c r="P67" s="72">
        <f t="shared" si="58"/>
        <v>5.2900000000000003E-2</v>
      </c>
      <c r="Q67" s="72">
        <f t="shared" si="58"/>
        <v>5.2900000000000003E-2</v>
      </c>
      <c r="R67" s="72">
        <f t="shared" si="58"/>
        <v>5.2900000000000003E-2</v>
      </c>
      <c r="S67" s="125">
        <v>0.04</v>
      </c>
      <c r="T67" s="72">
        <f t="shared" ref="T67:BC73" si="59">+S67</f>
        <v>0.04</v>
      </c>
      <c r="U67" s="72">
        <f t="shared" si="59"/>
        <v>0.04</v>
      </c>
      <c r="V67" s="72">
        <f t="shared" si="59"/>
        <v>0.04</v>
      </c>
      <c r="W67" s="210">
        <f t="shared" si="59"/>
        <v>0.04</v>
      </c>
      <c r="X67" s="162">
        <v>4.4999999999999998E-2</v>
      </c>
      <c r="Y67" s="72">
        <f t="shared" si="59"/>
        <v>4.4999999999999998E-2</v>
      </c>
      <c r="Z67" s="72">
        <f t="shared" si="59"/>
        <v>4.4999999999999998E-2</v>
      </c>
      <c r="AA67" s="72">
        <f t="shared" si="59"/>
        <v>4.4999999999999998E-2</v>
      </c>
      <c r="AB67" s="72">
        <f t="shared" si="59"/>
        <v>4.4999999999999998E-2</v>
      </c>
      <c r="AC67" s="72">
        <f t="shared" si="59"/>
        <v>4.4999999999999998E-2</v>
      </c>
      <c r="AD67" s="72">
        <f t="shared" si="59"/>
        <v>4.4999999999999998E-2</v>
      </c>
      <c r="AE67" s="72">
        <f t="shared" si="59"/>
        <v>4.4999999999999998E-2</v>
      </c>
      <c r="AF67" s="72">
        <f t="shared" si="59"/>
        <v>4.4999999999999998E-2</v>
      </c>
      <c r="AG67" s="72">
        <f t="shared" si="59"/>
        <v>4.4999999999999998E-2</v>
      </c>
      <c r="AH67" s="72">
        <f t="shared" si="59"/>
        <v>4.4999999999999998E-2</v>
      </c>
      <c r="AI67" s="72">
        <f t="shared" si="59"/>
        <v>4.4999999999999998E-2</v>
      </c>
      <c r="AJ67" s="72">
        <f t="shared" si="59"/>
        <v>4.4999999999999998E-2</v>
      </c>
      <c r="AK67" s="72">
        <f t="shared" si="59"/>
        <v>4.4999999999999998E-2</v>
      </c>
      <c r="AL67" s="72">
        <f t="shared" si="59"/>
        <v>4.4999999999999998E-2</v>
      </c>
      <c r="AM67" s="72">
        <f t="shared" si="59"/>
        <v>4.4999999999999998E-2</v>
      </c>
      <c r="AN67" s="72">
        <f t="shared" si="59"/>
        <v>4.4999999999999998E-2</v>
      </c>
      <c r="AO67" s="72">
        <f t="shared" si="59"/>
        <v>4.4999999999999998E-2</v>
      </c>
      <c r="AP67" s="72">
        <f t="shared" si="59"/>
        <v>4.4999999999999998E-2</v>
      </c>
      <c r="AQ67" s="72">
        <f t="shared" si="59"/>
        <v>4.4999999999999998E-2</v>
      </c>
      <c r="AR67" s="72">
        <f t="shared" si="59"/>
        <v>4.4999999999999998E-2</v>
      </c>
      <c r="AS67" s="72">
        <f t="shared" si="59"/>
        <v>4.4999999999999998E-2</v>
      </c>
      <c r="AT67" s="72">
        <f t="shared" si="59"/>
        <v>4.4999999999999998E-2</v>
      </c>
      <c r="AU67" s="72">
        <f t="shared" si="59"/>
        <v>4.4999999999999998E-2</v>
      </c>
      <c r="AV67" s="72">
        <f t="shared" si="59"/>
        <v>4.4999999999999998E-2</v>
      </c>
      <c r="AW67" s="72">
        <f t="shared" si="59"/>
        <v>4.4999999999999998E-2</v>
      </c>
      <c r="AX67" s="72">
        <f t="shared" si="59"/>
        <v>4.4999999999999998E-2</v>
      </c>
      <c r="AY67" s="72">
        <f t="shared" si="59"/>
        <v>4.4999999999999998E-2</v>
      </c>
      <c r="AZ67" s="72">
        <f t="shared" si="59"/>
        <v>4.4999999999999998E-2</v>
      </c>
      <c r="BA67" s="72">
        <f t="shared" si="59"/>
        <v>4.4999999999999998E-2</v>
      </c>
      <c r="BB67" s="72">
        <f t="shared" si="59"/>
        <v>4.4999999999999998E-2</v>
      </c>
      <c r="BC67" s="72">
        <f t="shared" si="59"/>
        <v>4.4999999999999998E-2</v>
      </c>
      <c r="BD67" s="72">
        <f t="shared" ref="BD67:BD76" si="60">+BC67</f>
        <v>4.4999999999999998E-2</v>
      </c>
      <c r="BE67" s="72">
        <f t="shared" ref="BE67:CP67" si="61">+BD67</f>
        <v>4.4999999999999998E-2</v>
      </c>
      <c r="BF67" s="72">
        <f t="shared" si="61"/>
        <v>4.4999999999999998E-2</v>
      </c>
      <c r="BG67" s="72">
        <f t="shared" si="61"/>
        <v>4.4999999999999998E-2</v>
      </c>
      <c r="BH67" s="72">
        <f t="shared" si="61"/>
        <v>4.4999999999999998E-2</v>
      </c>
      <c r="BI67" s="72">
        <f t="shared" si="61"/>
        <v>4.4999999999999998E-2</v>
      </c>
      <c r="BJ67" s="72">
        <f t="shared" si="61"/>
        <v>4.4999999999999998E-2</v>
      </c>
      <c r="BK67" s="72">
        <f t="shared" si="61"/>
        <v>4.4999999999999998E-2</v>
      </c>
      <c r="BL67" s="72">
        <f t="shared" si="61"/>
        <v>4.4999999999999998E-2</v>
      </c>
      <c r="BM67" s="72">
        <f t="shared" si="61"/>
        <v>4.4999999999999998E-2</v>
      </c>
      <c r="BN67" s="72">
        <f t="shared" si="61"/>
        <v>4.4999999999999998E-2</v>
      </c>
      <c r="BO67" s="72">
        <f t="shared" si="61"/>
        <v>4.4999999999999998E-2</v>
      </c>
      <c r="BP67" s="72">
        <f t="shared" si="61"/>
        <v>4.4999999999999998E-2</v>
      </c>
      <c r="BQ67" s="72">
        <f t="shared" si="61"/>
        <v>4.4999999999999998E-2</v>
      </c>
      <c r="BR67" s="72">
        <f t="shared" si="61"/>
        <v>4.4999999999999998E-2</v>
      </c>
      <c r="BS67" s="72">
        <f t="shared" si="61"/>
        <v>4.4999999999999998E-2</v>
      </c>
      <c r="BT67" s="72">
        <f t="shared" si="61"/>
        <v>4.4999999999999998E-2</v>
      </c>
      <c r="BU67" s="72">
        <f t="shared" si="61"/>
        <v>4.4999999999999998E-2</v>
      </c>
      <c r="BV67" s="72">
        <f t="shared" si="61"/>
        <v>4.4999999999999998E-2</v>
      </c>
      <c r="BW67" s="72">
        <f t="shared" si="61"/>
        <v>4.4999999999999998E-2</v>
      </c>
      <c r="BX67" s="72">
        <f t="shared" si="61"/>
        <v>4.4999999999999998E-2</v>
      </c>
      <c r="BY67" s="72">
        <f t="shared" si="61"/>
        <v>4.4999999999999998E-2</v>
      </c>
      <c r="BZ67" s="72">
        <f t="shared" si="61"/>
        <v>4.4999999999999998E-2</v>
      </c>
      <c r="CA67" s="72">
        <f t="shared" si="61"/>
        <v>4.4999999999999998E-2</v>
      </c>
      <c r="CB67" s="72">
        <f t="shared" si="61"/>
        <v>4.4999999999999998E-2</v>
      </c>
      <c r="CC67" s="72">
        <f t="shared" si="61"/>
        <v>4.4999999999999998E-2</v>
      </c>
      <c r="CD67" s="72">
        <f t="shared" si="61"/>
        <v>4.4999999999999998E-2</v>
      </c>
      <c r="CE67" s="72">
        <f t="shared" si="61"/>
        <v>4.4999999999999998E-2</v>
      </c>
      <c r="CF67" s="72">
        <f t="shared" si="61"/>
        <v>4.4999999999999998E-2</v>
      </c>
      <c r="CG67" s="72">
        <f t="shared" si="61"/>
        <v>4.4999999999999998E-2</v>
      </c>
      <c r="CH67" s="72">
        <f t="shared" si="61"/>
        <v>4.4999999999999998E-2</v>
      </c>
      <c r="CI67" s="72">
        <f t="shared" si="61"/>
        <v>4.4999999999999998E-2</v>
      </c>
      <c r="CJ67" s="72">
        <f t="shared" si="61"/>
        <v>4.4999999999999998E-2</v>
      </c>
      <c r="CK67" s="72">
        <f t="shared" si="61"/>
        <v>4.4999999999999998E-2</v>
      </c>
      <c r="CL67" s="72">
        <f t="shared" si="61"/>
        <v>4.4999999999999998E-2</v>
      </c>
      <c r="CM67" s="72">
        <f t="shared" si="61"/>
        <v>4.4999999999999998E-2</v>
      </c>
      <c r="CN67" s="72">
        <f t="shared" si="61"/>
        <v>4.4999999999999998E-2</v>
      </c>
      <c r="CO67" s="72">
        <f t="shared" si="61"/>
        <v>4.4999999999999998E-2</v>
      </c>
      <c r="CP67" s="72">
        <f t="shared" si="61"/>
        <v>4.4999999999999998E-2</v>
      </c>
      <c r="CQ67" s="23" t="s">
        <v>77</v>
      </c>
    </row>
    <row r="68" spans="1:96" outlineLevel="1" x14ac:dyDescent="0.2">
      <c r="B68" s="8" t="s">
        <v>53</v>
      </c>
      <c r="D68" s="72"/>
      <c r="E68" s="72"/>
      <c r="F68" s="72"/>
      <c r="G68" s="72"/>
      <c r="H68" s="72"/>
      <c r="I68" s="72"/>
      <c r="J68" s="72"/>
      <c r="K68" s="125">
        <v>2.1899999999999999E-2</v>
      </c>
      <c r="L68" s="72">
        <f t="shared" si="57"/>
        <v>2.1899999999999999E-2</v>
      </c>
      <c r="M68" s="72">
        <f t="shared" si="57"/>
        <v>2.1899999999999999E-2</v>
      </c>
      <c r="N68" s="72">
        <f t="shared" si="57"/>
        <v>2.1899999999999999E-2</v>
      </c>
      <c r="O68" s="72">
        <f t="shared" si="58"/>
        <v>2.1899999999999999E-2</v>
      </c>
      <c r="P68" s="72">
        <f t="shared" si="58"/>
        <v>2.1899999999999999E-2</v>
      </c>
      <c r="Q68" s="72">
        <f t="shared" si="58"/>
        <v>2.1899999999999999E-2</v>
      </c>
      <c r="R68" s="72">
        <f t="shared" si="58"/>
        <v>2.1899999999999999E-2</v>
      </c>
      <c r="S68" s="125">
        <v>2.5499999999999998E-2</v>
      </c>
      <c r="T68" s="72">
        <f t="shared" si="59"/>
        <v>2.5499999999999998E-2</v>
      </c>
      <c r="U68" s="72">
        <f t="shared" si="59"/>
        <v>2.5499999999999998E-2</v>
      </c>
      <c r="V68" s="72">
        <f t="shared" si="59"/>
        <v>2.5499999999999998E-2</v>
      </c>
      <c r="W68" s="210">
        <f t="shared" si="59"/>
        <v>2.5499999999999998E-2</v>
      </c>
      <c r="X68" s="164">
        <v>2.5000000000000001E-2</v>
      </c>
      <c r="Y68" s="72">
        <f t="shared" si="59"/>
        <v>2.5000000000000001E-2</v>
      </c>
      <c r="Z68" s="72">
        <f t="shared" si="59"/>
        <v>2.5000000000000001E-2</v>
      </c>
      <c r="AA68" s="72">
        <f t="shared" si="59"/>
        <v>2.5000000000000001E-2</v>
      </c>
      <c r="AB68" s="72">
        <f t="shared" si="59"/>
        <v>2.5000000000000001E-2</v>
      </c>
      <c r="AC68" s="72">
        <f t="shared" si="59"/>
        <v>2.5000000000000001E-2</v>
      </c>
      <c r="AD68" s="72">
        <f t="shared" si="59"/>
        <v>2.5000000000000001E-2</v>
      </c>
      <c r="AE68" s="72">
        <f t="shared" si="59"/>
        <v>2.5000000000000001E-2</v>
      </c>
      <c r="AF68" s="72">
        <f t="shared" si="59"/>
        <v>2.5000000000000001E-2</v>
      </c>
      <c r="AG68" s="72">
        <f t="shared" si="59"/>
        <v>2.5000000000000001E-2</v>
      </c>
      <c r="AH68" s="72">
        <f t="shared" si="59"/>
        <v>2.5000000000000001E-2</v>
      </c>
      <c r="AI68" s="72">
        <f t="shared" si="59"/>
        <v>2.5000000000000001E-2</v>
      </c>
      <c r="AJ68" s="72">
        <f t="shared" si="59"/>
        <v>2.5000000000000001E-2</v>
      </c>
      <c r="AK68" s="72">
        <f t="shared" si="59"/>
        <v>2.5000000000000001E-2</v>
      </c>
      <c r="AL68" s="72">
        <f t="shared" si="59"/>
        <v>2.5000000000000001E-2</v>
      </c>
      <c r="AM68" s="72">
        <f t="shared" si="59"/>
        <v>2.5000000000000001E-2</v>
      </c>
      <c r="AN68" s="72">
        <f t="shared" si="59"/>
        <v>2.5000000000000001E-2</v>
      </c>
      <c r="AO68" s="72">
        <f t="shared" si="59"/>
        <v>2.5000000000000001E-2</v>
      </c>
      <c r="AP68" s="72">
        <f t="shared" si="59"/>
        <v>2.5000000000000001E-2</v>
      </c>
      <c r="AQ68" s="72">
        <f t="shared" si="59"/>
        <v>2.5000000000000001E-2</v>
      </c>
      <c r="AR68" s="72">
        <f t="shared" si="59"/>
        <v>2.5000000000000001E-2</v>
      </c>
      <c r="AS68" s="72">
        <f t="shared" si="59"/>
        <v>2.5000000000000001E-2</v>
      </c>
      <c r="AT68" s="72">
        <f t="shared" si="59"/>
        <v>2.5000000000000001E-2</v>
      </c>
      <c r="AU68" s="72">
        <f t="shared" si="59"/>
        <v>2.5000000000000001E-2</v>
      </c>
      <c r="AV68" s="72">
        <f t="shared" si="59"/>
        <v>2.5000000000000001E-2</v>
      </c>
      <c r="AW68" s="72">
        <f t="shared" si="59"/>
        <v>2.5000000000000001E-2</v>
      </c>
      <c r="AX68" s="72">
        <f t="shared" si="59"/>
        <v>2.5000000000000001E-2</v>
      </c>
      <c r="AY68" s="72">
        <f t="shared" si="59"/>
        <v>2.5000000000000001E-2</v>
      </c>
      <c r="AZ68" s="72">
        <f t="shared" si="59"/>
        <v>2.5000000000000001E-2</v>
      </c>
      <c r="BA68" s="72">
        <f t="shared" si="59"/>
        <v>2.5000000000000001E-2</v>
      </c>
      <c r="BB68" s="72">
        <f t="shared" si="59"/>
        <v>2.5000000000000001E-2</v>
      </c>
      <c r="BC68" s="72">
        <f t="shared" si="59"/>
        <v>2.5000000000000001E-2</v>
      </c>
      <c r="BD68" s="72">
        <f t="shared" si="60"/>
        <v>2.5000000000000001E-2</v>
      </c>
      <c r="BE68" s="72">
        <f t="shared" ref="BE68:CP68" si="62">+BD68</f>
        <v>2.5000000000000001E-2</v>
      </c>
      <c r="BF68" s="72">
        <f t="shared" si="62"/>
        <v>2.5000000000000001E-2</v>
      </c>
      <c r="BG68" s="72">
        <f t="shared" si="62"/>
        <v>2.5000000000000001E-2</v>
      </c>
      <c r="BH68" s="72">
        <f t="shared" si="62"/>
        <v>2.5000000000000001E-2</v>
      </c>
      <c r="BI68" s="72">
        <f t="shared" si="62"/>
        <v>2.5000000000000001E-2</v>
      </c>
      <c r="BJ68" s="72">
        <f t="shared" si="62"/>
        <v>2.5000000000000001E-2</v>
      </c>
      <c r="BK68" s="72">
        <f t="shared" si="62"/>
        <v>2.5000000000000001E-2</v>
      </c>
      <c r="BL68" s="72">
        <f t="shared" si="62"/>
        <v>2.5000000000000001E-2</v>
      </c>
      <c r="BM68" s="72">
        <f t="shared" si="62"/>
        <v>2.5000000000000001E-2</v>
      </c>
      <c r="BN68" s="72">
        <f t="shared" si="62"/>
        <v>2.5000000000000001E-2</v>
      </c>
      <c r="BO68" s="72">
        <f t="shared" si="62"/>
        <v>2.5000000000000001E-2</v>
      </c>
      <c r="BP68" s="72">
        <f t="shared" si="62"/>
        <v>2.5000000000000001E-2</v>
      </c>
      <c r="BQ68" s="72">
        <f t="shared" si="62"/>
        <v>2.5000000000000001E-2</v>
      </c>
      <c r="BR68" s="72">
        <f t="shared" si="62"/>
        <v>2.5000000000000001E-2</v>
      </c>
      <c r="BS68" s="72">
        <f t="shared" si="62"/>
        <v>2.5000000000000001E-2</v>
      </c>
      <c r="BT68" s="72">
        <f t="shared" si="62"/>
        <v>2.5000000000000001E-2</v>
      </c>
      <c r="BU68" s="72">
        <f t="shared" si="62"/>
        <v>2.5000000000000001E-2</v>
      </c>
      <c r="BV68" s="72">
        <f t="shared" si="62"/>
        <v>2.5000000000000001E-2</v>
      </c>
      <c r="BW68" s="72">
        <f t="shared" si="62"/>
        <v>2.5000000000000001E-2</v>
      </c>
      <c r="BX68" s="72">
        <f t="shared" si="62"/>
        <v>2.5000000000000001E-2</v>
      </c>
      <c r="BY68" s="72">
        <f t="shared" si="62"/>
        <v>2.5000000000000001E-2</v>
      </c>
      <c r="BZ68" s="72">
        <f t="shared" si="62"/>
        <v>2.5000000000000001E-2</v>
      </c>
      <c r="CA68" s="72">
        <f t="shared" si="62"/>
        <v>2.5000000000000001E-2</v>
      </c>
      <c r="CB68" s="72">
        <f t="shared" si="62"/>
        <v>2.5000000000000001E-2</v>
      </c>
      <c r="CC68" s="72">
        <f t="shared" si="62"/>
        <v>2.5000000000000001E-2</v>
      </c>
      <c r="CD68" s="72">
        <f t="shared" si="62"/>
        <v>2.5000000000000001E-2</v>
      </c>
      <c r="CE68" s="72">
        <f t="shared" si="62"/>
        <v>2.5000000000000001E-2</v>
      </c>
      <c r="CF68" s="72">
        <f t="shared" si="62"/>
        <v>2.5000000000000001E-2</v>
      </c>
      <c r="CG68" s="72">
        <f t="shared" si="62"/>
        <v>2.5000000000000001E-2</v>
      </c>
      <c r="CH68" s="72">
        <f t="shared" si="62"/>
        <v>2.5000000000000001E-2</v>
      </c>
      <c r="CI68" s="72">
        <f t="shared" si="62"/>
        <v>2.5000000000000001E-2</v>
      </c>
      <c r="CJ68" s="72">
        <f t="shared" si="62"/>
        <v>2.5000000000000001E-2</v>
      </c>
      <c r="CK68" s="72">
        <f t="shared" si="62"/>
        <v>2.5000000000000001E-2</v>
      </c>
      <c r="CL68" s="72">
        <f t="shared" si="62"/>
        <v>2.5000000000000001E-2</v>
      </c>
      <c r="CM68" s="72">
        <f t="shared" si="62"/>
        <v>2.5000000000000001E-2</v>
      </c>
      <c r="CN68" s="72">
        <f t="shared" si="62"/>
        <v>2.5000000000000001E-2</v>
      </c>
      <c r="CO68" s="72">
        <f t="shared" si="62"/>
        <v>2.5000000000000001E-2</v>
      </c>
      <c r="CP68" s="72">
        <f t="shared" si="62"/>
        <v>2.5000000000000001E-2</v>
      </c>
      <c r="CQ68" s="23" t="s">
        <v>77</v>
      </c>
    </row>
    <row r="69" spans="1:96" outlineLevel="1" x14ac:dyDescent="0.2">
      <c r="B69" s="8" t="s">
        <v>52</v>
      </c>
      <c r="D69" s="72"/>
      <c r="E69" s="72"/>
      <c r="F69" s="72"/>
      <c r="G69" s="72"/>
      <c r="H69" s="72"/>
      <c r="I69" s="72"/>
      <c r="J69" s="72"/>
      <c r="K69" s="79">
        <f>(1+K67)/(1+K68)-1</f>
        <v>3.0335649280751387E-2</v>
      </c>
      <c r="L69" s="72">
        <f t="shared" si="57"/>
        <v>3.0335649280751387E-2</v>
      </c>
      <c r="M69" s="72">
        <f t="shared" si="57"/>
        <v>3.0335649280751387E-2</v>
      </c>
      <c r="N69" s="72">
        <f t="shared" si="57"/>
        <v>3.0335649280751387E-2</v>
      </c>
      <c r="O69" s="72">
        <f t="shared" si="58"/>
        <v>3.0335649280751387E-2</v>
      </c>
      <c r="P69" s="72">
        <f t="shared" si="58"/>
        <v>3.0335649280751387E-2</v>
      </c>
      <c r="Q69" s="72">
        <f t="shared" si="58"/>
        <v>3.0335649280751387E-2</v>
      </c>
      <c r="R69" s="72">
        <f t="shared" si="58"/>
        <v>3.0335649280751387E-2</v>
      </c>
      <c r="S69" s="79">
        <f>(1+S67)/(1+S68)-1</f>
        <v>1.4139444173573823E-2</v>
      </c>
      <c r="T69" s="72">
        <f t="shared" si="59"/>
        <v>1.4139444173573823E-2</v>
      </c>
      <c r="U69" s="72">
        <f t="shared" si="59"/>
        <v>1.4139444173573823E-2</v>
      </c>
      <c r="V69" s="72">
        <f t="shared" si="59"/>
        <v>1.4139444173573823E-2</v>
      </c>
      <c r="W69" s="210">
        <f t="shared" si="59"/>
        <v>1.4139444173573823E-2</v>
      </c>
      <c r="X69" s="165">
        <f>(1+X67)/(1+X68)-1</f>
        <v>1.9512195121951237E-2</v>
      </c>
      <c r="Y69" s="72">
        <f t="shared" si="59"/>
        <v>1.9512195121951237E-2</v>
      </c>
      <c r="Z69" s="72">
        <f t="shared" si="59"/>
        <v>1.9512195121951237E-2</v>
      </c>
      <c r="AA69" s="72">
        <f t="shared" si="59"/>
        <v>1.9512195121951237E-2</v>
      </c>
      <c r="AB69" s="72">
        <f t="shared" si="59"/>
        <v>1.9512195121951237E-2</v>
      </c>
      <c r="AC69" s="72">
        <f t="shared" si="59"/>
        <v>1.9512195121951237E-2</v>
      </c>
      <c r="AD69" s="72">
        <f t="shared" si="59"/>
        <v>1.9512195121951237E-2</v>
      </c>
      <c r="AE69" s="72">
        <f t="shared" si="59"/>
        <v>1.9512195121951237E-2</v>
      </c>
      <c r="AF69" s="72">
        <f t="shared" si="59"/>
        <v>1.9512195121951237E-2</v>
      </c>
      <c r="AG69" s="72">
        <f t="shared" si="59"/>
        <v>1.9512195121951237E-2</v>
      </c>
      <c r="AH69" s="72">
        <f t="shared" si="59"/>
        <v>1.9512195121951237E-2</v>
      </c>
      <c r="AI69" s="72">
        <f t="shared" si="59"/>
        <v>1.9512195121951237E-2</v>
      </c>
      <c r="AJ69" s="72">
        <f t="shared" si="59"/>
        <v>1.9512195121951237E-2</v>
      </c>
      <c r="AK69" s="72">
        <f t="shared" si="59"/>
        <v>1.9512195121951237E-2</v>
      </c>
      <c r="AL69" s="72">
        <f t="shared" si="59"/>
        <v>1.9512195121951237E-2</v>
      </c>
      <c r="AM69" s="72">
        <f t="shared" si="59"/>
        <v>1.9512195121951237E-2</v>
      </c>
      <c r="AN69" s="72">
        <f t="shared" si="59"/>
        <v>1.9512195121951237E-2</v>
      </c>
      <c r="AO69" s="72">
        <f t="shared" si="59"/>
        <v>1.9512195121951237E-2</v>
      </c>
      <c r="AP69" s="72">
        <f t="shared" si="59"/>
        <v>1.9512195121951237E-2</v>
      </c>
      <c r="AQ69" s="72">
        <f t="shared" si="59"/>
        <v>1.9512195121951237E-2</v>
      </c>
      <c r="AR69" s="72">
        <f t="shared" si="59"/>
        <v>1.9512195121951237E-2</v>
      </c>
      <c r="AS69" s="72">
        <f t="shared" si="59"/>
        <v>1.9512195121951237E-2</v>
      </c>
      <c r="AT69" s="72">
        <f t="shared" si="59"/>
        <v>1.9512195121951237E-2</v>
      </c>
      <c r="AU69" s="72">
        <f t="shared" si="59"/>
        <v>1.9512195121951237E-2</v>
      </c>
      <c r="AV69" s="72">
        <f t="shared" si="59"/>
        <v>1.9512195121951237E-2</v>
      </c>
      <c r="AW69" s="72">
        <f t="shared" si="59"/>
        <v>1.9512195121951237E-2</v>
      </c>
      <c r="AX69" s="72">
        <f t="shared" si="59"/>
        <v>1.9512195121951237E-2</v>
      </c>
      <c r="AY69" s="72">
        <f t="shared" si="59"/>
        <v>1.9512195121951237E-2</v>
      </c>
      <c r="AZ69" s="72">
        <f t="shared" si="59"/>
        <v>1.9512195121951237E-2</v>
      </c>
      <c r="BA69" s="72">
        <f t="shared" si="59"/>
        <v>1.9512195121951237E-2</v>
      </c>
      <c r="BB69" s="72">
        <f t="shared" si="59"/>
        <v>1.9512195121951237E-2</v>
      </c>
      <c r="BC69" s="72">
        <f t="shared" si="59"/>
        <v>1.9512195121951237E-2</v>
      </c>
      <c r="BD69" s="72">
        <f t="shared" si="60"/>
        <v>1.9512195121951237E-2</v>
      </c>
      <c r="BE69" s="72">
        <f t="shared" ref="BE69:CP69" si="63">+BD69</f>
        <v>1.9512195121951237E-2</v>
      </c>
      <c r="BF69" s="72">
        <f t="shared" si="63"/>
        <v>1.9512195121951237E-2</v>
      </c>
      <c r="BG69" s="72">
        <f t="shared" si="63"/>
        <v>1.9512195121951237E-2</v>
      </c>
      <c r="BH69" s="72">
        <f t="shared" si="63"/>
        <v>1.9512195121951237E-2</v>
      </c>
      <c r="BI69" s="72">
        <f t="shared" si="63"/>
        <v>1.9512195121951237E-2</v>
      </c>
      <c r="BJ69" s="72">
        <f t="shared" si="63"/>
        <v>1.9512195121951237E-2</v>
      </c>
      <c r="BK69" s="72">
        <f t="shared" si="63"/>
        <v>1.9512195121951237E-2</v>
      </c>
      <c r="BL69" s="72">
        <f t="shared" si="63"/>
        <v>1.9512195121951237E-2</v>
      </c>
      <c r="BM69" s="72">
        <f t="shared" si="63"/>
        <v>1.9512195121951237E-2</v>
      </c>
      <c r="BN69" s="72">
        <f t="shared" si="63"/>
        <v>1.9512195121951237E-2</v>
      </c>
      <c r="BO69" s="72">
        <f t="shared" si="63"/>
        <v>1.9512195121951237E-2</v>
      </c>
      <c r="BP69" s="72">
        <f t="shared" si="63"/>
        <v>1.9512195121951237E-2</v>
      </c>
      <c r="BQ69" s="72">
        <f t="shared" si="63"/>
        <v>1.9512195121951237E-2</v>
      </c>
      <c r="BR69" s="72">
        <f t="shared" si="63"/>
        <v>1.9512195121951237E-2</v>
      </c>
      <c r="BS69" s="72">
        <f t="shared" si="63"/>
        <v>1.9512195121951237E-2</v>
      </c>
      <c r="BT69" s="72">
        <f t="shared" si="63"/>
        <v>1.9512195121951237E-2</v>
      </c>
      <c r="BU69" s="72">
        <f t="shared" si="63"/>
        <v>1.9512195121951237E-2</v>
      </c>
      <c r="BV69" s="72">
        <f t="shared" si="63"/>
        <v>1.9512195121951237E-2</v>
      </c>
      <c r="BW69" s="72">
        <f t="shared" si="63"/>
        <v>1.9512195121951237E-2</v>
      </c>
      <c r="BX69" s="72">
        <f t="shared" si="63"/>
        <v>1.9512195121951237E-2</v>
      </c>
      <c r="BY69" s="72">
        <f t="shared" si="63"/>
        <v>1.9512195121951237E-2</v>
      </c>
      <c r="BZ69" s="72">
        <f t="shared" si="63"/>
        <v>1.9512195121951237E-2</v>
      </c>
      <c r="CA69" s="72">
        <f t="shared" si="63"/>
        <v>1.9512195121951237E-2</v>
      </c>
      <c r="CB69" s="72">
        <f t="shared" si="63"/>
        <v>1.9512195121951237E-2</v>
      </c>
      <c r="CC69" s="72">
        <f t="shared" si="63"/>
        <v>1.9512195121951237E-2</v>
      </c>
      <c r="CD69" s="72">
        <f t="shared" si="63"/>
        <v>1.9512195121951237E-2</v>
      </c>
      <c r="CE69" s="72">
        <f t="shared" si="63"/>
        <v>1.9512195121951237E-2</v>
      </c>
      <c r="CF69" s="72">
        <f t="shared" si="63"/>
        <v>1.9512195121951237E-2</v>
      </c>
      <c r="CG69" s="72">
        <f t="shared" si="63"/>
        <v>1.9512195121951237E-2</v>
      </c>
      <c r="CH69" s="72">
        <f t="shared" si="63"/>
        <v>1.9512195121951237E-2</v>
      </c>
      <c r="CI69" s="72">
        <f t="shared" si="63"/>
        <v>1.9512195121951237E-2</v>
      </c>
      <c r="CJ69" s="72">
        <f t="shared" si="63"/>
        <v>1.9512195121951237E-2</v>
      </c>
      <c r="CK69" s="72">
        <f t="shared" si="63"/>
        <v>1.9512195121951237E-2</v>
      </c>
      <c r="CL69" s="72">
        <f t="shared" si="63"/>
        <v>1.9512195121951237E-2</v>
      </c>
      <c r="CM69" s="72">
        <f t="shared" si="63"/>
        <v>1.9512195121951237E-2</v>
      </c>
      <c r="CN69" s="72">
        <f t="shared" si="63"/>
        <v>1.9512195121951237E-2</v>
      </c>
      <c r="CO69" s="72">
        <f t="shared" si="63"/>
        <v>1.9512195121951237E-2</v>
      </c>
      <c r="CP69" s="72">
        <f t="shared" si="63"/>
        <v>1.9512195121951237E-2</v>
      </c>
      <c r="CQ69" s="23" t="s">
        <v>77</v>
      </c>
    </row>
    <row r="70" spans="1:96" s="234" customFormat="1" outlineLevel="1" x14ac:dyDescent="0.2">
      <c r="B70" s="234" t="s">
        <v>54</v>
      </c>
      <c r="C70" s="86"/>
      <c r="D70" s="73"/>
      <c r="E70" s="73"/>
      <c r="F70" s="73"/>
      <c r="G70" s="73"/>
      <c r="H70" s="73"/>
      <c r="I70" s="73"/>
      <c r="J70" s="73"/>
      <c r="K70" s="200">
        <v>0.6</v>
      </c>
      <c r="L70" s="73">
        <f t="shared" si="57"/>
        <v>0.6</v>
      </c>
      <c r="M70" s="73">
        <f t="shared" si="57"/>
        <v>0.6</v>
      </c>
      <c r="N70" s="73">
        <f t="shared" si="57"/>
        <v>0.6</v>
      </c>
      <c r="O70" s="73">
        <f t="shared" si="58"/>
        <v>0.6</v>
      </c>
      <c r="P70" s="73">
        <f t="shared" si="58"/>
        <v>0.6</v>
      </c>
      <c r="Q70" s="73">
        <f t="shared" si="58"/>
        <v>0.6</v>
      </c>
      <c r="R70" s="73">
        <f t="shared" si="58"/>
        <v>0.6</v>
      </c>
      <c r="S70" s="200">
        <v>0.6</v>
      </c>
      <c r="T70" s="73">
        <f t="shared" si="59"/>
        <v>0.6</v>
      </c>
      <c r="U70" s="73">
        <f t="shared" si="59"/>
        <v>0.6</v>
      </c>
      <c r="V70" s="73">
        <f t="shared" si="59"/>
        <v>0.6</v>
      </c>
      <c r="W70" s="211">
        <f t="shared" si="59"/>
        <v>0.6</v>
      </c>
      <c r="X70" s="293">
        <f t="shared" si="59"/>
        <v>0.6</v>
      </c>
      <c r="Y70" s="73">
        <f t="shared" si="59"/>
        <v>0.6</v>
      </c>
      <c r="Z70" s="73">
        <f t="shared" si="59"/>
        <v>0.6</v>
      </c>
      <c r="AA70" s="73">
        <f t="shared" si="59"/>
        <v>0.6</v>
      </c>
      <c r="AB70" s="73">
        <f t="shared" si="59"/>
        <v>0.6</v>
      </c>
      <c r="AC70" s="73">
        <f t="shared" si="59"/>
        <v>0.6</v>
      </c>
      <c r="AD70" s="73">
        <f t="shared" si="59"/>
        <v>0.6</v>
      </c>
      <c r="AE70" s="73">
        <f t="shared" si="59"/>
        <v>0.6</v>
      </c>
      <c r="AF70" s="73">
        <f t="shared" si="59"/>
        <v>0.6</v>
      </c>
      <c r="AG70" s="73">
        <f t="shared" si="59"/>
        <v>0.6</v>
      </c>
      <c r="AH70" s="73">
        <f t="shared" si="59"/>
        <v>0.6</v>
      </c>
      <c r="AI70" s="73">
        <f t="shared" si="59"/>
        <v>0.6</v>
      </c>
      <c r="AJ70" s="73">
        <f t="shared" si="59"/>
        <v>0.6</v>
      </c>
      <c r="AK70" s="73">
        <f t="shared" si="59"/>
        <v>0.6</v>
      </c>
      <c r="AL70" s="73">
        <f t="shared" si="59"/>
        <v>0.6</v>
      </c>
      <c r="AM70" s="73">
        <f t="shared" si="59"/>
        <v>0.6</v>
      </c>
      <c r="AN70" s="73">
        <f t="shared" si="59"/>
        <v>0.6</v>
      </c>
      <c r="AO70" s="73">
        <f t="shared" si="59"/>
        <v>0.6</v>
      </c>
      <c r="AP70" s="73">
        <f t="shared" si="59"/>
        <v>0.6</v>
      </c>
      <c r="AQ70" s="73">
        <f t="shared" si="59"/>
        <v>0.6</v>
      </c>
      <c r="AR70" s="73">
        <f t="shared" si="59"/>
        <v>0.6</v>
      </c>
      <c r="AS70" s="73">
        <f t="shared" si="59"/>
        <v>0.6</v>
      </c>
      <c r="AT70" s="73">
        <f t="shared" si="59"/>
        <v>0.6</v>
      </c>
      <c r="AU70" s="73">
        <f t="shared" si="59"/>
        <v>0.6</v>
      </c>
      <c r="AV70" s="73">
        <f t="shared" si="59"/>
        <v>0.6</v>
      </c>
      <c r="AW70" s="73">
        <f t="shared" si="59"/>
        <v>0.6</v>
      </c>
      <c r="AX70" s="73">
        <f t="shared" si="59"/>
        <v>0.6</v>
      </c>
      <c r="AY70" s="73">
        <f t="shared" si="59"/>
        <v>0.6</v>
      </c>
      <c r="AZ70" s="73">
        <f t="shared" si="59"/>
        <v>0.6</v>
      </c>
      <c r="BA70" s="73">
        <f t="shared" si="59"/>
        <v>0.6</v>
      </c>
      <c r="BB70" s="73">
        <f t="shared" si="59"/>
        <v>0.6</v>
      </c>
      <c r="BC70" s="73">
        <f t="shared" si="59"/>
        <v>0.6</v>
      </c>
      <c r="BD70" s="73">
        <f t="shared" si="60"/>
        <v>0.6</v>
      </c>
      <c r="BE70" s="73">
        <f t="shared" ref="BE70:CP70" si="64">+BD70</f>
        <v>0.6</v>
      </c>
      <c r="BF70" s="73">
        <f t="shared" si="64"/>
        <v>0.6</v>
      </c>
      <c r="BG70" s="73">
        <f t="shared" si="64"/>
        <v>0.6</v>
      </c>
      <c r="BH70" s="73">
        <f t="shared" si="64"/>
        <v>0.6</v>
      </c>
      <c r="BI70" s="73">
        <f t="shared" si="64"/>
        <v>0.6</v>
      </c>
      <c r="BJ70" s="73">
        <f t="shared" si="64"/>
        <v>0.6</v>
      </c>
      <c r="BK70" s="73">
        <f t="shared" si="64"/>
        <v>0.6</v>
      </c>
      <c r="BL70" s="73">
        <f t="shared" si="64"/>
        <v>0.6</v>
      </c>
      <c r="BM70" s="73">
        <f t="shared" si="64"/>
        <v>0.6</v>
      </c>
      <c r="BN70" s="73">
        <f t="shared" si="64"/>
        <v>0.6</v>
      </c>
      <c r="BO70" s="73">
        <f t="shared" si="64"/>
        <v>0.6</v>
      </c>
      <c r="BP70" s="73">
        <f t="shared" si="64"/>
        <v>0.6</v>
      </c>
      <c r="BQ70" s="73">
        <f t="shared" si="64"/>
        <v>0.6</v>
      </c>
      <c r="BR70" s="73">
        <f t="shared" si="64"/>
        <v>0.6</v>
      </c>
      <c r="BS70" s="73">
        <f t="shared" si="64"/>
        <v>0.6</v>
      </c>
      <c r="BT70" s="73">
        <f t="shared" si="64"/>
        <v>0.6</v>
      </c>
      <c r="BU70" s="73">
        <f t="shared" si="64"/>
        <v>0.6</v>
      </c>
      <c r="BV70" s="73">
        <f t="shared" si="64"/>
        <v>0.6</v>
      </c>
      <c r="BW70" s="73">
        <f t="shared" si="64"/>
        <v>0.6</v>
      </c>
      <c r="BX70" s="73">
        <f t="shared" si="64"/>
        <v>0.6</v>
      </c>
      <c r="BY70" s="73">
        <f t="shared" si="64"/>
        <v>0.6</v>
      </c>
      <c r="BZ70" s="73">
        <f t="shared" si="64"/>
        <v>0.6</v>
      </c>
      <c r="CA70" s="73">
        <f t="shared" si="64"/>
        <v>0.6</v>
      </c>
      <c r="CB70" s="73">
        <f t="shared" si="64"/>
        <v>0.6</v>
      </c>
      <c r="CC70" s="73">
        <f t="shared" si="64"/>
        <v>0.6</v>
      </c>
      <c r="CD70" s="73">
        <f t="shared" si="64"/>
        <v>0.6</v>
      </c>
      <c r="CE70" s="73">
        <f t="shared" si="64"/>
        <v>0.6</v>
      </c>
      <c r="CF70" s="73">
        <f t="shared" si="64"/>
        <v>0.6</v>
      </c>
      <c r="CG70" s="73">
        <f t="shared" si="64"/>
        <v>0.6</v>
      </c>
      <c r="CH70" s="73">
        <f t="shared" si="64"/>
        <v>0.6</v>
      </c>
      <c r="CI70" s="73">
        <f t="shared" si="64"/>
        <v>0.6</v>
      </c>
      <c r="CJ70" s="73">
        <f t="shared" si="64"/>
        <v>0.6</v>
      </c>
      <c r="CK70" s="73">
        <f t="shared" si="64"/>
        <v>0.6</v>
      </c>
      <c r="CL70" s="73">
        <f t="shared" si="64"/>
        <v>0.6</v>
      </c>
      <c r="CM70" s="73">
        <f t="shared" si="64"/>
        <v>0.6</v>
      </c>
      <c r="CN70" s="73">
        <f t="shared" si="64"/>
        <v>0.6</v>
      </c>
      <c r="CO70" s="73">
        <f t="shared" si="64"/>
        <v>0.6</v>
      </c>
      <c r="CP70" s="73">
        <f t="shared" si="64"/>
        <v>0.6</v>
      </c>
      <c r="CQ70" s="73" t="s">
        <v>77</v>
      </c>
    </row>
    <row r="71" spans="1:96" s="234" customFormat="1" outlineLevel="1" x14ac:dyDescent="0.2">
      <c r="B71" s="234" t="s">
        <v>56</v>
      </c>
      <c r="C71" s="86"/>
      <c r="D71" s="73"/>
      <c r="E71" s="73"/>
      <c r="F71" s="73"/>
      <c r="G71" s="73"/>
      <c r="H71" s="73"/>
      <c r="I71" s="73"/>
      <c r="J71" s="73"/>
      <c r="K71" s="201">
        <f>1-K70</f>
        <v>0.4</v>
      </c>
      <c r="L71" s="73">
        <f t="shared" si="57"/>
        <v>0.4</v>
      </c>
      <c r="M71" s="73">
        <f t="shared" si="57"/>
        <v>0.4</v>
      </c>
      <c r="N71" s="73">
        <f t="shared" si="57"/>
        <v>0.4</v>
      </c>
      <c r="O71" s="73">
        <f t="shared" si="58"/>
        <v>0.4</v>
      </c>
      <c r="P71" s="73">
        <f t="shared" si="58"/>
        <v>0.4</v>
      </c>
      <c r="Q71" s="73">
        <f t="shared" si="58"/>
        <v>0.4</v>
      </c>
      <c r="R71" s="73">
        <f t="shared" si="58"/>
        <v>0.4</v>
      </c>
      <c r="S71" s="201">
        <f>1-S70</f>
        <v>0.4</v>
      </c>
      <c r="T71" s="73">
        <f t="shared" si="59"/>
        <v>0.4</v>
      </c>
      <c r="U71" s="73">
        <f t="shared" si="59"/>
        <v>0.4</v>
      </c>
      <c r="V71" s="73">
        <f t="shared" si="59"/>
        <v>0.4</v>
      </c>
      <c r="W71" s="211">
        <f t="shared" si="59"/>
        <v>0.4</v>
      </c>
      <c r="X71" s="172">
        <f>1-X70</f>
        <v>0.4</v>
      </c>
      <c r="Y71" s="73">
        <f t="shared" si="59"/>
        <v>0.4</v>
      </c>
      <c r="Z71" s="73">
        <f t="shared" si="59"/>
        <v>0.4</v>
      </c>
      <c r="AA71" s="73">
        <f t="shared" si="59"/>
        <v>0.4</v>
      </c>
      <c r="AB71" s="73">
        <f t="shared" si="59"/>
        <v>0.4</v>
      </c>
      <c r="AC71" s="73">
        <f t="shared" si="59"/>
        <v>0.4</v>
      </c>
      <c r="AD71" s="73">
        <f t="shared" si="59"/>
        <v>0.4</v>
      </c>
      <c r="AE71" s="73">
        <f t="shared" si="59"/>
        <v>0.4</v>
      </c>
      <c r="AF71" s="73">
        <f t="shared" si="59"/>
        <v>0.4</v>
      </c>
      <c r="AG71" s="73">
        <f t="shared" si="59"/>
        <v>0.4</v>
      </c>
      <c r="AH71" s="73">
        <f t="shared" si="59"/>
        <v>0.4</v>
      </c>
      <c r="AI71" s="73">
        <f t="shared" si="59"/>
        <v>0.4</v>
      </c>
      <c r="AJ71" s="73">
        <f t="shared" si="59"/>
        <v>0.4</v>
      </c>
      <c r="AK71" s="73">
        <f t="shared" si="59"/>
        <v>0.4</v>
      </c>
      <c r="AL71" s="73">
        <f t="shared" si="59"/>
        <v>0.4</v>
      </c>
      <c r="AM71" s="73">
        <f t="shared" si="59"/>
        <v>0.4</v>
      </c>
      <c r="AN71" s="73">
        <f t="shared" si="59"/>
        <v>0.4</v>
      </c>
      <c r="AO71" s="73">
        <f t="shared" si="59"/>
        <v>0.4</v>
      </c>
      <c r="AP71" s="73">
        <f t="shared" si="59"/>
        <v>0.4</v>
      </c>
      <c r="AQ71" s="73">
        <f t="shared" si="59"/>
        <v>0.4</v>
      </c>
      <c r="AR71" s="73">
        <f t="shared" si="59"/>
        <v>0.4</v>
      </c>
      <c r="AS71" s="73">
        <f t="shared" si="59"/>
        <v>0.4</v>
      </c>
      <c r="AT71" s="73">
        <f t="shared" si="59"/>
        <v>0.4</v>
      </c>
      <c r="AU71" s="73">
        <f t="shared" si="59"/>
        <v>0.4</v>
      </c>
      <c r="AV71" s="73">
        <f t="shared" si="59"/>
        <v>0.4</v>
      </c>
      <c r="AW71" s="73">
        <f t="shared" si="59"/>
        <v>0.4</v>
      </c>
      <c r="AX71" s="73">
        <f t="shared" si="59"/>
        <v>0.4</v>
      </c>
      <c r="AY71" s="73">
        <f t="shared" si="59"/>
        <v>0.4</v>
      </c>
      <c r="AZ71" s="73">
        <f t="shared" si="59"/>
        <v>0.4</v>
      </c>
      <c r="BA71" s="73">
        <f t="shared" si="59"/>
        <v>0.4</v>
      </c>
      <c r="BB71" s="73">
        <f t="shared" si="59"/>
        <v>0.4</v>
      </c>
      <c r="BC71" s="73">
        <f t="shared" si="59"/>
        <v>0.4</v>
      </c>
      <c r="BD71" s="73">
        <f t="shared" si="60"/>
        <v>0.4</v>
      </c>
      <c r="BE71" s="73">
        <f t="shared" ref="BE71:CP71" si="65">+BD71</f>
        <v>0.4</v>
      </c>
      <c r="BF71" s="73">
        <f t="shared" si="65"/>
        <v>0.4</v>
      </c>
      <c r="BG71" s="73">
        <f t="shared" si="65"/>
        <v>0.4</v>
      </c>
      <c r="BH71" s="73">
        <f t="shared" si="65"/>
        <v>0.4</v>
      </c>
      <c r="BI71" s="73">
        <f t="shared" si="65"/>
        <v>0.4</v>
      </c>
      <c r="BJ71" s="73">
        <f t="shared" si="65"/>
        <v>0.4</v>
      </c>
      <c r="BK71" s="73">
        <f t="shared" si="65"/>
        <v>0.4</v>
      </c>
      <c r="BL71" s="73">
        <f t="shared" si="65"/>
        <v>0.4</v>
      </c>
      <c r="BM71" s="73">
        <f t="shared" si="65"/>
        <v>0.4</v>
      </c>
      <c r="BN71" s="73">
        <f t="shared" si="65"/>
        <v>0.4</v>
      </c>
      <c r="BO71" s="73">
        <f t="shared" si="65"/>
        <v>0.4</v>
      </c>
      <c r="BP71" s="73">
        <f t="shared" si="65"/>
        <v>0.4</v>
      </c>
      <c r="BQ71" s="73">
        <f t="shared" si="65"/>
        <v>0.4</v>
      </c>
      <c r="BR71" s="73">
        <f t="shared" si="65"/>
        <v>0.4</v>
      </c>
      <c r="BS71" s="73">
        <f t="shared" si="65"/>
        <v>0.4</v>
      </c>
      <c r="BT71" s="73">
        <f t="shared" si="65"/>
        <v>0.4</v>
      </c>
      <c r="BU71" s="73">
        <f t="shared" si="65"/>
        <v>0.4</v>
      </c>
      <c r="BV71" s="73">
        <f t="shared" si="65"/>
        <v>0.4</v>
      </c>
      <c r="BW71" s="73">
        <f t="shared" si="65"/>
        <v>0.4</v>
      </c>
      <c r="BX71" s="73">
        <f t="shared" si="65"/>
        <v>0.4</v>
      </c>
      <c r="BY71" s="73">
        <f t="shared" si="65"/>
        <v>0.4</v>
      </c>
      <c r="BZ71" s="73">
        <f t="shared" si="65"/>
        <v>0.4</v>
      </c>
      <c r="CA71" s="73">
        <f t="shared" si="65"/>
        <v>0.4</v>
      </c>
      <c r="CB71" s="73">
        <f t="shared" si="65"/>
        <v>0.4</v>
      </c>
      <c r="CC71" s="73">
        <f t="shared" si="65"/>
        <v>0.4</v>
      </c>
      <c r="CD71" s="73">
        <f t="shared" si="65"/>
        <v>0.4</v>
      </c>
      <c r="CE71" s="73">
        <f t="shared" si="65"/>
        <v>0.4</v>
      </c>
      <c r="CF71" s="73">
        <f t="shared" si="65"/>
        <v>0.4</v>
      </c>
      <c r="CG71" s="73">
        <f t="shared" si="65"/>
        <v>0.4</v>
      </c>
      <c r="CH71" s="73">
        <f t="shared" si="65"/>
        <v>0.4</v>
      </c>
      <c r="CI71" s="73">
        <f t="shared" si="65"/>
        <v>0.4</v>
      </c>
      <c r="CJ71" s="73">
        <f t="shared" si="65"/>
        <v>0.4</v>
      </c>
      <c r="CK71" s="73">
        <f t="shared" si="65"/>
        <v>0.4</v>
      </c>
      <c r="CL71" s="73">
        <f t="shared" si="65"/>
        <v>0.4</v>
      </c>
      <c r="CM71" s="73">
        <f t="shared" si="65"/>
        <v>0.4</v>
      </c>
      <c r="CN71" s="73">
        <f t="shared" si="65"/>
        <v>0.4</v>
      </c>
      <c r="CO71" s="73">
        <f t="shared" si="65"/>
        <v>0.4</v>
      </c>
      <c r="CP71" s="73">
        <f t="shared" si="65"/>
        <v>0.4</v>
      </c>
      <c r="CQ71" s="73" t="s">
        <v>77</v>
      </c>
    </row>
    <row r="72" spans="1:96" outlineLevel="1" x14ac:dyDescent="0.2">
      <c r="B72" s="8" t="s">
        <v>55</v>
      </c>
      <c r="D72" s="72"/>
      <c r="E72" s="72"/>
      <c r="F72" s="72"/>
      <c r="G72" s="72"/>
      <c r="H72" s="72"/>
      <c r="I72" s="72"/>
      <c r="J72" s="72"/>
      <c r="K72" s="125">
        <f>6.2%-K67</f>
        <v>9.099999999999997E-3</v>
      </c>
      <c r="L72" s="72">
        <f t="shared" si="57"/>
        <v>9.099999999999997E-3</v>
      </c>
      <c r="M72" s="72">
        <f t="shared" si="57"/>
        <v>9.099999999999997E-3</v>
      </c>
      <c r="N72" s="72">
        <f t="shared" si="57"/>
        <v>9.099999999999997E-3</v>
      </c>
      <c r="O72" s="72">
        <f t="shared" si="58"/>
        <v>9.099999999999997E-3</v>
      </c>
      <c r="P72" s="72">
        <f t="shared" si="58"/>
        <v>9.099999999999997E-3</v>
      </c>
      <c r="Q72" s="72">
        <f t="shared" si="58"/>
        <v>9.099999999999997E-3</v>
      </c>
      <c r="R72" s="72">
        <f t="shared" si="58"/>
        <v>9.099999999999997E-3</v>
      </c>
      <c r="S72" s="125">
        <v>4.0599999999999997E-2</v>
      </c>
      <c r="T72" s="72">
        <f t="shared" si="59"/>
        <v>4.0599999999999997E-2</v>
      </c>
      <c r="U72" s="72">
        <f t="shared" si="59"/>
        <v>4.0599999999999997E-2</v>
      </c>
      <c r="V72" s="72">
        <f t="shared" si="59"/>
        <v>4.0599999999999997E-2</v>
      </c>
      <c r="W72" s="210">
        <f t="shared" si="59"/>
        <v>4.0599999999999997E-2</v>
      </c>
      <c r="X72" s="79">
        <f>X78-X67</f>
        <v>2.0000000000000004E-2</v>
      </c>
      <c r="Y72" s="72">
        <f>Y78-Y67</f>
        <v>2.0000000000000004E-2</v>
      </c>
      <c r="Z72" s="72">
        <f t="shared" ref="Z72:BD72" si="66">Z78-Z67</f>
        <v>2.0000000000000004E-2</v>
      </c>
      <c r="AA72" s="72">
        <f t="shared" si="66"/>
        <v>2.0000000000000004E-2</v>
      </c>
      <c r="AB72" s="72">
        <f t="shared" si="66"/>
        <v>2.0000000000000004E-2</v>
      </c>
      <c r="AC72" s="72">
        <f t="shared" si="66"/>
        <v>2.0000000000000004E-2</v>
      </c>
      <c r="AD72" s="72">
        <f t="shared" si="66"/>
        <v>2.0000000000000004E-2</v>
      </c>
      <c r="AE72" s="72">
        <f t="shared" si="66"/>
        <v>2.0000000000000004E-2</v>
      </c>
      <c r="AF72" s="72">
        <f t="shared" si="66"/>
        <v>2.0000000000000004E-2</v>
      </c>
      <c r="AG72" s="72">
        <f t="shared" si="66"/>
        <v>2.0000000000000004E-2</v>
      </c>
      <c r="AH72" s="72">
        <f t="shared" si="66"/>
        <v>2.0000000000000004E-2</v>
      </c>
      <c r="AI72" s="72">
        <f t="shared" si="66"/>
        <v>2.0000000000000004E-2</v>
      </c>
      <c r="AJ72" s="72">
        <f t="shared" si="66"/>
        <v>2.0000000000000004E-2</v>
      </c>
      <c r="AK72" s="72">
        <f t="shared" si="66"/>
        <v>2.0000000000000004E-2</v>
      </c>
      <c r="AL72" s="72">
        <f t="shared" si="66"/>
        <v>2.0000000000000004E-2</v>
      </c>
      <c r="AM72" s="72">
        <f t="shared" si="66"/>
        <v>2.0000000000000004E-2</v>
      </c>
      <c r="AN72" s="72">
        <f t="shared" si="66"/>
        <v>2.0000000000000004E-2</v>
      </c>
      <c r="AO72" s="72">
        <f t="shared" si="66"/>
        <v>2.0000000000000004E-2</v>
      </c>
      <c r="AP72" s="72">
        <f t="shared" si="66"/>
        <v>2.0000000000000004E-2</v>
      </c>
      <c r="AQ72" s="72">
        <f t="shared" si="66"/>
        <v>2.0000000000000004E-2</v>
      </c>
      <c r="AR72" s="72">
        <f t="shared" si="66"/>
        <v>2.0000000000000004E-2</v>
      </c>
      <c r="AS72" s="72">
        <f t="shared" si="66"/>
        <v>2.0000000000000004E-2</v>
      </c>
      <c r="AT72" s="72">
        <f t="shared" si="66"/>
        <v>2.0000000000000004E-2</v>
      </c>
      <c r="AU72" s="72">
        <f t="shared" si="66"/>
        <v>2.0000000000000004E-2</v>
      </c>
      <c r="AV72" s="72">
        <f t="shared" si="66"/>
        <v>2.0000000000000004E-2</v>
      </c>
      <c r="AW72" s="72">
        <f t="shared" si="66"/>
        <v>2.0000000000000004E-2</v>
      </c>
      <c r="AX72" s="72">
        <f t="shared" si="66"/>
        <v>2.0000000000000004E-2</v>
      </c>
      <c r="AY72" s="72">
        <f t="shared" si="66"/>
        <v>2.0000000000000004E-2</v>
      </c>
      <c r="AZ72" s="72">
        <f t="shared" si="66"/>
        <v>2.0000000000000004E-2</v>
      </c>
      <c r="BA72" s="72">
        <f t="shared" si="66"/>
        <v>2.0000000000000004E-2</v>
      </c>
      <c r="BB72" s="72">
        <f t="shared" si="66"/>
        <v>2.0000000000000004E-2</v>
      </c>
      <c r="BC72" s="72">
        <f t="shared" si="66"/>
        <v>2.0000000000000004E-2</v>
      </c>
      <c r="BD72" s="72">
        <f t="shared" si="66"/>
        <v>2.0000000000000004E-2</v>
      </c>
      <c r="BE72" s="72">
        <f t="shared" ref="BE72:CP72" si="67">BE78-BE67</f>
        <v>2.0000000000000004E-2</v>
      </c>
      <c r="BF72" s="72">
        <f t="shared" si="67"/>
        <v>2.0000000000000004E-2</v>
      </c>
      <c r="BG72" s="72">
        <f t="shared" si="67"/>
        <v>2.0000000000000004E-2</v>
      </c>
      <c r="BH72" s="72">
        <f t="shared" si="67"/>
        <v>2.0000000000000004E-2</v>
      </c>
      <c r="BI72" s="72">
        <f t="shared" si="67"/>
        <v>2.0000000000000004E-2</v>
      </c>
      <c r="BJ72" s="72">
        <f t="shared" si="67"/>
        <v>2.0000000000000004E-2</v>
      </c>
      <c r="BK72" s="72">
        <f t="shared" si="67"/>
        <v>2.0000000000000004E-2</v>
      </c>
      <c r="BL72" s="72">
        <f t="shared" si="67"/>
        <v>2.0000000000000004E-2</v>
      </c>
      <c r="BM72" s="72">
        <f t="shared" si="67"/>
        <v>2.0000000000000004E-2</v>
      </c>
      <c r="BN72" s="72">
        <f t="shared" si="67"/>
        <v>2.0000000000000004E-2</v>
      </c>
      <c r="BO72" s="72">
        <f t="shared" si="67"/>
        <v>2.0000000000000004E-2</v>
      </c>
      <c r="BP72" s="72">
        <f t="shared" si="67"/>
        <v>2.0000000000000004E-2</v>
      </c>
      <c r="BQ72" s="72">
        <f t="shared" si="67"/>
        <v>2.0000000000000004E-2</v>
      </c>
      <c r="BR72" s="72">
        <f t="shared" si="67"/>
        <v>2.0000000000000004E-2</v>
      </c>
      <c r="BS72" s="72">
        <f t="shared" si="67"/>
        <v>2.0000000000000004E-2</v>
      </c>
      <c r="BT72" s="72">
        <f t="shared" si="67"/>
        <v>2.0000000000000004E-2</v>
      </c>
      <c r="BU72" s="72">
        <f t="shared" si="67"/>
        <v>2.0000000000000004E-2</v>
      </c>
      <c r="BV72" s="72">
        <f t="shared" si="67"/>
        <v>2.0000000000000004E-2</v>
      </c>
      <c r="BW72" s="72">
        <f t="shared" si="67"/>
        <v>2.0000000000000004E-2</v>
      </c>
      <c r="BX72" s="72">
        <f t="shared" si="67"/>
        <v>2.0000000000000004E-2</v>
      </c>
      <c r="BY72" s="72">
        <f t="shared" si="67"/>
        <v>2.0000000000000004E-2</v>
      </c>
      <c r="BZ72" s="72">
        <f t="shared" si="67"/>
        <v>2.0000000000000004E-2</v>
      </c>
      <c r="CA72" s="72">
        <f t="shared" si="67"/>
        <v>2.0000000000000004E-2</v>
      </c>
      <c r="CB72" s="72">
        <f t="shared" si="67"/>
        <v>2.0000000000000004E-2</v>
      </c>
      <c r="CC72" s="72">
        <f t="shared" si="67"/>
        <v>2.0000000000000004E-2</v>
      </c>
      <c r="CD72" s="72">
        <f t="shared" si="67"/>
        <v>2.0000000000000004E-2</v>
      </c>
      <c r="CE72" s="72">
        <f t="shared" si="67"/>
        <v>2.0000000000000004E-2</v>
      </c>
      <c r="CF72" s="72">
        <f t="shared" si="67"/>
        <v>2.0000000000000004E-2</v>
      </c>
      <c r="CG72" s="72">
        <f t="shared" si="67"/>
        <v>2.0000000000000004E-2</v>
      </c>
      <c r="CH72" s="72">
        <f t="shared" si="67"/>
        <v>2.0000000000000004E-2</v>
      </c>
      <c r="CI72" s="72">
        <f t="shared" si="67"/>
        <v>2.0000000000000004E-2</v>
      </c>
      <c r="CJ72" s="72">
        <f t="shared" si="67"/>
        <v>2.0000000000000004E-2</v>
      </c>
      <c r="CK72" s="72">
        <f t="shared" si="67"/>
        <v>2.0000000000000004E-2</v>
      </c>
      <c r="CL72" s="72">
        <f t="shared" si="67"/>
        <v>2.0000000000000004E-2</v>
      </c>
      <c r="CM72" s="72">
        <f t="shared" si="67"/>
        <v>2.0000000000000004E-2</v>
      </c>
      <c r="CN72" s="72">
        <f t="shared" si="67"/>
        <v>2.0000000000000004E-2</v>
      </c>
      <c r="CO72" s="72">
        <f t="shared" si="67"/>
        <v>2.0000000000000004E-2</v>
      </c>
      <c r="CP72" s="72">
        <f t="shared" si="67"/>
        <v>2.0000000000000004E-2</v>
      </c>
      <c r="CQ72" s="23" t="s">
        <v>77</v>
      </c>
    </row>
    <row r="73" spans="1:96" outlineLevel="1" x14ac:dyDescent="0.2">
      <c r="B73" s="8" t="s">
        <v>57</v>
      </c>
      <c r="D73" s="75"/>
      <c r="E73" s="75"/>
      <c r="F73" s="75"/>
      <c r="G73" s="75"/>
      <c r="H73" s="75"/>
      <c r="I73" s="75"/>
      <c r="J73" s="75"/>
      <c r="K73" s="125">
        <v>0.06</v>
      </c>
      <c r="L73" s="72">
        <f t="shared" si="57"/>
        <v>0.06</v>
      </c>
      <c r="M73" s="72">
        <f t="shared" si="57"/>
        <v>0.06</v>
      </c>
      <c r="N73" s="72">
        <f t="shared" si="57"/>
        <v>0.06</v>
      </c>
      <c r="O73" s="72">
        <f t="shared" si="58"/>
        <v>0.06</v>
      </c>
      <c r="P73" s="72">
        <f t="shared" si="58"/>
        <v>0.06</v>
      </c>
      <c r="Q73" s="72">
        <f t="shared" si="58"/>
        <v>0.06</v>
      </c>
      <c r="R73" s="72">
        <f t="shared" si="58"/>
        <v>0.06</v>
      </c>
      <c r="S73" s="125">
        <v>0.06</v>
      </c>
      <c r="T73" s="75">
        <f t="shared" si="59"/>
        <v>0.06</v>
      </c>
      <c r="U73" s="72">
        <f t="shared" si="59"/>
        <v>0.06</v>
      </c>
      <c r="V73" s="72">
        <f t="shared" si="59"/>
        <v>0.06</v>
      </c>
      <c r="W73" s="210">
        <f t="shared" si="59"/>
        <v>0.06</v>
      </c>
      <c r="X73" s="292">
        <f t="shared" si="59"/>
        <v>0.06</v>
      </c>
      <c r="Y73" s="75">
        <f t="shared" si="59"/>
        <v>0.06</v>
      </c>
      <c r="Z73" s="75">
        <f t="shared" si="59"/>
        <v>0.06</v>
      </c>
      <c r="AA73" s="75">
        <f t="shared" si="59"/>
        <v>0.06</v>
      </c>
      <c r="AB73" s="75">
        <f t="shared" si="59"/>
        <v>0.06</v>
      </c>
      <c r="AC73" s="75">
        <f t="shared" si="59"/>
        <v>0.06</v>
      </c>
      <c r="AD73" s="75">
        <f t="shared" si="59"/>
        <v>0.06</v>
      </c>
      <c r="AE73" s="75">
        <f t="shared" si="59"/>
        <v>0.06</v>
      </c>
      <c r="AF73" s="75">
        <f t="shared" si="59"/>
        <v>0.06</v>
      </c>
      <c r="AG73" s="75">
        <f t="shared" si="59"/>
        <v>0.06</v>
      </c>
      <c r="AH73" s="75">
        <f t="shared" si="59"/>
        <v>0.06</v>
      </c>
      <c r="AI73" s="75">
        <f t="shared" si="59"/>
        <v>0.06</v>
      </c>
      <c r="AJ73" s="75">
        <f t="shared" si="59"/>
        <v>0.06</v>
      </c>
      <c r="AK73" s="75">
        <f t="shared" si="59"/>
        <v>0.06</v>
      </c>
      <c r="AL73" s="75">
        <f t="shared" si="59"/>
        <v>0.06</v>
      </c>
      <c r="AM73" s="75">
        <f t="shared" si="59"/>
        <v>0.06</v>
      </c>
      <c r="AN73" s="75">
        <f t="shared" si="59"/>
        <v>0.06</v>
      </c>
      <c r="AO73" s="75">
        <f t="shared" si="59"/>
        <v>0.06</v>
      </c>
      <c r="AP73" s="75">
        <f t="shared" si="59"/>
        <v>0.06</v>
      </c>
      <c r="AQ73" s="75">
        <f t="shared" si="59"/>
        <v>0.06</v>
      </c>
      <c r="AR73" s="75">
        <f t="shared" si="59"/>
        <v>0.06</v>
      </c>
      <c r="AS73" s="75">
        <f t="shared" si="59"/>
        <v>0.06</v>
      </c>
      <c r="AT73" s="75">
        <f t="shared" si="59"/>
        <v>0.06</v>
      </c>
      <c r="AU73" s="75">
        <f t="shared" si="59"/>
        <v>0.06</v>
      </c>
      <c r="AV73" s="75">
        <f t="shared" si="59"/>
        <v>0.06</v>
      </c>
      <c r="AW73" s="75">
        <f t="shared" si="59"/>
        <v>0.06</v>
      </c>
      <c r="AX73" s="75">
        <f t="shared" si="59"/>
        <v>0.06</v>
      </c>
      <c r="AY73" s="75">
        <f t="shared" si="59"/>
        <v>0.06</v>
      </c>
      <c r="AZ73" s="75">
        <f t="shared" si="59"/>
        <v>0.06</v>
      </c>
      <c r="BA73" s="75">
        <f t="shared" si="59"/>
        <v>0.06</v>
      </c>
      <c r="BB73" s="75">
        <f t="shared" si="59"/>
        <v>0.06</v>
      </c>
      <c r="BC73" s="75">
        <f t="shared" si="59"/>
        <v>0.06</v>
      </c>
      <c r="BD73" s="75">
        <f t="shared" si="60"/>
        <v>0.06</v>
      </c>
      <c r="BE73" s="75">
        <f t="shared" ref="BE73:CP73" si="68">+BD73</f>
        <v>0.06</v>
      </c>
      <c r="BF73" s="75">
        <f t="shared" si="68"/>
        <v>0.06</v>
      </c>
      <c r="BG73" s="75">
        <f t="shared" si="68"/>
        <v>0.06</v>
      </c>
      <c r="BH73" s="75">
        <f t="shared" si="68"/>
        <v>0.06</v>
      </c>
      <c r="BI73" s="75">
        <f t="shared" si="68"/>
        <v>0.06</v>
      </c>
      <c r="BJ73" s="75">
        <f t="shared" si="68"/>
        <v>0.06</v>
      </c>
      <c r="BK73" s="75">
        <f t="shared" si="68"/>
        <v>0.06</v>
      </c>
      <c r="BL73" s="75">
        <f t="shared" si="68"/>
        <v>0.06</v>
      </c>
      <c r="BM73" s="75">
        <f t="shared" si="68"/>
        <v>0.06</v>
      </c>
      <c r="BN73" s="75">
        <f t="shared" si="68"/>
        <v>0.06</v>
      </c>
      <c r="BO73" s="75">
        <f t="shared" si="68"/>
        <v>0.06</v>
      </c>
      <c r="BP73" s="75">
        <f t="shared" si="68"/>
        <v>0.06</v>
      </c>
      <c r="BQ73" s="75">
        <f t="shared" si="68"/>
        <v>0.06</v>
      </c>
      <c r="BR73" s="75">
        <f t="shared" si="68"/>
        <v>0.06</v>
      </c>
      <c r="BS73" s="75">
        <f t="shared" si="68"/>
        <v>0.06</v>
      </c>
      <c r="BT73" s="75">
        <f t="shared" si="68"/>
        <v>0.06</v>
      </c>
      <c r="BU73" s="75">
        <f t="shared" si="68"/>
        <v>0.06</v>
      </c>
      <c r="BV73" s="75">
        <f t="shared" si="68"/>
        <v>0.06</v>
      </c>
      <c r="BW73" s="75">
        <f t="shared" si="68"/>
        <v>0.06</v>
      </c>
      <c r="BX73" s="75">
        <f t="shared" si="68"/>
        <v>0.06</v>
      </c>
      <c r="BY73" s="75">
        <f t="shared" si="68"/>
        <v>0.06</v>
      </c>
      <c r="BZ73" s="75">
        <f t="shared" si="68"/>
        <v>0.06</v>
      </c>
      <c r="CA73" s="75">
        <f t="shared" si="68"/>
        <v>0.06</v>
      </c>
      <c r="CB73" s="75">
        <f t="shared" si="68"/>
        <v>0.06</v>
      </c>
      <c r="CC73" s="75">
        <f t="shared" si="68"/>
        <v>0.06</v>
      </c>
      <c r="CD73" s="75">
        <f t="shared" si="68"/>
        <v>0.06</v>
      </c>
      <c r="CE73" s="75">
        <f t="shared" si="68"/>
        <v>0.06</v>
      </c>
      <c r="CF73" s="75">
        <f t="shared" si="68"/>
        <v>0.06</v>
      </c>
      <c r="CG73" s="75">
        <f t="shared" si="68"/>
        <v>0.06</v>
      </c>
      <c r="CH73" s="75">
        <f t="shared" si="68"/>
        <v>0.06</v>
      </c>
      <c r="CI73" s="75">
        <f t="shared" si="68"/>
        <v>0.06</v>
      </c>
      <c r="CJ73" s="75">
        <f t="shared" si="68"/>
        <v>0.06</v>
      </c>
      <c r="CK73" s="75">
        <f t="shared" si="68"/>
        <v>0.06</v>
      </c>
      <c r="CL73" s="75">
        <f t="shared" si="68"/>
        <v>0.06</v>
      </c>
      <c r="CM73" s="75">
        <f t="shared" si="68"/>
        <v>0.06</v>
      </c>
      <c r="CN73" s="75">
        <f t="shared" si="68"/>
        <v>0.06</v>
      </c>
      <c r="CO73" s="75">
        <f t="shared" si="68"/>
        <v>0.06</v>
      </c>
      <c r="CP73" s="75">
        <f t="shared" si="68"/>
        <v>0.06</v>
      </c>
      <c r="CQ73" s="23" t="s">
        <v>77</v>
      </c>
    </row>
    <row r="74" spans="1:96" outlineLevel="1" x14ac:dyDescent="0.2">
      <c r="B74" s="8" t="s">
        <v>58</v>
      </c>
      <c r="D74" s="75"/>
      <c r="E74" s="75"/>
      <c r="F74" s="75"/>
      <c r="G74" s="75"/>
      <c r="H74" s="75"/>
      <c r="I74" s="75"/>
      <c r="J74" s="75"/>
      <c r="K74" s="202">
        <v>1</v>
      </c>
      <c r="L74" s="90">
        <f t="shared" si="57"/>
        <v>1</v>
      </c>
      <c r="M74" s="90">
        <f t="shared" si="57"/>
        <v>1</v>
      </c>
      <c r="N74" s="90">
        <f t="shared" si="57"/>
        <v>1</v>
      </c>
      <c r="O74" s="90">
        <f t="shared" si="58"/>
        <v>1</v>
      </c>
      <c r="P74" s="90">
        <f t="shared" si="58"/>
        <v>1</v>
      </c>
      <c r="Q74" s="90">
        <f t="shared" si="58"/>
        <v>1</v>
      </c>
      <c r="R74" s="90">
        <f t="shared" si="58"/>
        <v>1</v>
      </c>
      <c r="S74" s="202">
        <v>0.8</v>
      </c>
      <c r="T74" s="76">
        <f t="shared" ref="T74:BC74" si="69">+S74</f>
        <v>0.8</v>
      </c>
      <c r="U74" s="90">
        <f t="shared" si="69"/>
        <v>0.8</v>
      </c>
      <c r="V74" s="90">
        <f t="shared" si="69"/>
        <v>0.8</v>
      </c>
      <c r="W74" s="228">
        <f t="shared" si="69"/>
        <v>0.8</v>
      </c>
      <c r="X74" s="168">
        <v>0.7</v>
      </c>
      <c r="Y74" s="76">
        <f t="shared" si="69"/>
        <v>0.7</v>
      </c>
      <c r="Z74" s="76">
        <f t="shared" si="69"/>
        <v>0.7</v>
      </c>
      <c r="AA74" s="76">
        <f t="shared" si="69"/>
        <v>0.7</v>
      </c>
      <c r="AB74" s="76">
        <f t="shared" si="69"/>
        <v>0.7</v>
      </c>
      <c r="AC74" s="76">
        <f t="shared" si="69"/>
        <v>0.7</v>
      </c>
      <c r="AD74" s="76">
        <f t="shared" si="69"/>
        <v>0.7</v>
      </c>
      <c r="AE74" s="76">
        <f t="shared" si="69"/>
        <v>0.7</v>
      </c>
      <c r="AF74" s="76">
        <f t="shared" si="69"/>
        <v>0.7</v>
      </c>
      <c r="AG74" s="76">
        <f t="shared" si="69"/>
        <v>0.7</v>
      </c>
      <c r="AH74" s="76">
        <f t="shared" si="69"/>
        <v>0.7</v>
      </c>
      <c r="AI74" s="76">
        <f t="shared" si="69"/>
        <v>0.7</v>
      </c>
      <c r="AJ74" s="76">
        <f t="shared" si="69"/>
        <v>0.7</v>
      </c>
      <c r="AK74" s="76">
        <f t="shared" si="69"/>
        <v>0.7</v>
      </c>
      <c r="AL74" s="76">
        <f t="shared" si="69"/>
        <v>0.7</v>
      </c>
      <c r="AM74" s="76">
        <f t="shared" si="69"/>
        <v>0.7</v>
      </c>
      <c r="AN74" s="76">
        <f t="shared" si="69"/>
        <v>0.7</v>
      </c>
      <c r="AO74" s="76">
        <f t="shared" si="69"/>
        <v>0.7</v>
      </c>
      <c r="AP74" s="76">
        <f t="shared" si="69"/>
        <v>0.7</v>
      </c>
      <c r="AQ74" s="76">
        <f t="shared" si="69"/>
        <v>0.7</v>
      </c>
      <c r="AR74" s="76">
        <f t="shared" si="69"/>
        <v>0.7</v>
      </c>
      <c r="AS74" s="76">
        <f t="shared" si="69"/>
        <v>0.7</v>
      </c>
      <c r="AT74" s="76">
        <f t="shared" si="69"/>
        <v>0.7</v>
      </c>
      <c r="AU74" s="76">
        <f t="shared" si="69"/>
        <v>0.7</v>
      </c>
      <c r="AV74" s="76">
        <f t="shared" si="69"/>
        <v>0.7</v>
      </c>
      <c r="AW74" s="76">
        <f t="shared" si="69"/>
        <v>0.7</v>
      </c>
      <c r="AX74" s="76">
        <f t="shared" si="69"/>
        <v>0.7</v>
      </c>
      <c r="AY74" s="76">
        <f t="shared" si="69"/>
        <v>0.7</v>
      </c>
      <c r="AZ74" s="76">
        <f t="shared" si="69"/>
        <v>0.7</v>
      </c>
      <c r="BA74" s="76">
        <f t="shared" si="69"/>
        <v>0.7</v>
      </c>
      <c r="BB74" s="76">
        <f t="shared" si="69"/>
        <v>0.7</v>
      </c>
      <c r="BC74" s="76">
        <f t="shared" si="69"/>
        <v>0.7</v>
      </c>
      <c r="BD74" s="76">
        <f t="shared" si="60"/>
        <v>0.7</v>
      </c>
      <c r="BE74" s="76">
        <f t="shared" ref="BE74:CP74" si="70">+BD74</f>
        <v>0.7</v>
      </c>
      <c r="BF74" s="76">
        <f t="shared" si="70"/>
        <v>0.7</v>
      </c>
      <c r="BG74" s="76">
        <f t="shared" si="70"/>
        <v>0.7</v>
      </c>
      <c r="BH74" s="76">
        <f t="shared" si="70"/>
        <v>0.7</v>
      </c>
      <c r="BI74" s="76">
        <f t="shared" si="70"/>
        <v>0.7</v>
      </c>
      <c r="BJ74" s="76">
        <f t="shared" si="70"/>
        <v>0.7</v>
      </c>
      <c r="BK74" s="76">
        <f t="shared" si="70"/>
        <v>0.7</v>
      </c>
      <c r="BL74" s="76">
        <f t="shared" si="70"/>
        <v>0.7</v>
      </c>
      <c r="BM74" s="76">
        <f t="shared" si="70"/>
        <v>0.7</v>
      </c>
      <c r="BN74" s="76">
        <f t="shared" si="70"/>
        <v>0.7</v>
      </c>
      <c r="BO74" s="76">
        <f t="shared" si="70"/>
        <v>0.7</v>
      </c>
      <c r="BP74" s="76">
        <f t="shared" si="70"/>
        <v>0.7</v>
      </c>
      <c r="BQ74" s="76">
        <f t="shared" si="70"/>
        <v>0.7</v>
      </c>
      <c r="BR74" s="76">
        <f t="shared" si="70"/>
        <v>0.7</v>
      </c>
      <c r="BS74" s="76">
        <f t="shared" si="70"/>
        <v>0.7</v>
      </c>
      <c r="BT74" s="76">
        <f t="shared" si="70"/>
        <v>0.7</v>
      </c>
      <c r="BU74" s="76">
        <f t="shared" si="70"/>
        <v>0.7</v>
      </c>
      <c r="BV74" s="76">
        <f t="shared" si="70"/>
        <v>0.7</v>
      </c>
      <c r="BW74" s="76">
        <f t="shared" si="70"/>
        <v>0.7</v>
      </c>
      <c r="BX74" s="76">
        <f t="shared" si="70"/>
        <v>0.7</v>
      </c>
      <c r="BY74" s="76">
        <f t="shared" si="70"/>
        <v>0.7</v>
      </c>
      <c r="BZ74" s="76">
        <f t="shared" si="70"/>
        <v>0.7</v>
      </c>
      <c r="CA74" s="76">
        <f t="shared" si="70"/>
        <v>0.7</v>
      </c>
      <c r="CB74" s="76">
        <f t="shared" si="70"/>
        <v>0.7</v>
      </c>
      <c r="CC74" s="76">
        <f t="shared" si="70"/>
        <v>0.7</v>
      </c>
      <c r="CD74" s="76">
        <f t="shared" si="70"/>
        <v>0.7</v>
      </c>
      <c r="CE74" s="76">
        <f t="shared" si="70"/>
        <v>0.7</v>
      </c>
      <c r="CF74" s="76">
        <f t="shared" si="70"/>
        <v>0.7</v>
      </c>
      <c r="CG74" s="76">
        <f t="shared" si="70"/>
        <v>0.7</v>
      </c>
      <c r="CH74" s="76">
        <f t="shared" si="70"/>
        <v>0.7</v>
      </c>
      <c r="CI74" s="76">
        <f t="shared" si="70"/>
        <v>0.7</v>
      </c>
      <c r="CJ74" s="76">
        <f t="shared" si="70"/>
        <v>0.7</v>
      </c>
      <c r="CK74" s="76">
        <f t="shared" si="70"/>
        <v>0.7</v>
      </c>
      <c r="CL74" s="76">
        <f t="shared" si="70"/>
        <v>0.7</v>
      </c>
      <c r="CM74" s="76">
        <f t="shared" si="70"/>
        <v>0.7</v>
      </c>
      <c r="CN74" s="76">
        <f t="shared" si="70"/>
        <v>0.7</v>
      </c>
      <c r="CO74" s="76">
        <f t="shared" si="70"/>
        <v>0.7</v>
      </c>
      <c r="CP74" s="76">
        <f t="shared" si="70"/>
        <v>0.7</v>
      </c>
      <c r="CQ74" s="23" t="s">
        <v>77</v>
      </c>
    </row>
    <row r="75" spans="1:96" outlineLevel="1" x14ac:dyDescent="0.2">
      <c r="B75" s="8" t="s">
        <v>59</v>
      </c>
      <c r="D75" s="75"/>
      <c r="E75" s="75"/>
      <c r="F75" s="75"/>
      <c r="G75" s="75"/>
      <c r="H75" s="75"/>
      <c r="I75" s="75"/>
      <c r="J75" s="75"/>
      <c r="K75" s="203">
        <v>0.3</v>
      </c>
      <c r="L75" s="199">
        <f t="shared" si="57"/>
        <v>0.3</v>
      </c>
      <c r="M75" s="199">
        <f t="shared" si="57"/>
        <v>0.3</v>
      </c>
      <c r="N75" s="199">
        <f t="shared" si="57"/>
        <v>0.3</v>
      </c>
      <c r="O75" s="199">
        <f t="shared" si="58"/>
        <v>0.3</v>
      </c>
      <c r="P75" s="199">
        <f t="shared" si="58"/>
        <v>0.3</v>
      </c>
      <c r="Q75" s="199">
        <f t="shared" si="58"/>
        <v>0.3</v>
      </c>
      <c r="R75" s="199">
        <f t="shared" si="58"/>
        <v>0.3</v>
      </c>
      <c r="S75" s="203">
        <v>0.3</v>
      </c>
      <c r="T75" s="77">
        <f t="shared" ref="T75:BC75" si="71">+S75</f>
        <v>0.3</v>
      </c>
      <c r="U75" s="199">
        <f t="shared" si="71"/>
        <v>0.3</v>
      </c>
      <c r="V75" s="199">
        <f t="shared" si="71"/>
        <v>0.3</v>
      </c>
      <c r="W75" s="229">
        <f t="shared" si="71"/>
        <v>0.3</v>
      </c>
      <c r="X75" s="169">
        <v>0.3</v>
      </c>
      <c r="Y75" s="77">
        <f t="shared" si="71"/>
        <v>0.3</v>
      </c>
      <c r="Z75" s="77">
        <f t="shared" si="71"/>
        <v>0.3</v>
      </c>
      <c r="AA75" s="77">
        <f t="shared" si="71"/>
        <v>0.3</v>
      </c>
      <c r="AB75" s="77">
        <f t="shared" si="71"/>
        <v>0.3</v>
      </c>
      <c r="AC75" s="77">
        <f t="shared" si="71"/>
        <v>0.3</v>
      </c>
      <c r="AD75" s="77">
        <f t="shared" si="71"/>
        <v>0.3</v>
      </c>
      <c r="AE75" s="77">
        <f t="shared" si="71"/>
        <v>0.3</v>
      </c>
      <c r="AF75" s="77">
        <f t="shared" si="71"/>
        <v>0.3</v>
      </c>
      <c r="AG75" s="77">
        <f t="shared" si="71"/>
        <v>0.3</v>
      </c>
      <c r="AH75" s="77">
        <f t="shared" si="71"/>
        <v>0.3</v>
      </c>
      <c r="AI75" s="77">
        <f t="shared" si="71"/>
        <v>0.3</v>
      </c>
      <c r="AJ75" s="77">
        <f t="shared" si="71"/>
        <v>0.3</v>
      </c>
      <c r="AK75" s="77">
        <f t="shared" si="71"/>
        <v>0.3</v>
      </c>
      <c r="AL75" s="77">
        <f t="shared" si="71"/>
        <v>0.3</v>
      </c>
      <c r="AM75" s="77">
        <f t="shared" si="71"/>
        <v>0.3</v>
      </c>
      <c r="AN75" s="77">
        <f t="shared" si="71"/>
        <v>0.3</v>
      </c>
      <c r="AO75" s="77">
        <f t="shared" si="71"/>
        <v>0.3</v>
      </c>
      <c r="AP75" s="77">
        <f t="shared" si="71"/>
        <v>0.3</v>
      </c>
      <c r="AQ75" s="77">
        <f t="shared" si="71"/>
        <v>0.3</v>
      </c>
      <c r="AR75" s="77">
        <f t="shared" si="71"/>
        <v>0.3</v>
      </c>
      <c r="AS75" s="77">
        <f t="shared" si="71"/>
        <v>0.3</v>
      </c>
      <c r="AT75" s="77">
        <f t="shared" si="71"/>
        <v>0.3</v>
      </c>
      <c r="AU75" s="77">
        <f t="shared" si="71"/>
        <v>0.3</v>
      </c>
      <c r="AV75" s="77">
        <f t="shared" si="71"/>
        <v>0.3</v>
      </c>
      <c r="AW75" s="77">
        <f t="shared" si="71"/>
        <v>0.3</v>
      </c>
      <c r="AX75" s="77">
        <f t="shared" si="71"/>
        <v>0.3</v>
      </c>
      <c r="AY75" s="77">
        <f t="shared" si="71"/>
        <v>0.3</v>
      </c>
      <c r="AZ75" s="77">
        <f t="shared" si="71"/>
        <v>0.3</v>
      </c>
      <c r="BA75" s="77">
        <f t="shared" si="71"/>
        <v>0.3</v>
      </c>
      <c r="BB75" s="77">
        <f t="shared" si="71"/>
        <v>0.3</v>
      </c>
      <c r="BC75" s="77">
        <f t="shared" si="71"/>
        <v>0.3</v>
      </c>
      <c r="BD75" s="77">
        <f t="shared" si="60"/>
        <v>0.3</v>
      </c>
      <c r="BE75" s="77">
        <f t="shared" ref="BE75:CP75" si="72">+BD75</f>
        <v>0.3</v>
      </c>
      <c r="BF75" s="77">
        <f t="shared" si="72"/>
        <v>0.3</v>
      </c>
      <c r="BG75" s="77">
        <f t="shared" si="72"/>
        <v>0.3</v>
      </c>
      <c r="BH75" s="77">
        <f t="shared" si="72"/>
        <v>0.3</v>
      </c>
      <c r="BI75" s="77">
        <f t="shared" si="72"/>
        <v>0.3</v>
      </c>
      <c r="BJ75" s="77">
        <f t="shared" si="72"/>
        <v>0.3</v>
      </c>
      <c r="BK75" s="77">
        <f t="shared" si="72"/>
        <v>0.3</v>
      </c>
      <c r="BL75" s="77">
        <f t="shared" si="72"/>
        <v>0.3</v>
      </c>
      <c r="BM75" s="77">
        <f t="shared" si="72"/>
        <v>0.3</v>
      </c>
      <c r="BN75" s="77">
        <f t="shared" si="72"/>
        <v>0.3</v>
      </c>
      <c r="BO75" s="77">
        <f t="shared" si="72"/>
        <v>0.3</v>
      </c>
      <c r="BP75" s="77">
        <f t="shared" si="72"/>
        <v>0.3</v>
      </c>
      <c r="BQ75" s="77">
        <f t="shared" si="72"/>
        <v>0.3</v>
      </c>
      <c r="BR75" s="77">
        <f t="shared" si="72"/>
        <v>0.3</v>
      </c>
      <c r="BS75" s="77">
        <f t="shared" si="72"/>
        <v>0.3</v>
      </c>
      <c r="BT75" s="77">
        <f t="shared" si="72"/>
        <v>0.3</v>
      </c>
      <c r="BU75" s="77">
        <f t="shared" si="72"/>
        <v>0.3</v>
      </c>
      <c r="BV75" s="77">
        <f t="shared" si="72"/>
        <v>0.3</v>
      </c>
      <c r="BW75" s="77">
        <f t="shared" si="72"/>
        <v>0.3</v>
      </c>
      <c r="BX75" s="77">
        <f t="shared" si="72"/>
        <v>0.3</v>
      </c>
      <c r="BY75" s="77">
        <f t="shared" si="72"/>
        <v>0.3</v>
      </c>
      <c r="BZ75" s="77">
        <f t="shared" si="72"/>
        <v>0.3</v>
      </c>
      <c r="CA75" s="77">
        <f t="shared" si="72"/>
        <v>0.3</v>
      </c>
      <c r="CB75" s="77">
        <f t="shared" si="72"/>
        <v>0.3</v>
      </c>
      <c r="CC75" s="77">
        <f t="shared" si="72"/>
        <v>0.3</v>
      </c>
      <c r="CD75" s="77">
        <f t="shared" si="72"/>
        <v>0.3</v>
      </c>
      <c r="CE75" s="77">
        <f t="shared" si="72"/>
        <v>0.3</v>
      </c>
      <c r="CF75" s="77">
        <f t="shared" si="72"/>
        <v>0.3</v>
      </c>
      <c r="CG75" s="77">
        <f t="shared" si="72"/>
        <v>0.3</v>
      </c>
      <c r="CH75" s="77">
        <f t="shared" si="72"/>
        <v>0.3</v>
      </c>
      <c r="CI75" s="77">
        <f t="shared" si="72"/>
        <v>0.3</v>
      </c>
      <c r="CJ75" s="77">
        <f t="shared" si="72"/>
        <v>0.3</v>
      </c>
      <c r="CK75" s="77">
        <f t="shared" si="72"/>
        <v>0.3</v>
      </c>
      <c r="CL75" s="77">
        <f t="shared" si="72"/>
        <v>0.3</v>
      </c>
      <c r="CM75" s="77">
        <f t="shared" si="72"/>
        <v>0.3</v>
      </c>
      <c r="CN75" s="77">
        <f t="shared" si="72"/>
        <v>0.3</v>
      </c>
      <c r="CO75" s="77">
        <f t="shared" si="72"/>
        <v>0.3</v>
      </c>
      <c r="CP75" s="77">
        <f t="shared" si="72"/>
        <v>0.3</v>
      </c>
      <c r="CQ75" s="23" t="s">
        <v>77</v>
      </c>
    </row>
    <row r="76" spans="1:96" outlineLevel="1" x14ac:dyDescent="0.2">
      <c r="B76" s="8" t="s">
        <v>80</v>
      </c>
      <c r="D76" s="75"/>
      <c r="E76" s="75"/>
      <c r="F76" s="75"/>
      <c r="G76" s="75"/>
      <c r="H76" s="75"/>
      <c r="I76" s="75"/>
      <c r="J76" s="75"/>
      <c r="K76" s="204">
        <v>0.5</v>
      </c>
      <c r="L76" s="199">
        <f t="shared" si="57"/>
        <v>0.5</v>
      </c>
      <c r="M76" s="199">
        <f t="shared" si="57"/>
        <v>0.5</v>
      </c>
      <c r="N76" s="199">
        <f t="shared" si="57"/>
        <v>0.5</v>
      </c>
      <c r="O76" s="199">
        <f t="shared" si="58"/>
        <v>0.5</v>
      </c>
      <c r="P76" s="199">
        <f t="shared" si="58"/>
        <v>0.5</v>
      </c>
      <c r="Q76" s="199">
        <f t="shared" si="58"/>
        <v>0.5</v>
      </c>
      <c r="R76" s="199">
        <f t="shared" si="58"/>
        <v>0.5</v>
      </c>
      <c r="S76" s="204">
        <v>0.25</v>
      </c>
      <c r="T76" s="77">
        <f t="shared" ref="T76:BC76" si="73">+S76</f>
        <v>0.25</v>
      </c>
      <c r="U76" s="199">
        <f t="shared" si="73"/>
        <v>0.25</v>
      </c>
      <c r="V76" s="199">
        <f t="shared" si="73"/>
        <v>0.25</v>
      </c>
      <c r="W76" s="229">
        <f t="shared" si="73"/>
        <v>0.25</v>
      </c>
      <c r="X76" s="170">
        <v>0.4</v>
      </c>
      <c r="Y76" s="77">
        <f t="shared" si="73"/>
        <v>0.4</v>
      </c>
      <c r="Z76" s="77">
        <f t="shared" si="73"/>
        <v>0.4</v>
      </c>
      <c r="AA76" s="77">
        <f t="shared" si="73"/>
        <v>0.4</v>
      </c>
      <c r="AB76" s="77">
        <f t="shared" si="73"/>
        <v>0.4</v>
      </c>
      <c r="AC76" s="77">
        <f t="shared" si="73"/>
        <v>0.4</v>
      </c>
      <c r="AD76" s="77">
        <f t="shared" si="73"/>
        <v>0.4</v>
      </c>
      <c r="AE76" s="77">
        <f t="shared" si="73"/>
        <v>0.4</v>
      </c>
      <c r="AF76" s="77">
        <f t="shared" si="73"/>
        <v>0.4</v>
      </c>
      <c r="AG76" s="77">
        <f t="shared" si="73"/>
        <v>0.4</v>
      </c>
      <c r="AH76" s="77">
        <f t="shared" si="73"/>
        <v>0.4</v>
      </c>
      <c r="AI76" s="77">
        <f t="shared" si="73"/>
        <v>0.4</v>
      </c>
      <c r="AJ76" s="77">
        <f t="shared" si="73"/>
        <v>0.4</v>
      </c>
      <c r="AK76" s="77">
        <f t="shared" si="73"/>
        <v>0.4</v>
      </c>
      <c r="AL76" s="77">
        <f t="shared" si="73"/>
        <v>0.4</v>
      </c>
      <c r="AM76" s="77">
        <f t="shared" si="73"/>
        <v>0.4</v>
      </c>
      <c r="AN76" s="77">
        <f t="shared" si="73"/>
        <v>0.4</v>
      </c>
      <c r="AO76" s="77">
        <f t="shared" si="73"/>
        <v>0.4</v>
      </c>
      <c r="AP76" s="77">
        <f t="shared" si="73"/>
        <v>0.4</v>
      </c>
      <c r="AQ76" s="77">
        <f t="shared" si="73"/>
        <v>0.4</v>
      </c>
      <c r="AR76" s="77">
        <f t="shared" si="73"/>
        <v>0.4</v>
      </c>
      <c r="AS76" s="77">
        <f t="shared" si="73"/>
        <v>0.4</v>
      </c>
      <c r="AT76" s="77">
        <f t="shared" si="73"/>
        <v>0.4</v>
      </c>
      <c r="AU76" s="77">
        <f t="shared" si="73"/>
        <v>0.4</v>
      </c>
      <c r="AV76" s="77">
        <f t="shared" si="73"/>
        <v>0.4</v>
      </c>
      <c r="AW76" s="77">
        <f t="shared" si="73"/>
        <v>0.4</v>
      </c>
      <c r="AX76" s="77">
        <f t="shared" si="73"/>
        <v>0.4</v>
      </c>
      <c r="AY76" s="77">
        <f t="shared" si="73"/>
        <v>0.4</v>
      </c>
      <c r="AZ76" s="77">
        <f t="shared" si="73"/>
        <v>0.4</v>
      </c>
      <c r="BA76" s="77">
        <f t="shared" si="73"/>
        <v>0.4</v>
      </c>
      <c r="BB76" s="77">
        <f t="shared" si="73"/>
        <v>0.4</v>
      </c>
      <c r="BC76" s="77">
        <f t="shared" si="73"/>
        <v>0.4</v>
      </c>
      <c r="BD76" s="77">
        <f t="shared" si="60"/>
        <v>0.4</v>
      </c>
      <c r="BE76" s="77">
        <f t="shared" ref="BE76:CP76" si="74">+BD76</f>
        <v>0.4</v>
      </c>
      <c r="BF76" s="77">
        <f t="shared" si="74"/>
        <v>0.4</v>
      </c>
      <c r="BG76" s="77">
        <f t="shared" si="74"/>
        <v>0.4</v>
      </c>
      <c r="BH76" s="77">
        <f t="shared" si="74"/>
        <v>0.4</v>
      </c>
      <c r="BI76" s="77">
        <f t="shared" si="74"/>
        <v>0.4</v>
      </c>
      <c r="BJ76" s="77">
        <f t="shared" si="74"/>
        <v>0.4</v>
      </c>
      <c r="BK76" s="77">
        <f t="shared" si="74"/>
        <v>0.4</v>
      </c>
      <c r="BL76" s="77">
        <f t="shared" si="74"/>
        <v>0.4</v>
      </c>
      <c r="BM76" s="77">
        <f t="shared" si="74"/>
        <v>0.4</v>
      </c>
      <c r="BN76" s="77">
        <f t="shared" si="74"/>
        <v>0.4</v>
      </c>
      <c r="BO76" s="77">
        <f t="shared" si="74"/>
        <v>0.4</v>
      </c>
      <c r="BP76" s="77">
        <f t="shared" si="74"/>
        <v>0.4</v>
      </c>
      <c r="BQ76" s="77">
        <f t="shared" si="74"/>
        <v>0.4</v>
      </c>
      <c r="BR76" s="77">
        <f t="shared" si="74"/>
        <v>0.4</v>
      </c>
      <c r="BS76" s="77">
        <f t="shared" si="74"/>
        <v>0.4</v>
      </c>
      <c r="BT76" s="77">
        <f t="shared" si="74"/>
        <v>0.4</v>
      </c>
      <c r="BU76" s="77">
        <f t="shared" si="74"/>
        <v>0.4</v>
      </c>
      <c r="BV76" s="77">
        <f t="shared" si="74"/>
        <v>0.4</v>
      </c>
      <c r="BW76" s="77">
        <f t="shared" si="74"/>
        <v>0.4</v>
      </c>
      <c r="BX76" s="77">
        <f t="shared" si="74"/>
        <v>0.4</v>
      </c>
      <c r="BY76" s="77">
        <f t="shared" si="74"/>
        <v>0.4</v>
      </c>
      <c r="BZ76" s="77">
        <f t="shared" si="74"/>
        <v>0.4</v>
      </c>
      <c r="CA76" s="77">
        <f t="shared" si="74"/>
        <v>0.4</v>
      </c>
      <c r="CB76" s="77">
        <f t="shared" si="74"/>
        <v>0.4</v>
      </c>
      <c r="CC76" s="77">
        <f t="shared" si="74"/>
        <v>0.4</v>
      </c>
      <c r="CD76" s="77">
        <f t="shared" si="74"/>
        <v>0.4</v>
      </c>
      <c r="CE76" s="77">
        <f t="shared" si="74"/>
        <v>0.4</v>
      </c>
      <c r="CF76" s="77">
        <f t="shared" si="74"/>
        <v>0.4</v>
      </c>
      <c r="CG76" s="77">
        <f t="shared" si="74"/>
        <v>0.4</v>
      </c>
      <c r="CH76" s="77">
        <f t="shared" si="74"/>
        <v>0.4</v>
      </c>
      <c r="CI76" s="77">
        <f t="shared" si="74"/>
        <v>0.4</v>
      </c>
      <c r="CJ76" s="77">
        <f t="shared" si="74"/>
        <v>0.4</v>
      </c>
      <c r="CK76" s="77">
        <f t="shared" si="74"/>
        <v>0.4</v>
      </c>
      <c r="CL76" s="77">
        <f t="shared" si="74"/>
        <v>0.4</v>
      </c>
      <c r="CM76" s="77">
        <f t="shared" si="74"/>
        <v>0.4</v>
      </c>
      <c r="CN76" s="77">
        <f t="shared" si="74"/>
        <v>0.4</v>
      </c>
      <c r="CO76" s="77">
        <f t="shared" si="74"/>
        <v>0.4</v>
      </c>
      <c r="CP76" s="77">
        <f t="shared" si="74"/>
        <v>0.4</v>
      </c>
      <c r="CQ76" s="23" t="s">
        <v>77</v>
      </c>
    </row>
    <row r="77" spans="1:96" outlineLevel="1" x14ac:dyDescent="0.2">
      <c r="A77" s="233"/>
      <c r="B77" s="358" t="s">
        <v>66</v>
      </c>
      <c r="D77" s="66"/>
      <c r="E77" s="66"/>
      <c r="F77" s="66"/>
      <c r="G77" s="66"/>
      <c r="H77" s="66"/>
      <c r="I77" s="66"/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81"/>
      <c r="V77" s="81"/>
      <c r="W77" s="81"/>
      <c r="X77" s="66"/>
      <c r="Y77" s="66"/>
      <c r="Z77" s="66"/>
      <c r="AA77" s="66"/>
      <c r="AB77" s="66"/>
      <c r="AC77" s="66"/>
      <c r="AD77" s="66"/>
      <c r="AE77" s="66"/>
      <c r="AF77" s="66"/>
      <c r="AG77" s="66"/>
      <c r="AH77" s="66"/>
      <c r="AI77" s="66"/>
      <c r="AJ77" s="66"/>
      <c r="AK77" s="66"/>
      <c r="AL77" s="66"/>
      <c r="AM77" s="66"/>
      <c r="AN77" s="66"/>
      <c r="AO77" s="66"/>
      <c r="AP77" s="66"/>
      <c r="AQ77" s="66"/>
      <c r="AR77" s="66"/>
      <c r="AS77" s="66"/>
      <c r="AT77" s="66"/>
      <c r="AU77" s="66"/>
      <c r="AV77" s="66"/>
      <c r="AW77" s="66"/>
      <c r="AX77" s="66"/>
      <c r="AY77" s="66"/>
      <c r="AZ77" s="66"/>
      <c r="BA77" s="66"/>
      <c r="BB77" s="66"/>
      <c r="BC77" s="66"/>
      <c r="BD77" s="66"/>
      <c r="BE77" s="66"/>
      <c r="BF77" s="66"/>
      <c r="BG77" s="66"/>
      <c r="BH77" s="66"/>
      <c r="BI77" s="66"/>
      <c r="BJ77" s="66"/>
      <c r="BK77" s="66"/>
      <c r="BL77" s="66"/>
      <c r="BM77" s="66"/>
      <c r="BN77" s="66"/>
      <c r="BO77" s="66"/>
      <c r="BP77" s="66"/>
      <c r="BQ77" s="66"/>
      <c r="BR77" s="66"/>
      <c r="BS77" s="66"/>
      <c r="BT77" s="66"/>
      <c r="BU77" s="66"/>
      <c r="BV77" s="66"/>
      <c r="BW77" s="66"/>
      <c r="BX77" s="66"/>
      <c r="BY77" s="66"/>
      <c r="BZ77" s="66"/>
      <c r="CA77" s="66"/>
      <c r="CB77" s="66"/>
      <c r="CC77" s="66"/>
      <c r="CD77" s="66"/>
      <c r="CE77" s="66"/>
      <c r="CF77" s="66"/>
      <c r="CG77" s="66"/>
      <c r="CH77" s="66"/>
      <c r="CI77" s="66"/>
      <c r="CJ77" s="66"/>
      <c r="CK77" s="66"/>
      <c r="CL77" s="66"/>
      <c r="CM77" s="66"/>
      <c r="CN77" s="66"/>
      <c r="CO77" s="66"/>
      <c r="CP77" s="66"/>
      <c r="CQ77" s="23" t="s">
        <v>77</v>
      </c>
      <c r="CR77" s="233"/>
    </row>
    <row r="78" spans="1:96" outlineLevel="1" x14ac:dyDescent="0.2">
      <c r="B78" s="8" t="s">
        <v>60</v>
      </c>
      <c r="D78" s="9"/>
      <c r="E78" s="75"/>
      <c r="F78" s="75"/>
      <c r="G78" s="75"/>
      <c r="H78" s="75"/>
      <c r="I78" s="75"/>
      <c r="J78" s="75"/>
      <c r="K78" s="536">
        <f t="shared" ref="K78:R78" si="75">+K67+K72</f>
        <v>6.2E-2</v>
      </c>
      <c r="L78" s="72">
        <f t="shared" si="75"/>
        <v>6.2E-2</v>
      </c>
      <c r="M78" s="72">
        <f t="shared" si="75"/>
        <v>6.2E-2</v>
      </c>
      <c r="N78" s="72">
        <f t="shared" si="75"/>
        <v>6.2E-2</v>
      </c>
      <c r="O78" s="72">
        <f t="shared" si="75"/>
        <v>6.2E-2</v>
      </c>
      <c r="P78" s="72">
        <f t="shared" si="75"/>
        <v>6.2E-2</v>
      </c>
      <c r="Q78" s="72">
        <f t="shared" si="75"/>
        <v>6.2E-2</v>
      </c>
      <c r="R78" s="72">
        <f t="shared" si="75"/>
        <v>6.2E-2</v>
      </c>
      <c r="S78" s="537">
        <f>+S67+S72</f>
        <v>8.0600000000000005E-2</v>
      </c>
      <c r="T78" s="75">
        <f>+T67+T72</f>
        <v>8.0600000000000005E-2</v>
      </c>
      <c r="U78" s="72">
        <f>+U67+U72</f>
        <v>8.0600000000000005E-2</v>
      </c>
      <c r="V78" s="72">
        <f>+V67+V72</f>
        <v>8.0600000000000005E-2</v>
      </c>
      <c r="W78" s="210">
        <f>+W67+W72</f>
        <v>8.0600000000000005E-2</v>
      </c>
      <c r="X78" s="171">
        <v>6.5000000000000002E-2</v>
      </c>
      <c r="Y78" s="75">
        <f>X78</f>
        <v>6.5000000000000002E-2</v>
      </c>
      <c r="Z78" s="75">
        <f t="shared" ref="Z78:BD78" si="76">Y78</f>
        <v>6.5000000000000002E-2</v>
      </c>
      <c r="AA78" s="75">
        <f t="shared" si="76"/>
        <v>6.5000000000000002E-2</v>
      </c>
      <c r="AB78" s="75">
        <f t="shared" si="76"/>
        <v>6.5000000000000002E-2</v>
      </c>
      <c r="AC78" s="75">
        <f t="shared" si="76"/>
        <v>6.5000000000000002E-2</v>
      </c>
      <c r="AD78" s="75">
        <f t="shared" si="76"/>
        <v>6.5000000000000002E-2</v>
      </c>
      <c r="AE78" s="75">
        <f t="shared" si="76"/>
        <v>6.5000000000000002E-2</v>
      </c>
      <c r="AF78" s="75">
        <f t="shared" si="76"/>
        <v>6.5000000000000002E-2</v>
      </c>
      <c r="AG78" s="75">
        <f t="shared" si="76"/>
        <v>6.5000000000000002E-2</v>
      </c>
      <c r="AH78" s="75">
        <f t="shared" si="76"/>
        <v>6.5000000000000002E-2</v>
      </c>
      <c r="AI78" s="75">
        <f t="shared" si="76"/>
        <v>6.5000000000000002E-2</v>
      </c>
      <c r="AJ78" s="75">
        <f t="shared" si="76"/>
        <v>6.5000000000000002E-2</v>
      </c>
      <c r="AK78" s="75">
        <f t="shared" si="76"/>
        <v>6.5000000000000002E-2</v>
      </c>
      <c r="AL78" s="75">
        <f t="shared" si="76"/>
        <v>6.5000000000000002E-2</v>
      </c>
      <c r="AM78" s="75">
        <f t="shared" si="76"/>
        <v>6.5000000000000002E-2</v>
      </c>
      <c r="AN78" s="75">
        <f t="shared" si="76"/>
        <v>6.5000000000000002E-2</v>
      </c>
      <c r="AO78" s="75">
        <f t="shared" si="76"/>
        <v>6.5000000000000002E-2</v>
      </c>
      <c r="AP78" s="75">
        <f t="shared" si="76"/>
        <v>6.5000000000000002E-2</v>
      </c>
      <c r="AQ78" s="75">
        <f t="shared" si="76"/>
        <v>6.5000000000000002E-2</v>
      </c>
      <c r="AR78" s="75">
        <f>AQ78</f>
        <v>6.5000000000000002E-2</v>
      </c>
      <c r="AS78" s="75">
        <f t="shared" si="76"/>
        <v>6.5000000000000002E-2</v>
      </c>
      <c r="AT78" s="75">
        <f t="shared" si="76"/>
        <v>6.5000000000000002E-2</v>
      </c>
      <c r="AU78" s="75">
        <f t="shared" si="76"/>
        <v>6.5000000000000002E-2</v>
      </c>
      <c r="AV78" s="75">
        <f t="shared" si="76"/>
        <v>6.5000000000000002E-2</v>
      </c>
      <c r="AW78" s="75">
        <f t="shared" si="76"/>
        <v>6.5000000000000002E-2</v>
      </c>
      <c r="AX78" s="75">
        <f t="shared" si="76"/>
        <v>6.5000000000000002E-2</v>
      </c>
      <c r="AY78" s="75">
        <f t="shared" si="76"/>
        <v>6.5000000000000002E-2</v>
      </c>
      <c r="AZ78" s="75">
        <f t="shared" si="76"/>
        <v>6.5000000000000002E-2</v>
      </c>
      <c r="BA78" s="75">
        <f t="shared" si="76"/>
        <v>6.5000000000000002E-2</v>
      </c>
      <c r="BB78" s="75">
        <f t="shared" si="76"/>
        <v>6.5000000000000002E-2</v>
      </c>
      <c r="BC78" s="75">
        <f t="shared" si="76"/>
        <v>6.5000000000000002E-2</v>
      </c>
      <c r="BD78" s="75">
        <f t="shared" si="76"/>
        <v>6.5000000000000002E-2</v>
      </c>
      <c r="BE78" s="75">
        <f t="shared" ref="BE78:CP78" si="77">BD78</f>
        <v>6.5000000000000002E-2</v>
      </c>
      <c r="BF78" s="75">
        <f t="shared" si="77"/>
        <v>6.5000000000000002E-2</v>
      </c>
      <c r="BG78" s="75">
        <f t="shared" si="77"/>
        <v>6.5000000000000002E-2</v>
      </c>
      <c r="BH78" s="75">
        <f t="shared" si="77"/>
        <v>6.5000000000000002E-2</v>
      </c>
      <c r="BI78" s="75">
        <f t="shared" si="77"/>
        <v>6.5000000000000002E-2</v>
      </c>
      <c r="BJ78" s="75">
        <f t="shared" si="77"/>
        <v>6.5000000000000002E-2</v>
      </c>
      <c r="BK78" s="75">
        <f t="shared" si="77"/>
        <v>6.5000000000000002E-2</v>
      </c>
      <c r="BL78" s="75">
        <f t="shared" si="77"/>
        <v>6.5000000000000002E-2</v>
      </c>
      <c r="BM78" s="75">
        <f t="shared" si="77"/>
        <v>6.5000000000000002E-2</v>
      </c>
      <c r="BN78" s="75">
        <f t="shared" si="77"/>
        <v>6.5000000000000002E-2</v>
      </c>
      <c r="BO78" s="75">
        <f t="shared" si="77"/>
        <v>6.5000000000000002E-2</v>
      </c>
      <c r="BP78" s="75">
        <f t="shared" si="77"/>
        <v>6.5000000000000002E-2</v>
      </c>
      <c r="BQ78" s="75">
        <f t="shared" si="77"/>
        <v>6.5000000000000002E-2</v>
      </c>
      <c r="BR78" s="75">
        <f t="shared" si="77"/>
        <v>6.5000000000000002E-2</v>
      </c>
      <c r="BS78" s="75">
        <f t="shared" si="77"/>
        <v>6.5000000000000002E-2</v>
      </c>
      <c r="BT78" s="75">
        <f t="shared" si="77"/>
        <v>6.5000000000000002E-2</v>
      </c>
      <c r="BU78" s="75">
        <f t="shared" si="77"/>
        <v>6.5000000000000002E-2</v>
      </c>
      <c r="BV78" s="75">
        <f t="shared" si="77"/>
        <v>6.5000000000000002E-2</v>
      </c>
      <c r="BW78" s="75">
        <f t="shared" si="77"/>
        <v>6.5000000000000002E-2</v>
      </c>
      <c r="BX78" s="75">
        <f t="shared" si="77"/>
        <v>6.5000000000000002E-2</v>
      </c>
      <c r="BY78" s="75">
        <f t="shared" si="77"/>
        <v>6.5000000000000002E-2</v>
      </c>
      <c r="BZ78" s="75">
        <f t="shared" si="77"/>
        <v>6.5000000000000002E-2</v>
      </c>
      <c r="CA78" s="75">
        <f t="shared" si="77"/>
        <v>6.5000000000000002E-2</v>
      </c>
      <c r="CB78" s="75">
        <f t="shared" si="77"/>
        <v>6.5000000000000002E-2</v>
      </c>
      <c r="CC78" s="75">
        <f t="shared" si="77"/>
        <v>6.5000000000000002E-2</v>
      </c>
      <c r="CD78" s="75">
        <f t="shared" si="77"/>
        <v>6.5000000000000002E-2</v>
      </c>
      <c r="CE78" s="75">
        <f t="shared" si="77"/>
        <v>6.5000000000000002E-2</v>
      </c>
      <c r="CF78" s="75">
        <f t="shared" si="77"/>
        <v>6.5000000000000002E-2</v>
      </c>
      <c r="CG78" s="75">
        <f t="shared" si="77"/>
        <v>6.5000000000000002E-2</v>
      </c>
      <c r="CH78" s="75">
        <f t="shared" si="77"/>
        <v>6.5000000000000002E-2</v>
      </c>
      <c r="CI78" s="75">
        <f t="shared" si="77"/>
        <v>6.5000000000000002E-2</v>
      </c>
      <c r="CJ78" s="75">
        <f t="shared" si="77"/>
        <v>6.5000000000000002E-2</v>
      </c>
      <c r="CK78" s="75">
        <f t="shared" si="77"/>
        <v>6.5000000000000002E-2</v>
      </c>
      <c r="CL78" s="75">
        <f t="shared" si="77"/>
        <v>6.5000000000000002E-2</v>
      </c>
      <c r="CM78" s="75">
        <f t="shared" si="77"/>
        <v>6.5000000000000002E-2</v>
      </c>
      <c r="CN78" s="75">
        <f t="shared" si="77"/>
        <v>6.5000000000000002E-2</v>
      </c>
      <c r="CO78" s="75">
        <f t="shared" si="77"/>
        <v>6.5000000000000002E-2</v>
      </c>
      <c r="CP78" s="75">
        <f t="shared" si="77"/>
        <v>6.5000000000000002E-2</v>
      </c>
      <c r="CQ78" s="23" t="s">
        <v>77</v>
      </c>
    </row>
    <row r="79" spans="1:96" outlineLevel="1" x14ac:dyDescent="0.2">
      <c r="B79" s="8" t="s">
        <v>61</v>
      </c>
      <c r="D79" s="9"/>
      <c r="E79" s="75"/>
      <c r="F79" s="75"/>
      <c r="G79" s="75"/>
      <c r="H79" s="75"/>
      <c r="I79" s="75"/>
      <c r="J79" s="75"/>
      <c r="K79" s="237">
        <f t="shared" ref="K79:BD79" si="78">+(1+K78)/(1+K68)-1</f>
        <v>3.9240630198649651E-2</v>
      </c>
      <c r="L79" s="72">
        <f t="shared" si="78"/>
        <v>3.9240630198649651E-2</v>
      </c>
      <c r="M79" s="72">
        <f t="shared" si="78"/>
        <v>3.9240630198649651E-2</v>
      </c>
      <c r="N79" s="72">
        <f t="shared" si="78"/>
        <v>3.9240630198649651E-2</v>
      </c>
      <c r="O79" s="72">
        <f t="shared" si="78"/>
        <v>3.9240630198649651E-2</v>
      </c>
      <c r="P79" s="72">
        <f t="shared" si="78"/>
        <v>3.9240630198649651E-2</v>
      </c>
      <c r="Q79" s="72">
        <f t="shared" si="78"/>
        <v>3.9240630198649651E-2</v>
      </c>
      <c r="R79" s="72">
        <f t="shared" si="78"/>
        <v>3.9240630198649651E-2</v>
      </c>
      <c r="S79" s="237">
        <f t="shared" si="78"/>
        <v>5.3729887859580661E-2</v>
      </c>
      <c r="T79" s="75">
        <f t="shared" si="78"/>
        <v>5.3729887859580661E-2</v>
      </c>
      <c r="U79" s="72">
        <f t="shared" si="78"/>
        <v>5.3729887859580661E-2</v>
      </c>
      <c r="V79" s="72">
        <f t="shared" si="78"/>
        <v>5.3729887859580661E-2</v>
      </c>
      <c r="W79" s="210">
        <f t="shared" si="78"/>
        <v>5.3729887859580661E-2</v>
      </c>
      <c r="X79" s="237">
        <f t="shared" si="78"/>
        <v>3.9024390243902474E-2</v>
      </c>
      <c r="Y79" s="75">
        <f t="shared" si="78"/>
        <v>3.9024390243902474E-2</v>
      </c>
      <c r="Z79" s="75">
        <f t="shared" si="78"/>
        <v>3.9024390243902474E-2</v>
      </c>
      <c r="AA79" s="75">
        <f t="shared" si="78"/>
        <v>3.9024390243902474E-2</v>
      </c>
      <c r="AB79" s="75">
        <f t="shared" si="78"/>
        <v>3.9024390243902474E-2</v>
      </c>
      <c r="AC79" s="75">
        <f t="shared" si="78"/>
        <v>3.9024390243902474E-2</v>
      </c>
      <c r="AD79" s="75">
        <f t="shared" si="78"/>
        <v>3.9024390243902474E-2</v>
      </c>
      <c r="AE79" s="75">
        <f t="shared" si="78"/>
        <v>3.9024390243902474E-2</v>
      </c>
      <c r="AF79" s="75">
        <f t="shared" si="78"/>
        <v>3.9024390243902474E-2</v>
      </c>
      <c r="AG79" s="75">
        <f t="shared" si="78"/>
        <v>3.9024390243902474E-2</v>
      </c>
      <c r="AH79" s="75">
        <f t="shared" si="78"/>
        <v>3.9024390243902474E-2</v>
      </c>
      <c r="AI79" s="75">
        <f t="shared" si="78"/>
        <v>3.9024390243902474E-2</v>
      </c>
      <c r="AJ79" s="75">
        <f t="shared" si="78"/>
        <v>3.9024390243902474E-2</v>
      </c>
      <c r="AK79" s="75">
        <f t="shared" si="78"/>
        <v>3.9024390243902474E-2</v>
      </c>
      <c r="AL79" s="75">
        <f t="shared" si="78"/>
        <v>3.9024390243902474E-2</v>
      </c>
      <c r="AM79" s="75">
        <f t="shared" si="78"/>
        <v>3.9024390243902474E-2</v>
      </c>
      <c r="AN79" s="75">
        <f t="shared" si="78"/>
        <v>3.9024390243902474E-2</v>
      </c>
      <c r="AO79" s="75">
        <f t="shared" si="78"/>
        <v>3.9024390243902474E-2</v>
      </c>
      <c r="AP79" s="75">
        <f t="shared" si="78"/>
        <v>3.9024390243902474E-2</v>
      </c>
      <c r="AQ79" s="75">
        <f t="shared" si="78"/>
        <v>3.9024390243902474E-2</v>
      </c>
      <c r="AR79" s="75">
        <f t="shared" si="78"/>
        <v>3.9024390243902474E-2</v>
      </c>
      <c r="AS79" s="75">
        <f t="shared" si="78"/>
        <v>3.9024390243902474E-2</v>
      </c>
      <c r="AT79" s="75">
        <f t="shared" si="78"/>
        <v>3.9024390243902474E-2</v>
      </c>
      <c r="AU79" s="75">
        <f t="shared" si="78"/>
        <v>3.9024390243902474E-2</v>
      </c>
      <c r="AV79" s="75">
        <f t="shared" si="78"/>
        <v>3.9024390243902474E-2</v>
      </c>
      <c r="AW79" s="75">
        <f t="shared" si="78"/>
        <v>3.9024390243902474E-2</v>
      </c>
      <c r="AX79" s="75">
        <f t="shared" si="78"/>
        <v>3.9024390243902474E-2</v>
      </c>
      <c r="AY79" s="75">
        <f t="shared" si="78"/>
        <v>3.9024390243902474E-2</v>
      </c>
      <c r="AZ79" s="75">
        <f t="shared" si="78"/>
        <v>3.9024390243902474E-2</v>
      </c>
      <c r="BA79" s="75">
        <f t="shared" si="78"/>
        <v>3.9024390243902474E-2</v>
      </c>
      <c r="BB79" s="75">
        <f t="shared" si="78"/>
        <v>3.9024390243902474E-2</v>
      </c>
      <c r="BC79" s="75">
        <f t="shared" si="78"/>
        <v>3.9024390243902474E-2</v>
      </c>
      <c r="BD79" s="75">
        <f t="shared" si="78"/>
        <v>3.9024390243902474E-2</v>
      </c>
      <c r="BE79" s="75">
        <f t="shared" ref="BE79:CP79" si="79">+(1+BE78)/(1+BE68)-1</f>
        <v>3.9024390243902474E-2</v>
      </c>
      <c r="BF79" s="75">
        <f t="shared" si="79"/>
        <v>3.9024390243902474E-2</v>
      </c>
      <c r="BG79" s="75">
        <f t="shared" si="79"/>
        <v>3.9024390243902474E-2</v>
      </c>
      <c r="BH79" s="75">
        <f t="shared" si="79"/>
        <v>3.9024390243902474E-2</v>
      </c>
      <c r="BI79" s="75">
        <f t="shared" si="79"/>
        <v>3.9024390243902474E-2</v>
      </c>
      <c r="BJ79" s="75">
        <f t="shared" si="79"/>
        <v>3.9024390243902474E-2</v>
      </c>
      <c r="BK79" s="75">
        <f t="shared" si="79"/>
        <v>3.9024390243902474E-2</v>
      </c>
      <c r="BL79" s="75">
        <f t="shared" si="79"/>
        <v>3.9024390243902474E-2</v>
      </c>
      <c r="BM79" s="75">
        <f t="shared" si="79"/>
        <v>3.9024390243902474E-2</v>
      </c>
      <c r="BN79" s="75">
        <f t="shared" si="79"/>
        <v>3.9024390243902474E-2</v>
      </c>
      <c r="BO79" s="75">
        <f t="shared" si="79"/>
        <v>3.9024390243902474E-2</v>
      </c>
      <c r="BP79" s="75">
        <f t="shared" si="79"/>
        <v>3.9024390243902474E-2</v>
      </c>
      <c r="BQ79" s="75">
        <f t="shared" si="79"/>
        <v>3.9024390243902474E-2</v>
      </c>
      <c r="BR79" s="75">
        <f t="shared" si="79"/>
        <v>3.9024390243902474E-2</v>
      </c>
      <c r="BS79" s="75">
        <f t="shared" si="79"/>
        <v>3.9024390243902474E-2</v>
      </c>
      <c r="BT79" s="75">
        <f t="shared" si="79"/>
        <v>3.9024390243902474E-2</v>
      </c>
      <c r="BU79" s="75">
        <f t="shared" si="79"/>
        <v>3.9024390243902474E-2</v>
      </c>
      <c r="BV79" s="75">
        <f t="shared" si="79"/>
        <v>3.9024390243902474E-2</v>
      </c>
      <c r="BW79" s="75">
        <f t="shared" si="79"/>
        <v>3.9024390243902474E-2</v>
      </c>
      <c r="BX79" s="75">
        <f t="shared" si="79"/>
        <v>3.9024390243902474E-2</v>
      </c>
      <c r="BY79" s="75">
        <f t="shared" si="79"/>
        <v>3.9024390243902474E-2</v>
      </c>
      <c r="BZ79" s="75">
        <f t="shared" si="79"/>
        <v>3.9024390243902474E-2</v>
      </c>
      <c r="CA79" s="75">
        <f t="shared" si="79"/>
        <v>3.9024390243902474E-2</v>
      </c>
      <c r="CB79" s="75">
        <f t="shared" si="79"/>
        <v>3.9024390243902474E-2</v>
      </c>
      <c r="CC79" s="75">
        <f t="shared" si="79"/>
        <v>3.9024390243902474E-2</v>
      </c>
      <c r="CD79" s="75">
        <f t="shared" si="79"/>
        <v>3.9024390243902474E-2</v>
      </c>
      <c r="CE79" s="75">
        <f t="shared" si="79"/>
        <v>3.9024390243902474E-2</v>
      </c>
      <c r="CF79" s="75">
        <f t="shared" si="79"/>
        <v>3.9024390243902474E-2</v>
      </c>
      <c r="CG79" s="75">
        <f t="shared" si="79"/>
        <v>3.9024390243902474E-2</v>
      </c>
      <c r="CH79" s="75">
        <f t="shared" si="79"/>
        <v>3.9024390243902474E-2</v>
      </c>
      <c r="CI79" s="75">
        <f t="shared" si="79"/>
        <v>3.9024390243902474E-2</v>
      </c>
      <c r="CJ79" s="75">
        <f t="shared" si="79"/>
        <v>3.9024390243902474E-2</v>
      </c>
      <c r="CK79" s="75">
        <f t="shared" si="79"/>
        <v>3.9024390243902474E-2</v>
      </c>
      <c r="CL79" s="75">
        <f t="shared" si="79"/>
        <v>3.9024390243902474E-2</v>
      </c>
      <c r="CM79" s="75">
        <f t="shared" si="79"/>
        <v>3.9024390243902474E-2</v>
      </c>
      <c r="CN79" s="75">
        <f t="shared" si="79"/>
        <v>3.9024390243902474E-2</v>
      </c>
      <c r="CO79" s="75">
        <f t="shared" si="79"/>
        <v>3.9024390243902474E-2</v>
      </c>
      <c r="CP79" s="75">
        <f t="shared" si="79"/>
        <v>3.9024390243902474E-2</v>
      </c>
      <c r="CQ79" s="23" t="s">
        <v>77</v>
      </c>
    </row>
    <row r="80" spans="1:96" outlineLevel="1" x14ac:dyDescent="0.2">
      <c r="A80" s="233"/>
      <c r="B80" s="358" t="s">
        <v>67</v>
      </c>
      <c r="D80" s="66"/>
      <c r="E80" s="66"/>
      <c r="F80" s="66"/>
      <c r="G80" s="66"/>
      <c r="H80" s="66"/>
      <c r="I80" s="66"/>
      <c r="J80" s="66"/>
      <c r="K80" s="238"/>
      <c r="L80" s="66"/>
      <c r="M80" s="66"/>
      <c r="N80" s="66"/>
      <c r="O80" s="66"/>
      <c r="P80" s="66"/>
      <c r="Q80" s="66"/>
      <c r="R80" s="66"/>
      <c r="S80" s="238"/>
      <c r="T80" s="66"/>
      <c r="U80" s="81"/>
      <c r="V80" s="81"/>
      <c r="W80" s="81"/>
      <c r="X80" s="238"/>
      <c r="Y80" s="66"/>
      <c r="Z80" s="66"/>
      <c r="AA80" s="66"/>
      <c r="AB80" s="66"/>
      <c r="AC80" s="66"/>
      <c r="AD80" s="66"/>
      <c r="AE80" s="66"/>
      <c r="AF80" s="66"/>
      <c r="AG80" s="66"/>
      <c r="AH80" s="66"/>
      <c r="AI80" s="66"/>
      <c r="AJ80" s="66"/>
      <c r="AK80" s="66"/>
      <c r="AL80" s="66"/>
      <c r="AM80" s="66"/>
      <c r="AN80" s="66"/>
      <c r="AO80" s="66"/>
      <c r="AP80" s="66"/>
      <c r="AQ80" s="66"/>
      <c r="AR80" s="66"/>
      <c r="AS80" s="66"/>
      <c r="AT80" s="66"/>
      <c r="AU80" s="66"/>
      <c r="AV80" s="66"/>
      <c r="AW80" s="66"/>
      <c r="AX80" s="66"/>
      <c r="AY80" s="66"/>
      <c r="AZ80" s="66"/>
      <c r="BA80" s="66"/>
      <c r="BB80" s="66"/>
      <c r="BC80" s="66"/>
      <c r="BD80" s="66"/>
      <c r="BE80" s="66"/>
      <c r="BF80" s="66"/>
      <c r="BG80" s="66"/>
      <c r="BH80" s="66"/>
      <c r="BI80" s="66"/>
      <c r="BJ80" s="66"/>
      <c r="BK80" s="66"/>
      <c r="BL80" s="66"/>
      <c r="BM80" s="66"/>
      <c r="BN80" s="66"/>
      <c r="BO80" s="66"/>
      <c r="BP80" s="66"/>
      <c r="BQ80" s="66"/>
      <c r="BR80" s="66"/>
      <c r="BS80" s="66"/>
      <c r="BT80" s="66"/>
      <c r="BU80" s="66"/>
      <c r="BV80" s="66"/>
      <c r="BW80" s="66"/>
      <c r="BX80" s="66"/>
      <c r="BY80" s="66"/>
      <c r="BZ80" s="66"/>
      <c r="CA80" s="66"/>
      <c r="CB80" s="66"/>
      <c r="CC80" s="66"/>
      <c r="CD80" s="66"/>
      <c r="CE80" s="66"/>
      <c r="CF80" s="66"/>
      <c r="CG80" s="66"/>
      <c r="CH80" s="66"/>
      <c r="CI80" s="66"/>
      <c r="CJ80" s="66"/>
      <c r="CK80" s="66"/>
      <c r="CL80" s="66"/>
      <c r="CM80" s="66"/>
      <c r="CN80" s="66"/>
      <c r="CO80" s="66"/>
      <c r="CP80" s="66"/>
      <c r="CQ80" s="23" t="s">
        <v>77</v>
      </c>
      <c r="CR80" s="233"/>
    </row>
    <row r="81" spans="1:96" outlineLevel="1" x14ac:dyDescent="0.2">
      <c r="B81" s="8" t="s">
        <v>62</v>
      </c>
      <c r="D81" s="75"/>
      <c r="E81" s="75"/>
      <c r="F81" s="75"/>
      <c r="G81" s="75"/>
      <c r="H81" s="75"/>
      <c r="I81" s="75"/>
      <c r="J81" s="75"/>
      <c r="K81" s="237">
        <f t="shared" ref="K81:R81" si="80">K83/(1-K75*(1-K76))</f>
        <v>0.1328235294117647</v>
      </c>
      <c r="L81" s="72">
        <f t="shared" si="80"/>
        <v>0.1328235294117647</v>
      </c>
      <c r="M81" s="72">
        <f t="shared" si="80"/>
        <v>0.1328235294117647</v>
      </c>
      <c r="N81" s="72">
        <f t="shared" si="80"/>
        <v>0.1328235294117647</v>
      </c>
      <c r="O81" s="72">
        <f t="shared" si="80"/>
        <v>0.1328235294117647</v>
      </c>
      <c r="P81" s="72">
        <f t="shared" si="80"/>
        <v>0.1328235294117647</v>
      </c>
      <c r="Q81" s="72">
        <f t="shared" si="80"/>
        <v>0.1328235294117647</v>
      </c>
      <c r="R81" s="72">
        <f t="shared" si="80"/>
        <v>0.1328235294117647</v>
      </c>
      <c r="S81" s="237">
        <f t="shared" ref="S81:BC81" si="81">S83/(1-S75*(1-S76))</f>
        <v>0.11354838709677419</v>
      </c>
      <c r="T81" s="75">
        <f t="shared" si="81"/>
        <v>0.11354838709677419</v>
      </c>
      <c r="U81" s="72">
        <f t="shared" si="81"/>
        <v>0.11354838709677419</v>
      </c>
      <c r="V81" s="72">
        <f t="shared" si="81"/>
        <v>0.11354838709677419</v>
      </c>
      <c r="W81" s="210">
        <f t="shared" si="81"/>
        <v>0.11354838709677419</v>
      </c>
      <c r="X81" s="237">
        <f t="shared" si="81"/>
        <v>0.10609756097560974</v>
      </c>
      <c r="Y81" s="75">
        <f t="shared" si="81"/>
        <v>0.10609756097560974</v>
      </c>
      <c r="Z81" s="75">
        <f t="shared" si="81"/>
        <v>0.10609756097560974</v>
      </c>
      <c r="AA81" s="75">
        <f t="shared" si="81"/>
        <v>0.10609756097560974</v>
      </c>
      <c r="AB81" s="75">
        <f t="shared" si="81"/>
        <v>0.10609756097560974</v>
      </c>
      <c r="AC81" s="75">
        <f t="shared" si="81"/>
        <v>0.10609756097560974</v>
      </c>
      <c r="AD81" s="75">
        <f t="shared" si="81"/>
        <v>0.10609756097560974</v>
      </c>
      <c r="AE81" s="75">
        <f t="shared" si="81"/>
        <v>0.10609756097560974</v>
      </c>
      <c r="AF81" s="75">
        <f t="shared" si="81"/>
        <v>0.10609756097560974</v>
      </c>
      <c r="AG81" s="75">
        <f t="shared" si="81"/>
        <v>0.10609756097560974</v>
      </c>
      <c r="AH81" s="75">
        <f t="shared" si="81"/>
        <v>0.10609756097560974</v>
      </c>
      <c r="AI81" s="75">
        <f t="shared" si="81"/>
        <v>0.10609756097560974</v>
      </c>
      <c r="AJ81" s="75">
        <f t="shared" si="81"/>
        <v>0.10609756097560974</v>
      </c>
      <c r="AK81" s="75">
        <f t="shared" si="81"/>
        <v>0.10609756097560974</v>
      </c>
      <c r="AL81" s="75">
        <f t="shared" si="81"/>
        <v>0.10609756097560974</v>
      </c>
      <c r="AM81" s="75">
        <f t="shared" si="81"/>
        <v>0.10609756097560974</v>
      </c>
      <c r="AN81" s="75">
        <f t="shared" si="81"/>
        <v>0.10609756097560974</v>
      </c>
      <c r="AO81" s="75">
        <f t="shared" si="81"/>
        <v>0.10609756097560974</v>
      </c>
      <c r="AP81" s="75">
        <f t="shared" si="81"/>
        <v>0.10609756097560974</v>
      </c>
      <c r="AQ81" s="75">
        <f t="shared" si="81"/>
        <v>0.10609756097560974</v>
      </c>
      <c r="AR81" s="75">
        <f t="shared" si="81"/>
        <v>0.10609756097560974</v>
      </c>
      <c r="AS81" s="75">
        <f t="shared" si="81"/>
        <v>0.10609756097560974</v>
      </c>
      <c r="AT81" s="75">
        <f t="shared" si="81"/>
        <v>0.10609756097560974</v>
      </c>
      <c r="AU81" s="75">
        <f t="shared" si="81"/>
        <v>0.10609756097560974</v>
      </c>
      <c r="AV81" s="75">
        <f t="shared" si="81"/>
        <v>0.10609756097560974</v>
      </c>
      <c r="AW81" s="75">
        <f t="shared" si="81"/>
        <v>0.10609756097560974</v>
      </c>
      <c r="AX81" s="75">
        <f t="shared" si="81"/>
        <v>0.10609756097560974</v>
      </c>
      <c r="AY81" s="75">
        <f t="shared" si="81"/>
        <v>0.10609756097560974</v>
      </c>
      <c r="AZ81" s="75">
        <f t="shared" si="81"/>
        <v>0.10609756097560974</v>
      </c>
      <c r="BA81" s="75">
        <f t="shared" si="81"/>
        <v>0.10609756097560974</v>
      </c>
      <c r="BB81" s="75">
        <f t="shared" si="81"/>
        <v>0.10609756097560974</v>
      </c>
      <c r="BC81" s="75">
        <f t="shared" si="81"/>
        <v>0.10609756097560974</v>
      </c>
      <c r="BD81" s="75">
        <f>BD83/(1-BD75*(1-BD76))</f>
        <v>0.10609756097560974</v>
      </c>
      <c r="BE81" s="75">
        <f t="shared" ref="BE81:CP81" si="82">BE83/(1-BE75*(1-BE76))</f>
        <v>0.10609756097560974</v>
      </c>
      <c r="BF81" s="75">
        <f t="shared" si="82"/>
        <v>0.10609756097560974</v>
      </c>
      <c r="BG81" s="75">
        <f t="shared" si="82"/>
        <v>0.10609756097560974</v>
      </c>
      <c r="BH81" s="75">
        <f t="shared" si="82"/>
        <v>0.10609756097560974</v>
      </c>
      <c r="BI81" s="75">
        <f t="shared" si="82"/>
        <v>0.10609756097560974</v>
      </c>
      <c r="BJ81" s="75">
        <f t="shared" si="82"/>
        <v>0.10609756097560974</v>
      </c>
      <c r="BK81" s="75">
        <f t="shared" si="82"/>
        <v>0.10609756097560974</v>
      </c>
      <c r="BL81" s="75">
        <f t="shared" si="82"/>
        <v>0.10609756097560974</v>
      </c>
      <c r="BM81" s="75">
        <f t="shared" si="82"/>
        <v>0.10609756097560974</v>
      </c>
      <c r="BN81" s="75">
        <f t="shared" si="82"/>
        <v>0.10609756097560974</v>
      </c>
      <c r="BO81" s="75">
        <f t="shared" si="82"/>
        <v>0.10609756097560974</v>
      </c>
      <c r="BP81" s="75">
        <f t="shared" si="82"/>
        <v>0.10609756097560974</v>
      </c>
      <c r="BQ81" s="75">
        <f t="shared" si="82"/>
        <v>0.10609756097560974</v>
      </c>
      <c r="BR81" s="75">
        <f t="shared" si="82"/>
        <v>0.10609756097560974</v>
      </c>
      <c r="BS81" s="75">
        <f t="shared" si="82"/>
        <v>0.10609756097560974</v>
      </c>
      <c r="BT81" s="75">
        <f t="shared" si="82"/>
        <v>0.10609756097560974</v>
      </c>
      <c r="BU81" s="75">
        <f t="shared" si="82"/>
        <v>0.10609756097560974</v>
      </c>
      <c r="BV81" s="75">
        <f t="shared" si="82"/>
        <v>0.10609756097560974</v>
      </c>
      <c r="BW81" s="75">
        <f t="shared" si="82"/>
        <v>0.10609756097560974</v>
      </c>
      <c r="BX81" s="75">
        <f t="shared" si="82"/>
        <v>0.10609756097560974</v>
      </c>
      <c r="BY81" s="75">
        <f t="shared" si="82"/>
        <v>0.10609756097560974</v>
      </c>
      <c r="BZ81" s="75">
        <f t="shared" si="82"/>
        <v>0.10609756097560974</v>
      </c>
      <c r="CA81" s="75">
        <f t="shared" si="82"/>
        <v>0.10609756097560974</v>
      </c>
      <c r="CB81" s="75">
        <f t="shared" si="82"/>
        <v>0.10609756097560974</v>
      </c>
      <c r="CC81" s="75">
        <f t="shared" si="82"/>
        <v>0.10609756097560974</v>
      </c>
      <c r="CD81" s="75">
        <f t="shared" si="82"/>
        <v>0.10609756097560974</v>
      </c>
      <c r="CE81" s="75">
        <f t="shared" si="82"/>
        <v>0.10609756097560974</v>
      </c>
      <c r="CF81" s="75">
        <f t="shared" si="82"/>
        <v>0.10609756097560974</v>
      </c>
      <c r="CG81" s="75">
        <f t="shared" si="82"/>
        <v>0.10609756097560974</v>
      </c>
      <c r="CH81" s="75">
        <f t="shared" si="82"/>
        <v>0.10609756097560974</v>
      </c>
      <c r="CI81" s="75">
        <f t="shared" si="82"/>
        <v>0.10609756097560974</v>
      </c>
      <c r="CJ81" s="75">
        <f t="shared" si="82"/>
        <v>0.10609756097560974</v>
      </c>
      <c r="CK81" s="75">
        <f t="shared" si="82"/>
        <v>0.10609756097560974</v>
      </c>
      <c r="CL81" s="75">
        <f t="shared" si="82"/>
        <v>0.10609756097560974</v>
      </c>
      <c r="CM81" s="75">
        <f t="shared" si="82"/>
        <v>0.10609756097560974</v>
      </c>
      <c r="CN81" s="75">
        <f t="shared" si="82"/>
        <v>0.10609756097560974</v>
      </c>
      <c r="CO81" s="75">
        <f t="shared" si="82"/>
        <v>0.10609756097560974</v>
      </c>
      <c r="CP81" s="75">
        <f t="shared" si="82"/>
        <v>0.10609756097560974</v>
      </c>
      <c r="CQ81" s="23" t="s">
        <v>77</v>
      </c>
    </row>
    <row r="82" spans="1:96" outlineLevel="1" x14ac:dyDescent="0.2">
      <c r="B82" s="8" t="s">
        <v>63</v>
      </c>
      <c r="D82" s="9"/>
      <c r="E82" s="75"/>
      <c r="F82" s="75"/>
      <c r="G82" s="75"/>
      <c r="H82" s="75"/>
      <c r="I82" s="75"/>
      <c r="J82" s="75"/>
      <c r="K82" s="237">
        <f t="shared" ref="K82:BD82" si="83">+(1+K81)/(1+K68)-1</f>
        <v>0.10854636403930407</v>
      </c>
      <c r="L82" s="72">
        <f t="shared" si="83"/>
        <v>0.10854636403930407</v>
      </c>
      <c r="M82" s="72">
        <f t="shared" si="83"/>
        <v>0.10854636403930407</v>
      </c>
      <c r="N82" s="72">
        <f t="shared" si="83"/>
        <v>0.10854636403930407</v>
      </c>
      <c r="O82" s="72">
        <f t="shared" si="83"/>
        <v>0.10854636403930407</v>
      </c>
      <c r="P82" s="72">
        <f t="shared" si="83"/>
        <v>0.10854636403930407</v>
      </c>
      <c r="Q82" s="72">
        <f t="shared" si="83"/>
        <v>0.10854636403930407</v>
      </c>
      <c r="R82" s="72">
        <f t="shared" si="83"/>
        <v>0.10854636403930407</v>
      </c>
      <c r="S82" s="237">
        <f t="shared" si="83"/>
        <v>8.585898302952133E-2</v>
      </c>
      <c r="T82" s="75">
        <f t="shared" si="83"/>
        <v>8.585898302952133E-2</v>
      </c>
      <c r="U82" s="72">
        <f t="shared" si="83"/>
        <v>8.585898302952133E-2</v>
      </c>
      <c r="V82" s="72">
        <f t="shared" si="83"/>
        <v>8.585898302952133E-2</v>
      </c>
      <c r="W82" s="210">
        <f t="shared" si="83"/>
        <v>8.585898302952133E-2</v>
      </c>
      <c r="X82" s="237">
        <f t="shared" si="83"/>
        <v>7.9119571683521572E-2</v>
      </c>
      <c r="Y82" s="75">
        <f t="shared" si="83"/>
        <v>7.9119571683521572E-2</v>
      </c>
      <c r="Z82" s="75">
        <f t="shared" si="83"/>
        <v>7.9119571683521572E-2</v>
      </c>
      <c r="AA82" s="75">
        <f t="shared" si="83"/>
        <v>7.9119571683521572E-2</v>
      </c>
      <c r="AB82" s="75">
        <f t="shared" si="83"/>
        <v>7.9119571683521572E-2</v>
      </c>
      <c r="AC82" s="75">
        <f t="shared" si="83"/>
        <v>7.9119571683521572E-2</v>
      </c>
      <c r="AD82" s="75">
        <f t="shared" si="83"/>
        <v>7.9119571683521572E-2</v>
      </c>
      <c r="AE82" s="75">
        <f t="shared" si="83"/>
        <v>7.9119571683521572E-2</v>
      </c>
      <c r="AF82" s="75">
        <f t="shared" si="83"/>
        <v>7.9119571683521572E-2</v>
      </c>
      <c r="AG82" s="75">
        <f t="shared" si="83"/>
        <v>7.9119571683521572E-2</v>
      </c>
      <c r="AH82" s="75">
        <f t="shared" si="83"/>
        <v>7.9119571683521572E-2</v>
      </c>
      <c r="AI82" s="75">
        <f t="shared" si="83"/>
        <v>7.9119571683521572E-2</v>
      </c>
      <c r="AJ82" s="75">
        <f t="shared" si="83"/>
        <v>7.9119571683521572E-2</v>
      </c>
      <c r="AK82" s="75">
        <f t="shared" si="83"/>
        <v>7.9119571683521572E-2</v>
      </c>
      <c r="AL82" s="75">
        <f t="shared" si="83"/>
        <v>7.9119571683521572E-2</v>
      </c>
      <c r="AM82" s="75">
        <f t="shared" si="83"/>
        <v>7.9119571683521572E-2</v>
      </c>
      <c r="AN82" s="75">
        <f t="shared" si="83"/>
        <v>7.9119571683521572E-2</v>
      </c>
      <c r="AO82" s="75">
        <f t="shared" si="83"/>
        <v>7.9119571683521572E-2</v>
      </c>
      <c r="AP82" s="75">
        <f t="shared" si="83"/>
        <v>7.9119571683521572E-2</v>
      </c>
      <c r="AQ82" s="75">
        <f t="shared" si="83"/>
        <v>7.9119571683521572E-2</v>
      </c>
      <c r="AR82" s="75">
        <f t="shared" si="83"/>
        <v>7.9119571683521572E-2</v>
      </c>
      <c r="AS82" s="75">
        <f t="shared" si="83"/>
        <v>7.9119571683521572E-2</v>
      </c>
      <c r="AT82" s="75">
        <f t="shared" si="83"/>
        <v>7.9119571683521572E-2</v>
      </c>
      <c r="AU82" s="75">
        <f t="shared" si="83"/>
        <v>7.9119571683521572E-2</v>
      </c>
      <c r="AV82" s="75">
        <f t="shared" si="83"/>
        <v>7.9119571683521572E-2</v>
      </c>
      <c r="AW82" s="75">
        <f t="shared" si="83"/>
        <v>7.9119571683521572E-2</v>
      </c>
      <c r="AX82" s="75">
        <f t="shared" si="83"/>
        <v>7.9119571683521572E-2</v>
      </c>
      <c r="AY82" s="75">
        <f t="shared" si="83"/>
        <v>7.9119571683521572E-2</v>
      </c>
      <c r="AZ82" s="75">
        <f t="shared" si="83"/>
        <v>7.9119571683521572E-2</v>
      </c>
      <c r="BA82" s="75">
        <f t="shared" si="83"/>
        <v>7.9119571683521572E-2</v>
      </c>
      <c r="BB82" s="75">
        <f t="shared" si="83"/>
        <v>7.9119571683521572E-2</v>
      </c>
      <c r="BC82" s="75">
        <f t="shared" si="83"/>
        <v>7.9119571683521572E-2</v>
      </c>
      <c r="BD82" s="75">
        <f t="shared" si="83"/>
        <v>7.9119571683521572E-2</v>
      </c>
      <c r="BE82" s="75">
        <f t="shared" ref="BE82:CP82" si="84">+(1+BE81)/(1+BE68)-1</f>
        <v>7.9119571683521572E-2</v>
      </c>
      <c r="BF82" s="75">
        <f t="shared" si="84"/>
        <v>7.9119571683521572E-2</v>
      </c>
      <c r="BG82" s="75">
        <f t="shared" si="84"/>
        <v>7.9119571683521572E-2</v>
      </c>
      <c r="BH82" s="75">
        <f t="shared" si="84"/>
        <v>7.9119571683521572E-2</v>
      </c>
      <c r="BI82" s="75">
        <f t="shared" si="84"/>
        <v>7.9119571683521572E-2</v>
      </c>
      <c r="BJ82" s="75">
        <f t="shared" si="84"/>
        <v>7.9119571683521572E-2</v>
      </c>
      <c r="BK82" s="75">
        <f t="shared" si="84"/>
        <v>7.9119571683521572E-2</v>
      </c>
      <c r="BL82" s="75">
        <f t="shared" si="84"/>
        <v>7.9119571683521572E-2</v>
      </c>
      <c r="BM82" s="75">
        <f t="shared" si="84"/>
        <v>7.9119571683521572E-2</v>
      </c>
      <c r="BN82" s="75">
        <f t="shared" si="84"/>
        <v>7.9119571683521572E-2</v>
      </c>
      <c r="BO82" s="75">
        <f t="shared" si="84"/>
        <v>7.9119571683521572E-2</v>
      </c>
      <c r="BP82" s="75">
        <f t="shared" si="84"/>
        <v>7.9119571683521572E-2</v>
      </c>
      <c r="BQ82" s="75">
        <f t="shared" si="84"/>
        <v>7.9119571683521572E-2</v>
      </c>
      <c r="BR82" s="75">
        <f t="shared" si="84"/>
        <v>7.9119571683521572E-2</v>
      </c>
      <c r="BS82" s="75">
        <f t="shared" si="84"/>
        <v>7.9119571683521572E-2</v>
      </c>
      <c r="BT82" s="75">
        <f t="shared" si="84"/>
        <v>7.9119571683521572E-2</v>
      </c>
      <c r="BU82" s="75">
        <f t="shared" si="84"/>
        <v>7.9119571683521572E-2</v>
      </c>
      <c r="BV82" s="75">
        <f t="shared" si="84"/>
        <v>7.9119571683521572E-2</v>
      </c>
      <c r="BW82" s="75">
        <f t="shared" si="84"/>
        <v>7.9119571683521572E-2</v>
      </c>
      <c r="BX82" s="75">
        <f t="shared" si="84"/>
        <v>7.9119571683521572E-2</v>
      </c>
      <c r="BY82" s="75">
        <f t="shared" si="84"/>
        <v>7.9119571683521572E-2</v>
      </c>
      <c r="BZ82" s="75">
        <f t="shared" si="84"/>
        <v>7.9119571683521572E-2</v>
      </c>
      <c r="CA82" s="75">
        <f t="shared" si="84"/>
        <v>7.9119571683521572E-2</v>
      </c>
      <c r="CB82" s="75">
        <f t="shared" si="84"/>
        <v>7.9119571683521572E-2</v>
      </c>
      <c r="CC82" s="75">
        <f t="shared" si="84"/>
        <v>7.9119571683521572E-2</v>
      </c>
      <c r="CD82" s="75">
        <f t="shared" si="84"/>
        <v>7.9119571683521572E-2</v>
      </c>
      <c r="CE82" s="75">
        <f t="shared" si="84"/>
        <v>7.9119571683521572E-2</v>
      </c>
      <c r="CF82" s="75">
        <f t="shared" si="84"/>
        <v>7.9119571683521572E-2</v>
      </c>
      <c r="CG82" s="75">
        <f t="shared" si="84"/>
        <v>7.9119571683521572E-2</v>
      </c>
      <c r="CH82" s="75">
        <f t="shared" si="84"/>
        <v>7.9119571683521572E-2</v>
      </c>
      <c r="CI82" s="75">
        <f t="shared" si="84"/>
        <v>7.9119571683521572E-2</v>
      </c>
      <c r="CJ82" s="75">
        <f t="shared" si="84"/>
        <v>7.9119571683521572E-2</v>
      </c>
      <c r="CK82" s="75">
        <f t="shared" si="84"/>
        <v>7.9119571683521572E-2</v>
      </c>
      <c r="CL82" s="75">
        <f t="shared" si="84"/>
        <v>7.9119571683521572E-2</v>
      </c>
      <c r="CM82" s="75">
        <f t="shared" si="84"/>
        <v>7.9119571683521572E-2</v>
      </c>
      <c r="CN82" s="75">
        <f t="shared" si="84"/>
        <v>7.9119571683521572E-2</v>
      </c>
      <c r="CO82" s="75">
        <f t="shared" si="84"/>
        <v>7.9119571683521572E-2</v>
      </c>
      <c r="CP82" s="75">
        <f t="shared" si="84"/>
        <v>7.9119571683521572E-2</v>
      </c>
      <c r="CQ82" s="23" t="s">
        <v>77</v>
      </c>
    </row>
    <row r="83" spans="1:96" outlineLevel="1" x14ac:dyDescent="0.2">
      <c r="B83" s="8" t="s">
        <v>64</v>
      </c>
      <c r="D83" s="9"/>
      <c r="E83" s="9"/>
      <c r="F83" s="9"/>
      <c r="G83" s="9"/>
      <c r="H83" s="9"/>
      <c r="I83" s="9"/>
      <c r="J83" s="9"/>
      <c r="K83" s="237">
        <f t="shared" ref="K83:R83" si="85">+K74*K73+K67</f>
        <v>0.1129</v>
      </c>
      <c r="L83" s="72">
        <f t="shared" si="85"/>
        <v>0.1129</v>
      </c>
      <c r="M83" s="72">
        <f t="shared" si="85"/>
        <v>0.1129</v>
      </c>
      <c r="N83" s="72">
        <f t="shared" si="85"/>
        <v>0.1129</v>
      </c>
      <c r="O83" s="72">
        <f t="shared" si="85"/>
        <v>0.1129</v>
      </c>
      <c r="P83" s="72">
        <f t="shared" si="85"/>
        <v>0.1129</v>
      </c>
      <c r="Q83" s="72">
        <f t="shared" si="85"/>
        <v>0.1129</v>
      </c>
      <c r="R83" s="72">
        <f t="shared" si="85"/>
        <v>0.1129</v>
      </c>
      <c r="S83" s="237">
        <f t="shared" ref="S83:BC83" si="86">+S74*S73+S67</f>
        <v>8.7999999999999995E-2</v>
      </c>
      <c r="T83" s="75">
        <f t="shared" si="86"/>
        <v>8.7999999999999995E-2</v>
      </c>
      <c r="U83" s="72">
        <f t="shared" si="86"/>
        <v>8.7999999999999995E-2</v>
      </c>
      <c r="V83" s="72">
        <f t="shared" si="86"/>
        <v>8.7999999999999995E-2</v>
      </c>
      <c r="W83" s="210">
        <f t="shared" si="86"/>
        <v>8.7999999999999995E-2</v>
      </c>
      <c r="X83" s="237">
        <f t="shared" si="86"/>
        <v>8.6999999999999994E-2</v>
      </c>
      <c r="Y83" s="75">
        <f t="shared" si="86"/>
        <v>8.6999999999999994E-2</v>
      </c>
      <c r="Z83" s="75">
        <f t="shared" si="86"/>
        <v>8.6999999999999994E-2</v>
      </c>
      <c r="AA83" s="75">
        <f t="shared" si="86"/>
        <v>8.6999999999999994E-2</v>
      </c>
      <c r="AB83" s="75">
        <f t="shared" si="86"/>
        <v>8.6999999999999994E-2</v>
      </c>
      <c r="AC83" s="75">
        <f t="shared" si="86"/>
        <v>8.6999999999999994E-2</v>
      </c>
      <c r="AD83" s="75">
        <f t="shared" si="86"/>
        <v>8.6999999999999994E-2</v>
      </c>
      <c r="AE83" s="75">
        <f t="shared" si="86"/>
        <v>8.6999999999999994E-2</v>
      </c>
      <c r="AF83" s="75">
        <f t="shared" si="86"/>
        <v>8.6999999999999994E-2</v>
      </c>
      <c r="AG83" s="75">
        <f t="shared" si="86"/>
        <v>8.6999999999999994E-2</v>
      </c>
      <c r="AH83" s="75">
        <f t="shared" si="86"/>
        <v>8.6999999999999994E-2</v>
      </c>
      <c r="AI83" s="75">
        <f t="shared" si="86"/>
        <v>8.6999999999999994E-2</v>
      </c>
      <c r="AJ83" s="75">
        <f t="shared" si="86"/>
        <v>8.6999999999999994E-2</v>
      </c>
      <c r="AK83" s="75">
        <f t="shared" si="86"/>
        <v>8.6999999999999994E-2</v>
      </c>
      <c r="AL83" s="75">
        <f t="shared" si="86"/>
        <v>8.6999999999999994E-2</v>
      </c>
      <c r="AM83" s="75">
        <f t="shared" si="86"/>
        <v>8.6999999999999994E-2</v>
      </c>
      <c r="AN83" s="75">
        <f t="shared" si="86"/>
        <v>8.6999999999999994E-2</v>
      </c>
      <c r="AO83" s="75">
        <f t="shared" si="86"/>
        <v>8.6999999999999994E-2</v>
      </c>
      <c r="AP83" s="75">
        <f t="shared" si="86"/>
        <v>8.6999999999999994E-2</v>
      </c>
      <c r="AQ83" s="75">
        <f t="shared" si="86"/>
        <v>8.6999999999999994E-2</v>
      </c>
      <c r="AR83" s="75">
        <f t="shared" si="86"/>
        <v>8.6999999999999994E-2</v>
      </c>
      <c r="AS83" s="75">
        <f t="shared" si="86"/>
        <v>8.6999999999999994E-2</v>
      </c>
      <c r="AT83" s="75">
        <f t="shared" si="86"/>
        <v>8.6999999999999994E-2</v>
      </c>
      <c r="AU83" s="75">
        <f t="shared" si="86"/>
        <v>8.6999999999999994E-2</v>
      </c>
      <c r="AV83" s="75">
        <f t="shared" si="86"/>
        <v>8.6999999999999994E-2</v>
      </c>
      <c r="AW83" s="75">
        <f t="shared" si="86"/>
        <v>8.6999999999999994E-2</v>
      </c>
      <c r="AX83" s="75">
        <f t="shared" si="86"/>
        <v>8.6999999999999994E-2</v>
      </c>
      <c r="AY83" s="75">
        <f t="shared" si="86"/>
        <v>8.6999999999999994E-2</v>
      </c>
      <c r="AZ83" s="75">
        <f t="shared" si="86"/>
        <v>8.6999999999999994E-2</v>
      </c>
      <c r="BA83" s="75">
        <f t="shared" si="86"/>
        <v>8.6999999999999994E-2</v>
      </c>
      <c r="BB83" s="75">
        <f t="shared" si="86"/>
        <v>8.6999999999999994E-2</v>
      </c>
      <c r="BC83" s="75">
        <f t="shared" si="86"/>
        <v>8.6999999999999994E-2</v>
      </c>
      <c r="BD83" s="75">
        <f>+BD74*BD73+BD67</f>
        <v>8.6999999999999994E-2</v>
      </c>
      <c r="BE83" s="75">
        <f t="shared" ref="BE83:CP83" si="87">+BE74*BE73+BE67</f>
        <v>8.6999999999999994E-2</v>
      </c>
      <c r="BF83" s="75">
        <f t="shared" si="87"/>
        <v>8.6999999999999994E-2</v>
      </c>
      <c r="BG83" s="75">
        <f t="shared" si="87"/>
        <v>8.6999999999999994E-2</v>
      </c>
      <c r="BH83" s="75">
        <f t="shared" si="87"/>
        <v>8.6999999999999994E-2</v>
      </c>
      <c r="BI83" s="75">
        <f t="shared" si="87"/>
        <v>8.6999999999999994E-2</v>
      </c>
      <c r="BJ83" s="75">
        <f t="shared" si="87"/>
        <v>8.6999999999999994E-2</v>
      </c>
      <c r="BK83" s="75">
        <f t="shared" si="87"/>
        <v>8.6999999999999994E-2</v>
      </c>
      <c r="BL83" s="75">
        <f t="shared" si="87"/>
        <v>8.6999999999999994E-2</v>
      </c>
      <c r="BM83" s="75">
        <f t="shared" si="87"/>
        <v>8.6999999999999994E-2</v>
      </c>
      <c r="BN83" s="75">
        <f t="shared" si="87"/>
        <v>8.6999999999999994E-2</v>
      </c>
      <c r="BO83" s="75">
        <f t="shared" si="87"/>
        <v>8.6999999999999994E-2</v>
      </c>
      <c r="BP83" s="75">
        <f t="shared" si="87"/>
        <v>8.6999999999999994E-2</v>
      </c>
      <c r="BQ83" s="75">
        <f t="shared" si="87"/>
        <v>8.6999999999999994E-2</v>
      </c>
      <c r="BR83" s="75">
        <f t="shared" si="87"/>
        <v>8.6999999999999994E-2</v>
      </c>
      <c r="BS83" s="75">
        <f t="shared" si="87"/>
        <v>8.6999999999999994E-2</v>
      </c>
      <c r="BT83" s="75">
        <f t="shared" si="87"/>
        <v>8.6999999999999994E-2</v>
      </c>
      <c r="BU83" s="75">
        <f t="shared" si="87"/>
        <v>8.6999999999999994E-2</v>
      </c>
      <c r="BV83" s="75">
        <f t="shared" si="87"/>
        <v>8.6999999999999994E-2</v>
      </c>
      <c r="BW83" s="75">
        <f t="shared" si="87"/>
        <v>8.6999999999999994E-2</v>
      </c>
      <c r="BX83" s="75">
        <f t="shared" si="87"/>
        <v>8.6999999999999994E-2</v>
      </c>
      <c r="BY83" s="75">
        <f t="shared" si="87"/>
        <v>8.6999999999999994E-2</v>
      </c>
      <c r="BZ83" s="75">
        <f t="shared" si="87"/>
        <v>8.6999999999999994E-2</v>
      </c>
      <c r="CA83" s="75">
        <f t="shared" si="87"/>
        <v>8.6999999999999994E-2</v>
      </c>
      <c r="CB83" s="75">
        <f t="shared" si="87"/>
        <v>8.6999999999999994E-2</v>
      </c>
      <c r="CC83" s="75">
        <f t="shared" si="87"/>
        <v>8.6999999999999994E-2</v>
      </c>
      <c r="CD83" s="75">
        <f t="shared" si="87"/>
        <v>8.6999999999999994E-2</v>
      </c>
      <c r="CE83" s="75">
        <f t="shared" si="87"/>
        <v>8.6999999999999994E-2</v>
      </c>
      <c r="CF83" s="75">
        <f t="shared" si="87"/>
        <v>8.6999999999999994E-2</v>
      </c>
      <c r="CG83" s="75">
        <f t="shared" si="87"/>
        <v>8.6999999999999994E-2</v>
      </c>
      <c r="CH83" s="75">
        <f t="shared" si="87"/>
        <v>8.6999999999999994E-2</v>
      </c>
      <c r="CI83" s="75">
        <f t="shared" si="87"/>
        <v>8.6999999999999994E-2</v>
      </c>
      <c r="CJ83" s="75">
        <f t="shared" si="87"/>
        <v>8.6999999999999994E-2</v>
      </c>
      <c r="CK83" s="75">
        <f t="shared" si="87"/>
        <v>8.6999999999999994E-2</v>
      </c>
      <c r="CL83" s="75">
        <f t="shared" si="87"/>
        <v>8.6999999999999994E-2</v>
      </c>
      <c r="CM83" s="75">
        <f t="shared" si="87"/>
        <v>8.6999999999999994E-2</v>
      </c>
      <c r="CN83" s="75">
        <f t="shared" si="87"/>
        <v>8.6999999999999994E-2</v>
      </c>
      <c r="CO83" s="75">
        <f t="shared" si="87"/>
        <v>8.6999999999999994E-2</v>
      </c>
      <c r="CP83" s="75">
        <f t="shared" si="87"/>
        <v>8.6999999999999994E-2</v>
      </c>
      <c r="CQ83" s="23" t="s">
        <v>77</v>
      </c>
    </row>
    <row r="84" spans="1:96" outlineLevel="1" x14ac:dyDescent="0.2">
      <c r="B84" s="8" t="s">
        <v>65</v>
      </c>
      <c r="D84" s="75"/>
      <c r="E84" s="75"/>
      <c r="F84" s="75"/>
      <c r="G84" s="75"/>
      <c r="H84" s="75"/>
      <c r="I84" s="75"/>
      <c r="J84" s="75"/>
      <c r="K84" s="237">
        <f t="shared" ref="K84:BD84" si="88">+(1+K83)/(1+K68)-1</f>
        <v>8.9049809178980199E-2</v>
      </c>
      <c r="L84" s="72">
        <f t="shared" si="88"/>
        <v>8.9049809178980199E-2</v>
      </c>
      <c r="M84" s="72">
        <f t="shared" si="88"/>
        <v>8.9049809178980199E-2</v>
      </c>
      <c r="N84" s="72">
        <f t="shared" si="88"/>
        <v>8.9049809178980199E-2</v>
      </c>
      <c r="O84" s="72">
        <f t="shared" si="88"/>
        <v>8.9049809178980199E-2</v>
      </c>
      <c r="P84" s="72">
        <f t="shared" si="88"/>
        <v>8.9049809178980199E-2</v>
      </c>
      <c r="Q84" s="72">
        <f t="shared" si="88"/>
        <v>8.9049809178980199E-2</v>
      </c>
      <c r="R84" s="72">
        <f t="shared" si="88"/>
        <v>8.9049809178980199E-2</v>
      </c>
      <c r="S84" s="237">
        <f t="shared" si="88"/>
        <v>6.0945880058508095E-2</v>
      </c>
      <c r="T84" s="75">
        <f t="shared" si="88"/>
        <v>6.0945880058508095E-2</v>
      </c>
      <c r="U84" s="72">
        <f t="shared" si="88"/>
        <v>6.0945880058508095E-2</v>
      </c>
      <c r="V84" s="72">
        <f t="shared" si="88"/>
        <v>6.0945880058508095E-2</v>
      </c>
      <c r="W84" s="210">
        <f t="shared" si="88"/>
        <v>6.0945880058508095E-2</v>
      </c>
      <c r="X84" s="237">
        <f t="shared" si="88"/>
        <v>6.0487804878048834E-2</v>
      </c>
      <c r="Y84" s="75">
        <f t="shared" si="88"/>
        <v>6.0487804878048834E-2</v>
      </c>
      <c r="Z84" s="75">
        <f t="shared" si="88"/>
        <v>6.0487804878048834E-2</v>
      </c>
      <c r="AA84" s="75">
        <f t="shared" si="88"/>
        <v>6.0487804878048834E-2</v>
      </c>
      <c r="AB84" s="75">
        <f t="shared" si="88"/>
        <v>6.0487804878048834E-2</v>
      </c>
      <c r="AC84" s="75">
        <f t="shared" si="88"/>
        <v>6.0487804878048834E-2</v>
      </c>
      <c r="AD84" s="75">
        <f t="shared" si="88"/>
        <v>6.0487804878048834E-2</v>
      </c>
      <c r="AE84" s="75">
        <f t="shared" si="88"/>
        <v>6.0487804878048834E-2</v>
      </c>
      <c r="AF84" s="75">
        <f t="shared" si="88"/>
        <v>6.0487804878048834E-2</v>
      </c>
      <c r="AG84" s="75">
        <f t="shared" si="88"/>
        <v>6.0487804878048834E-2</v>
      </c>
      <c r="AH84" s="75">
        <f t="shared" si="88"/>
        <v>6.0487804878048834E-2</v>
      </c>
      <c r="AI84" s="75">
        <f t="shared" si="88"/>
        <v>6.0487804878048834E-2</v>
      </c>
      <c r="AJ84" s="75">
        <f t="shared" si="88"/>
        <v>6.0487804878048834E-2</v>
      </c>
      <c r="AK84" s="75">
        <f t="shared" si="88"/>
        <v>6.0487804878048834E-2</v>
      </c>
      <c r="AL84" s="75">
        <f t="shared" si="88"/>
        <v>6.0487804878048834E-2</v>
      </c>
      <c r="AM84" s="75">
        <f t="shared" si="88"/>
        <v>6.0487804878048834E-2</v>
      </c>
      <c r="AN84" s="75">
        <f t="shared" si="88"/>
        <v>6.0487804878048834E-2</v>
      </c>
      <c r="AO84" s="75">
        <f t="shared" si="88"/>
        <v>6.0487804878048834E-2</v>
      </c>
      <c r="AP84" s="75">
        <f t="shared" si="88"/>
        <v>6.0487804878048834E-2</v>
      </c>
      <c r="AQ84" s="75">
        <f t="shared" si="88"/>
        <v>6.0487804878048834E-2</v>
      </c>
      <c r="AR84" s="75">
        <f t="shared" si="88"/>
        <v>6.0487804878048834E-2</v>
      </c>
      <c r="AS84" s="75">
        <f t="shared" si="88"/>
        <v>6.0487804878048834E-2</v>
      </c>
      <c r="AT84" s="75">
        <f t="shared" si="88"/>
        <v>6.0487804878048834E-2</v>
      </c>
      <c r="AU84" s="75">
        <f t="shared" si="88"/>
        <v>6.0487804878048834E-2</v>
      </c>
      <c r="AV84" s="75">
        <f t="shared" si="88"/>
        <v>6.0487804878048834E-2</v>
      </c>
      <c r="AW84" s="75">
        <f t="shared" si="88"/>
        <v>6.0487804878048834E-2</v>
      </c>
      <c r="AX84" s="75">
        <f t="shared" si="88"/>
        <v>6.0487804878048834E-2</v>
      </c>
      <c r="AY84" s="75">
        <f t="shared" si="88"/>
        <v>6.0487804878048834E-2</v>
      </c>
      <c r="AZ84" s="75">
        <f t="shared" si="88"/>
        <v>6.0487804878048834E-2</v>
      </c>
      <c r="BA84" s="75">
        <f t="shared" si="88"/>
        <v>6.0487804878048834E-2</v>
      </c>
      <c r="BB84" s="75">
        <f t="shared" si="88"/>
        <v>6.0487804878048834E-2</v>
      </c>
      <c r="BC84" s="75">
        <f t="shared" si="88"/>
        <v>6.0487804878048834E-2</v>
      </c>
      <c r="BD84" s="75">
        <f t="shared" si="88"/>
        <v>6.0487804878048834E-2</v>
      </c>
      <c r="BE84" s="75">
        <f t="shared" ref="BE84:CP84" si="89">+(1+BE83)/(1+BE68)-1</f>
        <v>6.0487804878048834E-2</v>
      </c>
      <c r="BF84" s="75">
        <f t="shared" si="89"/>
        <v>6.0487804878048834E-2</v>
      </c>
      <c r="BG84" s="75">
        <f t="shared" si="89"/>
        <v>6.0487804878048834E-2</v>
      </c>
      <c r="BH84" s="75">
        <f t="shared" si="89"/>
        <v>6.0487804878048834E-2</v>
      </c>
      <c r="BI84" s="75">
        <f t="shared" si="89"/>
        <v>6.0487804878048834E-2</v>
      </c>
      <c r="BJ84" s="75">
        <f t="shared" si="89"/>
        <v>6.0487804878048834E-2</v>
      </c>
      <c r="BK84" s="75">
        <f t="shared" si="89"/>
        <v>6.0487804878048834E-2</v>
      </c>
      <c r="BL84" s="75">
        <f t="shared" si="89"/>
        <v>6.0487804878048834E-2</v>
      </c>
      <c r="BM84" s="75">
        <f t="shared" si="89"/>
        <v>6.0487804878048834E-2</v>
      </c>
      <c r="BN84" s="75">
        <f t="shared" si="89"/>
        <v>6.0487804878048834E-2</v>
      </c>
      <c r="BO84" s="75">
        <f t="shared" si="89"/>
        <v>6.0487804878048834E-2</v>
      </c>
      <c r="BP84" s="75">
        <f t="shared" si="89"/>
        <v>6.0487804878048834E-2</v>
      </c>
      <c r="BQ84" s="75">
        <f t="shared" si="89"/>
        <v>6.0487804878048834E-2</v>
      </c>
      <c r="BR84" s="75">
        <f t="shared" si="89"/>
        <v>6.0487804878048834E-2</v>
      </c>
      <c r="BS84" s="75">
        <f t="shared" si="89"/>
        <v>6.0487804878048834E-2</v>
      </c>
      <c r="BT84" s="75">
        <f t="shared" si="89"/>
        <v>6.0487804878048834E-2</v>
      </c>
      <c r="BU84" s="75">
        <f t="shared" si="89"/>
        <v>6.0487804878048834E-2</v>
      </c>
      <c r="BV84" s="75">
        <f t="shared" si="89"/>
        <v>6.0487804878048834E-2</v>
      </c>
      <c r="BW84" s="75">
        <f t="shared" si="89"/>
        <v>6.0487804878048834E-2</v>
      </c>
      <c r="BX84" s="75">
        <f t="shared" si="89"/>
        <v>6.0487804878048834E-2</v>
      </c>
      <c r="BY84" s="75">
        <f t="shared" si="89"/>
        <v>6.0487804878048834E-2</v>
      </c>
      <c r="BZ84" s="75">
        <f t="shared" si="89"/>
        <v>6.0487804878048834E-2</v>
      </c>
      <c r="CA84" s="75">
        <f t="shared" si="89"/>
        <v>6.0487804878048834E-2</v>
      </c>
      <c r="CB84" s="75">
        <f t="shared" si="89"/>
        <v>6.0487804878048834E-2</v>
      </c>
      <c r="CC84" s="75">
        <f t="shared" si="89"/>
        <v>6.0487804878048834E-2</v>
      </c>
      <c r="CD84" s="75">
        <f t="shared" si="89"/>
        <v>6.0487804878048834E-2</v>
      </c>
      <c r="CE84" s="75">
        <f t="shared" si="89"/>
        <v>6.0487804878048834E-2</v>
      </c>
      <c r="CF84" s="75">
        <f t="shared" si="89"/>
        <v>6.0487804878048834E-2</v>
      </c>
      <c r="CG84" s="75">
        <f t="shared" si="89"/>
        <v>6.0487804878048834E-2</v>
      </c>
      <c r="CH84" s="75">
        <f t="shared" si="89"/>
        <v>6.0487804878048834E-2</v>
      </c>
      <c r="CI84" s="75">
        <f t="shared" si="89"/>
        <v>6.0487804878048834E-2</v>
      </c>
      <c r="CJ84" s="75">
        <f t="shared" si="89"/>
        <v>6.0487804878048834E-2</v>
      </c>
      <c r="CK84" s="75">
        <f t="shared" si="89"/>
        <v>6.0487804878048834E-2</v>
      </c>
      <c r="CL84" s="75">
        <f t="shared" si="89"/>
        <v>6.0487804878048834E-2</v>
      </c>
      <c r="CM84" s="75">
        <f t="shared" si="89"/>
        <v>6.0487804878048834E-2</v>
      </c>
      <c r="CN84" s="75">
        <f t="shared" si="89"/>
        <v>6.0487804878048834E-2</v>
      </c>
      <c r="CO84" s="75">
        <f t="shared" si="89"/>
        <v>6.0487804878048834E-2</v>
      </c>
      <c r="CP84" s="75">
        <f t="shared" si="89"/>
        <v>6.0487804878048834E-2</v>
      </c>
      <c r="CQ84" s="23" t="s">
        <v>77</v>
      </c>
    </row>
    <row r="85" spans="1:96" outlineLevel="1" x14ac:dyDescent="0.2">
      <c r="A85" s="233"/>
      <c r="B85" s="358" t="s">
        <v>72</v>
      </c>
      <c r="D85" s="66"/>
      <c r="E85" s="66"/>
      <c r="F85" s="66"/>
      <c r="G85" s="66"/>
      <c r="H85" s="66"/>
      <c r="I85" s="66"/>
      <c r="J85" s="66"/>
      <c r="K85" s="238"/>
      <c r="L85" s="66"/>
      <c r="M85" s="66"/>
      <c r="N85" s="66"/>
      <c r="O85" s="66"/>
      <c r="P85" s="66"/>
      <c r="Q85" s="66"/>
      <c r="R85" s="66"/>
      <c r="S85" s="238"/>
      <c r="T85" s="66"/>
      <c r="U85" s="81"/>
      <c r="V85" s="81"/>
      <c r="W85" s="81"/>
      <c r="X85" s="238"/>
      <c r="Y85" s="66"/>
      <c r="Z85" s="66"/>
      <c r="AA85" s="66"/>
      <c r="AB85" s="66"/>
      <c r="AC85" s="66"/>
      <c r="AD85" s="66"/>
      <c r="AE85" s="66"/>
      <c r="AF85" s="66"/>
      <c r="AG85" s="66"/>
      <c r="AH85" s="66"/>
      <c r="AI85" s="66"/>
      <c r="AJ85" s="66"/>
      <c r="AK85" s="66"/>
      <c r="AL85" s="66"/>
      <c r="AM85" s="66"/>
      <c r="AN85" s="66"/>
      <c r="AO85" s="66"/>
      <c r="AP85" s="66"/>
      <c r="AQ85" s="66"/>
      <c r="AR85" s="66"/>
      <c r="AS85" s="66"/>
      <c r="AT85" s="66"/>
      <c r="AU85" s="66"/>
      <c r="AV85" s="66"/>
      <c r="AW85" s="66"/>
      <c r="AX85" s="66"/>
      <c r="AY85" s="66"/>
      <c r="AZ85" s="66"/>
      <c r="BA85" s="66"/>
      <c r="BB85" s="66"/>
      <c r="BC85" s="66"/>
      <c r="BD85" s="66"/>
      <c r="BE85" s="66"/>
      <c r="BF85" s="66"/>
      <c r="BG85" s="66"/>
      <c r="BH85" s="66"/>
      <c r="BI85" s="66"/>
      <c r="BJ85" s="66"/>
      <c r="BK85" s="66"/>
      <c r="BL85" s="66"/>
      <c r="BM85" s="66"/>
      <c r="BN85" s="66"/>
      <c r="BO85" s="66"/>
      <c r="BP85" s="66"/>
      <c r="BQ85" s="66"/>
      <c r="BR85" s="66"/>
      <c r="BS85" s="66"/>
      <c r="BT85" s="66"/>
      <c r="BU85" s="66"/>
      <c r="BV85" s="66"/>
      <c r="BW85" s="66"/>
      <c r="BX85" s="66"/>
      <c r="BY85" s="66"/>
      <c r="BZ85" s="66"/>
      <c r="CA85" s="66"/>
      <c r="CB85" s="66"/>
      <c r="CC85" s="66"/>
      <c r="CD85" s="66"/>
      <c r="CE85" s="66"/>
      <c r="CF85" s="66"/>
      <c r="CG85" s="66"/>
      <c r="CH85" s="66"/>
      <c r="CI85" s="66"/>
      <c r="CJ85" s="66"/>
      <c r="CK85" s="66"/>
      <c r="CL85" s="66"/>
      <c r="CM85" s="66"/>
      <c r="CN85" s="66"/>
      <c r="CO85" s="66"/>
      <c r="CP85" s="66"/>
      <c r="CQ85" s="23" t="s">
        <v>77</v>
      </c>
      <c r="CR85" s="233"/>
    </row>
    <row r="86" spans="1:96" outlineLevel="1" x14ac:dyDescent="0.2">
      <c r="A86" s="233"/>
      <c r="B86" s="12" t="s">
        <v>68</v>
      </c>
      <c r="D86" s="9"/>
      <c r="E86" s="9"/>
      <c r="F86" s="9"/>
      <c r="G86" s="9"/>
      <c r="H86" s="9"/>
      <c r="I86" s="9"/>
      <c r="J86" s="9"/>
      <c r="K86" s="237">
        <f t="shared" ref="K86:R86" si="90">K81*K71+K78*K70</f>
        <v>9.032941176470588E-2</v>
      </c>
      <c r="L86" s="72">
        <f t="shared" si="90"/>
        <v>9.032941176470588E-2</v>
      </c>
      <c r="M86" s="72">
        <f t="shared" si="90"/>
        <v>9.032941176470588E-2</v>
      </c>
      <c r="N86" s="72">
        <f t="shared" si="90"/>
        <v>9.032941176470588E-2</v>
      </c>
      <c r="O86" s="72">
        <f t="shared" si="90"/>
        <v>9.032941176470588E-2</v>
      </c>
      <c r="P86" s="72">
        <f t="shared" si="90"/>
        <v>9.032941176470588E-2</v>
      </c>
      <c r="Q86" s="72">
        <f t="shared" si="90"/>
        <v>9.032941176470588E-2</v>
      </c>
      <c r="R86" s="72">
        <f t="shared" si="90"/>
        <v>9.032941176470588E-2</v>
      </c>
      <c r="S86" s="237">
        <f t="shared" ref="S86:BC86" si="91">S81*S71+S78*S70</f>
        <v>9.377935483870968E-2</v>
      </c>
      <c r="T86" s="75">
        <f t="shared" si="91"/>
        <v>9.377935483870968E-2</v>
      </c>
      <c r="U86" s="72">
        <f t="shared" si="91"/>
        <v>9.377935483870968E-2</v>
      </c>
      <c r="V86" s="72">
        <f t="shared" si="91"/>
        <v>9.377935483870968E-2</v>
      </c>
      <c r="W86" s="210">
        <f t="shared" si="91"/>
        <v>9.377935483870968E-2</v>
      </c>
      <c r="X86" s="237">
        <f t="shared" si="91"/>
        <v>8.1439024390243892E-2</v>
      </c>
      <c r="Y86" s="75">
        <f t="shared" si="91"/>
        <v>8.1439024390243892E-2</v>
      </c>
      <c r="Z86" s="75">
        <f t="shared" si="91"/>
        <v>8.1439024390243892E-2</v>
      </c>
      <c r="AA86" s="75">
        <f t="shared" si="91"/>
        <v>8.1439024390243892E-2</v>
      </c>
      <c r="AB86" s="75">
        <f t="shared" si="91"/>
        <v>8.1439024390243892E-2</v>
      </c>
      <c r="AC86" s="75">
        <f t="shared" si="91"/>
        <v>8.1439024390243892E-2</v>
      </c>
      <c r="AD86" s="75">
        <f t="shared" si="91"/>
        <v>8.1439024390243892E-2</v>
      </c>
      <c r="AE86" s="75">
        <f t="shared" si="91"/>
        <v>8.1439024390243892E-2</v>
      </c>
      <c r="AF86" s="75">
        <f t="shared" si="91"/>
        <v>8.1439024390243892E-2</v>
      </c>
      <c r="AG86" s="75">
        <f t="shared" si="91"/>
        <v>8.1439024390243892E-2</v>
      </c>
      <c r="AH86" s="75">
        <f t="shared" si="91"/>
        <v>8.1439024390243892E-2</v>
      </c>
      <c r="AI86" s="75">
        <f t="shared" si="91"/>
        <v>8.1439024390243892E-2</v>
      </c>
      <c r="AJ86" s="75">
        <f t="shared" si="91"/>
        <v>8.1439024390243892E-2</v>
      </c>
      <c r="AK86" s="75">
        <f t="shared" si="91"/>
        <v>8.1439024390243892E-2</v>
      </c>
      <c r="AL86" s="75">
        <f t="shared" si="91"/>
        <v>8.1439024390243892E-2</v>
      </c>
      <c r="AM86" s="75">
        <f t="shared" si="91"/>
        <v>8.1439024390243892E-2</v>
      </c>
      <c r="AN86" s="75">
        <f t="shared" si="91"/>
        <v>8.1439024390243892E-2</v>
      </c>
      <c r="AO86" s="75">
        <f t="shared" si="91"/>
        <v>8.1439024390243892E-2</v>
      </c>
      <c r="AP86" s="75">
        <f t="shared" si="91"/>
        <v>8.1439024390243892E-2</v>
      </c>
      <c r="AQ86" s="75">
        <f t="shared" si="91"/>
        <v>8.1439024390243892E-2</v>
      </c>
      <c r="AR86" s="75">
        <f t="shared" si="91"/>
        <v>8.1439024390243892E-2</v>
      </c>
      <c r="AS86" s="75">
        <f t="shared" si="91"/>
        <v>8.1439024390243892E-2</v>
      </c>
      <c r="AT86" s="75">
        <f t="shared" si="91"/>
        <v>8.1439024390243892E-2</v>
      </c>
      <c r="AU86" s="75">
        <f t="shared" si="91"/>
        <v>8.1439024390243892E-2</v>
      </c>
      <c r="AV86" s="75">
        <f t="shared" si="91"/>
        <v>8.1439024390243892E-2</v>
      </c>
      <c r="AW86" s="75">
        <f t="shared" si="91"/>
        <v>8.1439024390243892E-2</v>
      </c>
      <c r="AX86" s="75">
        <f t="shared" si="91"/>
        <v>8.1439024390243892E-2</v>
      </c>
      <c r="AY86" s="75">
        <f t="shared" si="91"/>
        <v>8.1439024390243892E-2</v>
      </c>
      <c r="AZ86" s="75">
        <f t="shared" si="91"/>
        <v>8.1439024390243892E-2</v>
      </c>
      <c r="BA86" s="75">
        <f t="shared" si="91"/>
        <v>8.1439024390243892E-2</v>
      </c>
      <c r="BB86" s="75">
        <f t="shared" si="91"/>
        <v>8.1439024390243892E-2</v>
      </c>
      <c r="BC86" s="75">
        <f t="shared" si="91"/>
        <v>8.1439024390243892E-2</v>
      </c>
      <c r="BD86" s="75">
        <f>BD81*BD71+BD78*BD70</f>
        <v>8.1439024390243892E-2</v>
      </c>
      <c r="BE86" s="75">
        <f t="shared" ref="BE86:CP86" si="92">BE81*BE71+BE78*BE70</f>
        <v>8.1439024390243892E-2</v>
      </c>
      <c r="BF86" s="75">
        <f t="shared" si="92"/>
        <v>8.1439024390243892E-2</v>
      </c>
      <c r="BG86" s="75">
        <f t="shared" si="92"/>
        <v>8.1439024390243892E-2</v>
      </c>
      <c r="BH86" s="75">
        <f t="shared" si="92"/>
        <v>8.1439024390243892E-2</v>
      </c>
      <c r="BI86" s="75">
        <f t="shared" si="92"/>
        <v>8.1439024390243892E-2</v>
      </c>
      <c r="BJ86" s="75">
        <f t="shared" si="92"/>
        <v>8.1439024390243892E-2</v>
      </c>
      <c r="BK86" s="75">
        <f t="shared" si="92"/>
        <v>8.1439024390243892E-2</v>
      </c>
      <c r="BL86" s="75">
        <f t="shared" si="92"/>
        <v>8.1439024390243892E-2</v>
      </c>
      <c r="BM86" s="75">
        <f t="shared" si="92"/>
        <v>8.1439024390243892E-2</v>
      </c>
      <c r="BN86" s="75">
        <f t="shared" si="92"/>
        <v>8.1439024390243892E-2</v>
      </c>
      <c r="BO86" s="75">
        <f t="shared" si="92"/>
        <v>8.1439024390243892E-2</v>
      </c>
      <c r="BP86" s="75">
        <f t="shared" si="92"/>
        <v>8.1439024390243892E-2</v>
      </c>
      <c r="BQ86" s="75">
        <f t="shared" si="92"/>
        <v>8.1439024390243892E-2</v>
      </c>
      <c r="BR86" s="75">
        <f t="shared" si="92"/>
        <v>8.1439024390243892E-2</v>
      </c>
      <c r="BS86" s="75">
        <f t="shared" si="92"/>
        <v>8.1439024390243892E-2</v>
      </c>
      <c r="BT86" s="75">
        <f t="shared" si="92"/>
        <v>8.1439024390243892E-2</v>
      </c>
      <c r="BU86" s="75">
        <f t="shared" si="92"/>
        <v>8.1439024390243892E-2</v>
      </c>
      <c r="BV86" s="75">
        <f t="shared" si="92"/>
        <v>8.1439024390243892E-2</v>
      </c>
      <c r="BW86" s="75">
        <f t="shared" si="92"/>
        <v>8.1439024390243892E-2</v>
      </c>
      <c r="BX86" s="75">
        <f t="shared" si="92"/>
        <v>8.1439024390243892E-2</v>
      </c>
      <c r="BY86" s="75">
        <f t="shared" si="92"/>
        <v>8.1439024390243892E-2</v>
      </c>
      <c r="BZ86" s="75">
        <f t="shared" si="92"/>
        <v>8.1439024390243892E-2</v>
      </c>
      <c r="CA86" s="75">
        <f t="shared" si="92"/>
        <v>8.1439024390243892E-2</v>
      </c>
      <c r="CB86" s="75">
        <f t="shared" si="92"/>
        <v>8.1439024390243892E-2</v>
      </c>
      <c r="CC86" s="75">
        <f t="shared" si="92"/>
        <v>8.1439024390243892E-2</v>
      </c>
      <c r="CD86" s="75">
        <f t="shared" si="92"/>
        <v>8.1439024390243892E-2</v>
      </c>
      <c r="CE86" s="75">
        <f t="shared" si="92"/>
        <v>8.1439024390243892E-2</v>
      </c>
      <c r="CF86" s="75">
        <f t="shared" si="92"/>
        <v>8.1439024390243892E-2</v>
      </c>
      <c r="CG86" s="75">
        <f t="shared" si="92"/>
        <v>8.1439024390243892E-2</v>
      </c>
      <c r="CH86" s="75">
        <f t="shared" si="92"/>
        <v>8.1439024390243892E-2</v>
      </c>
      <c r="CI86" s="75">
        <f t="shared" si="92"/>
        <v>8.1439024390243892E-2</v>
      </c>
      <c r="CJ86" s="75">
        <f t="shared" si="92"/>
        <v>8.1439024390243892E-2</v>
      </c>
      <c r="CK86" s="75">
        <f t="shared" si="92"/>
        <v>8.1439024390243892E-2</v>
      </c>
      <c r="CL86" s="75">
        <f t="shared" si="92"/>
        <v>8.1439024390243892E-2</v>
      </c>
      <c r="CM86" s="75">
        <f t="shared" si="92"/>
        <v>8.1439024390243892E-2</v>
      </c>
      <c r="CN86" s="75">
        <f t="shared" si="92"/>
        <v>8.1439024390243892E-2</v>
      </c>
      <c r="CO86" s="75">
        <f t="shared" si="92"/>
        <v>8.1439024390243892E-2</v>
      </c>
      <c r="CP86" s="75">
        <f t="shared" si="92"/>
        <v>8.1439024390243892E-2</v>
      </c>
      <c r="CQ86" s="23" t="s">
        <v>77</v>
      </c>
      <c r="CR86" s="233"/>
    </row>
    <row r="87" spans="1:96" outlineLevel="1" x14ac:dyDescent="0.2">
      <c r="A87" s="233"/>
      <c r="B87" s="12" t="s">
        <v>69</v>
      </c>
      <c r="D87" s="9"/>
      <c r="E87" s="9"/>
      <c r="F87" s="9"/>
      <c r="G87" s="9"/>
      <c r="H87" s="9"/>
      <c r="I87" s="9"/>
      <c r="J87" s="9"/>
      <c r="K87" s="237">
        <f t="shared" ref="K87:BD87" si="93">+(1+K86)/(1+K68)-1</f>
        <v>6.6962923734911417E-2</v>
      </c>
      <c r="L87" s="72">
        <f t="shared" si="93"/>
        <v>6.6962923734911417E-2</v>
      </c>
      <c r="M87" s="72">
        <f t="shared" si="93"/>
        <v>6.6962923734911417E-2</v>
      </c>
      <c r="N87" s="72">
        <f t="shared" si="93"/>
        <v>6.6962923734911417E-2</v>
      </c>
      <c r="O87" s="72">
        <f t="shared" si="93"/>
        <v>6.6962923734911417E-2</v>
      </c>
      <c r="P87" s="72">
        <f t="shared" si="93"/>
        <v>6.6962923734911417E-2</v>
      </c>
      <c r="Q87" s="72">
        <f t="shared" si="93"/>
        <v>6.6962923734911417E-2</v>
      </c>
      <c r="R87" s="72">
        <f t="shared" si="93"/>
        <v>6.6962923734911417E-2</v>
      </c>
      <c r="S87" s="237">
        <f t="shared" si="93"/>
        <v>6.6581525927556839E-2</v>
      </c>
      <c r="T87" s="75">
        <f t="shared" si="93"/>
        <v>6.6581525927556839E-2</v>
      </c>
      <c r="U87" s="72">
        <f t="shared" si="93"/>
        <v>6.6581525927556839E-2</v>
      </c>
      <c r="V87" s="72">
        <f t="shared" si="93"/>
        <v>6.6581525927556839E-2</v>
      </c>
      <c r="W87" s="210">
        <f t="shared" si="93"/>
        <v>6.6581525927556839E-2</v>
      </c>
      <c r="X87" s="237">
        <f t="shared" si="93"/>
        <v>5.5062462819750246E-2</v>
      </c>
      <c r="Y87" s="75">
        <f t="shared" si="93"/>
        <v>5.5062462819750246E-2</v>
      </c>
      <c r="Z87" s="75">
        <f t="shared" si="93"/>
        <v>5.5062462819750246E-2</v>
      </c>
      <c r="AA87" s="75">
        <f t="shared" si="93"/>
        <v>5.5062462819750246E-2</v>
      </c>
      <c r="AB87" s="75">
        <f t="shared" si="93"/>
        <v>5.5062462819750246E-2</v>
      </c>
      <c r="AC87" s="75">
        <f t="shared" si="93"/>
        <v>5.5062462819750246E-2</v>
      </c>
      <c r="AD87" s="75">
        <f t="shared" si="93"/>
        <v>5.5062462819750246E-2</v>
      </c>
      <c r="AE87" s="75">
        <f t="shared" si="93"/>
        <v>5.5062462819750246E-2</v>
      </c>
      <c r="AF87" s="75">
        <f t="shared" si="93"/>
        <v>5.5062462819750246E-2</v>
      </c>
      <c r="AG87" s="75">
        <f t="shared" si="93"/>
        <v>5.5062462819750246E-2</v>
      </c>
      <c r="AH87" s="75">
        <f t="shared" si="93"/>
        <v>5.5062462819750246E-2</v>
      </c>
      <c r="AI87" s="75">
        <f t="shared" si="93"/>
        <v>5.5062462819750246E-2</v>
      </c>
      <c r="AJ87" s="75">
        <f t="shared" si="93"/>
        <v>5.5062462819750246E-2</v>
      </c>
      <c r="AK87" s="75">
        <f t="shared" si="93"/>
        <v>5.5062462819750246E-2</v>
      </c>
      <c r="AL87" s="75">
        <f t="shared" si="93"/>
        <v>5.5062462819750246E-2</v>
      </c>
      <c r="AM87" s="75">
        <f t="shared" si="93"/>
        <v>5.5062462819750246E-2</v>
      </c>
      <c r="AN87" s="75">
        <f t="shared" si="93"/>
        <v>5.5062462819750246E-2</v>
      </c>
      <c r="AO87" s="75">
        <f t="shared" si="93"/>
        <v>5.5062462819750246E-2</v>
      </c>
      <c r="AP87" s="75">
        <f t="shared" si="93"/>
        <v>5.5062462819750246E-2</v>
      </c>
      <c r="AQ87" s="75">
        <f t="shared" si="93"/>
        <v>5.5062462819750246E-2</v>
      </c>
      <c r="AR87" s="75">
        <f t="shared" si="93"/>
        <v>5.5062462819750246E-2</v>
      </c>
      <c r="AS87" s="75">
        <f t="shared" si="93"/>
        <v>5.5062462819750246E-2</v>
      </c>
      <c r="AT87" s="75">
        <f t="shared" si="93"/>
        <v>5.5062462819750246E-2</v>
      </c>
      <c r="AU87" s="75">
        <f t="shared" si="93"/>
        <v>5.5062462819750246E-2</v>
      </c>
      <c r="AV87" s="75">
        <f t="shared" si="93"/>
        <v>5.5062462819750246E-2</v>
      </c>
      <c r="AW87" s="75">
        <f t="shared" si="93"/>
        <v>5.5062462819750246E-2</v>
      </c>
      <c r="AX87" s="75">
        <f t="shared" si="93"/>
        <v>5.5062462819750246E-2</v>
      </c>
      <c r="AY87" s="75">
        <f t="shared" si="93"/>
        <v>5.5062462819750246E-2</v>
      </c>
      <c r="AZ87" s="75">
        <f t="shared" si="93"/>
        <v>5.5062462819750246E-2</v>
      </c>
      <c r="BA87" s="75">
        <f t="shared" si="93"/>
        <v>5.5062462819750246E-2</v>
      </c>
      <c r="BB87" s="75">
        <f t="shared" si="93"/>
        <v>5.5062462819750246E-2</v>
      </c>
      <c r="BC87" s="75">
        <f t="shared" si="93"/>
        <v>5.5062462819750246E-2</v>
      </c>
      <c r="BD87" s="75">
        <f t="shared" si="93"/>
        <v>5.5062462819750246E-2</v>
      </c>
      <c r="BE87" s="75">
        <f t="shared" ref="BE87:CP87" si="94">+(1+BE86)/(1+BE68)-1</f>
        <v>5.5062462819750246E-2</v>
      </c>
      <c r="BF87" s="75">
        <f t="shared" si="94"/>
        <v>5.5062462819750246E-2</v>
      </c>
      <c r="BG87" s="75">
        <f t="shared" si="94"/>
        <v>5.5062462819750246E-2</v>
      </c>
      <c r="BH87" s="75">
        <f t="shared" si="94"/>
        <v>5.5062462819750246E-2</v>
      </c>
      <c r="BI87" s="75">
        <f t="shared" si="94"/>
        <v>5.5062462819750246E-2</v>
      </c>
      <c r="BJ87" s="75">
        <f t="shared" si="94"/>
        <v>5.5062462819750246E-2</v>
      </c>
      <c r="BK87" s="75">
        <f t="shared" si="94"/>
        <v>5.5062462819750246E-2</v>
      </c>
      <c r="BL87" s="75">
        <f t="shared" si="94"/>
        <v>5.5062462819750246E-2</v>
      </c>
      <c r="BM87" s="75">
        <f t="shared" si="94"/>
        <v>5.5062462819750246E-2</v>
      </c>
      <c r="BN87" s="75">
        <f t="shared" si="94"/>
        <v>5.5062462819750246E-2</v>
      </c>
      <c r="BO87" s="75">
        <f t="shared" si="94"/>
        <v>5.5062462819750246E-2</v>
      </c>
      <c r="BP87" s="75">
        <f t="shared" si="94"/>
        <v>5.5062462819750246E-2</v>
      </c>
      <c r="BQ87" s="75">
        <f t="shared" si="94"/>
        <v>5.5062462819750246E-2</v>
      </c>
      <c r="BR87" s="75">
        <f t="shared" si="94"/>
        <v>5.5062462819750246E-2</v>
      </c>
      <c r="BS87" s="75">
        <f t="shared" si="94"/>
        <v>5.5062462819750246E-2</v>
      </c>
      <c r="BT87" s="75">
        <f t="shared" si="94"/>
        <v>5.5062462819750246E-2</v>
      </c>
      <c r="BU87" s="75">
        <f t="shared" si="94"/>
        <v>5.5062462819750246E-2</v>
      </c>
      <c r="BV87" s="75">
        <f t="shared" si="94"/>
        <v>5.5062462819750246E-2</v>
      </c>
      <c r="BW87" s="75">
        <f t="shared" si="94"/>
        <v>5.5062462819750246E-2</v>
      </c>
      <c r="BX87" s="75">
        <f t="shared" si="94"/>
        <v>5.5062462819750246E-2</v>
      </c>
      <c r="BY87" s="75">
        <f t="shared" si="94"/>
        <v>5.5062462819750246E-2</v>
      </c>
      <c r="BZ87" s="75">
        <f t="shared" si="94"/>
        <v>5.5062462819750246E-2</v>
      </c>
      <c r="CA87" s="75">
        <f t="shared" si="94"/>
        <v>5.5062462819750246E-2</v>
      </c>
      <c r="CB87" s="75">
        <f t="shared" si="94"/>
        <v>5.5062462819750246E-2</v>
      </c>
      <c r="CC87" s="75">
        <f t="shared" si="94"/>
        <v>5.5062462819750246E-2</v>
      </c>
      <c r="CD87" s="75">
        <f t="shared" si="94"/>
        <v>5.5062462819750246E-2</v>
      </c>
      <c r="CE87" s="75">
        <f t="shared" si="94"/>
        <v>5.5062462819750246E-2</v>
      </c>
      <c r="CF87" s="75">
        <f t="shared" si="94"/>
        <v>5.5062462819750246E-2</v>
      </c>
      <c r="CG87" s="75">
        <f t="shared" si="94"/>
        <v>5.5062462819750246E-2</v>
      </c>
      <c r="CH87" s="75">
        <f t="shared" si="94"/>
        <v>5.5062462819750246E-2</v>
      </c>
      <c r="CI87" s="75">
        <f t="shared" si="94"/>
        <v>5.5062462819750246E-2</v>
      </c>
      <c r="CJ87" s="75">
        <f t="shared" si="94"/>
        <v>5.5062462819750246E-2</v>
      </c>
      <c r="CK87" s="75">
        <f t="shared" si="94"/>
        <v>5.5062462819750246E-2</v>
      </c>
      <c r="CL87" s="75">
        <f t="shared" si="94"/>
        <v>5.5062462819750246E-2</v>
      </c>
      <c r="CM87" s="75">
        <f t="shared" si="94"/>
        <v>5.5062462819750246E-2</v>
      </c>
      <c r="CN87" s="75">
        <f t="shared" si="94"/>
        <v>5.5062462819750246E-2</v>
      </c>
      <c r="CO87" s="75">
        <f t="shared" si="94"/>
        <v>5.5062462819750246E-2</v>
      </c>
      <c r="CP87" s="75">
        <f t="shared" si="94"/>
        <v>5.5062462819750246E-2</v>
      </c>
      <c r="CQ87" s="23" t="s">
        <v>77</v>
      </c>
      <c r="CR87" s="233"/>
    </row>
    <row r="88" spans="1:96" outlineLevel="1" x14ac:dyDescent="0.2">
      <c r="A88" s="233"/>
      <c r="B88" s="2" t="s">
        <v>70</v>
      </c>
      <c r="C88" s="78"/>
      <c r="D88" s="3"/>
      <c r="E88" s="3"/>
      <c r="F88" s="3"/>
      <c r="G88" s="3"/>
      <c r="H88" s="3"/>
      <c r="I88" s="3"/>
      <c r="J88" s="3"/>
      <c r="K88" s="5">
        <f t="shared" ref="K88:R88" si="95">K78*K70+K83*K71</f>
        <v>8.2360000000000003E-2</v>
      </c>
      <c r="L88" s="30">
        <f t="shared" si="95"/>
        <v>8.2360000000000003E-2</v>
      </c>
      <c r="M88" s="30">
        <f t="shared" si="95"/>
        <v>8.2360000000000003E-2</v>
      </c>
      <c r="N88" s="30">
        <f t="shared" si="95"/>
        <v>8.2360000000000003E-2</v>
      </c>
      <c r="O88" s="30">
        <f t="shared" si="95"/>
        <v>8.2360000000000003E-2</v>
      </c>
      <c r="P88" s="30">
        <f t="shared" si="95"/>
        <v>8.2360000000000003E-2</v>
      </c>
      <c r="Q88" s="30">
        <f t="shared" si="95"/>
        <v>8.2360000000000003E-2</v>
      </c>
      <c r="R88" s="30">
        <f t="shared" si="95"/>
        <v>8.2360000000000003E-2</v>
      </c>
      <c r="S88" s="49">
        <f t="shared" ref="S88:BC88" si="96">S78*S70+S83*S71</f>
        <v>8.3559999999999995E-2</v>
      </c>
      <c r="T88" s="38">
        <f t="shared" si="96"/>
        <v>8.3559999999999995E-2</v>
      </c>
      <c r="U88" s="38">
        <f t="shared" si="96"/>
        <v>8.3559999999999995E-2</v>
      </c>
      <c r="V88" s="247">
        <f t="shared" si="96"/>
        <v>8.3559999999999995E-2</v>
      </c>
      <c r="W88" s="38">
        <f t="shared" si="96"/>
        <v>8.3559999999999995E-2</v>
      </c>
      <c r="X88" s="49">
        <f t="shared" si="96"/>
        <v>7.3800000000000004E-2</v>
      </c>
      <c r="Y88" s="38">
        <f t="shared" si="96"/>
        <v>7.3800000000000004E-2</v>
      </c>
      <c r="Z88" s="38">
        <f t="shared" si="96"/>
        <v>7.3800000000000004E-2</v>
      </c>
      <c r="AA88" s="38">
        <f t="shared" si="96"/>
        <v>7.3800000000000004E-2</v>
      </c>
      <c r="AB88" s="38">
        <f t="shared" si="96"/>
        <v>7.3800000000000004E-2</v>
      </c>
      <c r="AC88" s="38">
        <f t="shared" si="96"/>
        <v>7.3800000000000004E-2</v>
      </c>
      <c r="AD88" s="38">
        <f t="shared" si="96"/>
        <v>7.3800000000000004E-2</v>
      </c>
      <c r="AE88" s="38">
        <f t="shared" si="96"/>
        <v>7.3800000000000004E-2</v>
      </c>
      <c r="AF88" s="38">
        <f t="shared" si="96"/>
        <v>7.3800000000000004E-2</v>
      </c>
      <c r="AG88" s="38">
        <f t="shared" si="96"/>
        <v>7.3800000000000004E-2</v>
      </c>
      <c r="AH88" s="38">
        <f t="shared" si="96"/>
        <v>7.3800000000000004E-2</v>
      </c>
      <c r="AI88" s="38">
        <f t="shared" si="96"/>
        <v>7.3800000000000004E-2</v>
      </c>
      <c r="AJ88" s="38">
        <f t="shared" si="96"/>
        <v>7.3800000000000004E-2</v>
      </c>
      <c r="AK88" s="38">
        <f t="shared" si="96"/>
        <v>7.3800000000000004E-2</v>
      </c>
      <c r="AL88" s="38">
        <f t="shared" si="96"/>
        <v>7.3800000000000004E-2</v>
      </c>
      <c r="AM88" s="38">
        <f t="shared" si="96"/>
        <v>7.3800000000000004E-2</v>
      </c>
      <c r="AN88" s="38">
        <f t="shared" si="96"/>
        <v>7.3800000000000004E-2</v>
      </c>
      <c r="AO88" s="38">
        <f t="shared" si="96"/>
        <v>7.3800000000000004E-2</v>
      </c>
      <c r="AP88" s="38">
        <f t="shared" si="96"/>
        <v>7.3800000000000004E-2</v>
      </c>
      <c r="AQ88" s="38">
        <f t="shared" si="96"/>
        <v>7.3800000000000004E-2</v>
      </c>
      <c r="AR88" s="38">
        <f t="shared" si="96"/>
        <v>7.3800000000000004E-2</v>
      </c>
      <c r="AS88" s="38">
        <f t="shared" si="96"/>
        <v>7.3800000000000004E-2</v>
      </c>
      <c r="AT88" s="38">
        <f t="shared" si="96"/>
        <v>7.3800000000000004E-2</v>
      </c>
      <c r="AU88" s="38">
        <f t="shared" si="96"/>
        <v>7.3800000000000004E-2</v>
      </c>
      <c r="AV88" s="38">
        <f t="shared" si="96"/>
        <v>7.3800000000000004E-2</v>
      </c>
      <c r="AW88" s="38">
        <f t="shared" si="96"/>
        <v>7.3800000000000004E-2</v>
      </c>
      <c r="AX88" s="38">
        <f t="shared" si="96"/>
        <v>7.3800000000000004E-2</v>
      </c>
      <c r="AY88" s="38">
        <f t="shared" si="96"/>
        <v>7.3800000000000004E-2</v>
      </c>
      <c r="AZ88" s="38">
        <f t="shared" si="96"/>
        <v>7.3800000000000004E-2</v>
      </c>
      <c r="BA88" s="38">
        <f t="shared" si="96"/>
        <v>7.3800000000000004E-2</v>
      </c>
      <c r="BB88" s="38">
        <f t="shared" si="96"/>
        <v>7.3800000000000004E-2</v>
      </c>
      <c r="BC88" s="38">
        <f t="shared" si="96"/>
        <v>7.3800000000000004E-2</v>
      </c>
      <c r="BD88" s="38">
        <f>BD78*BD70+BD83*BD71</f>
        <v>7.3800000000000004E-2</v>
      </c>
      <c r="BE88" s="38">
        <f t="shared" ref="BE88:CP88" si="97">BE78*BE70+BE83*BE71</f>
        <v>7.3800000000000004E-2</v>
      </c>
      <c r="BF88" s="38">
        <f t="shared" si="97"/>
        <v>7.3800000000000004E-2</v>
      </c>
      <c r="BG88" s="38">
        <f t="shared" si="97"/>
        <v>7.3800000000000004E-2</v>
      </c>
      <c r="BH88" s="38">
        <f t="shared" si="97"/>
        <v>7.3800000000000004E-2</v>
      </c>
      <c r="BI88" s="38">
        <f t="shared" si="97"/>
        <v>7.3800000000000004E-2</v>
      </c>
      <c r="BJ88" s="38">
        <f t="shared" si="97"/>
        <v>7.3800000000000004E-2</v>
      </c>
      <c r="BK88" s="38">
        <f t="shared" si="97"/>
        <v>7.3800000000000004E-2</v>
      </c>
      <c r="BL88" s="38">
        <f t="shared" si="97"/>
        <v>7.3800000000000004E-2</v>
      </c>
      <c r="BM88" s="38">
        <f t="shared" si="97"/>
        <v>7.3800000000000004E-2</v>
      </c>
      <c r="BN88" s="38">
        <f t="shared" si="97"/>
        <v>7.3800000000000004E-2</v>
      </c>
      <c r="BO88" s="38">
        <f t="shared" si="97"/>
        <v>7.3800000000000004E-2</v>
      </c>
      <c r="BP88" s="38">
        <f t="shared" si="97"/>
        <v>7.3800000000000004E-2</v>
      </c>
      <c r="BQ88" s="38">
        <f t="shared" si="97"/>
        <v>7.3800000000000004E-2</v>
      </c>
      <c r="BR88" s="38">
        <f t="shared" si="97"/>
        <v>7.3800000000000004E-2</v>
      </c>
      <c r="BS88" s="38">
        <f t="shared" si="97"/>
        <v>7.3800000000000004E-2</v>
      </c>
      <c r="BT88" s="38">
        <f t="shared" si="97"/>
        <v>7.3800000000000004E-2</v>
      </c>
      <c r="BU88" s="38">
        <f t="shared" si="97"/>
        <v>7.3800000000000004E-2</v>
      </c>
      <c r="BV88" s="38">
        <f t="shared" si="97"/>
        <v>7.3800000000000004E-2</v>
      </c>
      <c r="BW88" s="38">
        <f t="shared" si="97"/>
        <v>7.3800000000000004E-2</v>
      </c>
      <c r="BX88" s="38">
        <f t="shared" si="97"/>
        <v>7.3800000000000004E-2</v>
      </c>
      <c r="BY88" s="38">
        <f t="shared" si="97"/>
        <v>7.3800000000000004E-2</v>
      </c>
      <c r="BZ88" s="38">
        <f t="shared" si="97"/>
        <v>7.3800000000000004E-2</v>
      </c>
      <c r="CA88" s="38">
        <f t="shared" si="97"/>
        <v>7.3800000000000004E-2</v>
      </c>
      <c r="CB88" s="38">
        <f t="shared" si="97"/>
        <v>7.3800000000000004E-2</v>
      </c>
      <c r="CC88" s="38">
        <f t="shared" si="97"/>
        <v>7.3800000000000004E-2</v>
      </c>
      <c r="CD88" s="38">
        <f t="shared" si="97"/>
        <v>7.3800000000000004E-2</v>
      </c>
      <c r="CE88" s="38">
        <f t="shared" si="97"/>
        <v>7.3800000000000004E-2</v>
      </c>
      <c r="CF88" s="38">
        <f t="shared" si="97"/>
        <v>7.3800000000000004E-2</v>
      </c>
      <c r="CG88" s="38">
        <f t="shared" si="97"/>
        <v>7.3800000000000004E-2</v>
      </c>
      <c r="CH88" s="38">
        <f t="shared" si="97"/>
        <v>7.3800000000000004E-2</v>
      </c>
      <c r="CI88" s="38">
        <f t="shared" si="97"/>
        <v>7.3800000000000004E-2</v>
      </c>
      <c r="CJ88" s="38">
        <f t="shared" si="97"/>
        <v>7.3800000000000004E-2</v>
      </c>
      <c r="CK88" s="38">
        <f t="shared" si="97"/>
        <v>7.3800000000000004E-2</v>
      </c>
      <c r="CL88" s="38">
        <f t="shared" si="97"/>
        <v>7.3800000000000004E-2</v>
      </c>
      <c r="CM88" s="38">
        <f t="shared" si="97"/>
        <v>7.3800000000000004E-2</v>
      </c>
      <c r="CN88" s="38">
        <f t="shared" si="97"/>
        <v>7.3800000000000004E-2</v>
      </c>
      <c r="CO88" s="38">
        <f t="shared" si="97"/>
        <v>7.3800000000000004E-2</v>
      </c>
      <c r="CP88" s="38">
        <f t="shared" si="97"/>
        <v>7.3800000000000004E-2</v>
      </c>
      <c r="CQ88" s="23" t="s">
        <v>77</v>
      </c>
      <c r="CR88" s="233"/>
    </row>
    <row r="89" spans="1:96" outlineLevel="1" x14ac:dyDescent="0.2">
      <c r="A89" s="233"/>
      <c r="B89" s="12" t="s">
        <v>71</v>
      </c>
      <c r="D89" s="9"/>
      <c r="E89" s="9"/>
      <c r="F89" s="9"/>
      <c r="G89" s="9"/>
      <c r="H89" s="9"/>
      <c r="I89" s="9"/>
      <c r="J89" s="9"/>
      <c r="K89" s="82">
        <f t="shared" ref="K89:BD89" si="98">+(1+K88)/(1+K68)-1</f>
        <v>5.9164301790781915E-2</v>
      </c>
      <c r="L89" s="72">
        <f t="shared" si="98"/>
        <v>5.9164301790781915E-2</v>
      </c>
      <c r="M89" s="72">
        <f t="shared" si="98"/>
        <v>5.9164301790781915E-2</v>
      </c>
      <c r="N89" s="72">
        <f t="shared" si="98"/>
        <v>5.9164301790781915E-2</v>
      </c>
      <c r="O89" s="72">
        <f t="shared" si="98"/>
        <v>5.9164301790781915E-2</v>
      </c>
      <c r="P89" s="72">
        <f t="shared" si="98"/>
        <v>5.9164301790781915E-2</v>
      </c>
      <c r="Q89" s="72">
        <f t="shared" si="98"/>
        <v>5.9164301790781915E-2</v>
      </c>
      <c r="R89" s="72">
        <f t="shared" si="98"/>
        <v>5.9164301790781915E-2</v>
      </c>
      <c r="S89" s="82">
        <f t="shared" si="98"/>
        <v>5.661628473915159E-2</v>
      </c>
      <c r="T89" s="75">
        <f t="shared" si="98"/>
        <v>5.661628473915159E-2</v>
      </c>
      <c r="U89" s="72">
        <f t="shared" si="98"/>
        <v>5.661628473915159E-2</v>
      </c>
      <c r="V89" s="72">
        <f t="shared" si="98"/>
        <v>5.661628473915159E-2</v>
      </c>
      <c r="W89" s="210">
        <f t="shared" si="98"/>
        <v>5.661628473915159E-2</v>
      </c>
      <c r="X89" s="82">
        <f t="shared" si="98"/>
        <v>4.760975609756124E-2</v>
      </c>
      <c r="Y89" s="75">
        <f t="shared" si="98"/>
        <v>4.760975609756124E-2</v>
      </c>
      <c r="Z89" s="75">
        <f t="shared" si="98"/>
        <v>4.760975609756124E-2</v>
      </c>
      <c r="AA89" s="75">
        <f t="shared" si="98"/>
        <v>4.760975609756124E-2</v>
      </c>
      <c r="AB89" s="75">
        <f t="shared" si="98"/>
        <v>4.760975609756124E-2</v>
      </c>
      <c r="AC89" s="75">
        <f t="shared" si="98"/>
        <v>4.760975609756124E-2</v>
      </c>
      <c r="AD89" s="75">
        <f t="shared" si="98"/>
        <v>4.760975609756124E-2</v>
      </c>
      <c r="AE89" s="75">
        <f t="shared" si="98"/>
        <v>4.760975609756124E-2</v>
      </c>
      <c r="AF89" s="75">
        <f t="shared" si="98"/>
        <v>4.760975609756124E-2</v>
      </c>
      <c r="AG89" s="75">
        <f t="shared" si="98"/>
        <v>4.760975609756124E-2</v>
      </c>
      <c r="AH89" s="75">
        <f t="shared" si="98"/>
        <v>4.760975609756124E-2</v>
      </c>
      <c r="AI89" s="75">
        <f t="shared" si="98"/>
        <v>4.760975609756124E-2</v>
      </c>
      <c r="AJ89" s="75">
        <f t="shared" si="98"/>
        <v>4.760975609756124E-2</v>
      </c>
      <c r="AK89" s="75">
        <f t="shared" si="98"/>
        <v>4.760975609756124E-2</v>
      </c>
      <c r="AL89" s="75">
        <f t="shared" si="98"/>
        <v>4.760975609756124E-2</v>
      </c>
      <c r="AM89" s="75">
        <f t="shared" si="98"/>
        <v>4.760975609756124E-2</v>
      </c>
      <c r="AN89" s="75">
        <f t="shared" si="98"/>
        <v>4.760975609756124E-2</v>
      </c>
      <c r="AO89" s="75">
        <f t="shared" si="98"/>
        <v>4.760975609756124E-2</v>
      </c>
      <c r="AP89" s="75">
        <f t="shared" si="98"/>
        <v>4.760975609756124E-2</v>
      </c>
      <c r="AQ89" s="75">
        <f t="shared" si="98"/>
        <v>4.760975609756124E-2</v>
      </c>
      <c r="AR89" s="75">
        <f t="shared" si="98"/>
        <v>4.760975609756124E-2</v>
      </c>
      <c r="AS89" s="75">
        <f t="shared" si="98"/>
        <v>4.760975609756124E-2</v>
      </c>
      <c r="AT89" s="75">
        <f t="shared" si="98"/>
        <v>4.760975609756124E-2</v>
      </c>
      <c r="AU89" s="75">
        <f t="shared" si="98"/>
        <v>4.760975609756124E-2</v>
      </c>
      <c r="AV89" s="75">
        <f t="shared" si="98"/>
        <v>4.760975609756124E-2</v>
      </c>
      <c r="AW89" s="75">
        <f t="shared" si="98"/>
        <v>4.760975609756124E-2</v>
      </c>
      <c r="AX89" s="75">
        <f t="shared" si="98"/>
        <v>4.760975609756124E-2</v>
      </c>
      <c r="AY89" s="75">
        <f t="shared" si="98"/>
        <v>4.760975609756124E-2</v>
      </c>
      <c r="AZ89" s="75">
        <f t="shared" si="98"/>
        <v>4.760975609756124E-2</v>
      </c>
      <c r="BA89" s="75">
        <f t="shared" si="98"/>
        <v>4.760975609756124E-2</v>
      </c>
      <c r="BB89" s="75">
        <f t="shared" si="98"/>
        <v>4.760975609756124E-2</v>
      </c>
      <c r="BC89" s="75">
        <f t="shared" si="98"/>
        <v>4.760975609756124E-2</v>
      </c>
      <c r="BD89" s="75">
        <f t="shared" si="98"/>
        <v>4.760975609756124E-2</v>
      </c>
      <c r="BE89" s="75">
        <f t="shared" ref="BE89:CP89" si="99">+(1+BE88)/(1+BE68)-1</f>
        <v>4.760975609756124E-2</v>
      </c>
      <c r="BF89" s="75">
        <f t="shared" si="99"/>
        <v>4.760975609756124E-2</v>
      </c>
      <c r="BG89" s="75">
        <f t="shared" si="99"/>
        <v>4.760975609756124E-2</v>
      </c>
      <c r="BH89" s="75">
        <f t="shared" si="99"/>
        <v>4.760975609756124E-2</v>
      </c>
      <c r="BI89" s="75">
        <f t="shared" si="99"/>
        <v>4.760975609756124E-2</v>
      </c>
      <c r="BJ89" s="75">
        <f t="shared" si="99"/>
        <v>4.760975609756124E-2</v>
      </c>
      <c r="BK89" s="75">
        <f t="shared" si="99"/>
        <v>4.760975609756124E-2</v>
      </c>
      <c r="BL89" s="75">
        <f t="shared" si="99"/>
        <v>4.760975609756124E-2</v>
      </c>
      <c r="BM89" s="75">
        <f t="shared" si="99"/>
        <v>4.760975609756124E-2</v>
      </c>
      <c r="BN89" s="75">
        <f t="shared" si="99"/>
        <v>4.760975609756124E-2</v>
      </c>
      <c r="BO89" s="75">
        <f t="shared" si="99"/>
        <v>4.760975609756124E-2</v>
      </c>
      <c r="BP89" s="75">
        <f t="shared" si="99"/>
        <v>4.760975609756124E-2</v>
      </c>
      <c r="BQ89" s="75">
        <f t="shared" si="99"/>
        <v>4.760975609756124E-2</v>
      </c>
      <c r="BR89" s="75">
        <f t="shared" si="99"/>
        <v>4.760975609756124E-2</v>
      </c>
      <c r="BS89" s="75">
        <f t="shared" si="99"/>
        <v>4.760975609756124E-2</v>
      </c>
      <c r="BT89" s="75">
        <f t="shared" si="99"/>
        <v>4.760975609756124E-2</v>
      </c>
      <c r="BU89" s="75">
        <f t="shared" si="99"/>
        <v>4.760975609756124E-2</v>
      </c>
      <c r="BV89" s="75">
        <f t="shared" si="99"/>
        <v>4.760975609756124E-2</v>
      </c>
      <c r="BW89" s="75">
        <f t="shared" si="99"/>
        <v>4.760975609756124E-2</v>
      </c>
      <c r="BX89" s="75">
        <f t="shared" si="99"/>
        <v>4.760975609756124E-2</v>
      </c>
      <c r="BY89" s="75">
        <f t="shared" si="99"/>
        <v>4.760975609756124E-2</v>
      </c>
      <c r="BZ89" s="75">
        <f t="shared" si="99"/>
        <v>4.760975609756124E-2</v>
      </c>
      <c r="CA89" s="75">
        <f t="shared" si="99"/>
        <v>4.760975609756124E-2</v>
      </c>
      <c r="CB89" s="75">
        <f t="shared" si="99"/>
        <v>4.760975609756124E-2</v>
      </c>
      <c r="CC89" s="75">
        <f t="shared" si="99"/>
        <v>4.760975609756124E-2</v>
      </c>
      <c r="CD89" s="75">
        <f t="shared" si="99"/>
        <v>4.760975609756124E-2</v>
      </c>
      <c r="CE89" s="75">
        <f t="shared" si="99"/>
        <v>4.760975609756124E-2</v>
      </c>
      <c r="CF89" s="75">
        <f t="shared" si="99"/>
        <v>4.760975609756124E-2</v>
      </c>
      <c r="CG89" s="75">
        <f t="shared" si="99"/>
        <v>4.760975609756124E-2</v>
      </c>
      <c r="CH89" s="75">
        <f t="shared" si="99"/>
        <v>4.760975609756124E-2</v>
      </c>
      <c r="CI89" s="75">
        <f t="shared" si="99"/>
        <v>4.760975609756124E-2</v>
      </c>
      <c r="CJ89" s="75">
        <f t="shared" si="99"/>
        <v>4.760975609756124E-2</v>
      </c>
      <c r="CK89" s="75">
        <f t="shared" si="99"/>
        <v>4.760975609756124E-2</v>
      </c>
      <c r="CL89" s="75">
        <f t="shared" si="99"/>
        <v>4.760975609756124E-2</v>
      </c>
      <c r="CM89" s="75">
        <f t="shared" si="99"/>
        <v>4.760975609756124E-2</v>
      </c>
      <c r="CN89" s="75">
        <f t="shared" si="99"/>
        <v>4.760975609756124E-2</v>
      </c>
      <c r="CO89" s="75">
        <f t="shared" si="99"/>
        <v>4.760975609756124E-2</v>
      </c>
      <c r="CP89" s="75">
        <f t="shared" si="99"/>
        <v>4.760975609756124E-2</v>
      </c>
      <c r="CQ89" s="23" t="s">
        <v>77</v>
      </c>
      <c r="CR89" s="233"/>
    </row>
    <row r="90" spans="1:96" ht="5.0999999999999996" customHeight="1" outlineLevel="1" x14ac:dyDescent="0.2">
      <c r="CQ90" s="23" t="s">
        <v>77</v>
      </c>
    </row>
    <row r="91" spans="1:96" outlineLevel="1" x14ac:dyDescent="0.2">
      <c r="B91" s="358" t="s">
        <v>479</v>
      </c>
      <c r="D91" s="218"/>
      <c r="E91" s="218"/>
      <c r="F91" s="218"/>
      <c r="G91" s="218"/>
      <c r="H91" s="218"/>
      <c r="I91" s="218"/>
      <c r="J91" s="218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  <c r="Y91" s="66"/>
      <c r="Z91" s="66"/>
      <c r="AA91" s="66"/>
      <c r="AB91" s="66"/>
      <c r="AC91" s="66"/>
      <c r="AD91" s="66"/>
      <c r="AE91" s="66"/>
      <c r="AF91" s="66"/>
      <c r="AG91" s="66"/>
      <c r="AH91" s="66"/>
      <c r="AI91" s="66"/>
      <c r="AJ91" s="66"/>
      <c r="AK91" s="66"/>
      <c r="AL91" s="66"/>
      <c r="AM91" s="66"/>
      <c r="AN91" s="66"/>
      <c r="AO91" s="66"/>
      <c r="AP91" s="66"/>
      <c r="AQ91" s="66"/>
      <c r="AR91" s="66"/>
      <c r="AS91" s="66"/>
      <c r="AT91" s="66"/>
      <c r="AU91" s="66"/>
      <c r="AV91" s="66"/>
      <c r="AW91" s="66"/>
      <c r="AX91" s="66"/>
      <c r="AY91" s="66"/>
      <c r="AZ91" s="66"/>
      <c r="BA91" s="66"/>
      <c r="BB91" s="66"/>
      <c r="BC91" s="66"/>
      <c r="BD91" s="66"/>
      <c r="BE91" s="66"/>
      <c r="BF91" s="66"/>
      <c r="BG91" s="66"/>
      <c r="BH91" s="66"/>
      <c r="BI91" s="66"/>
      <c r="BJ91" s="66"/>
      <c r="BK91" s="66"/>
      <c r="BL91" s="66"/>
      <c r="BM91" s="66"/>
      <c r="BN91" s="66"/>
      <c r="BO91" s="66"/>
      <c r="BP91" s="66"/>
      <c r="BQ91" s="66"/>
      <c r="BR91" s="66"/>
      <c r="BS91" s="66"/>
      <c r="BT91" s="66"/>
      <c r="BU91" s="66"/>
      <c r="BV91" s="66"/>
      <c r="BW91" s="66"/>
      <c r="BX91" s="66"/>
      <c r="BY91" s="66"/>
      <c r="BZ91" s="66"/>
      <c r="CA91" s="66"/>
      <c r="CB91" s="66"/>
      <c r="CC91" s="66"/>
      <c r="CD91" s="66"/>
      <c r="CE91" s="66"/>
      <c r="CF91" s="66"/>
      <c r="CG91" s="66"/>
      <c r="CH91" s="66"/>
      <c r="CI91" s="66"/>
      <c r="CJ91" s="66"/>
      <c r="CK91" s="66"/>
      <c r="CL91" s="66"/>
      <c r="CM91" s="66"/>
      <c r="CN91" s="66"/>
      <c r="CO91" s="66"/>
      <c r="CP91" s="66"/>
      <c r="CQ91" s="23" t="s">
        <v>77</v>
      </c>
    </row>
    <row r="92" spans="1:96" outlineLevel="1" x14ac:dyDescent="0.2">
      <c r="B92" s="8" t="s">
        <v>324</v>
      </c>
      <c r="D92" s="9"/>
      <c r="E92" s="9"/>
      <c r="F92" s="9"/>
      <c r="G92" s="9"/>
      <c r="H92" s="9"/>
      <c r="I92" s="9"/>
      <c r="J92" s="9"/>
      <c r="S92" s="198"/>
      <c r="T92" s="198"/>
      <c r="U92" s="198"/>
      <c r="V92" s="198"/>
      <c r="W92" s="26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  <c r="BP92" s="39"/>
      <c r="BQ92" s="39"/>
      <c r="BR92" s="39"/>
      <c r="BS92" s="39"/>
      <c r="BT92" s="39"/>
      <c r="BU92" s="39"/>
      <c r="BV92" s="39"/>
      <c r="BW92" s="39"/>
      <c r="BX92" s="39"/>
      <c r="BY92" s="39"/>
      <c r="BZ92" s="39"/>
      <c r="CA92" s="39"/>
      <c r="CB92" s="39"/>
      <c r="CC92" s="39"/>
      <c r="CD92" s="39"/>
      <c r="CE92" s="39"/>
      <c r="CF92" s="39"/>
      <c r="CG92" s="39"/>
      <c r="CH92" s="39"/>
      <c r="CI92" s="39"/>
      <c r="CJ92" s="39"/>
      <c r="CK92" s="39"/>
      <c r="CL92" s="39"/>
      <c r="CM92" s="39"/>
      <c r="CN92" s="39"/>
      <c r="CO92" s="39"/>
      <c r="CP92" s="39"/>
      <c r="CQ92" s="23" t="s">
        <v>77</v>
      </c>
    </row>
    <row r="93" spans="1:96" outlineLevel="1" x14ac:dyDescent="0.2">
      <c r="B93" s="8" t="s">
        <v>14</v>
      </c>
      <c r="D93" s="9"/>
      <c r="E93" s="9"/>
      <c r="F93" s="9"/>
      <c r="G93" s="9"/>
      <c r="H93" s="9"/>
      <c r="I93" s="9"/>
      <c r="J93" s="9"/>
      <c r="S93" s="198"/>
      <c r="T93" s="198"/>
      <c r="U93" s="198"/>
      <c r="V93" s="198"/>
      <c r="W93" s="26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  <c r="BP93" s="39"/>
      <c r="BQ93" s="39"/>
      <c r="BR93" s="39"/>
      <c r="BS93" s="39"/>
      <c r="BT93" s="39"/>
      <c r="BU93" s="39"/>
      <c r="BV93" s="39"/>
      <c r="BW93" s="39"/>
      <c r="BX93" s="39"/>
      <c r="BY93" s="39"/>
      <c r="BZ93" s="39"/>
      <c r="CA93" s="39"/>
      <c r="CB93" s="39"/>
      <c r="CC93" s="39"/>
      <c r="CD93" s="39"/>
      <c r="CE93" s="39"/>
      <c r="CF93" s="39"/>
      <c r="CG93" s="39"/>
      <c r="CH93" s="39"/>
      <c r="CI93" s="39"/>
      <c r="CJ93" s="39"/>
      <c r="CK93" s="39"/>
      <c r="CL93" s="39"/>
      <c r="CM93" s="39"/>
      <c r="CN93" s="39"/>
      <c r="CO93" s="39"/>
      <c r="CP93" s="39"/>
      <c r="CQ93" s="23" t="s">
        <v>77</v>
      </c>
    </row>
    <row r="94" spans="1:96" outlineLevel="1" x14ac:dyDescent="0.2">
      <c r="B94" s="8" t="s">
        <v>326</v>
      </c>
      <c r="D94" s="9"/>
      <c r="E94" s="9"/>
      <c r="F94" s="9"/>
      <c r="G94" s="9"/>
      <c r="H94" s="9"/>
      <c r="I94" s="9"/>
      <c r="J94" s="9"/>
      <c r="S94" s="198"/>
      <c r="T94" s="198"/>
      <c r="U94" s="198"/>
      <c r="V94" s="198"/>
      <c r="W94" s="26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  <c r="BP94" s="39"/>
      <c r="BQ94" s="39"/>
      <c r="BR94" s="39"/>
      <c r="BS94" s="39"/>
      <c r="BT94" s="39"/>
      <c r="BU94" s="39"/>
      <c r="BV94" s="39"/>
      <c r="BW94" s="39"/>
      <c r="BX94" s="39"/>
      <c r="BY94" s="39"/>
      <c r="BZ94" s="39"/>
      <c r="CA94" s="39"/>
      <c r="CB94" s="39"/>
      <c r="CC94" s="39"/>
      <c r="CD94" s="39"/>
      <c r="CE94" s="39"/>
      <c r="CF94" s="39"/>
      <c r="CG94" s="39"/>
      <c r="CH94" s="39"/>
      <c r="CI94" s="39"/>
      <c r="CJ94" s="39"/>
      <c r="CK94" s="39"/>
      <c r="CL94" s="39"/>
      <c r="CM94" s="39"/>
      <c r="CN94" s="39"/>
      <c r="CO94" s="39"/>
      <c r="CP94" s="39"/>
      <c r="CQ94" s="23" t="s">
        <v>77</v>
      </c>
    </row>
    <row r="95" spans="1:96" outlineLevel="1" x14ac:dyDescent="0.2">
      <c r="B95" s="8" t="s">
        <v>325</v>
      </c>
      <c r="D95" s="9"/>
      <c r="E95" s="9"/>
      <c r="F95" s="9"/>
      <c r="G95" s="9"/>
      <c r="H95" s="9"/>
      <c r="I95" s="9"/>
      <c r="J95" s="9"/>
      <c r="S95" s="198"/>
      <c r="T95" s="198"/>
      <c r="U95" s="198"/>
      <c r="V95" s="198"/>
      <c r="W95" s="26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  <c r="BP95" s="39"/>
      <c r="BQ95" s="39"/>
      <c r="BR95" s="39"/>
      <c r="BS95" s="39"/>
      <c r="BT95" s="39"/>
      <c r="BU95" s="39"/>
      <c r="BV95" s="39"/>
      <c r="BW95" s="39"/>
      <c r="BX95" s="39"/>
      <c r="BY95" s="39"/>
      <c r="BZ95" s="39"/>
      <c r="CA95" s="39"/>
      <c r="CB95" s="39"/>
      <c r="CC95" s="39"/>
      <c r="CD95" s="39"/>
      <c r="CE95" s="39"/>
      <c r="CF95" s="39"/>
      <c r="CG95" s="39"/>
      <c r="CH95" s="39"/>
      <c r="CI95" s="39"/>
      <c r="CJ95" s="39"/>
      <c r="CK95" s="39"/>
      <c r="CL95" s="39"/>
      <c r="CM95" s="39"/>
      <c r="CN95" s="39"/>
      <c r="CO95" s="39"/>
      <c r="CP95" s="39"/>
      <c r="CQ95" s="23" t="s">
        <v>77</v>
      </c>
    </row>
    <row r="96" spans="1:96" outlineLevel="1" x14ac:dyDescent="0.2">
      <c r="B96" s="8" t="s">
        <v>392</v>
      </c>
      <c r="D96" s="9"/>
      <c r="E96" s="9"/>
      <c r="F96" s="9"/>
      <c r="G96" s="9"/>
      <c r="H96" s="9"/>
      <c r="I96" s="9"/>
      <c r="J96" s="9"/>
      <c r="S96" s="198"/>
      <c r="T96" s="249"/>
      <c r="U96" s="198"/>
      <c r="V96" s="198"/>
      <c r="W96" s="26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  <c r="BP96" s="39"/>
      <c r="BQ96" s="39"/>
      <c r="BR96" s="39"/>
      <c r="BS96" s="39"/>
      <c r="BT96" s="39"/>
      <c r="BU96" s="39"/>
      <c r="BV96" s="39"/>
      <c r="BW96" s="39"/>
      <c r="BX96" s="39"/>
      <c r="BY96" s="39"/>
      <c r="BZ96" s="39"/>
      <c r="CA96" s="39"/>
      <c r="CB96" s="39"/>
      <c r="CC96" s="39"/>
      <c r="CD96" s="39"/>
      <c r="CE96" s="39"/>
      <c r="CF96" s="39"/>
      <c r="CG96" s="39"/>
      <c r="CH96" s="39"/>
      <c r="CI96" s="39"/>
      <c r="CJ96" s="39"/>
      <c r="CK96" s="39"/>
      <c r="CL96" s="39"/>
      <c r="CM96" s="39"/>
      <c r="CN96" s="39"/>
      <c r="CO96" s="39"/>
      <c r="CP96" s="39"/>
      <c r="CQ96" s="23" t="s">
        <v>77</v>
      </c>
    </row>
    <row r="97" spans="1:95" outlineLevel="1" x14ac:dyDescent="0.2">
      <c r="A97" s="233"/>
      <c r="B97" s="1" t="s">
        <v>327</v>
      </c>
      <c r="D97" s="3">
        <f>SUM(D92:D96)</f>
        <v>0</v>
      </c>
      <c r="E97" s="3">
        <f>SUM(E92:E96)</f>
        <v>0</v>
      </c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23" t="s">
        <v>77</v>
      </c>
    </row>
    <row r="98" spans="1:95" outlineLevel="1" x14ac:dyDescent="0.2">
      <c r="A98" s="233"/>
      <c r="B98" s="1" t="s">
        <v>329</v>
      </c>
      <c r="D98" s="3">
        <f>SUM(D93:D97)</f>
        <v>0</v>
      </c>
      <c r="E98" s="3">
        <f>SUM(E93:E97)</f>
        <v>0</v>
      </c>
      <c r="F98" s="3"/>
      <c r="G98" s="3"/>
      <c r="H98" s="3"/>
      <c r="I98" s="3"/>
      <c r="J98" s="3"/>
      <c r="K98" s="3">
        <v>65</v>
      </c>
      <c r="L98" s="3">
        <v>63.48</v>
      </c>
      <c r="M98" s="3">
        <v>62.28</v>
      </c>
      <c r="N98" s="3">
        <v>60.65</v>
      </c>
      <c r="O98" s="3"/>
      <c r="P98" s="3"/>
      <c r="Q98" s="3"/>
      <c r="R98" s="3"/>
      <c r="S98" s="4"/>
      <c r="T98" s="4"/>
      <c r="U98" s="4"/>
      <c r="V98" s="4"/>
      <c r="W98" s="4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3"/>
      <c r="AY98" s="33"/>
      <c r="AZ98" s="33"/>
      <c r="BA98" s="33"/>
      <c r="BB98" s="33"/>
      <c r="BC98" s="33"/>
      <c r="BD98" s="33"/>
      <c r="BE98" s="33"/>
      <c r="BF98" s="33"/>
      <c r="BG98" s="33"/>
      <c r="BH98" s="33"/>
      <c r="BI98" s="33"/>
      <c r="BJ98" s="33"/>
      <c r="BK98" s="33"/>
      <c r="BL98" s="33"/>
      <c r="BM98" s="33"/>
      <c r="BN98" s="33"/>
      <c r="BO98" s="33"/>
      <c r="BP98" s="33"/>
      <c r="BQ98" s="33"/>
      <c r="BR98" s="33"/>
      <c r="BS98" s="33"/>
      <c r="BT98" s="33"/>
      <c r="BU98" s="33"/>
      <c r="BV98" s="33"/>
      <c r="BW98" s="33"/>
      <c r="BX98" s="33"/>
      <c r="BY98" s="33"/>
      <c r="BZ98" s="33"/>
      <c r="CA98" s="33"/>
      <c r="CB98" s="33"/>
      <c r="CC98" s="33"/>
      <c r="CD98" s="33"/>
      <c r="CE98" s="33"/>
      <c r="CF98" s="33"/>
      <c r="CG98" s="33"/>
      <c r="CH98" s="33"/>
      <c r="CI98" s="33"/>
      <c r="CJ98" s="33"/>
      <c r="CK98" s="33"/>
      <c r="CL98" s="33"/>
      <c r="CM98" s="33"/>
      <c r="CN98" s="33"/>
      <c r="CO98" s="33"/>
      <c r="CP98" s="33"/>
      <c r="CQ98" s="23" t="s">
        <v>77</v>
      </c>
    </row>
    <row r="99" spans="1:95" outlineLevel="1" x14ac:dyDescent="0.2">
      <c r="A99" s="233"/>
      <c r="B99" s="1" t="s">
        <v>330</v>
      </c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20"/>
      <c r="T99" s="31"/>
      <c r="U99" s="31"/>
      <c r="V99" s="31"/>
      <c r="W99" s="31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33"/>
      <c r="AP99" s="33"/>
      <c r="AQ99" s="33"/>
      <c r="AR99" s="33"/>
      <c r="AS99" s="33"/>
      <c r="AT99" s="33"/>
      <c r="AU99" s="33"/>
      <c r="AV99" s="33"/>
      <c r="AW99" s="33"/>
      <c r="AX99" s="33"/>
      <c r="AY99" s="33"/>
      <c r="AZ99" s="33"/>
      <c r="BA99" s="33"/>
      <c r="BB99" s="33"/>
      <c r="BC99" s="33"/>
      <c r="BD99" s="33"/>
      <c r="BE99" s="33"/>
      <c r="BF99" s="33"/>
      <c r="BG99" s="33"/>
      <c r="BH99" s="33"/>
      <c r="BI99" s="33"/>
      <c r="BJ99" s="33"/>
      <c r="BK99" s="33"/>
      <c r="BL99" s="33"/>
      <c r="BM99" s="33"/>
      <c r="BN99" s="33"/>
      <c r="BO99" s="33"/>
      <c r="BP99" s="33"/>
      <c r="BQ99" s="33"/>
      <c r="BR99" s="33"/>
      <c r="BS99" s="33"/>
      <c r="BT99" s="33"/>
      <c r="BU99" s="33"/>
      <c r="BV99" s="33"/>
      <c r="BW99" s="33"/>
      <c r="BX99" s="33"/>
      <c r="BY99" s="33"/>
      <c r="BZ99" s="33"/>
      <c r="CA99" s="33"/>
      <c r="CB99" s="33"/>
      <c r="CC99" s="33"/>
      <c r="CD99" s="33"/>
      <c r="CE99" s="33"/>
      <c r="CF99" s="33"/>
      <c r="CG99" s="33"/>
      <c r="CH99" s="33"/>
      <c r="CI99" s="33"/>
      <c r="CJ99" s="33"/>
      <c r="CK99" s="33"/>
      <c r="CL99" s="33"/>
      <c r="CM99" s="33"/>
      <c r="CN99" s="33"/>
      <c r="CO99" s="33"/>
      <c r="CP99" s="33"/>
      <c r="CQ99" s="23" t="s">
        <v>77</v>
      </c>
    </row>
    <row r="100" spans="1:95" ht="5.0999999999999996" customHeight="1" outlineLevel="1" x14ac:dyDescent="0.2">
      <c r="CQ100" s="23" t="s">
        <v>77</v>
      </c>
    </row>
    <row r="101" spans="1:95" outlineLevel="1" x14ac:dyDescent="0.2">
      <c r="B101" s="358" t="s">
        <v>321</v>
      </c>
      <c r="D101" s="66"/>
      <c r="E101" s="66"/>
      <c r="F101" s="66"/>
      <c r="G101" s="66"/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  <c r="X101" s="66"/>
      <c r="Y101" s="66"/>
      <c r="Z101" s="66"/>
      <c r="AA101" s="66"/>
      <c r="AB101" s="66"/>
      <c r="AC101" s="66"/>
      <c r="AD101" s="66"/>
      <c r="AE101" s="66"/>
      <c r="AF101" s="66"/>
      <c r="AG101" s="66"/>
      <c r="AH101" s="66"/>
      <c r="AI101" s="66"/>
      <c r="AJ101" s="66"/>
      <c r="AK101" s="66"/>
      <c r="AL101" s="66"/>
      <c r="AM101" s="66"/>
      <c r="AN101" s="66"/>
      <c r="AO101" s="66"/>
      <c r="AP101" s="66"/>
      <c r="AQ101" s="66"/>
      <c r="AR101" s="66"/>
      <c r="AS101" s="66"/>
      <c r="AT101" s="66"/>
      <c r="AU101" s="66"/>
      <c r="AV101" s="66"/>
      <c r="AW101" s="66"/>
      <c r="AX101" s="66"/>
      <c r="AY101" s="66"/>
      <c r="AZ101" s="66"/>
      <c r="BA101" s="66"/>
      <c r="BB101" s="66"/>
      <c r="BC101" s="66"/>
      <c r="BD101" s="66"/>
      <c r="BE101" s="66"/>
      <c r="BF101" s="66"/>
      <c r="BG101" s="66"/>
      <c r="BH101" s="66"/>
      <c r="BI101" s="66"/>
      <c r="BJ101" s="66"/>
      <c r="BK101" s="66"/>
      <c r="BL101" s="66"/>
      <c r="BM101" s="66"/>
      <c r="BN101" s="66"/>
      <c r="BO101" s="66"/>
      <c r="BP101" s="66"/>
      <c r="BQ101" s="66"/>
      <c r="BR101" s="66"/>
      <c r="BS101" s="66"/>
      <c r="BT101" s="66"/>
      <c r="BU101" s="66"/>
      <c r="BV101" s="66"/>
      <c r="BW101" s="66"/>
      <c r="BX101" s="66"/>
      <c r="BY101" s="66"/>
      <c r="BZ101" s="66"/>
      <c r="CA101" s="66"/>
      <c r="CB101" s="66"/>
      <c r="CC101" s="66"/>
      <c r="CD101" s="66"/>
      <c r="CE101" s="66"/>
      <c r="CF101" s="66"/>
      <c r="CG101" s="66"/>
      <c r="CH101" s="66"/>
      <c r="CI101" s="66"/>
      <c r="CJ101" s="66"/>
      <c r="CK101" s="66"/>
      <c r="CL101" s="66"/>
      <c r="CM101" s="66"/>
      <c r="CN101" s="66"/>
      <c r="CO101" s="66"/>
      <c r="CP101" s="66"/>
      <c r="CQ101" s="23" t="s">
        <v>77</v>
      </c>
    </row>
    <row r="102" spans="1:95" outlineLevel="1" x14ac:dyDescent="0.2">
      <c r="B102" s="7" t="s">
        <v>321</v>
      </c>
      <c r="D102" s="530"/>
      <c r="E102" s="530"/>
      <c r="F102" s="530"/>
      <c r="G102" s="530"/>
      <c r="H102" s="530"/>
      <c r="I102" s="530"/>
      <c r="J102" s="530"/>
      <c r="L102" s="530"/>
      <c r="M102" s="538">
        <v>2.6800000000000001E-2</v>
      </c>
      <c r="N102" s="530">
        <f t="shared" ref="N102:BD102" si="100">+N68</f>
        <v>2.1899999999999999E-2</v>
      </c>
      <c r="O102" s="530">
        <f t="shared" si="100"/>
        <v>2.1899999999999999E-2</v>
      </c>
      <c r="P102" s="530">
        <f t="shared" si="100"/>
        <v>2.1899999999999999E-2</v>
      </c>
      <c r="Q102" s="530">
        <f t="shared" si="100"/>
        <v>2.1899999999999999E-2</v>
      </c>
      <c r="R102" s="530">
        <f t="shared" si="100"/>
        <v>2.1899999999999999E-2</v>
      </c>
      <c r="S102" s="530">
        <f t="shared" si="100"/>
        <v>2.5499999999999998E-2</v>
      </c>
      <c r="T102" s="530">
        <f t="shared" si="100"/>
        <v>2.5499999999999998E-2</v>
      </c>
      <c r="U102" s="530">
        <f t="shared" si="100"/>
        <v>2.5499999999999998E-2</v>
      </c>
      <c r="V102" s="530">
        <f t="shared" si="100"/>
        <v>2.5499999999999998E-2</v>
      </c>
      <c r="W102" s="530">
        <f t="shared" si="100"/>
        <v>2.5499999999999998E-2</v>
      </c>
      <c r="X102" s="530">
        <f t="shared" si="100"/>
        <v>2.5000000000000001E-2</v>
      </c>
      <c r="Y102" s="530">
        <f t="shared" si="100"/>
        <v>2.5000000000000001E-2</v>
      </c>
      <c r="Z102" s="530">
        <f t="shared" si="100"/>
        <v>2.5000000000000001E-2</v>
      </c>
      <c r="AA102" s="530">
        <f t="shared" si="100"/>
        <v>2.5000000000000001E-2</v>
      </c>
      <c r="AB102" s="530">
        <f t="shared" si="100"/>
        <v>2.5000000000000001E-2</v>
      </c>
      <c r="AC102" s="530">
        <f t="shared" si="100"/>
        <v>2.5000000000000001E-2</v>
      </c>
      <c r="AD102" s="530">
        <f t="shared" si="100"/>
        <v>2.5000000000000001E-2</v>
      </c>
      <c r="AE102" s="530">
        <f t="shared" si="100"/>
        <v>2.5000000000000001E-2</v>
      </c>
      <c r="AF102" s="530">
        <f t="shared" si="100"/>
        <v>2.5000000000000001E-2</v>
      </c>
      <c r="AG102" s="530">
        <f t="shared" si="100"/>
        <v>2.5000000000000001E-2</v>
      </c>
      <c r="AH102" s="530">
        <f t="shared" si="100"/>
        <v>2.5000000000000001E-2</v>
      </c>
      <c r="AI102" s="530">
        <f t="shared" si="100"/>
        <v>2.5000000000000001E-2</v>
      </c>
      <c r="AJ102" s="530">
        <f t="shared" si="100"/>
        <v>2.5000000000000001E-2</v>
      </c>
      <c r="AK102" s="530">
        <f t="shared" si="100"/>
        <v>2.5000000000000001E-2</v>
      </c>
      <c r="AL102" s="530">
        <f t="shared" si="100"/>
        <v>2.5000000000000001E-2</v>
      </c>
      <c r="AM102" s="530">
        <f t="shared" si="100"/>
        <v>2.5000000000000001E-2</v>
      </c>
      <c r="AN102" s="530">
        <f t="shared" si="100"/>
        <v>2.5000000000000001E-2</v>
      </c>
      <c r="AO102" s="530">
        <f t="shared" si="100"/>
        <v>2.5000000000000001E-2</v>
      </c>
      <c r="AP102" s="530">
        <f t="shared" si="100"/>
        <v>2.5000000000000001E-2</v>
      </c>
      <c r="AQ102" s="530">
        <f t="shared" si="100"/>
        <v>2.5000000000000001E-2</v>
      </c>
      <c r="AR102" s="530">
        <f t="shared" si="100"/>
        <v>2.5000000000000001E-2</v>
      </c>
      <c r="AS102" s="530">
        <f t="shared" si="100"/>
        <v>2.5000000000000001E-2</v>
      </c>
      <c r="AT102" s="530">
        <f t="shared" si="100"/>
        <v>2.5000000000000001E-2</v>
      </c>
      <c r="AU102" s="530">
        <f t="shared" si="100"/>
        <v>2.5000000000000001E-2</v>
      </c>
      <c r="AV102" s="530">
        <f t="shared" si="100"/>
        <v>2.5000000000000001E-2</v>
      </c>
      <c r="AW102" s="530">
        <f t="shared" si="100"/>
        <v>2.5000000000000001E-2</v>
      </c>
      <c r="AX102" s="530">
        <f t="shared" si="100"/>
        <v>2.5000000000000001E-2</v>
      </c>
      <c r="AY102" s="530">
        <f t="shared" si="100"/>
        <v>2.5000000000000001E-2</v>
      </c>
      <c r="AZ102" s="530">
        <f t="shared" si="100"/>
        <v>2.5000000000000001E-2</v>
      </c>
      <c r="BA102" s="530">
        <f t="shared" si="100"/>
        <v>2.5000000000000001E-2</v>
      </c>
      <c r="BB102" s="530">
        <f t="shared" si="100"/>
        <v>2.5000000000000001E-2</v>
      </c>
      <c r="BC102" s="530">
        <f t="shared" si="100"/>
        <v>2.5000000000000001E-2</v>
      </c>
      <c r="BD102" s="530">
        <f t="shared" si="100"/>
        <v>2.5000000000000001E-2</v>
      </c>
      <c r="BE102" s="530">
        <f t="shared" ref="BE102:CP102" si="101">+BE68</f>
        <v>2.5000000000000001E-2</v>
      </c>
      <c r="BF102" s="530">
        <f t="shared" si="101"/>
        <v>2.5000000000000001E-2</v>
      </c>
      <c r="BG102" s="530">
        <f t="shared" si="101"/>
        <v>2.5000000000000001E-2</v>
      </c>
      <c r="BH102" s="530">
        <f t="shared" si="101"/>
        <v>2.5000000000000001E-2</v>
      </c>
      <c r="BI102" s="530">
        <f t="shared" si="101"/>
        <v>2.5000000000000001E-2</v>
      </c>
      <c r="BJ102" s="530">
        <f t="shared" si="101"/>
        <v>2.5000000000000001E-2</v>
      </c>
      <c r="BK102" s="530">
        <f t="shared" si="101"/>
        <v>2.5000000000000001E-2</v>
      </c>
      <c r="BL102" s="530">
        <f t="shared" si="101"/>
        <v>2.5000000000000001E-2</v>
      </c>
      <c r="BM102" s="530">
        <f t="shared" si="101"/>
        <v>2.5000000000000001E-2</v>
      </c>
      <c r="BN102" s="530">
        <f t="shared" si="101"/>
        <v>2.5000000000000001E-2</v>
      </c>
      <c r="BO102" s="530">
        <f t="shared" si="101"/>
        <v>2.5000000000000001E-2</v>
      </c>
      <c r="BP102" s="530">
        <f t="shared" si="101"/>
        <v>2.5000000000000001E-2</v>
      </c>
      <c r="BQ102" s="530">
        <f t="shared" si="101"/>
        <v>2.5000000000000001E-2</v>
      </c>
      <c r="BR102" s="530">
        <f t="shared" si="101"/>
        <v>2.5000000000000001E-2</v>
      </c>
      <c r="BS102" s="530">
        <f t="shared" si="101"/>
        <v>2.5000000000000001E-2</v>
      </c>
      <c r="BT102" s="530">
        <f t="shared" si="101"/>
        <v>2.5000000000000001E-2</v>
      </c>
      <c r="BU102" s="530">
        <f t="shared" si="101"/>
        <v>2.5000000000000001E-2</v>
      </c>
      <c r="BV102" s="530">
        <f t="shared" si="101"/>
        <v>2.5000000000000001E-2</v>
      </c>
      <c r="BW102" s="530">
        <f t="shared" si="101"/>
        <v>2.5000000000000001E-2</v>
      </c>
      <c r="BX102" s="530">
        <f t="shared" si="101"/>
        <v>2.5000000000000001E-2</v>
      </c>
      <c r="BY102" s="530">
        <f t="shared" si="101"/>
        <v>2.5000000000000001E-2</v>
      </c>
      <c r="BZ102" s="530">
        <f t="shared" si="101"/>
        <v>2.5000000000000001E-2</v>
      </c>
      <c r="CA102" s="530">
        <f t="shared" si="101"/>
        <v>2.5000000000000001E-2</v>
      </c>
      <c r="CB102" s="530">
        <f t="shared" si="101"/>
        <v>2.5000000000000001E-2</v>
      </c>
      <c r="CC102" s="530">
        <f t="shared" si="101"/>
        <v>2.5000000000000001E-2</v>
      </c>
      <c r="CD102" s="530">
        <f t="shared" si="101"/>
        <v>2.5000000000000001E-2</v>
      </c>
      <c r="CE102" s="530">
        <f t="shared" si="101"/>
        <v>2.5000000000000001E-2</v>
      </c>
      <c r="CF102" s="530">
        <f t="shared" si="101"/>
        <v>2.5000000000000001E-2</v>
      </c>
      <c r="CG102" s="530">
        <f t="shared" si="101"/>
        <v>2.5000000000000001E-2</v>
      </c>
      <c r="CH102" s="530">
        <f t="shared" si="101"/>
        <v>2.5000000000000001E-2</v>
      </c>
      <c r="CI102" s="530">
        <f t="shared" si="101"/>
        <v>2.5000000000000001E-2</v>
      </c>
      <c r="CJ102" s="530">
        <f t="shared" si="101"/>
        <v>2.5000000000000001E-2</v>
      </c>
      <c r="CK102" s="530">
        <f t="shared" si="101"/>
        <v>2.5000000000000001E-2</v>
      </c>
      <c r="CL102" s="530">
        <f t="shared" si="101"/>
        <v>2.5000000000000001E-2</v>
      </c>
      <c r="CM102" s="530">
        <f t="shared" si="101"/>
        <v>2.5000000000000001E-2</v>
      </c>
      <c r="CN102" s="530">
        <f t="shared" si="101"/>
        <v>2.5000000000000001E-2</v>
      </c>
      <c r="CO102" s="530">
        <f t="shared" si="101"/>
        <v>2.5000000000000001E-2</v>
      </c>
      <c r="CP102" s="530">
        <f t="shared" si="101"/>
        <v>2.5000000000000001E-2</v>
      </c>
      <c r="CQ102" s="23" t="s">
        <v>77</v>
      </c>
    </row>
    <row r="103" spans="1:95" outlineLevel="1" x14ac:dyDescent="0.2">
      <c r="B103" s="8" t="s">
        <v>322</v>
      </c>
      <c r="D103" s="9"/>
      <c r="E103" s="9"/>
      <c r="F103" s="9"/>
      <c r="G103" s="9"/>
      <c r="H103" s="9"/>
      <c r="I103" s="9"/>
      <c r="J103" s="9"/>
      <c r="L103" s="531">
        <v>1</v>
      </c>
      <c r="M103" s="67">
        <f t="shared" ref="M103:BD103" si="102">+L103*(1+M102)</f>
        <v>1.0267999999999999</v>
      </c>
      <c r="N103" s="67">
        <f t="shared" si="102"/>
        <v>1.0492869199999999</v>
      </c>
      <c r="O103" s="67">
        <f t="shared" si="102"/>
        <v>1.072266303548</v>
      </c>
      <c r="P103" s="67">
        <f t="shared" si="102"/>
        <v>1.0957489355957013</v>
      </c>
      <c r="Q103" s="67">
        <f t="shared" si="102"/>
        <v>1.1197458372852471</v>
      </c>
      <c r="R103" s="67">
        <f t="shared" si="102"/>
        <v>1.144268271121794</v>
      </c>
      <c r="S103" s="68">
        <f t="shared" si="102"/>
        <v>1.1734471120353998</v>
      </c>
      <c r="T103" s="68">
        <f t="shared" si="102"/>
        <v>1.2033700133923024</v>
      </c>
      <c r="U103" s="68">
        <f t="shared" si="102"/>
        <v>1.2340559487338063</v>
      </c>
      <c r="V103" s="68">
        <f t="shared" si="102"/>
        <v>1.2655243754265184</v>
      </c>
      <c r="W103" s="50">
        <f t="shared" si="102"/>
        <v>1.2977952469998948</v>
      </c>
      <c r="X103" s="69">
        <f t="shared" si="102"/>
        <v>1.3302401281748921</v>
      </c>
      <c r="Y103" s="69">
        <f t="shared" si="102"/>
        <v>1.3634961313792644</v>
      </c>
      <c r="Z103" s="69">
        <f t="shared" si="102"/>
        <v>1.397583534663746</v>
      </c>
      <c r="AA103" s="69">
        <f t="shared" si="102"/>
        <v>1.4325231230303395</v>
      </c>
      <c r="AB103" s="69">
        <f t="shared" si="102"/>
        <v>1.4683362011060979</v>
      </c>
      <c r="AC103" s="69">
        <f t="shared" si="102"/>
        <v>1.5050446061337501</v>
      </c>
      <c r="AD103" s="69">
        <f t="shared" si="102"/>
        <v>1.5426707212870938</v>
      </c>
      <c r="AE103" s="69">
        <f t="shared" si="102"/>
        <v>1.5812374893192711</v>
      </c>
      <c r="AF103" s="69">
        <f t="shared" si="102"/>
        <v>1.6207684265522528</v>
      </c>
      <c r="AG103" s="69">
        <f t="shared" si="102"/>
        <v>1.661287637216059</v>
      </c>
      <c r="AH103" s="69">
        <f t="shared" si="102"/>
        <v>1.7028198281464604</v>
      </c>
      <c r="AI103" s="69">
        <f t="shared" si="102"/>
        <v>1.7453903238501218</v>
      </c>
      <c r="AJ103" s="69">
        <f t="shared" si="102"/>
        <v>1.7890250819463747</v>
      </c>
      <c r="AK103" s="69">
        <f t="shared" si="102"/>
        <v>1.8337507089950338</v>
      </c>
      <c r="AL103" s="69">
        <f t="shared" si="102"/>
        <v>1.8795944767199095</v>
      </c>
      <c r="AM103" s="69">
        <f t="shared" si="102"/>
        <v>1.9265843386379071</v>
      </c>
      <c r="AN103" s="69">
        <f t="shared" si="102"/>
        <v>1.9747489471038546</v>
      </c>
      <c r="AO103" s="69">
        <f t="shared" si="102"/>
        <v>2.0241176707814508</v>
      </c>
      <c r="AP103" s="69">
        <f t="shared" si="102"/>
        <v>2.0747206125509869</v>
      </c>
      <c r="AQ103" s="69">
        <f t="shared" si="102"/>
        <v>2.1265886278647614</v>
      </c>
      <c r="AR103" s="69">
        <f t="shared" si="102"/>
        <v>2.1797533435613801</v>
      </c>
      <c r="AS103" s="69">
        <f t="shared" si="102"/>
        <v>2.2342471771504142</v>
      </c>
      <c r="AT103" s="69">
        <f t="shared" si="102"/>
        <v>2.2901033565791744</v>
      </c>
      <c r="AU103" s="69">
        <f t="shared" si="102"/>
        <v>2.3473559404936535</v>
      </c>
      <c r="AV103" s="69">
        <f t="shared" si="102"/>
        <v>2.4060398390059947</v>
      </c>
      <c r="AW103" s="69">
        <f t="shared" si="102"/>
        <v>2.4661908349811443</v>
      </c>
      <c r="AX103" s="69">
        <f t="shared" si="102"/>
        <v>2.5278456058556729</v>
      </c>
      <c r="AY103" s="69">
        <f t="shared" si="102"/>
        <v>2.5910417460020643</v>
      </c>
      <c r="AZ103" s="69">
        <f t="shared" si="102"/>
        <v>2.6558177896521156</v>
      </c>
      <c r="BA103" s="69">
        <f t="shared" si="102"/>
        <v>2.722213234393418</v>
      </c>
      <c r="BB103" s="69">
        <f t="shared" si="102"/>
        <v>2.7902685652532533</v>
      </c>
      <c r="BC103" s="69">
        <f t="shared" si="102"/>
        <v>2.8600252793845842</v>
      </c>
      <c r="BD103" s="69">
        <f t="shared" si="102"/>
        <v>2.9315259113691985</v>
      </c>
      <c r="BE103" s="69">
        <f t="shared" ref="BE103:CP103" si="103">+BD103*(1+BE102)</f>
        <v>3.004814059153428</v>
      </c>
      <c r="BF103" s="69">
        <f t="shared" si="103"/>
        <v>3.0799344106322635</v>
      </c>
      <c r="BG103" s="69">
        <f t="shared" si="103"/>
        <v>3.1569327708980697</v>
      </c>
      <c r="BH103" s="69">
        <f t="shared" si="103"/>
        <v>3.2358560901705213</v>
      </c>
      <c r="BI103" s="69">
        <f t="shared" si="103"/>
        <v>3.3167524924247842</v>
      </c>
      <c r="BJ103" s="69">
        <f t="shared" si="103"/>
        <v>3.3996713047354037</v>
      </c>
      <c r="BK103" s="69">
        <f t="shared" si="103"/>
        <v>3.4846630873537885</v>
      </c>
      <c r="BL103" s="69">
        <f t="shared" si="103"/>
        <v>3.5717796645376327</v>
      </c>
      <c r="BM103" s="69">
        <f t="shared" si="103"/>
        <v>3.6610741561510731</v>
      </c>
      <c r="BN103" s="69">
        <f t="shared" si="103"/>
        <v>3.7526010100548497</v>
      </c>
      <c r="BO103" s="69">
        <f t="shared" si="103"/>
        <v>3.8464160353062207</v>
      </c>
      <c r="BP103" s="69">
        <f t="shared" si="103"/>
        <v>3.942576436188876</v>
      </c>
      <c r="BQ103" s="69">
        <f t="shared" si="103"/>
        <v>4.0411408470935974</v>
      </c>
      <c r="BR103" s="69">
        <f t="shared" si="103"/>
        <v>4.1421693682709373</v>
      </c>
      <c r="BS103" s="69">
        <f t="shared" si="103"/>
        <v>4.2457236024777103</v>
      </c>
      <c r="BT103" s="69">
        <f t="shared" si="103"/>
        <v>4.3518666925396525</v>
      </c>
      <c r="BU103" s="69">
        <f t="shared" si="103"/>
        <v>4.4606633598531431</v>
      </c>
      <c r="BV103" s="69">
        <f t="shared" si="103"/>
        <v>4.5721799438494717</v>
      </c>
      <c r="BW103" s="69">
        <f t="shared" si="103"/>
        <v>4.6864844424457077</v>
      </c>
      <c r="BX103" s="69">
        <f t="shared" si="103"/>
        <v>4.8036465535068498</v>
      </c>
      <c r="BY103" s="69">
        <f t="shared" si="103"/>
        <v>4.9237377173445207</v>
      </c>
      <c r="BZ103" s="69">
        <f t="shared" si="103"/>
        <v>5.0468311602781331</v>
      </c>
      <c r="CA103" s="69">
        <f t="shared" si="103"/>
        <v>5.1730019392850863</v>
      </c>
      <c r="CB103" s="69">
        <f t="shared" si="103"/>
        <v>5.3023269877672128</v>
      </c>
      <c r="CC103" s="69">
        <f t="shared" si="103"/>
        <v>5.4348851624613923</v>
      </c>
      <c r="CD103" s="69">
        <f t="shared" si="103"/>
        <v>5.5707572915229262</v>
      </c>
      <c r="CE103" s="69">
        <f t="shared" si="103"/>
        <v>5.7100262238109991</v>
      </c>
      <c r="CF103" s="69">
        <f t="shared" si="103"/>
        <v>5.8527768794062736</v>
      </c>
      <c r="CG103" s="69">
        <f t="shared" si="103"/>
        <v>5.9990963013914298</v>
      </c>
      <c r="CH103" s="69">
        <f t="shared" si="103"/>
        <v>6.1490737089262151</v>
      </c>
      <c r="CI103" s="69">
        <f t="shared" si="103"/>
        <v>6.3028005516493701</v>
      </c>
      <c r="CJ103" s="69">
        <f t="shared" si="103"/>
        <v>6.4603705654406038</v>
      </c>
      <c r="CK103" s="69">
        <f t="shared" si="103"/>
        <v>6.6218798295766188</v>
      </c>
      <c r="CL103" s="69">
        <f t="shared" si="103"/>
        <v>6.7874268253160333</v>
      </c>
      <c r="CM103" s="69">
        <f t="shared" si="103"/>
        <v>6.9571124959489339</v>
      </c>
      <c r="CN103" s="69">
        <f t="shared" si="103"/>
        <v>7.1310403083476563</v>
      </c>
      <c r="CO103" s="69">
        <f t="shared" si="103"/>
        <v>7.3093163160563472</v>
      </c>
      <c r="CP103" s="69">
        <f t="shared" si="103"/>
        <v>7.4920492239577552</v>
      </c>
      <c r="CQ103" s="23" t="s">
        <v>77</v>
      </c>
    </row>
    <row r="104" spans="1:95" x14ac:dyDescent="0.2">
      <c r="CQ104" s="23" t="s">
        <v>77</v>
      </c>
    </row>
    <row r="105" spans="1:95" x14ac:dyDescent="0.2">
      <c r="S105" s="40"/>
      <c r="CQ105" s="23" t="s">
        <v>77</v>
      </c>
    </row>
  </sheetData>
  <phoneticPr fontId="0" type="noConversion"/>
  <conditionalFormatting sqref="X32:CP33">
    <cfRule type="cellIs" dxfId="38" priority="1" stopIfTrue="1" operator="equal">
      <formula>2</formula>
    </cfRule>
    <cfRule type="cellIs" dxfId="37" priority="2" stopIfTrue="1" operator="equal">
      <formula>1</formula>
    </cfRule>
  </conditionalFormatting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R337"/>
  <sheetViews>
    <sheetView showGridLines="0" workbookViewId="0">
      <selection activeCell="X47" sqref="X47"/>
    </sheetView>
  </sheetViews>
  <sheetFormatPr defaultRowHeight="11.25" outlineLevelRow="1" outlineLevelCol="1" x14ac:dyDescent="0.2"/>
  <cols>
    <col min="1" max="1" width="1" style="8" customWidth="1"/>
    <col min="2" max="2" width="33.33203125" style="8" customWidth="1"/>
    <col min="3" max="3" width="1" style="24" customWidth="1"/>
    <col min="4" max="5" width="9.33203125" style="8" customWidth="1"/>
    <col min="6" max="8" width="9.33203125" style="8" hidden="1" customWidth="1" outlineLevel="1"/>
    <col min="9" max="18" width="9.33203125" style="9" hidden="1" customWidth="1" outlineLevel="1"/>
    <col min="19" max="19" width="9.83203125" style="9" hidden="1" customWidth="1" outlineLevel="1"/>
    <col min="20" max="20" width="11" style="9" hidden="1" customWidth="1" outlineLevel="1"/>
    <col min="21" max="21" width="11.33203125" style="9" bestFit="1" customWidth="1" collapsed="1"/>
    <col min="22" max="22" width="9.33203125" style="9" customWidth="1"/>
    <col min="23" max="23" width="12" style="9" bestFit="1" customWidth="1"/>
    <col min="24" max="94" width="9.33203125" style="9" customWidth="1" outlineLevel="1"/>
    <col min="95" max="95" width="1.6640625" style="8" bestFit="1" customWidth="1"/>
    <col min="96" max="16384" width="9.33203125" style="8"/>
  </cols>
  <sheetData>
    <row r="1" spans="1:95" s="218" customFormat="1" ht="15.75" x14ac:dyDescent="0.25">
      <c r="A1" s="232" t="s">
        <v>354</v>
      </c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</row>
    <row r="2" spans="1:95" x14ac:dyDescent="0.2">
      <c r="CQ2" s="9"/>
    </row>
    <row r="3" spans="1:95" x14ac:dyDescent="0.2">
      <c r="A3" s="233"/>
      <c r="B3" s="728" t="s">
        <v>10</v>
      </c>
      <c r="C3" s="312"/>
      <c r="D3" s="728">
        <v>36707</v>
      </c>
      <c r="E3" s="728">
        <f>DATE(YEAR(D3)+1,6,30)</f>
        <v>37072</v>
      </c>
      <c r="F3" s="728">
        <f>DATE(YEAR(E3)+1,6,30)</f>
        <v>37437</v>
      </c>
      <c r="G3" s="728">
        <f>DATE(YEAR(F3)+1,6,30)</f>
        <v>37802</v>
      </c>
      <c r="H3" s="728">
        <f>DATE(YEAR(G3)+1,6,30)</f>
        <v>38168</v>
      </c>
      <c r="I3" s="312">
        <f t="shared" ref="I3:BT3" si="0">Fiscal_Year</f>
        <v>37802</v>
      </c>
      <c r="J3" s="312">
        <f t="shared" si="0"/>
        <v>38168</v>
      </c>
      <c r="K3" s="312">
        <f t="shared" si="0"/>
        <v>38533</v>
      </c>
      <c r="L3" s="312">
        <f t="shared" si="0"/>
        <v>38898</v>
      </c>
      <c r="M3" s="312">
        <f t="shared" si="0"/>
        <v>39263</v>
      </c>
      <c r="N3" s="312">
        <f t="shared" si="0"/>
        <v>39629</v>
      </c>
      <c r="O3" s="312">
        <f t="shared" si="0"/>
        <v>39994</v>
      </c>
      <c r="P3" s="312">
        <f t="shared" si="0"/>
        <v>40359</v>
      </c>
      <c r="Q3" s="312">
        <f t="shared" si="0"/>
        <v>40724</v>
      </c>
      <c r="R3" s="312">
        <f t="shared" si="0"/>
        <v>41090</v>
      </c>
      <c r="S3" s="312">
        <f t="shared" si="0"/>
        <v>41455</v>
      </c>
      <c r="T3" s="312">
        <f t="shared" si="0"/>
        <v>41820</v>
      </c>
      <c r="U3" s="312">
        <f t="shared" si="0"/>
        <v>42185</v>
      </c>
      <c r="V3" s="312">
        <f t="shared" si="0"/>
        <v>42551</v>
      </c>
      <c r="W3" s="312">
        <f t="shared" si="0"/>
        <v>42916</v>
      </c>
      <c r="X3" s="312">
        <f t="shared" si="0"/>
        <v>43281</v>
      </c>
      <c r="Y3" s="312">
        <f t="shared" si="0"/>
        <v>43646</v>
      </c>
      <c r="Z3" s="312">
        <f t="shared" si="0"/>
        <v>44012</v>
      </c>
      <c r="AA3" s="312">
        <f t="shared" si="0"/>
        <v>44377</v>
      </c>
      <c r="AB3" s="312">
        <f t="shared" si="0"/>
        <v>44742</v>
      </c>
      <c r="AC3" s="312">
        <f t="shared" si="0"/>
        <v>45107</v>
      </c>
      <c r="AD3" s="312">
        <f t="shared" si="0"/>
        <v>45473</v>
      </c>
      <c r="AE3" s="312">
        <f t="shared" si="0"/>
        <v>45838</v>
      </c>
      <c r="AF3" s="312">
        <f t="shared" si="0"/>
        <v>46203</v>
      </c>
      <c r="AG3" s="312">
        <f t="shared" si="0"/>
        <v>46568</v>
      </c>
      <c r="AH3" s="312">
        <f t="shared" si="0"/>
        <v>46934</v>
      </c>
      <c r="AI3" s="312">
        <f t="shared" si="0"/>
        <v>47299</v>
      </c>
      <c r="AJ3" s="312">
        <f t="shared" si="0"/>
        <v>47664</v>
      </c>
      <c r="AK3" s="312">
        <f t="shared" si="0"/>
        <v>48029</v>
      </c>
      <c r="AL3" s="312">
        <f t="shared" si="0"/>
        <v>48395</v>
      </c>
      <c r="AM3" s="312">
        <f t="shared" si="0"/>
        <v>48760</v>
      </c>
      <c r="AN3" s="312">
        <f t="shared" si="0"/>
        <v>49125</v>
      </c>
      <c r="AO3" s="312">
        <f t="shared" si="0"/>
        <v>49490</v>
      </c>
      <c r="AP3" s="312">
        <f t="shared" si="0"/>
        <v>49856</v>
      </c>
      <c r="AQ3" s="312">
        <f t="shared" si="0"/>
        <v>50221</v>
      </c>
      <c r="AR3" s="312">
        <f t="shared" si="0"/>
        <v>50586</v>
      </c>
      <c r="AS3" s="312">
        <f t="shared" si="0"/>
        <v>50951</v>
      </c>
      <c r="AT3" s="312">
        <f t="shared" si="0"/>
        <v>51317</v>
      </c>
      <c r="AU3" s="312">
        <f t="shared" si="0"/>
        <v>51682</v>
      </c>
      <c r="AV3" s="312">
        <f t="shared" si="0"/>
        <v>52047</v>
      </c>
      <c r="AW3" s="312">
        <f t="shared" si="0"/>
        <v>52412</v>
      </c>
      <c r="AX3" s="312">
        <f t="shared" si="0"/>
        <v>52778</v>
      </c>
      <c r="AY3" s="312">
        <f t="shared" si="0"/>
        <v>53143</v>
      </c>
      <c r="AZ3" s="312">
        <f t="shared" si="0"/>
        <v>53508</v>
      </c>
      <c r="BA3" s="312">
        <f t="shared" si="0"/>
        <v>53873</v>
      </c>
      <c r="BB3" s="312">
        <f t="shared" si="0"/>
        <v>54239</v>
      </c>
      <c r="BC3" s="312">
        <f t="shared" si="0"/>
        <v>54604</v>
      </c>
      <c r="BD3" s="312">
        <f t="shared" si="0"/>
        <v>54969</v>
      </c>
      <c r="BE3" s="312">
        <f t="shared" si="0"/>
        <v>55334</v>
      </c>
      <c r="BF3" s="312">
        <f t="shared" si="0"/>
        <v>55700</v>
      </c>
      <c r="BG3" s="312">
        <f t="shared" si="0"/>
        <v>56065</v>
      </c>
      <c r="BH3" s="312">
        <f t="shared" si="0"/>
        <v>56430</v>
      </c>
      <c r="BI3" s="312">
        <f t="shared" si="0"/>
        <v>56795</v>
      </c>
      <c r="BJ3" s="312">
        <f t="shared" si="0"/>
        <v>57161</v>
      </c>
      <c r="BK3" s="312">
        <f t="shared" si="0"/>
        <v>57526</v>
      </c>
      <c r="BL3" s="312">
        <f t="shared" si="0"/>
        <v>57891</v>
      </c>
      <c r="BM3" s="312">
        <f t="shared" si="0"/>
        <v>58256</v>
      </c>
      <c r="BN3" s="312">
        <f t="shared" si="0"/>
        <v>58622</v>
      </c>
      <c r="BO3" s="312">
        <f t="shared" si="0"/>
        <v>58987</v>
      </c>
      <c r="BP3" s="312">
        <f t="shared" si="0"/>
        <v>59352</v>
      </c>
      <c r="BQ3" s="312">
        <f t="shared" si="0"/>
        <v>59717</v>
      </c>
      <c r="BR3" s="312">
        <f t="shared" si="0"/>
        <v>60083</v>
      </c>
      <c r="BS3" s="312">
        <f t="shared" si="0"/>
        <v>60448</v>
      </c>
      <c r="BT3" s="312">
        <f t="shared" si="0"/>
        <v>60813</v>
      </c>
      <c r="BU3" s="312">
        <f t="shared" ref="BU3:CP3" si="1">Fiscal_Year</f>
        <v>61178</v>
      </c>
      <c r="BV3" s="312">
        <f t="shared" si="1"/>
        <v>61544</v>
      </c>
      <c r="BW3" s="312">
        <f t="shared" si="1"/>
        <v>61909</v>
      </c>
      <c r="BX3" s="312">
        <f t="shared" si="1"/>
        <v>62274</v>
      </c>
      <c r="BY3" s="312">
        <f t="shared" si="1"/>
        <v>62639</v>
      </c>
      <c r="BZ3" s="312">
        <f t="shared" si="1"/>
        <v>63005</v>
      </c>
      <c r="CA3" s="312">
        <f t="shared" si="1"/>
        <v>63370</v>
      </c>
      <c r="CB3" s="312">
        <f t="shared" si="1"/>
        <v>63735</v>
      </c>
      <c r="CC3" s="312">
        <f t="shared" si="1"/>
        <v>64100</v>
      </c>
      <c r="CD3" s="312">
        <f t="shared" si="1"/>
        <v>64466</v>
      </c>
      <c r="CE3" s="312">
        <f t="shared" si="1"/>
        <v>64831</v>
      </c>
      <c r="CF3" s="312">
        <f t="shared" si="1"/>
        <v>65196</v>
      </c>
      <c r="CG3" s="312">
        <f t="shared" si="1"/>
        <v>65561</v>
      </c>
      <c r="CH3" s="312">
        <f t="shared" si="1"/>
        <v>65927</v>
      </c>
      <c r="CI3" s="312">
        <f t="shared" si="1"/>
        <v>66292</v>
      </c>
      <c r="CJ3" s="312">
        <f t="shared" si="1"/>
        <v>66657</v>
      </c>
      <c r="CK3" s="312">
        <f t="shared" si="1"/>
        <v>67022</v>
      </c>
      <c r="CL3" s="312">
        <f t="shared" si="1"/>
        <v>67388</v>
      </c>
      <c r="CM3" s="312">
        <f t="shared" si="1"/>
        <v>67753</v>
      </c>
      <c r="CN3" s="312">
        <f t="shared" si="1"/>
        <v>68118</v>
      </c>
      <c r="CO3" s="312">
        <f t="shared" si="1"/>
        <v>68483</v>
      </c>
      <c r="CP3" s="312">
        <f t="shared" si="1"/>
        <v>68849</v>
      </c>
      <c r="CQ3" s="23" t="s">
        <v>77</v>
      </c>
    </row>
    <row r="4" spans="1:95" x14ac:dyDescent="0.2">
      <c r="CQ4" s="23" t="s">
        <v>77</v>
      </c>
    </row>
    <row r="5" spans="1:95" s="233" customFormat="1" x14ac:dyDescent="0.2">
      <c r="B5" s="728" t="s">
        <v>304</v>
      </c>
      <c r="C5" s="312"/>
      <c r="D5" s="312">
        <f t="shared" ref="D5:AI5" si="2">Fiscal_Year</f>
        <v>0</v>
      </c>
      <c r="E5" s="312">
        <f t="shared" si="2"/>
        <v>0</v>
      </c>
      <c r="F5" s="312">
        <f t="shared" si="2"/>
        <v>36707</v>
      </c>
      <c r="G5" s="312">
        <f t="shared" si="2"/>
        <v>37072</v>
      </c>
      <c r="H5" s="312">
        <f t="shared" si="2"/>
        <v>37437</v>
      </c>
      <c r="I5" s="312">
        <f t="shared" si="2"/>
        <v>37802</v>
      </c>
      <c r="J5" s="312">
        <f t="shared" si="2"/>
        <v>38168</v>
      </c>
      <c r="K5" s="312">
        <f t="shared" si="2"/>
        <v>38533</v>
      </c>
      <c r="L5" s="312">
        <f t="shared" si="2"/>
        <v>38898</v>
      </c>
      <c r="M5" s="312">
        <f t="shared" si="2"/>
        <v>39263</v>
      </c>
      <c r="N5" s="312">
        <f t="shared" si="2"/>
        <v>39629</v>
      </c>
      <c r="O5" s="312">
        <f t="shared" si="2"/>
        <v>39994</v>
      </c>
      <c r="P5" s="312">
        <f t="shared" si="2"/>
        <v>40359</v>
      </c>
      <c r="Q5" s="312">
        <f t="shared" si="2"/>
        <v>40724</v>
      </c>
      <c r="R5" s="312">
        <f t="shared" si="2"/>
        <v>41090</v>
      </c>
      <c r="S5" s="312">
        <f t="shared" si="2"/>
        <v>41455</v>
      </c>
      <c r="T5" s="312">
        <f t="shared" si="2"/>
        <v>41820</v>
      </c>
      <c r="U5" s="312">
        <f t="shared" si="2"/>
        <v>42185</v>
      </c>
      <c r="V5" s="312">
        <f t="shared" si="2"/>
        <v>42551</v>
      </c>
      <c r="W5" s="312">
        <f t="shared" si="2"/>
        <v>42916</v>
      </c>
      <c r="X5" s="312">
        <f t="shared" si="2"/>
        <v>43281</v>
      </c>
      <c r="Y5" s="312">
        <f t="shared" si="2"/>
        <v>43646</v>
      </c>
      <c r="Z5" s="312">
        <f t="shared" si="2"/>
        <v>44012</v>
      </c>
      <c r="AA5" s="312">
        <f t="shared" si="2"/>
        <v>44377</v>
      </c>
      <c r="AB5" s="312">
        <f t="shared" si="2"/>
        <v>44742</v>
      </c>
      <c r="AC5" s="312">
        <f t="shared" si="2"/>
        <v>45107</v>
      </c>
      <c r="AD5" s="312">
        <f t="shared" si="2"/>
        <v>45473</v>
      </c>
      <c r="AE5" s="312">
        <f t="shared" si="2"/>
        <v>45838</v>
      </c>
      <c r="AF5" s="312">
        <f t="shared" si="2"/>
        <v>46203</v>
      </c>
      <c r="AG5" s="312">
        <f t="shared" si="2"/>
        <v>46568</v>
      </c>
      <c r="AH5" s="312">
        <f t="shared" si="2"/>
        <v>46934</v>
      </c>
      <c r="AI5" s="312">
        <f t="shared" si="2"/>
        <v>47299</v>
      </c>
      <c r="AJ5" s="312">
        <f t="shared" ref="AJ5:CP5" si="3">Fiscal_Year</f>
        <v>47664</v>
      </c>
      <c r="AK5" s="312">
        <f t="shared" si="3"/>
        <v>48029</v>
      </c>
      <c r="AL5" s="312">
        <f t="shared" si="3"/>
        <v>48395</v>
      </c>
      <c r="AM5" s="312">
        <f t="shared" si="3"/>
        <v>48760</v>
      </c>
      <c r="AN5" s="312">
        <f t="shared" si="3"/>
        <v>49125</v>
      </c>
      <c r="AO5" s="312">
        <f t="shared" si="3"/>
        <v>49490</v>
      </c>
      <c r="AP5" s="312">
        <f t="shared" si="3"/>
        <v>49856</v>
      </c>
      <c r="AQ5" s="312">
        <f t="shared" si="3"/>
        <v>50221</v>
      </c>
      <c r="AR5" s="312">
        <f t="shared" si="3"/>
        <v>50586</v>
      </c>
      <c r="AS5" s="312">
        <f t="shared" si="3"/>
        <v>50951</v>
      </c>
      <c r="AT5" s="312">
        <f t="shared" si="3"/>
        <v>51317</v>
      </c>
      <c r="AU5" s="312">
        <f t="shared" si="3"/>
        <v>51682</v>
      </c>
      <c r="AV5" s="312">
        <f t="shared" si="3"/>
        <v>52047</v>
      </c>
      <c r="AW5" s="312">
        <f t="shared" si="3"/>
        <v>52412</v>
      </c>
      <c r="AX5" s="312">
        <f t="shared" si="3"/>
        <v>52778</v>
      </c>
      <c r="AY5" s="312">
        <f t="shared" si="3"/>
        <v>53143</v>
      </c>
      <c r="AZ5" s="312">
        <f t="shared" si="3"/>
        <v>53508</v>
      </c>
      <c r="BA5" s="312">
        <f t="shared" si="3"/>
        <v>53873</v>
      </c>
      <c r="BB5" s="312">
        <f t="shared" si="3"/>
        <v>54239</v>
      </c>
      <c r="BC5" s="312">
        <f t="shared" si="3"/>
        <v>54604</v>
      </c>
      <c r="BD5" s="312">
        <f t="shared" si="3"/>
        <v>54969</v>
      </c>
      <c r="BE5" s="312">
        <f t="shared" si="3"/>
        <v>55334</v>
      </c>
      <c r="BF5" s="312">
        <f t="shared" si="3"/>
        <v>55700</v>
      </c>
      <c r="BG5" s="312">
        <f t="shared" si="3"/>
        <v>56065</v>
      </c>
      <c r="BH5" s="312">
        <f t="shared" si="3"/>
        <v>56430</v>
      </c>
      <c r="BI5" s="312">
        <f t="shared" si="3"/>
        <v>56795</v>
      </c>
      <c r="BJ5" s="312">
        <f t="shared" si="3"/>
        <v>57161</v>
      </c>
      <c r="BK5" s="312">
        <f t="shared" si="3"/>
        <v>57526</v>
      </c>
      <c r="BL5" s="312">
        <f t="shared" si="3"/>
        <v>57891</v>
      </c>
      <c r="BM5" s="312">
        <f t="shared" si="3"/>
        <v>58256</v>
      </c>
      <c r="BN5" s="312">
        <f t="shared" si="3"/>
        <v>58622</v>
      </c>
      <c r="BO5" s="312">
        <f t="shared" si="3"/>
        <v>58987</v>
      </c>
      <c r="BP5" s="312">
        <f t="shared" si="3"/>
        <v>59352</v>
      </c>
      <c r="BQ5" s="312">
        <f t="shared" si="3"/>
        <v>59717</v>
      </c>
      <c r="BR5" s="312">
        <f t="shared" si="3"/>
        <v>60083</v>
      </c>
      <c r="BS5" s="312">
        <f t="shared" si="3"/>
        <v>60448</v>
      </c>
      <c r="BT5" s="312">
        <f t="shared" si="3"/>
        <v>60813</v>
      </c>
      <c r="BU5" s="312">
        <f t="shared" si="3"/>
        <v>61178</v>
      </c>
      <c r="BV5" s="312">
        <f t="shared" si="3"/>
        <v>61544</v>
      </c>
      <c r="BW5" s="312">
        <f t="shared" si="3"/>
        <v>61909</v>
      </c>
      <c r="BX5" s="312">
        <f t="shared" si="3"/>
        <v>62274</v>
      </c>
      <c r="BY5" s="312">
        <f t="shared" si="3"/>
        <v>62639</v>
      </c>
      <c r="BZ5" s="312">
        <f t="shared" si="3"/>
        <v>63005</v>
      </c>
      <c r="CA5" s="312">
        <f t="shared" si="3"/>
        <v>63370</v>
      </c>
      <c r="CB5" s="312">
        <f t="shared" si="3"/>
        <v>63735</v>
      </c>
      <c r="CC5" s="312">
        <f t="shared" si="3"/>
        <v>64100</v>
      </c>
      <c r="CD5" s="312">
        <f t="shared" si="3"/>
        <v>64466</v>
      </c>
      <c r="CE5" s="312">
        <f t="shared" si="3"/>
        <v>64831</v>
      </c>
      <c r="CF5" s="312">
        <f t="shared" si="3"/>
        <v>65196</v>
      </c>
      <c r="CG5" s="312">
        <f t="shared" si="3"/>
        <v>65561</v>
      </c>
      <c r="CH5" s="312">
        <f t="shared" si="3"/>
        <v>65927</v>
      </c>
      <c r="CI5" s="312">
        <f t="shared" si="3"/>
        <v>66292</v>
      </c>
      <c r="CJ5" s="312">
        <f t="shared" si="3"/>
        <v>66657</v>
      </c>
      <c r="CK5" s="312">
        <f t="shared" si="3"/>
        <v>67022</v>
      </c>
      <c r="CL5" s="312">
        <f t="shared" si="3"/>
        <v>67388</v>
      </c>
      <c r="CM5" s="312">
        <f t="shared" si="3"/>
        <v>67753</v>
      </c>
      <c r="CN5" s="312">
        <f t="shared" si="3"/>
        <v>68118</v>
      </c>
      <c r="CO5" s="312">
        <f t="shared" si="3"/>
        <v>68483</v>
      </c>
      <c r="CP5" s="312">
        <f t="shared" si="3"/>
        <v>68849</v>
      </c>
      <c r="CQ5" s="23" t="s">
        <v>77</v>
      </c>
    </row>
    <row r="6" spans="1:95" ht="5.0999999999999996" customHeight="1" x14ac:dyDescent="0.2">
      <c r="CQ6" s="23" t="s">
        <v>77</v>
      </c>
    </row>
    <row r="7" spans="1:95" s="98" customFormat="1" outlineLevel="1" x14ac:dyDescent="0.2">
      <c r="B7" s="98" t="s">
        <v>305</v>
      </c>
      <c r="C7" s="25"/>
      <c r="I7" s="634">
        <f>Qld!K7</f>
        <v>2.4860161591050201E-2</v>
      </c>
      <c r="J7" s="634">
        <f>Qld!L7</f>
        <v>3.0018192844148306E-2</v>
      </c>
      <c r="K7" s="634">
        <f>Qld!K7</f>
        <v>2.4860161591050201E-2</v>
      </c>
      <c r="L7" s="634">
        <f>Qld!L7</f>
        <v>3.0018192844148306E-2</v>
      </c>
      <c r="M7" s="634">
        <f>Qld!M7</f>
        <v>2.7377097438916476E-2</v>
      </c>
      <c r="N7" s="634">
        <f>Qld!N7</f>
        <v>2.9799426934097317E-2</v>
      </c>
      <c r="O7" s="634">
        <f>Qld!O7</f>
        <v>3.0884808013355691E-2</v>
      </c>
      <c r="P7" s="634">
        <f>Qld!P7</f>
        <v>2.3211875843454743E-2</v>
      </c>
      <c r="Q7" s="634">
        <f>Qld!Q7</f>
        <v>2.9807438670535369E-2</v>
      </c>
      <c r="R7" s="634">
        <f>Qld!R7</f>
        <v>2.4846311475410054E-2</v>
      </c>
      <c r="S7" s="634">
        <f>Qld!S7</f>
        <v>2.5493626593351415E-2</v>
      </c>
      <c r="T7" s="634">
        <f>Qld!T7</f>
        <v>2.8128031037827302E-2</v>
      </c>
      <c r="U7" s="634">
        <f>Qld!U7</f>
        <v>0.02</v>
      </c>
      <c r="V7" s="634">
        <f>Qld!V7</f>
        <v>1.4999999999999999E-2</v>
      </c>
      <c r="W7" s="634">
        <f>Qld!W7</f>
        <v>1.4999999999999999E-2</v>
      </c>
      <c r="X7" s="634">
        <f>Qld!X7</f>
        <v>2.5000000000000001E-2</v>
      </c>
      <c r="Y7" s="634">
        <f>Qld!Y7</f>
        <v>2.5000000000000001E-2</v>
      </c>
      <c r="Z7" s="634">
        <f>Qld!Z7</f>
        <v>2.5000000000000001E-2</v>
      </c>
      <c r="AA7" s="634">
        <f>Qld!AA7</f>
        <v>2.5000000000000001E-2</v>
      </c>
      <c r="AB7" s="634">
        <f>Qld!AB7</f>
        <v>2.5000000000000001E-2</v>
      </c>
      <c r="AC7" s="634">
        <f>Qld!AC7</f>
        <v>2.5000000000000001E-2</v>
      </c>
      <c r="AD7" s="634">
        <f>Qld!AD7</f>
        <v>2.5000000000000001E-2</v>
      </c>
      <c r="AE7" s="634">
        <f>Qld!AE7</f>
        <v>2.5000000000000001E-2</v>
      </c>
      <c r="AF7" s="634">
        <f>Qld!AF7</f>
        <v>2.5000000000000001E-2</v>
      </c>
      <c r="AG7" s="634">
        <f>Qld!AG7</f>
        <v>2.5000000000000001E-2</v>
      </c>
      <c r="AH7" s="634">
        <f>Qld!AH7</f>
        <v>2.5000000000000001E-2</v>
      </c>
      <c r="AI7" s="634">
        <f>Qld!AI7</f>
        <v>2.5000000000000001E-2</v>
      </c>
      <c r="AJ7" s="634">
        <f>Qld!AJ7</f>
        <v>2.5000000000000001E-2</v>
      </c>
      <c r="AK7" s="634">
        <f>Qld!AK7</f>
        <v>2.5000000000000001E-2</v>
      </c>
      <c r="AL7" s="634">
        <f>Qld!AL7</f>
        <v>2.5000000000000001E-2</v>
      </c>
      <c r="AM7" s="634">
        <f>Qld!AM7</f>
        <v>2.5000000000000001E-2</v>
      </c>
      <c r="AN7" s="634">
        <f>Qld!AN7</f>
        <v>2.5000000000000001E-2</v>
      </c>
      <c r="AO7" s="634">
        <f>Qld!AO7</f>
        <v>2.5000000000000001E-2</v>
      </c>
      <c r="AP7" s="634">
        <f>Qld!AP7</f>
        <v>2.5000000000000001E-2</v>
      </c>
      <c r="AQ7" s="634">
        <f>Qld!AQ7</f>
        <v>2.5000000000000001E-2</v>
      </c>
      <c r="AR7" s="634">
        <f>Qld!AR7</f>
        <v>2.5000000000000001E-2</v>
      </c>
      <c r="AS7" s="634">
        <f>Qld!AS7</f>
        <v>2.5000000000000001E-2</v>
      </c>
      <c r="AT7" s="634">
        <f>Qld!AT7</f>
        <v>2.5000000000000001E-2</v>
      </c>
      <c r="AU7" s="634">
        <f>Qld!AU7</f>
        <v>2.5000000000000001E-2</v>
      </c>
      <c r="AV7" s="634">
        <f>Qld!AV7</f>
        <v>2.5000000000000001E-2</v>
      </c>
      <c r="AW7" s="634">
        <f>Qld!AW7</f>
        <v>2.5000000000000001E-2</v>
      </c>
      <c r="AX7" s="634">
        <f>Qld!AX7</f>
        <v>2.5000000000000001E-2</v>
      </c>
      <c r="AY7" s="634">
        <f>Qld!AY7</f>
        <v>2.5000000000000001E-2</v>
      </c>
      <c r="AZ7" s="634">
        <f>Qld!AZ7</f>
        <v>2.5000000000000001E-2</v>
      </c>
      <c r="BA7" s="634">
        <f>Qld!BA7</f>
        <v>2.5000000000000001E-2</v>
      </c>
      <c r="BB7" s="634">
        <f>Qld!BB7</f>
        <v>2.5000000000000001E-2</v>
      </c>
      <c r="BC7" s="634">
        <f>Qld!BC7</f>
        <v>2.5000000000000001E-2</v>
      </c>
      <c r="BD7" s="634">
        <f>Qld!BD7</f>
        <v>2.5000000000000001E-2</v>
      </c>
      <c r="BE7" s="634">
        <f>Qld!BE7</f>
        <v>2.5000000000000001E-2</v>
      </c>
      <c r="BF7" s="634">
        <f>Qld!BF7</f>
        <v>2.5000000000000001E-2</v>
      </c>
      <c r="BG7" s="634">
        <f>Qld!BG7</f>
        <v>2.5000000000000001E-2</v>
      </c>
      <c r="BH7" s="634">
        <f>Qld!BH7</f>
        <v>2.5000000000000001E-2</v>
      </c>
      <c r="BI7" s="634">
        <f>Qld!BI7</f>
        <v>2.5000000000000001E-2</v>
      </c>
      <c r="BJ7" s="634">
        <f>Qld!BJ7</f>
        <v>2.5000000000000001E-2</v>
      </c>
      <c r="BK7" s="634">
        <f>Qld!BK7</f>
        <v>2.5000000000000001E-2</v>
      </c>
      <c r="BL7" s="634">
        <f>Qld!BL7</f>
        <v>2.5000000000000001E-2</v>
      </c>
      <c r="BM7" s="634">
        <f>Qld!BM7</f>
        <v>2.5000000000000001E-2</v>
      </c>
      <c r="BN7" s="634">
        <f>Qld!BN7</f>
        <v>2.5000000000000001E-2</v>
      </c>
      <c r="BO7" s="634">
        <f>Qld!BO7</f>
        <v>2.5000000000000001E-2</v>
      </c>
      <c r="BP7" s="634">
        <f>Qld!BP7</f>
        <v>2.5000000000000001E-2</v>
      </c>
      <c r="BQ7" s="634">
        <f>Qld!BQ7</f>
        <v>2.5000000000000001E-2</v>
      </c>
      <c r="BR7" s="634">
        <f>Qld!BR7</f>
        <v>2.5000000000000001E-2</v>
      </c>
      <c r="BS7" s="634">
        <f>Qld!BS7</f>
        <v>2.5000000000000001E-2</v>
      </c>
      <c r="BT7" s="634">
        <f>Qld!BT7</f>
        <v>2.5000000000000001E-2</v>
      </c>
      <c r="BU7" s="634">
        <f>Qld!BU7</f>
        <v>2.5000000000000001E-2</v>
      </c>
      <c r="BV7" s="634">
        <f>Qld!BV7</f>
        <v>2.5000000000000001E-2</v>
      </c>
      <c r="BW7" s="634">
        <f>Qld!BW7</f>
        <v>2.5000000000000001E-2</v>
      </c>
      <c r="BX7" s="634">
        <f>Qld!BX7</f>
        <v>2.5000000000000001E-2</v>
      </c>
      <c r="BY7" s="634">
        <f>Qld!BY7</f>
        <v>2.5000000000000001E-2</v>
      </c>
      <c r="BZ7" s="634">
        <f>Qld!BZ7</f>
        <v>2.5000000000000001E-2</v>
      </c>
      <c r="CA7" s="634">
        <f>Qld!CA7</f>
        <v>2.5000000000000001E-2</v>
      </c>
      <c r="CB7" s="634">
        <f>Qld!CB7</f>
        <v>2.5000000000000001E-2</v>
      </c>
      <c r="CC7" s="634">
        <f>Qld!CC7</f>
        <v>2.5000000000000001E-2</v>
      </c>
      <c r="CD7" s="634">
        <f>Qld!CD7</f>
        <v>2.5000000000000001E-2</v>
      </c>
      <c r="CE7" s="634">
        <f>Qld!CE7</f>
        <v>2.5000000000000001E-2</v>
      </c>
      <c r="CF7" s="634">
        <f>Qld!CF7</f>
        <v>2.5000000000000001E-2</v>
      </c>
      <c r="CG7" s="634">
        <f>Qld!CG7</f>
        <v>2.5000000000000001E-2</v>
      </c>
      <c r="CH7" s="634">
        <f>Qld!CH7</f>
        <v>2.5000000000000001E-2</v>
      </c>
      <c r="CI7" s="634">
        <f>Qld!CI7</f>
        <v>2.5000000000000001E-2</v>
      </c>
      <c r="CJ7" s="634">
        <f>Qld!CJ7</f>
        <v>2.5000000000000001E-2</v>
      </c>
      <c r="CK7" s="634">
        <f>Qld!CK7</f>
        <v>2.5000000000000001E-2</v>
      </c>
      <c r="CL7" s="634">
        <f>Qld!CL7</f>
        <v>2.5000000000000001E-2</v>
      </c>
      <c r="CM7" s="634">
        <f>Qld!CM7</f>
        <v>2.5000000000000001E-2</v>
      </c>
      <c r="CN7" s="634">
        <f>Qld!CN7</f>
        <v>2.5000000000000001E-2</v>
      </c>
      <c r="CO7" s="634">
        <f>Qld!CO7</f>
        <v>2.5000000000000001E-2</v>
      </c>
      <c r="CP7" s="634">
        <f>Qld!CP7</f>
        <v>2.5000000000000001E-2</v>
      </c>
      <c r="CQ7" s="635" t="s">
        <v>77</v>
      </c>
    </row>
    <row r="8" spans="1:95" s="98" customFormat="1" outlineLevel="1" x14ac:dyDescent="0.2">
      <c r="B8" s="98" t="s">
        <v>306</v>
      </c>
      <c r="C8" s="25"/>
      <c r="I8" s="634">
        <f>Qld!K8</f>
        <v>2.0136307311028778E-2</v>
      </c>
      <c r="J8" s="634">
        <f>Qld!L8</f>
        <v>3.0671120558760867E-2</v>
      </c>
      <c r="K8" s="634">
        <f>Qld!K8</f>
        <v>2.0136307311028778E-2</v>
      </c>
      <c r="L8" s="634">
        <f>Qld!L8</f>
        <v>3.0671120558760867E-2</v>
      </c>
      <c r="M8" s="634">
        <f>Qld!M8</f>
        <v>2.6222746022392496E-2</v>
      </c>
      <c r="N8" s="634">
        <f>Qld!N8</f>
        <v>3.5314384151593714E-2</v>
      </c>
      <c r="O8" s="634">
        <f>Qld!O8</f>
        <v>2.8008874098724101E-2</v>
      </c>
      <c r="P8" s="634">
        <f>Qld!P8</f>
        <v>2.0771513353116111E-2</v>
      </c>
      <c r="Q8" s="634">
        <f>Qld!Q8</f>
        <v>3.3033826638477759E-2</v>
      </c>
      <c r="R8" s="634">
        <f>Qld!R8</f>
        <v>2.3279611153747881E-2</v>
      </c>
      <c r="S8" s="634">
        <f>Qld!S8</f>
        <v>2.1500000000000075E-2</v>
      </c>
      <c r="T8" s="634">
        <f>Qld!T8</f>
        <v>3.2163742690058499E-2</v>
      </c>
      <c r="U8" s="634">
        <f>Qld!U8</f>
        <v>1.4E-2</v>
      </c>
      <c r="V8" s="634">
        <f>Qld!V8</f>
        <v>1.4999999999999999E-2</v>
      </c>
      <c r="W8" s="634">
        <f>Qld!W8</f>
        <v>1.4999999999999999E-2</v>
      </c>
      <c r="X8" s="634">
        <f>Qld!X8</f>
        <v>2.5000000000000001E-2</v>
      </c>
      <c r="Y8" s="634">
        <f>Qld!Y8</f>
        <v>2.5000000000000001E-2</v>
      </c>
      <c r="Z8" s="634">
        <f>Qld!Z8</f>
        <v>2.5000000000000001E-2</v>
      </c>
      <c r="AA8" s="634">
        <f>Qld!AA8</f>
        <v>2.5000000000000001E-2</v>
      </c>
      <c r="AB8" s="634">
        <f>Qld!AB8</f>
        <v>2.5000000000000001E-2</v>
      </c>
      <c r="AC8" s="634">
        <f>Qld!AC8</f>
        <v>2.5000000000000001E-2</v>
      </c>
      <c r="AD8" s="634">
        <f>Qld!AD8</f>
        <v>2.5000000000000001E-2</v>
      </c>
      <c r="AE8" s="634">
        <f>Qld!AE8</f>
        <v>2.5000000000000001E-2</v>
      </c>
      <c r="AF8" s="634">
        <f>Qld!AF8</f>
        <v>2.5000000000000001E-2</v>
      </c>
      <c r="AG8" s="634">
        <f>Qld!AG8</f>
        <v>2.5000000000000001E-2</v>
      </c>
      <c r="AH8" s="634">
        <f>Qld!AH8</f>
        <v>2.5000000000000001E-2</v>
      </c>
      <c r="AI8" s="634">
        <f>Qld!AI8</f>
        <v>2.5000000000000001E-2</v>
      </c>
      <c r="AJ8" s="634">
        <f>Qld!AJ8</f>
        <v>2.5000000000000001E-2</v>
      </c>
      <c r="AK8" s="634">
        <f>Qld!AK8</f>
        <v>2.5000000000000001E-2</v>
      </c>
      <c r="AL8" s="634">
        <f>Qld!AL8</f>
        <v>2.5000000000000001E-2</v>
      </c>
      <c r="AM8" s="634">
        <f>Qld!AM8</f>
        <v>2.5000000000000001E-2</v>
      </c>
      <c r="AN8" s="634">
        <f>Qld!AN8</f>
        <v>2.5000000000000001E-2</v>
      </c>
      <c r="AO8" s="634">
        <f>Qld!AO8</f>
        <v>2.5000000000000001E-2</v>
      </c>
      <c r="AP8" s="634">
        <f>Qld!AP8</f>
        <v>2.5000000000000001E-2</v>
      </c>
      <c r="AQ8" s="634">
        <f>Qld!AQ8</f>
        <v>2.5000000000000001E-2</v>
      </c>
      <c r="AR8" s="634">
        <f>Qld!AR8</f>
        <v>2.5000000000000001E-2</v>
      </c>
      <c r="AS8" s="634">
        <f>Qld!AS8</f>
        <v>2.5000000000000001E-2</v>
      </c>
      <c r="AT8" s="634">
        <f>Qld!AT8</f>
        <v>2.5000000000000001E-2</v>
      </c>
      <c r="AU8" s="634">
        <f>Qld!AU8</f>
        <v>2.5000000000000001E-2</v>
      </c>
      <c r="AV8" s="634">
        <f>Qld!AV8</f>
        <v>2.5000000000000001E-2</v>
      </c>
      <c r="AW8" s="634">
        <f>Qld!AW8</f>
        <v>2.5000000000000001E-2</v>
      </c>
      <c r="AX8" s="634">
        <f>Qld!AX8</f>
        <v>2.5000000000000001E-2</v>
      </c>
      <c r="AY8" s="634">
        <f>Qld!AY8</f>
        <v>2.5000000000000001E-2</v>
      </c>
      <c r="AZ8" s="634">
        <f>Qld!AZ8</f>
        <v>2.5000000000000001E-2</v>
      </c>
      <c r="BA8" s="634">
        <f>Qld!BA8</f>
        <v>2.5000000000000001E-2</v>
      </c>
      <c r="BB8" s="634">
        <f>Qld!BB8</f>
        <v>2.5000000000000001E-2</v>
      </c>
      <c r="BC8" s="634">
        <f>Qld!BC8</f>
        <v>2.5000000000000001E-2</v>
      </c>
      <c r="BD8" s="634">
        <f>Qld!BD8</f>
        <v>2.5000000000000001E-2</v>
      </c>
      <c r="BE8" s="634">
        <f>Qld!BE8</f>
        <v>2.5000000000000001E-2</v>
      </c>
      <c r="BF8" s="634">
        <f>Qld!BF8</f>
        <v>2.5000000000000001E-2</v>
      </c>
      <c r="BG8" s="634">
        <f>Qld!BG8</f>
        <v>2.5000000000000001E-2</v>
      </c>
      <c r="BH8" s="634">
        <f>Qld!BH8</f>
        <v>2.5000000000000001E-2</v>
      </c>
      <c r="BI8" s="634">
        <f>Qld!BI8</f>
        <v>2.5000000000000001E-2</v>
      </c>
      <c r="BJ8" s="634">
        <f>Qld!BJ8</f>
        <v>2.5000000000000001E-2</v>
      </c>
      <c r="BK8" s="634">
        <f>Qld!BK8</f>
        <v>2.5000000000000001E-2</v>
      </c>
      <c r="BL8" s="634">
        <f>Qld!BL8</f>
        <v>2.5000000000000001E-2</v>
      </c>
      <c r="BM8" s="634">
        <f>Qld!BM8</f>
        <v>2.5000000000000001E-2</v>
      </c>
      <c r="BN8" s="634">
        <f>Qld!BN8</f>
        <v>2.5000000000000001E-2</v>
      </c>
      <c r="BO8" s="634">
        <f>Qld!BO8</f>
        <v>2.5000000000000001E-2</v>
      </c>
      <c r="BP8" s="634">
        <f>Qld!BP8</f>
        <v>2.5000000000000001E-2</v>
      </c>
      <c r="BQ8" s="634">
        <f>Qld!BQ8</f>
        <v>2.5000000000000001E-2</v>
      </c>
      <c r="BR8" s="634">
        <f>Qld!BR8</f>
        <v>2.5000000000000001E-2</v>
      </c>
      <c r="BS8" s="634">
        <f>Qld!BS8</f>
        <v>2.5000000000000001E-2</v>
      </c>
      <c r="BT8" s="634">
        <f>Qld!BT8</f>
        <v>2.5000000000000001E-2</v>
      </c>
      <c r="BU8" s="634">
        <f>Qld!BU8</f>
        <v>2.5000000000000001E-2</v>
      </c>
      <c r="BV8" s="634">
        <f>Qld!BV8</f>
        <v>2.5000000000000001E-2</v>
      </c>
      <c r="BW8" s="634">
        <f>Qld!BW8</f>
        <v>2.5000000000000001E-2</v>
      </c>
      <c r="BX8" s="634">
        <f>Qld!BX8</f>
        <v>2.5000000000000001E-2</v>
      </c>
      <c r="BY8" s="634">
        <f>Qld!BY8</f>
        <v>2.5000000000000001E-2</v>
      </c>
      <c r="BZ8" s="634">
        <f>Qld!BZ8</f>
        <v>2.5000000000000001E-2</v>
      </c>
      <c r="CA8" s="634">
        <f>Qld!CA8</f>
        <v>2.5000000000000001E-2</v>
      </c>
      <c r="CB8" s="634">
        <f>Qld!CB8</f>
        <v>2.5000000000000001E-2</v>
      </c>
      <c r="CC8" s="634">
        <f>Qld!CC8</f>
        <v>2.5000000000000001E-2</v>
      </c>
      <c r="CD8" s="634">
        <f>Qld!CD8</f>
        <v>2.5000000000000001E-2</v>
      </c>
      <c r="CE8" s="634">
        <f>Qld!CE8</f>
        <v>2.5000000000000001E-2</v>
      </c>
      <c r="CF8" s="634">
        <f>Qld!CF8</f>
        <v>2.5000000000000001E-2</v>
      </c>
      <c r="CG8" s="634">
        <f>Qld!CG8</f>
        <v>2.5000000000000001E-2</v>
      </c>
      <c r="CH8" s="634">
        <f>Qld!CH8</f>
        <v>2.5000000000000001E-2</v>
      </c>
      <c r="CI8" s="634">
        <f>Qld!CI8</f>
        <v>2.5000000000000001E-2</v>
      </c>
      <c r="CJ8" s="634">
        <f>Qld!CJ8</f>
        <v>2.5000000000000001E-2</v>
      </c>
      <c r="CK8" s="634">
        <f>Qld!CK8</f>
        <v>2.5000000000000001E-2</v>
      </c>
      <c r="CL8" s="634">
        <f>Qld!CL8</f>
        <v>2.5000000000000001E-2</v>
      </c>
      <c r="CM8" s="634">
        <f>Qld!CM8</f>
        <v>2.5000000000000001E-2</v>
      </c>
      <c r="CN8" s="634">
        <f>Qld!CN8</f>
        <v>2.5000000000000001E-2</v>
      </c>
      <c r="CO8" s="634">
        <f>Qld!CO8</f>
        <v>2.5000000000000001E-2</v>
      </c>
      <c r="CP8" s="634">
        <f>Qld!CP8</f>
        <v>2.5000000000000001E-2</v>
      </c>
      <c r="CQ8" s="635" t="s">
        <v>77</v>
      </c>
    </row>
    <row r="9" spans="1:95" s="98" customFormat="1" outlineLevel="1" x14ac:dyDescent="0.2">
      <c r="B9" s="98" t="s">
        <v>307</v>
      </c>
      <c r="C9" s="25"/>
      <c r="I9" s="634">
        <f>Qld!K9</f>
        <v>2.5215448451963329E-2</v>
      </c>
      <c r="J9" s="634">
        <f>Qld!L9</f>
        <v>3.1755915317558836E-2</v>
      </c>
      <c r="K9" s="634">
        <f>Qld!K9</f>
        <v>2.5215448451963329E-2</v>
      </c>
      <c r="L9" s="634">
        <f>Qld!L9</f>
        <v>3.1755915317558836E-2</v>
      </c>
      <c r="M9" s="634">
        <f>Qld!M9</f>
        <v>3.3494266747133405E-2</v>
      </c>
      <c r="N9" s="634">
        <f>Qld!N9</f>
        <v>4.1167883211678857E-2</v>
      </c>
      <c r="O9" s="634">
        <f>Qld!O9</f>
        <v>3.7296690970274771E-2</v>
      </c>
      <c r="P9" s="634">
        <f>Qld!P9</f>
        <v>2.6763990267639759E-2</v>
      </c>
      <c r="Q9" s="634">
        <f>Qld!Q9</f>
        <v>3.3438651922064411E-2</v>
      </c>
      <c r="R9" s="634">
        <f>Qld!R9</f>
        <v>1.9108280254777066E-2</v>
      </c>
      <c r="S9" s="634">
        <f>Qld!S9</f>
        <v>0.02</v>
      </c>
      <c r="T9" s="634">
        <f>Qld!T9</f>
        <v>3.2195121951219499E-2</v>
      </c>
      <c r="U9" s="634">
        <f>Qld!U9</f>
        <v>1.7999999999999999E-2</v>
      </c>
      <c r="V9" s="634">
        <f>Qld!V9</f>
        <v>1.4999999999999999E-2</v>
      </c>
      <c r="W9" s="634">
        <f>Qld!W9</f>
        <v>1.4999999999999999E-2</v>
      </c>
      <c r="X9" s="634">
        <f>Qld!X9</f>
        <v>2.5000000000000001E-2</v>
      </c>
      <c r="Y9" s="634">
        <f>Qld!Y9</f>
        <v>2.5000000000000001E-2</v>
      </c>
      <c r="Z9" s="634">
        <f>Qld!Z9</f>
        <v>2.5000000000000001E-2</v>
      </c>
      <c r="AA9" s="634">
        <f>Qld!AA9</f>
        <v>2.5000000000000001E-2</v>
      </c>
      <c r="AB9" s="634">
        <f>Qld!AB9</f>
        <v>2.5000000000000001E-2</v>
      </c>
      <c r="AC9" s="634">
        <f>Qld!AC9</f>
        <v>2.5000000000000001E-2</v>
      </c>
      <c r="AD9" s="634">
        <f>Qld!AD9</f>
        <v>2.5000000000000001E-2</v>
      </c>
      <c r="AE9" s="634">
        <f>Qld!AE9</f>
        <v>2.5000000000000001E-2</v>
      </c>
      <c r="AF9" s="634">
        <f>Qld!AF9</f>
        <v>2.5000000000000001E-2</v>
      </c>
      <c r="AG9" s="634">
        <f>Qld!AG9</f>
        <v>2.5000000000000001E-2</v>
      </c>
      <c r="AH9" s="634">
        <f>Qld!AH9</f>
        <v>2.5000000000000001E-2</v>
      </c>
      <c r="AI9" s="634">
        <f>Qld!AI9</f>
        <v>2.5000000000000001E-2</v>
      </c>
      <c r="AJ9" s="634">
        <f>Qld!AJ9</f>
        <v>2.5000000000000001E-2</v>
      </c>
      <c r="AK9" s="634">
        <f>Qld!AK9</f>
        <v>2.5000000000000001E-2</v>
      </c>
      <c r="AL9" s="634">
        <f>Qld!AL9</f>
        <v>2.5000000000000001E-2</v>
      </c>
      <c r="AM9" s="634">
        <f>Qld!AM9</f>
        <v>2.5000000000000001E-2</v>
      </c>
      <c r="AN9" s="634">
        <f>Qld!AN9</f>
        <v>2.5000000000000001E-2</v>
      </c>
      <c r="AO9" s="634">
        <f>Qld!AO9</f>
        <v>2.5000000000000001E-2</v>
      </c>
      <c r="AP9" s="634">
        <f>Qld!AP9</f>
        <v>2.5000000000000001E-2</v>
      </c>
      <c r="AQ9" s="634">
        <f>Qld!AQ9</f>
        <v>2.5000000000000001E-2</v>
      </c>
      <c r="AR9" s="634">
        <f>Qld!AR9</f>
        <v>2.5000000000000001E-2</v>
      </c>
      <c r="AS9" s="634">
        <f>Qld!AS9</f>
        <v>2.5000000000000001E-2</v>
      </c>
      <c r="AT9" s="634">
        <f>Qld!AT9</f>
        <v>2.5000000000000001E-2</v>
      </c>
      <c r="AU9" s="634">
        <f>Qld!AU9</f>
        <v>2.5000000000000001E-2</v>
      </c>
      <c r="AV9" s="634">
        <f>Qld!AV9</f>
        <v>2.5000000000000001E-2</v>
      </c>
      <c r="AW9" s="634">
        <f>Qld!AW9</f>
        <v>2.5000000000000001E-2</v>
      </c>
      <c r="AX9" s="634">
        <f>Qld!AX9</f>
        <v>2.5000000000000001E-2</v>
      </c>
      <c r="AY9" s="634">
        <f>Qld!AY9</f>
        <v>2.5000000000000001E-2</v>
      </c>
      <c r="AZ9" s="634">
        <f>Qld!AZ9</f>
        <v>2.5000000000000001E-2</v>
      </c>
      <c r="BA9" s="634">
        <f>Qld!BA9</f>
        <v>2.5000000000000001E-2</v>
      </c>
      <c r="BB9" s="634">
        <f>Qld!BB9</f>
        <v>2.5000000000000001E-2</v>
      </c>
      <c r="BC9" s="634">
        <f>Qld!BC9</f>
        <v>2.5000000000000001E-2</v>
      </c>
      <c r="BD9" s="634">
        <f>Qld!BD9</f>
        <v>2.5000000000000001E-2</v>
      </c>
      <c r="BE9" s="634">
        <f>Qld!BE9</f>
        <v>2.5000000000000001E-2</v>
      </c>
      <c r="BF9" s="634">
        <f>Qld!BF9</f>
        <v>2.5000000000000001E-2</v>
      </c>
      <c r="BG9" s="634">
        <f>Qld!BG9</f>
        <v>2.5000000000000001E-2</v>
      </c>
      <c r="BH9" s="634">
        <f>Qld!BH9</f>
        <v>2.5000000000000001E-2</v>
      </c>
      <c r="BI9" s="634">
        <f>Qld!BI9</f>
        <v>2.5000000000000001E-2</v>
      </c>
      <c r="BJ9" s="634">
        <f>Qld!BJ9</f>
        <v>2.5000000000000001E-2</v>
      </c>
      <c r="BK9" s="634">
        <f>Qld!BK9</f>
        <v>2.5000000000000001E-2</v>
      </c>
      <c r="BL9" s="634">
        <f>Qld!BL9</f>
        <v>2.5000000000000001E-2</v>
      </c>
      <c r="BM9" s="634">
        <f>Qld!BM9</f>
        <v>2.5000000000000001E-2</v>
      </c>
      <c r="BN9" s="634">
        <f>Qld!BN9</f>
        <v>2.5000000000000001E-2</v>
      </c>
      <c r="BO9" s="634">
        <f>Qld!BO9</f>
        <v>2.5000000000000001E-2</v>
      </c>
      <c r="BP9" s="634">
        <f>Qld!BP9</f>
        <v>2.5000000000000001E-2</v>
      </c>
      <c r="BQ9" s="634">
        <f>Qld!BQ9</f>
        <v>2.5000000000000001E-2</v>
      </c>
      <c r="BR9" s="634">
        <f>Qld!BR9</f>
        <v>2.5000000000000001E-2</v>
      </c>
      <c r="BS9" s="634">
        <f>Qld!BS9</f>
        <v>2.5000000000000001E-2</v>
      </c>
      <c r="BT9" s="634">
        <f>Qld!BT9</f>
        <v>2.5000000000000001E-2</v>
      </c>
      <c r="BU9" s="634">
        <f>Qld!BU9</f>
        <v>2.5000000000000001E-2</v>
      </c>
      <c r="BV9" s="634">
        <f>Qld!BV9</f>
        <v>2.5000000000000001E-2</v>
      </c>
      <c r="BW9" s="634">
        <f>Qld!BW9</f>
        <v>2.5000000000000001E-2</v>
      </c>
      <c r="BX9" s="634">
        <f>Qld!BX9</f>
        <v>2.5000000000000001E-2</v>
      </c>
      <c r="BY9" s="634">
        <f>Qld!BY9</f>
        <v>2.5000000000000001E-2</v>
      </c>
      <c r="BZ9" s="634">
        <f>Qld!BZ9</f>
        <v>2.5000000000000001E-2</v>
      </c>
      <c r="CA9" s="634">
        <f>Qld!CA9</f>
        <v>2.5000000000000001E-2</v>
      </c>
      <c r="CB9" s="634">
        <f>Qld!CB9</f>
        <v>2.5000000000000001E-2</v>
      </c>
      <c r="CC9" s="634">
        <f>Qld!CC9</f>
        <v>2.5000000000000001E-2</v>
      </c>
      <c r="CD9" s="634">
        <f>Qld!CD9</f>
        <v>2.5000000000000001E-2</v>
      </c>
      <c r="CE9" s="634">
        <f>Qld!CE9</f>
        <v>2.5000000000000001E-2</v>
      </c>
      <c r="CF9" s="634">
        <f>Qld!CF9</f>
        <v>2.5000000000000001E-2</v>
      </c>
      <c r="CG9" s="634">
        <f>Qld!CG9</f>
        <v>2.5000000000000001E-2</v>
      </c>
      <c r="CH9" s="634">
        <f>Qld!CH9</f>
        <v>2.5000000000000001E-2</v>
      </c>
      <c r="CI9" s="634">
        <f>Qld!CI9</f>
        <v>2.5000000000000001E-2</v>
      </c>
      <c r="CJ9" s="634">
        <f>Qld!CJ9</f>
        <v>2.5000000000000001E-2</v>
      </c>
      <c r="CK9" s="634">
        <f>Qld!CK9</f>
        <v>2.5000000000000001E-2</v>
      </c>
      <c r="CL9" s="634">
        <f>Qld!CL9</f>
        <v>2.5000000000000001E-2</v>
      </c>
      <c r="CM9" s="634">
        <f>Qld!CM9</f>
        <v>2.5000000000000001E-2</v>
      </c>
      <c r="CN9" s="634">
        <f>Qld!CN9</f>
        <v>2.5000000000000001E-2</v>
      </c>
      <c r="CO9" s="634">
        <f>Qld!CO9</f>
        <v>2.5000000000000001E-2</v>
      </c>
      <c r="CP9" s="634">
        <f>Qld!CP9</f>
        <v>2.5000000000000001E-2</v>
      </c>
      <c r="CQ9" s="635" t="s">
        <v>77</v>
      </c>
    </row>
    <row r="10" spans="1:95" s="98" customFormat="1" outlineLevel="1" x14ac:dyDescent="0.2">
      <c r="B10" s="98" t="s">
        <v>308</v>
      </c>
      <c r="C10" s="25"/>
      <c r="I10" s="634">
        <f>Qld!K10</f>
        <v>2.405498281786933E-2</v>
      </c>
      <c r="J10" s="634">
        <f>Qld!L10</f>
        <v>3.1116534472239055E-2</v>
      </c>
      <c r="K10" s="634">
        <f>Qld!K10</f>
        <v>2.405498281786933E-2</v>
      </c>
      <c r="L10" s="634">
        <f>Qld!L10</f>
        <v>3.1116534472239055E-2</v>
      </c>
      <c r="M10" s="634">
        <f>Qld!M10</f>
        <v>2.6331360946745708E-2</v>
      </c>
      <c r="N10" s="634">
        <f>Qld!N10</f>
        <v>3.2862496396655949E-2</v>
      </c>
      <c r="O10" s="634">
        <f>Qld!O10</f>
        <v>3.1537817471392504E-2</v>
      </c>
      <c r="P10" s="634">
        <f>Qld!P10</f>
        <v>2.1915584415584499E-2</v>
      </c>
      <c r="Q10" s="634">
        <f>Qld!Q10</f>
        <v>3.2036007413290823E-2</v>
      </c>
      <c r="R10" s="634">
        <f>Qld!R10</f>
        <v>2.6423807080554251E-2</v>
      </c>
      <c r="S10" s="634">
        <f>Qld!S10</f>
        <v>2.0244938765308751E-2</v>
      </c>
      <c r="T10" s="634">
        <f>Qld!T10</f>
        <v>3.1280547409579598E-2</v>
      </c>
      <c r="U10" s="634">
        <f>Qld!U10</f>
        <v>1.4999999999999999E-2</v>
      </c>
      <c r="V10" s="634">
        <f>Qld!V10</f>
        <v>1.4999999999999999E-2</v>
      </c>
      <c r="W10" s="634">
        <f>Qld!W10</f>
        <v>1.4999999999999999E-2</v>
      </c>
      <c r="X10" s="634">
        <f>Qld!X10</f>
        <v>2.5000000000000001E-2</v>
      </c>
      <c r="Y10" s="634">
        <f>Qld!Y10</f>
        <v>2.5000000000000001E-2</v>
      </c>
      <c r="Z10" s="634">
        <f>Qld!Z10</f>
        <v>2.5000000000000001E-2</v>
      </c>
      <c r="AA10" s="634">
        <f>Qld!AA10</f>
        <v>2.5000000000000001E-2</v>
      </c>
      <c r="AB10" s="634">
        <f>Qld!AB10</f>
        <v>2.5000000000000001E-2</v>
      </c>
      <c r="AC10" s="634">
        <f>Qld!AC10</f>
        <v>2.5000000000000001E-2</v>
      </c>
      <c r="AD10" s="634">
        <f>Qld!AD10</f>
        <v>2.5000000000000001E-2</v>
      </c>
      <c r="AE10" s="634">
        <f>Qld!AE10</f>
        <v>2.5000000000000001E-2</v>
      </c>
      <c r="AF10" s="634">
        <f>Qld!AF10</f>
        <v>2.5000000000000001E-2</v>
      </c>
      <c r="AG10" s="634">
        <f>Qld!AG10</f>
        <v>2.5000000000000001E-2</v>
      </c>
      <c r="AH10" s="634">
        <f>Qld!AH10</f>
        <v>2.5000000000000001E-2</v>
      </c>
      <c r="AI10" s="634">
        <f>Qld!AI10</f>
        <v>2.5000000000000001E-2</v>
      </c>
      <c r="AJ10" s="634">
        <f>Qld!AJ10</f>
        <v>2.5000000000000001E-2</v>
      </c>
      <c r="AK10" s="634">
        <f>Qld!AK10</f>
        <v>2.5000000000000001E-2</v>
      </c>
      <c r="AL10" s="634">
        <f>Qld!AL10</f>
        <v>2.5000000000000001E-2</v>
      </c>
      <c r="AM10" s="634">
        <f>Qld!AM10</f>
        <v>2.5000000000000001E-2</v>
      </c>
      <c r="AN10" s="634">
        <f>Qld!AN10</f>
        <v>2.5000000000000001E-2</v>
      </c>
      <c r="AO10" s="634">
        <f>Qld!AO10</f>
        <v>2.5000000000000001E-2</v>
      </c>
      <c r="AP10" s="634">
        <f>Qld!AP10</f>
        <v>2.5000000000000001E-2</v>
      </c>
      <c r="AQ10" s="634">
        <f>Qld!AQ10</f>
        <v>2.5000000000000001E-2</v>
      </c>
      <c r="AR10" s="634">
        <f>Qld!AR10</f>
        <v>2.5000000000000001E-2</v>
      </c>
      <c r="AS10" s="634">
        <f>Qld!AS10</f>
        <v>2.5000000000000001E-2</v>
      </c>
      <c r="AT10" s="634">
        <f>Qld!AT10</f>
        <v>2.5000000000000001E-2</v>
      </c>
      <c r="AU10" s="634">
        <f>Qld!AU10</f>
        <v>2.5000000000000001E-2</v>
      </c>
      <c r="AV10" s="634">
        <f>Qld!AV10</f>
        <v>2.5000000000000001E-2</v>
      </c>
      <c r="AW10" s="634">
        <f>Qld!AW10</f>
        <v>2.5000000000000001E-2</v>
      </c>
      <c r="AX10" s="634">
        <f>Qld!AX10</f>
        <v>2.5000000000000001E-2</v>
      </c>
      <c r="AY10" s="634">
        <f>Qld!AY10</f>
        <v>2.5000000000000001E-2</v>
      </c>
      <c r="AZ10" s="634">
        <f>Qld!AZ10</f>
        <v>2.5000000000000001E-2</v>
      </c>
      <c r="BA10" s="634">
        <f>Qld!BA10</f>
        <v>2.5000000000000001E-2</v>
      </c>
      <c r="BB10" s="634">
        <f>Qld!BB10</f>
        <v>2.5000000000000001E-2</v>
      </c>
      <c r="BC10" s="634">
        <f>Qld!BC10</f>
        <v>2.5000000000000001E-2</v>
      </c>
      <c r="BD10" s="634">
        <f>Qld!BD10</f>
        <v>2.5000000000000001E-2</v>
      </c>
      <c r="BE10" s="634">
        <f>Qld!BE10</f>
        <v>2.5000000000000001E-2</v>
      </c>
      <c r="BF10" s="634">
        <f>Qld!BF10</f>
        <v>2.5000000000000001E-2</v>
      </c>
      <c r="BG10" s="634">
        <f>Qld!BG10</f>
        <v>2.5000000000000001E-2</v>
      </c>
      <c r="BH10" s="634">
        <f>Qld!BH10</f>
        <v>2.5000000000000001E-2</v>
      </c>
      <c r="BI10" s="634">
        <f>Qld!BI10</f>
        <v>2.5000000000000001E-2</v>
      </c>
      <c r="BJ10" s="634">
        <f>Qld!BJ10</f>
        <v>2.5000000000000001E-2</v>
      </c>
      <c r="BK10" s="634">
        <f>Qld!BK10</f>
        <v>2.5000000000000001E-2</v>
      </c>
      <c r="BL10" s="634">
        <f>Qld!BL10</f>
        <v>2.5000000000000001E-2</v>
      </c>
      <c r="BM10" s="634">
        <f>Qld!BM10</f>
        <v>2.5000000000000001E-2</v>
      </c>
      <c r="BN10" s="634">
        <f>Qld!BN10</f>
        <v>2.5000000000000001E-2</v>
      </c>
      <c r="BO10" s="634">
        <f>Qld!BO10</f>
        <v>2.5000000000000001E-2</v>
      </c>
      <c r="BP10" s="634">
        <f>Qld!BP10</f>
        <v>2.5000000000000001E-2</v>
      </c>
      <c r="BQ10" s="634">
        <f>Qld!BQ10</f>
        <v>2.5000000000000001E-2</v>
      </c>
      <c r="BR10" s="634">
        <f>Qld!BR10</f>
        <v>2.5000000000000001E-2</v>
      </c>
      <c r="BS10" s="634">
        <f>Qld!BS10</f>
        <v>2.5000000000000001E-2</v>
      </c>
      <c r="BT10" s="634">
        <f>Qld!BT10</f>
        <v>2.5000000000000001E-2</v>
      </c>
      <c r="BU10" s="634">
        <f>Qld!BU10</f>
        <v>2.5000000000000001E-2</v>
      </c>
      <c r="BV10" s="634">
        <f>Qld!BV10</f>
        <v>2.5000000000000001E-2</v>
      </c>
      <c r="BW10" s="634">
        <f>Qld!BW10</f>
        <v>2.5000000000000001E-2</v>
      </c>
      <c r="BX10" s="634">
        <f>Qld!BX10</f>
        <v>2.5000000000000001E-2</v>
      </c>
      <c r="BY10" s="634">
        <f>Qld!BY10</f>
        <v>2.5000000000000001E-2</v>
      </c>
      <c r="BZ10" s="634">
        <f>Qld!BZ10</f>
        <v>2.5000000000000001E-2</v>
      </c>
      <c r="CA10" s="634">
        <f>Qld!CA10</f>
        <v>2.5000000000000001E-2</v>
      </c>
      <c r="CB10" s="634">
        <f>Qld!CB10</f>
        <v>2.5000000000000001E-2</v>
      </c>
      <c r="CC10" s="634">
        <f>Qld!CC10</f>
        <v>2.5000000000000001E-2</v>
      </c>
      <c r="CD10" s="634">
        <f>Qld!CD10</f>
        <v>2.5000000000000001E-2</v>
      </c>
      <c r="CE10" s="634">
        <f>Qld!CE10</f>
        <v>2.5000000000000001E-2</v>
      </c>
      <c r="CF10" s="634">
        <f>Qld!CF10</f>
        <v>2.5000000000000001E-2</v>
      </c>
      <c r="CG10" s="634">
        <f>Qld!CG10</f>
        <v>2.5000000000000001E-2</v>
      </c>
      <c r="CH10" s="634">
        <f>Qld!CH10</f>
        <v>2.5000000000000001E-2</v>
      </c>
      <c r="CI10" s="634">
        <f>Qld!CI10</f>
        <v>2.5000000000000001E-2</v>
      </c>
      <c r="CJ10" s="634">
        <f>Qld!CJ10</f>
        <v>2.5000000000000001E-2</v>
      </c>
      <c r="CK10" s="634">
        <f>Qld!CK10</f>
        <v>2.5000000000000001E-2</v>
      </c>
      <c r="CL10" s="634">
        <f>Qld!CL10</f>
        <v>2.5000000000000001E-2</v>
      </c>
      <c r="CM10" s="634">
        <f>Qld!CM10</f>
        <v>2.5000000000000001E-2</v>
      </c>
      <c r="CN10" s="634">
        <f>Qld!CN10</f>
        <v>2.5000000000000001E-2</v>
      </c>
      <c r="CO10" s="634">
        <f>Qld!CO10</f>
        <v>2.5000000000000001E-2</v>
      </c>
      <c r="CP10" s="634">
        <f>Qld!CP10</f>
        <v>2.5000000000000001E-2</v>
      </c>
      <c r="CQ10" s="635" t="s">
        <v>77</v>
      </c>
    </row>
    <row r="11" spans="1:95" s="98" customFormat="1" outlineLevel="1" x14ac:dyDescent="0.2">
      <c r="B11" s="98" t="s">
        <v>309</v>
      </c>
      <c r="C11" s="25"/>
      <c r="I11" s="634">
        <f>Qld!K11</f>
        <v>3.1179684988749345E-2</v>
      </c>
      <c r="J11" s="634">
        <f>Qld!L11</f>
        <v>4.3017456359102368E-2</v>
      </c>
      <c r="K11" s="634">
        <f>Qld!K11</f>
        <v>3.1179684988749345E-2</v>
      </c>
      <c r="L11" s="634">
        <f>Qld!L11</f>
        <v>4.3017456359102368E-2</v>
      </c>
      <c r="M11" s="634">
        <f>Qld!M11</f>
        <v>3.9151225343693863E-2</v>
      </c>
      <c r="N11" s="634">
        <f>Qld!N11</f>
        <v>3.6525740580960475E-2</v>
      </c>
      <c r="O11" s="634">
        <f>Qld!O11</f>
        <v>3.0244173140954622E-2</v>
      </c>
      <c r="P11" s="634">
        <f>Qld!P11</f>
        <v>2.5047131699434511E-2</v>
      </c>
      <c r="Q11" s="634">
        <f>Qld!Q11</f>
        <v>2.8376248029427176E-2</v>
      </c>
      <c r="R11" s="634">
        <f>Qld!R11</f>
        <v>2.1716913643331726E-2</v>
      </c>
      <c r="S11" s="634">
        <f>Qld!S11</f>
        <v>2.2505626406601698E-2</v>
      </c>
      <c r="T11" s="634">
        <f>Qld!T11</f>
        <v>3.3009708737864199E-2</v>
      </c>
      <c r="U11" s="634">
        <f>Qld!U11</f>
        <v>1.7999999999999999E-2</v>
      </c>
      <c r="V11" s="634">
        <f>Qld!V11</f>
        <v>1.4999999999999999E-2</v>
      </c>
      <c r="W11" s="634">
        <f>Qld!W11</f>
        <v>1.4999999999999999E-2</v>
      </c>
      <c r="X11" s="634">
        <f>Qld!X11</f>
        <v>2.5000000000000001E-2</v>
      </c>
      <c r="Y11" s="634">
        <f>Qld!Y11</f>
        <v>2.5000000000000001E-2</v>
      </c>
      <c r="Z11" s="634">
        <f>Qld!Z11</f>
        <v>2.5000000000000001E-2</v>
      </c>
      <c r="AA11" s="634">
        <f>Qld!AA11</f>
        <v>2.5000000000000001E-2</v>
      </c>
      <c r="AB11" s="634">
        <f>Qld!AB11</f>
        <v>2.5000000000000001E-2</v>
      </c>
      <c r="AC11" s="634">
        <f>Qld!AC11</f>
        <v>2.5000000000000001E-2</v>
      </c>
      <c r="AD11" s="634">
        <f>Qld!AD11</f>
        <v>2.5000000000000001E-2</v>
      </c>
      <c r="AE11" s="634">
        <f>Qld!AE11</f>
        <v>2.5000000000000001E-2</v>
      </c>
      <c r="AF11" s="634">
        <f>Qld!AF11</f>
        <v>2.5000000000000001E-2</v>
      </c>
      <c r="AG11" s="634">
        <f>Qld!AG11</f>
        <v>2.5000000000000001E-2</v>
      </c>
      <c r="AH11" s="634">
        <f>Qld!AH11</f>
        <v>2.5000000000000001E-2</v>
      </c>
      <c r="AI11" s="634">
        <f>Qld!AI11</f>
        <v>2.5000000000000001E-2</v>
      </c>
      <c r="AJ11" s="634">
        <f>Qld!AJ11</f>
        <v>2.5000000000000001E-2</v>
      </c>
      <c r="AK11" s="634">
        <f>Qld!AK11</f>
        <v>2.5000000000000001E-2</v>
      </c>
      <c r="AL11" s="634">
        <f>Qld!AL11</f>
        <v>2.5000000000000001E-2</v>
      </c>
      <c r="AM11" s="634">
        <f>Qld!AM11</f>
        <v>2.5000000000000001E-2</v>
      </c>
      <c r="AN11" s="634">
        <f>Qld!AN11</f>
        <v>2.5000000000000001E-2</v>
      </c>
      <c r="AO11" s="634">
        <f>Qld!AO11</f>
        <v>2.5000000000000001E-2</v>
      </c>
      <c r="AP11" s="634">
        <f>Qld!AP11</f>
        <v>2.5000000000000001E-2</v>
      </c>
      <c r="AQ11" s="634">
        <f>Qld!AQ11</f>
        <v>2.5000000000000001E-2</v>
      </c>
      <c r="AR11" s="634">
        <f>Qld!AR11</f>
        <v>2.5000000000000001E-2</v>
      </c>
      <c r="AS11" s="634">
        <f>Qld!AS11</f>
        <v>2.5000000000000001E-2</v>
      </c>
      <c r="AT11" s="634">
        <f>Qld!AT11</f>
        <v>2.5000000000000001E-2</v>
      </c>
      <c r="AU11" s="634">
        <f>Qld!AU11</f>
        <v>2.5000000000000001E-2</v>
      </c>
      <c r="AV11" s="634">
        <f>Qld!AV11</f>
        <v>2.5000000000000001E-2</v>
      </c>
      <c r="AW11" s="634">
        <f>Qld!AW11</f>
        <v>2.5000000000000001E-2</v>
      </c>
      <c r="AX11" s="634">
        <f>Qld!AX11</f>
        <v>2.5000000000000001E-2</v>
      </c>
      <c r="AY11" s="634">
        <f>Qld!AY11</f>
        <v>2.5000000000000001E-2</v>
      </c>
      <c r="AZ11" s="634">
        <f>Qld!AZ11</f>
        <v>2.5000000000000001E-2</v>
      </c>
      <c r="BA11" s="634">
        <f>Qld!BA11</f>
        <v>2.5000000000000001E-2</v>
      </c>
      <c r="BB11" s="634">
        <f>Qld!BB11</f>
        <v>2.5000000000000001E-2</v>
      </c>
      <c r="BC11" s="634">
        <f>Qld!BC11</f>
        <v>2.5000000000000001E-2</v>
      </c>
      <c r="BD11" s="634">
        <f>Qld!BD11</f>
        <v>2.5000000000000001E-2</v>
      </c>
      <c r="BE11" s="634">
        <f>Qld!BE11</f>
        <v>2.5000000000000001E-2</v>
      </c>
      <c r="BF11" s="634">
        <f>Qld!BF11</f>
        <v>2.5000000000000001E-2</v>
      </c>
      <c r="BG11" s="634">
        <f>Qld!BG11</f>
        <v>2.5000000000000001E-2</v>
      </c>
      <c r="BH11" s="634">
        <f>Qld!BH11</f>
        <v>2.5000000000000001E-2</v>
      </c>
      <c r="BI11" s="634">
        <f>Qld!BI11</f>
        <v>2.5000000000000001E-2</v>
      </c>
      <c r="BJ11" s="634">
        <f>Qld!BJ11</f>
        <v>2.5000000000000001E-2</v>
      </c>
      <c r="BK11" s="634">
        <f>Qld!BK11</f>
        <v>2.5000000000000001E-2</v>
      </c>
      <c r="BL11" s="634">
        <f>Qld!BL11</f>
        <v>2.5000000000000001E-2</v>
      </c>
      <c r="BM11" s="634">
        <f>Qld!BM11</f>
        <v>2.5000000000000001E-2</v>
      </c>
      <c r="BN11" s="634">
        <f>Qld!BN11</f>
        <v>2.5000000000000001E-2</v>
      </c>
      <c r="BO11" s="634">
        <f>Qld!BO11</f>
        <v>2.5000000000000001E-2</v>
      </c>
      <c r="BP11" s="634">
        <f>Qld!BP11</f>
        <v>2.5000000000000001E-2</v>
      </c>
      <c r="BQ11" s="634">
        <f>Qld!BQ11</f>
        <v>2.5000000000000001E-2</v>
      </c>
      <c r="BR11" s="634">
        <f>Qld!BR11</f>
        <v>2.5000000000000001E-2</v>
      </c>
      <c r="BS11" s="634">
        <f>Qld!BS11</f>
        <v>2.5000000000000001E-2</v>
      </c>
      <c r="BT11" s="634">
        <f>Qld!BT11</f>
        <v>2.5000000000000001E-2</v>
      </c>
      <c r="BU11" s="634">
        <f>Qld!BU11</f>
        <v>2.5000000000000001E-2</v>
      </c>
      <c r="BV11" s="634">
        <f>Qld!BV11</f>
        <v>2.5000000000000001E-2</v>
      </c>
      <c r="BW11" s="634">
        <f>Qld!BW11</f>
        <v>2.5000000000000001E-2</v>
      </c>
      <c r="BX11" s="634">
        <f>Qld!BX11</f>
        <v>2.5000000000000001E-2</v>
      </c>
      <c r="BY11" s="634">
        <f>Qld!BY11</f>
        <v>2.5000000000000001E-2</v>
      </c>
      <c r="BZ11" s="634">
        <f>Qld!BZ11</f>
        <v>2.5000000000000001E-2</v>
      </c>
      <c r="CA11" s="634">
        <f>Qld!CA11</f>
        <v>2.5000000000000001E-2</v>
      </c>
      <c r="CB11" s="634">
        <f>Qld!CB11</f>
        <v>2.5000000000000001E-2</v>
      </c>
      <c r="CC11" s="634">
        <f>Qld!CC11</f>
        <v>2.5000000000000001E-2</v>
      </c>
      <c r="CD11" s="634">
        <f>Qld!CD11</f>
        <v>2.5000000000000001E-2</v>
      </c>
      <c r="CE11" s="634">
        <f>Qld!CE11</f>
        <v>2.5000000000000001E-2</v>
      </c>
      <c r="CF11" s="634">
        <f>Qld!CF11</f>
        <v>2.5000000000000001E-2</v>
      </c>
      <c r="CG11" s="634">
        <f>Qld!CG11</f>
        <v>2.5000000000000001E-2</v>
      </c>
      <c r="CH11" s="634">
        <f>Qld!CH11</f>
        <v>2.5000000000000001E-2</v>
      </c>
      <c r="CI11" s="634">
        <f>Qld!CI11</f>
        <v>2.5000000000000001E-2</v>
      </c>
      <c r="CJ11" s="634">
        <f>Qld!CJ11</f>
        <v>2.5000000000000001E-2</v>
      </c>
      <c r="CK11" s="634">
        <f>Qld!CK11</f>
        <v>2.5000000000000001E-2</v>
      </c>
      <c r="CL11" s="634">
        <f>Qld!CL11</f>
        <v>2.5000000000000001E-2</v>
      </c>
      <c r="CM11" s="634">
        <f>Qld!CM11</f>
        <v>2.5000000000000001E-2</v>
      </c>
      <c r="CN11" s="634">
        <f>Qld!CN11</f>
        <v>2.5000000000000001E-2</v>
      </c>
      <c r="CO11" s="634">
        <f>Qld!CO11</f>
        <v>2.5000000000000001E-2</v>
      </c>
      <c r="CP11" s="634">
        <f>Qld!CP11</f>
        <v>2.5000000000000001E-2</v>
      </c>
      <c r="CQ11" s="635" t="s">
        <v>77</v>
      </c>
    </row>
    <row r="12" spans="1:95" s="98" customFormat="1" outlineLevel="1" x14ac:dyDescent="0.2">
      <c r="B12" s="98" t="s">
        <v>310</v>
      </c>
      <c r="C12" s="25"/>
      <c r="I12" s="634">
        <f>Qld!K12</f>
        <v>3.1855090568394751E-2</v>
      </c>
      <c r="J12" s="634">
        <f>Qld!L12</f>
        <v>3.1779661016949179E-2</v>
      </c>
      <c r="K12" s="634">
        <f>Qld!K12</f>
        <v>3.1855090568394751E-2</v>
      </c>
      <c r="L12" s="634">
        <f>Qld!L12</f>
        <v>3.1779661016949179E-2</v>
      </c>
      <c r="M12" s="634">
        <f>Qld!M12</f>
        <v>2.55206805514816E-2</v>
      </c>
      <c r="N12" s="634">
        <f>Qld!N12</f>
        <v>2.9748283752860427E-2</v>
      </c>
      <c r="O12" s="634">
        <f>Qld!O12</f>
        <v>2.8611111111111143E-2</v>
      </c>
      <c r="P12" s="634">
        <f>Qld!P12</f>
        <v>2.619497704563889E-2</v>
      </c>
      <c r="Q12" s="634">
        <f>Qld!Q12</f>
        <v>2.8947368421052388E-2</v>
      </c>
      <c r="R12" s="634">
        <f>Qld!R12</f>
        <v>2.3273657289002658E-2</v>
      </c>
      <c r="S12" s="634">
        <f>Qld!S12</f>
        <v>1.124718820294901E-2</v>
      </c>
      <c r="T12" s="634">
        <f>Qld!T12</f>
        <v>2.7531956735496601E-2</v>
      </c>
      <c r="U12" s="634">
        <f>Qld!U12</f>
        <v>1.2E-2</v>
      </c>
      <c r="V12" s="634">
        <f>Qld!V12</f>
        <v>1.4999999999999999E-2</v>
      </c>
      <c r="W12" s="634">
        <f>Qld!W12</f>
        <v>1.4999999999999999E-2</v>
      </c>
      <c r="X12" s="634">
        <f>Qld!X12</f>
        <v>2.5000000000000001E-2</v>
      </c>
      <c r="Y12" s="634">
        <f>Qld!Y12</f>
        <v>2.5000000000000001E-2</v>
      </c>
      <c r="Z12" s="634">
        <f>Qld!Z12</f>
        <v>2.5000000000000001E-2</v>
      </c>
      <c r="AA12" s="634">
        <f>Qld!AA12</f>
        <v>2.5000000000000001E-2</v>
      </c>
      <c r="AB12" s="634">
        <f>Qld!AB12</f>
        <v>2.5000000000000001E-2</v>
      </c>
      <c r="AC12" s="634">
        <f>Qld!AC12</f>
        <v>2.5000000000000001E-2</v>
      </c>
      <c r="AD12" s="634">
        <f>Qld!AD12</f>
        <v>2.5000000000000001E-2</v>
      </c>
      <c r="AE12" s="634">
        <f>Qld!AE12</f>
        <v>2.5000000000000001E-2</v>
      </c>
      <c r="AF12" s="634">
        <f>Qld!AF12</f>
        <v>2.5000000000000001E-2</v>
      </c>
      <c r="AG12" s="634">
        <f>Qld!AG12</f>
        <v>2.5000000000000001E-2</v>
      </c>
      <c r="AH12" s="634">
        <f>Qld!AH12</f>
        <v>2.5000000000000001E-2</v>
      </c>
      <c r="AI12" s="634">
        <f>Qld!AI12</f>
        <v>2.5000000000000001E-2</v>
      </c>
      <c r="AJ12" s="634">
        <f>Qld!AJ12</f>
        <v>2.5000000000000001E-2</v>
      </c>
      <c r="AK12" s="634">
        <f>Qld!AK12</f>
        <v>2.5000000000000001E-2</v>
      </c>
      <c r="AL12" s="634">
        <f>Qld!AL12</f>
        <v>2.5000000000000001E-2</v>
      </c>
      <c r="AM12" s="634">
        <f>Qld!AM12</f>
        <v>2.5000000000000001E-2</v>
      </c>
      <c r="AN12" s="634">
        <f>Qld!AN12</f>
        <v>2.5000000000000001E-2</v>
      </c>
      <c r="AO12" s="634">
        <f>Qld!AO12</f>
        <v>2.5000000000000001E-2</v>
      </c>
      <c r="AP12" s="634">
        <f>Qld!AP12</f>
        <v>2.5000000000000001E-2</v>
      </c>
      <c r="AQ12" s="634">
        <f>Qld!AQ12</f>
        <v>2.5000000000000001E-2</v>
      </c>
      <c r="AR12" s="634">
        <f>Qld!AR12</f>
        <v>2.5000000000000001E-2</v>
      </c>
      <c r="AS12" s="634">
        <f>Qld!AS12</f>
        <v>2.5000000000000001E-2</v>
      </c>
      <c r="AT12" s="634">
        <f>Qld!AT12</f>
        <v>2.5000000000000001E-2</v>
      </c>
      <c r="AU12" s="634">
        <f>Qld!AU12</f>
        <v>2.5000000000000001E-2</v>
      </c>
      <c r="AV12" s="634">
        <f>Qld!AV12</f>
        <v>2.5000000000000001E-2</v>
      </c>
      <c r="AW12" s="634">
        <f>Qld!AW12</f>
        <v>2.5000000000000001E-2</v>
      </c>
      <c r="AX12" s="634">
        <f>Qld!AX12</f>
        <v>2.5000000000000001E-2</v>
      </c>
      <c r="AY12" s="634">
        <f>Qld!AY12</f>
        <v>2.5000000000000001E-2</v>
      </c>
      <c r="AZ12" s="634">
        <f>Qld!AZ12</f>
        <v>2.5000000000000001E-2</v>
      </c>
      <c r="BA12" s="634">
        <f>Qld!BA12</f>
        <v>2.5000000000000001E-2</v>
      </c>
      <c r="BB12" s="634">
        <f>Qld!BB12</f>
        <v>2.5000000000000001E-2</v>
      </c>
      <c r="BC12" s="634">
        <f>Qld!BC12</f>
        <v>2.5000000000000001E-2</v>
      </c>
      <c r="BD12" s="634">
        <f>Qld!BD12</f>
        <v>2.5000000000000001E-2</v>
      </c>
      <c r="BE12" s="634">
        <f>Qld!BE12</f>
        <v>2.5000000000000001E-2</v>
      </c>
      <c r="BF12" s="634">
        <f>Qld!BF12</f>
        <v>2.5000000000000001E-2</v>
      </c>
      <c r="BG12" s="634">
        <f>Qld!BG12</f>
        <v>2.5000000000000001E-2</v>
      </c>
      <c r="BH12" s="634">
        <f>Qld!BH12</f>
        <v>2.5000000000000001E-2</v>
      </c>
      <c r="BI12" s="634">
        <f>Qld!BI12</f>
        <v>2.5000000000000001E-2</v>
      </c>
      <c r="BJ12" s="634">
        <f>Qld!BJ12</f>
        <v>2.5000000000000001E-2</v>
      </c>
      <c r="BK12" s="634">
        <f>Qld!BK12</f>
        <v>2.5000000000000001E-2</v>
      </c>
      <c r="BL12" s="634">
        <f>Qld!BL12</f>
        <v>2.5000000000000001E-2</v>
      </c>
      <c r="BM12" s="634">
        <f>Qld!BM12</f>
        <v>2.5000000000000001E-2</v>
      </c>
      <c r="BN12" s="634">
        <f>Qld!BN12</f>
        <v>2.5000000000000001E-2</v>
      </c>
      <c r="BO12" s="634">
        <f>Qld!BO12</f>
        <v>2.5000000000000001E-2</v>
      </c>
      <c r="BP12" s="634">
        <f>Qld!BP12</f>
        <v>2.5000000000000001E-2</v>
      </c>
      <c r="BQ12" s="634">
        <f>Qld!BQ12</f>
        <v>2.5000000000000001E-2</v>
      </c>
      <c r="BR12" s="634">
        <f>Qld!BR12</f>
        <v>2.5000000000000001E-2</v>
      </c>
      <c r="BS12" s="634">
        <f>Qld!BS12</f>
        <v>2.5000000000000001E-2</v>
      </c>
      <c r="BT12" s="634">
        <f>Qld!BT12</f>
        <v>2.5000000000000001E-2</v>
      </c>
      <c r="BU12" s="634">
        <f>Qld!BU12</f>
        <v>2.5000000000000001E-2</v>
      </c>
      <c r="BV12" s="634">
        <f>Qld!BV12</f>
        <v>2.5000000000000001E-2</v>
      </c>
      <c r="BW12" s="634">
        <f>Qld!BW12</f>
        <v>2.5000000000000001E-2</v>
      </c>
      <c r="BX12" s="634">
        <f>Qld!BX12</f>
        <v>2.5000000000000001E-2</v>
      </c>
      <c r="BY12" s="634">
        <f>Qld!BY12</f>
        <v>2.5000000000000001E-2</v>
      </c>
      <c r="BZ12" s="634">
        <f>Qld!BZ12</f>
        <v>2.5000000000000001E-2</v>
      </c>
      <c r="CA12" s="634">
        <f>Qld!CA12</f>
        <v>2.5000000000000001E-2</v>
      </c>
      <c r="CB12" s="634">
        <f>Qld!CB12</f>
        <v>2.5000000000000001E-2</v>
      </c>
      <c r="CC12" s="634">
        <f>Qld!CC12</f>
        <v>2.5000000000000001E-2</v>
      </c>
      <c r="CD12" s="634">
        <f>Qld!CD12</f>
        <v>2.5000000000000001E-2</v>
      </c>
      <c r="CE12" s="634">
        <f>Qld!CE12</f>
        <v>2.5000000000000001E-2</v>
      </c>
      <c r="CF12" s="634">
        <f>Qld!CF12</f>
        <v>2.5000000000000001E-2</v>
      </c>
      <c r="CG12" s="634">
        <f>Qld!CG12</f>
        <v>2.5000000000000001E-2</v>
      </c>
      <c r="CH12" s="634">
        <f>Qld!CH12</f>
        <v>2.5000000000000001E-2</v>
      </c>
      <c r="CI12" s="634">
        <f>Qld!CI12</f>
        <v>2.5000000000000001E-2</v>
      </c>
      <c r="CJ12" s="634">
        <f>Qld!CJ12</f>
        <v>2.5000000000000001E-2</v>
      </c>
      <c r="CK12" s="634">
        <f>Qld!CK12</f>
        <v>2.5000000000000001E-2</v>
      </c>
      <c r="CL12" s="634">
        <f>Qld!CL12</f>
        <v>2.5000000000000001E-2</v>
      </c>
      <c r="CM12" s="634">
        <f>Qld!CM12</f>
        <v>2.5000000000000001E-2</v>
      </c>
      <c r="CN12" s="634">
        <f>Qld!CN12</f>
        <v>2.5000000000000001E-2</v>
      </c>
      <c r="CO12" s="634">
        <f>Qld!CO12</f>
        <v>2.5000000000000001E-2</v>
      </c>
      <c r="CP12" s="634">
        <f>Qld!CP12</f>
        <v>2.5000000000000001E-2</v>
      </c>
      <c r="CQ12" s="635" t="s">
        <v>77</v>
      </c>
    </row>
    <row r="13" spans="1:95" s="98" customFormat="1" outlineLevel="1" x14ac:dyDescent="0.2">
      <c r="B13" s="98" t="s">
        <v>311</v>
      </c>
      <c r="C13" s="25"/>
      <c r="I13" s="634">
        <f>Qld!K13</f>
        <v>2.1676761236850473E-2</v>
      </c>
      <c r="J13" s="634">
        <f>Qld!L13</f>
        <v>3.3697347893915763E-2</v>
      </c>
      <c r="K13" s="634">
        <f>Qld!K13</f>
        <v>2.1676761236850473E-2</v>
      </c>
      <c r="L13" s="634">
        <f>Qld!L13</f>
        <v>3.3697347893915763E-2</v>
      </c>
      <c r="M13" s="634">
        <f>Qld!M13</f>
        <v>4.4068819800784587E-2</v>
      </c>
      <c r="N13" s="634">
        <f>Qld!N13</f>
        <v>3.4403006649320611E-2</v>
      </c>
      <c r="O13" s="634">
        <f>Qld!O13</f>
        <v>3.4097261039687021E-2</v>
      </c>
      <c r="P13" s="634">
        <f>Qld!P13</f>
        <v>3.1081081081081097E-2</v>
      </c>
      <c r="Q13" s="634">
        <f>Qld!Q13</f>
        <v>2.6736566186107424E-2</v>
      </c>
      <c r="R13" s="634">
        <f>Qld!R13</f>
        <v>2.1189685984171591E-2</v>
      </c>
      <c r="S13" s="634">
        <f>Qld!S13</f>
        <v>3.0749999999999833E-2</v>
      </c>
      <c r="T13" s="634">
        <f>Qld!T13</f>
        <v>3.3460803059273299E-2</v>
      </c>
      <c r="U13" s="634">
        <f>Qld!U13</f>
        <v>1.4E-2</v>
      </c>
      <c r="V13" s="634">
        <f>Qld!V13</f>
        <v>1.4999999999999999E-2</v>
      </c>
      <c r="W13" s="634">
        <f>Qld!W13</f>
        <v>1.4999999999999999E-2</v>
      </c>
      <c r="X13" s="634">
        <f>Qld!X13</f>
        <v>2.5000000000000001E-2</v>
      </c>
      <c r="Y13" s="634">
        <f>Qld!Y13</f>
        <v>2.5000000000000001E-2</v>
      </c>
      <c r="Z13" s="634">
        <f>Qld!Z13</f>
        <v>2.5000000000000001E-2</v>
      </c>
      <c r="AA13" s="634">
        <f>Qld!AA13</f>
        <v>2.5000000000000001E-2</v>
      </c>
      <c r="AB13" s="634">
        <f>Qld!AB13</f>
        <v>2.5000000000000001E-2</v>
      </c>
      <c r="AC13" s="634">
        <f>Qld!AC13</f>
        <v>2.5000000000000001E-2</v>
      </c>
      <c r="AD13" s="634">
        <f>Qld!AD13</f>
        <v>2.5000000000000001E-2</v>
      </c>
      <c r="AE13" s="634">
        <f>Qld!AE13</f>
        <v>2.5000000000000001E-2</v>
      </c>
      <c r="AF13" s="634">
        <f>Qld!AF13</f>
        <v>2.5000000000000001E-2</v>
      </c>
      <c r="AG13" s="634">
        <f>Qld!AG13</f>
        <v>2.5000000000000001E-2</v>
      </c>
      <c r="AH13" s="634">
        <f>Qld!AH13</f>
        <v>2.5000000000000001E-2</v>
      </c>
      <c r="AI13" s="634">
        <f>Qld!AI13</f>
        <v>2.5000000000000001E-2</v>
      </c>
      <c r="AJ13" s="634">
        <f>Qld!AJ13</f>
        <v>2.5000000000000001E-2</v>
      </c>
      <c r="AK13" s="634">
        <f>Qld!AK13</f>
        <v>2.5000000000000001E-2</v>
      </c>
      <c r="AL13" s="634">
        <f>Qld!AL13</f>
        <v>2.5000000000000001E-2</v>
      </c>
      <c r="AM13" s="634">
        <f>Qld!AM13</f>
        <v>2.5000000000000001E-2</v>
      </c>
      <c r="AN13" s="634">
        <f>Qld!AN13</f>
        <v>2.5000000000000001E-2</v>
      </c>
      <c r="AO13" s="634">
        <f>Qld!AO13</f>
        <v>2.5000000000000001E-2</v>
      </c>
      <c r="AP13" s="634">
        <f>Qld!AP13</f>
        <v>2.5000000000000001E-2</v>
      </c>
      <c r="AQ13" s="634">
        <f>Qld!AQ13</f>
        <v>2.5000000000000001E-2</v>
      </c>
      <c r="AR13" s="634">
        <f>Qld!AR13</f>
        <v>2.5000000000000001E-2</v>
      </c>
      <c r="AS13" s="634">
        <f>Qld!AS13</f>
        <v>2.5000000000000001E-2</v>
      </c>
      <c r="AT13" s="634">
        <f>Qld!AT13</f>
        <v>2.5000000000000001E-2</v>
      </c>
      <c r="AU13" s="634">
        <f>Qld!AU13</f>
        <v>2.5000000000000001E-2</v>
      </c>
      <c r="AV13" s="634">
        <f>Qld!AV13</f>
        <v>2.5000000000000001E-2</v>
      </c>
      <c r="AW13" s="634">
        <f>Qld!AW13</f>
        <v>2.5000000000000001E-2</v>
      </c>
      <c r="AX13" s="634">
        <f>Qld!AX13</f>
        <v>2.5000000000000001E-2</v>
      </c>
      <c r="AY13" s="634">
        <f>Qld!AY13</f>
        <v>2.5000000000000001E-2</v>
      </c>
      <c r="AZ13" s="634">
        <f>Qld!AZ13</f>
        <v>2.5000000000000001E-2</v>
      </c>
      <c r="BA13" s="634">
        <f>Qld!BA13</f>
        <v>2.5000000000000001E-2</v>
      </c>
      <c r="BB13" s="634">
        <f>Qld!BB13</f>
        <v>2.5000000000000001E-2</v>
      </c>
      <c r="BC13" s="634">
        <f>Qld!BC13</f>
        <v>2.5000000000000001E-2</v>
      </c>
      <c r="BD13" s="634">
        <f>Qld!BD13</f>
        <v>2.5000000000000001E-2</v>
      </c>
      <c r="BE13" s="634">
        <f>Qld!BE13</f>
        <v>2.5000000000000001E-2</v>
      </c>
      <c r="BF13" s="634">
        <f>Qld!BF13</f>
        <v>2.5000000000000001E-2</v>
      </c>
      <c r="BG13" s="634">
        <f>Qld!BG13</f>
        <v>2.5000000000000001E-2</v>
      </c>
      <c r="BH13" s="634">
        <f>Qld!BH13</f>
        <v>2.5000000000000001E-2</v>
      </c>
      <c r="BI13" s="634">
        <f>Qld!BI13</f>
        <v>2.5000000000000001E-2</v>
      </c>
      <c r="BJ13" s="634">
        <f>Qld!BJ13</f>
        <v>2.5000000000000001E-2</v>
      </c>
      <c r="BK13" s="634">
        <f>Qld!BK13</f>
        <v>2.5000000000000001E-2</v>
      </c>
      <c r="BL13" s="634">
        <f>Qld!BL13</f>
        <v>2.5000000000000001E-2</v>
      </c>
      <c r="BM13" s="634">
        <f>Qld!BM13</f>
        <v>2.5000000000000001E-2</v>
      </c>
      <c r="BN13" s="634">
        <f>Qld!BN13</f>
        <v>2.5000000000000001E-2</v>
      </c>
      <c r="BO13" s="634">
        <f>Qld!BO13</f>
        <v>2.5000000000000001E-2</v>
      </c>
      <c r="BP13" s="634">
        <f>Qld!BP13</f>
        <v>2.5000000000000001E-2</v>
      </c>
      <c r="BQ13" s="634">
        <f>Qld!BQ13</f>
        <v>2.5000000000000001E-2</v>
      </c>
      <c r="BR13" s="634">
        <f>Qld!BR13</f>
        <v>2.5000000000000001E-2</v>
      </c>
      <c r="BS13" s="634">
        <f>Qld!BS13</f>
        <v>2.5000000000000001E-2</v>
      </c>
      <c r="BT13" s="634">
        <f>Qld!BT13</f>
        <v>2.5000000000000001E-2</v>
      </c>
      <c r="BU13" s="634">
        <f>Qld!BU13</f>
        <v>2.5000000000000001E-2</v>
      </c>
      <c r="BV13" s="634">
        <f>Qld!BV13</f>
        <v>2.5000000000000001E-2</v>
      </c>
      <c r="BW13" s="634">
        <f>Qld!BW13</f>
        <v>2.5000000000000001E-2</v>
      </c>
      <c r="BX13" s="634">
        <f>Qld!BX13</f>
        <v>2.5000000000000001E-2</v>
      </c>
      <c r="BY13" s="634">
        <f>Qld!BY13</f>
        <v>2.5000000000000001E-2</v>
      </c>
      <c r="BZ13" s="634">
        <f>Qld!BZ13</f>
        <v>2.5000000000000001E-2</v>
      </c>
      <c r="CA13" s="634">
        <f>Qld!CA13</f>
        <v>2.5000000000000001E-2</v>
      </c>
      <c r="CB13" s="634">
        <f>Qld!CB13</f>
        <v>2.5000000000000001E-2</v>
      </c>
      <c r="CC13" s="634">
        <f>Qld!CC13</f>
        <v>2.5000000000000001E-2</v>
      </c>
      <c r="CD13" s="634">
        <f>Qld!CD13</f>
        <v>2.5000000000000001E-2</v>
      </c>
      <c r="CE13" s="634">
        <f>Qld!CE13</f>
        <v>2.5000000000000001E-2</v>
      </c>
      <c r="CF13" s="634">
        <f>Qld!CF13</f>
        <v>2.5000000000000001E-2</v>
      </c>
      <c r="CG13" s="634">
        <f>Qld!CG13</f>
        <v>2.5000000000000001E-2</v>
      </c>
      <c r="CH13" s="634">
        <f>Qld!CH13</f>
        <v>2.5000000000000001E-2</v>
      </c>
      <c r="CI13" s="634">
        <f>Qld!CI13</f>
        <v>2.5000000000000001E-2</v>
      </c>
      <c r="CJ13" s="634">
        <f>Qld!CJ13</f>
        <v>2.5000000000000001E-2</v>
      </c>
      <c r="CK13" s="634">
        <f>Qld!CK13</f>
        <v>2.5000000000000001E-2</v>
      </c>
      <c r="CL13" s="634">
        <f>Qld!CL13</f>
        <v>2.5000000000000001E-2</v>
      </c>
      <c r="CM13" s="634">
        <f>Qld!CM13</f>
        <v>2.5000000000000001E-2</v>
      </c>
      <c r="CN13" s="634">
        <f>Qld!CN13</f>
        <v>2.5000000000000001E-2</v>
      </c>
      <c r="CO13" s="634">
        <f>Qld!CO13</f>
        <v>2.5000000000000001E-2</v>
      </c>
      <c r="CP13" s="634">
        <f>Qld!CP13</f>
        <v>2.5000000000000001E-2</v>
      </c>
      <c r="CQ13" s="635" t="s">
        <v>77</v>
      </c>
    </row>
    <row r="14" spans="1:95" s="98" customFormat="1" outlineLevel="1" x14ac:dyDescent="0.2">
      <c r="B14" s="98" t="s">
        <v>312</v>
      </c>
      <c r="C14" s="25"/>
      <c r="I14" s="634">
        <f>Qld!K14</f>
        <v>2.2927135678391997E-2</v>
      </c>
      <c r="J14" s="634">
        <f>Qld!L14</f>
        <v>3.5615597175314706E-2</v>
      </c>
      <c r="K14" s="634">
        <f>Qld!K14</f>
        <v>2.2927135678391997E-2</v>
      </c>
      <c r="L14" s="634">
        <f>Qld!L14</f>
        <v>3.5615597175314706E-2</v>
      </c>
      <c r="M14" s="634">
        <f>Qld!M14</f>
        <v>2.9350726356359269E-2</v>
      </c>
      <c r="N14" s="634">
        <f>Qld!N14</f>
        <v>3.6002304147465525E-2</v>
      </c>
      <c r="O14" s="634">
        <f>Qld!O14</f>
        <v>3.4195162635529464E-2</v>
      </c>
      <c r="P14" s="634">
        <f>Qld!P14</f>
        <v>2.123655913978495E-2</v>
      </c>
      <c r="Q14" s="634">
        <f>Qld!Q14</f>
        <v>2.737562516451697E-2</v>
      </c>
      <c r="R14" s="634">
        <f>Qld!R14</f>
        <v>2.4596464258262785E-2</v>
      </c>
      <c r="S14" s="634">
        <f>Qld!S14</f>
        <v>1.9254813703426077E-2</v>
      </c>
      <c r="T14" s="634">
        <f>Qld!T14</f>
        <v>2.2439024390243902E-2</v>
      </c>
      <c r="U14" s="634">
        <f>Qld!U14</f>
        <v>1.0999999999999999E-2</v>
      </c>
      <c r="V14" s="634">
        <f>Qld!V14</f>
        <v>1.4999999999999999E-2</v>
      </c>
      <c r="W14" s="634">
        <f>Qld!W14</f>
        <v>1.4999999999999999E-2</v>
      </c>
      <c r="X14" s="634">
        <f>Qld!X14</f>
        <v>2.5000000000000001E-2</v>
      </c>
      <c r="Y14" s="634">
        <f>Qld!Y14</f>
        <v>2.5000000000000001E-2</v>
      </c>
      <c r="Z14" s="634">
        <f>Qld!Z14</f>
        <v>2.5000000000000001E-2</v>
      </c>
      <c r="AA14" s="634">
        <f>Qld!AA14</f>
        <v>2.5000000000000001E-2</v>
      </c>
      <c r="AB14" s="634">
        <f>Qld!AB14</f>
        <v>2.5000000000000001E-2</v>
      </c>
      <c r="AC14" s="634">
        <f>Qld!AC14</f>
        <v>2.5000000000000001E-2</v>
      </c>
      <c r="AD14" s="634">
        <f>Qld!AD14</f>
        <v>2.5000000000000001E-2</v>
      </c>
      <c r="AE14" s="634">
        <f>Qld!AE14</f>
        <v>2.5000000000000001E-2</v>
      </c>
      <c r="AF14" s="634">
        <f>Qld!AF14</f>
        <v>2.5000000000000001E-2</v>
      </c>
      <c r="AG14" s="634">
        <f>Qld!AG14</f>
        <v>2.5000000000000001E-2</v>
      </c>
      <c r="AH14" s="634">
        <f>Qld!AH14</f>
        <v>2.5000000000000001E-2</v>
      </c>
      <c r="AI14" s="634">
        <f>Qld!AI14</f>
        <v>2.5000000000000001E-2</v>
      </c>
      <c r="AJ14" s="634">
        <f>Qld!AJ14</f>
        <v>2.5000000000000001E-2</v>
      </c>
      <c r="AK14" s="634">
        <f>Qld!AK14</f>
        <v>2.5000000000000001E-2</v>
      </c>
      <c r="AL14" s="634">
        <f>Qld!AL14</f>
        <v>2.5000000000000001E-2</v>
      </c>
      <c r="AM14" s="634">
        <f>Qld!AM14</f>
        <v>2.5000000000000001E-2</v>
      </c>
      <c r="AN14" s="634">
        <f>Qld!AN14</f>
        <v>2.5000000000000001E-2</v>
      </c>
      <c r="AO14" s="634">
        <f>Qld!AO14</f>
        <v>2.5000000000000001E-2</v>
      </c>
      <c r="AP14" s="634">
        <f>Qld!AP14</f>
        <v>2.5000000000000001E-2</v>
      </c>
      <c r="AQ14" s="634">
        <f>Qld!AQ14</f>
        <v>2.5000000000000001E-2</v>
      </c>
      <c r="AR14" s="634">
        <f>Qld!AR14</f>
        <v>2.5000000000000001E-2</v>
      </c>
      <c r="AS14" s="634">
        <f>Qld!AS14</f>
        <v>2.5000000000000001E-2</v>
      </c>
      <c r="AT14" s="634">
        <f>Qld!AT14</f>
        <v>2.5000000000000001E-2</v>
      </c>
      <c r="AU14" s="634">
        <f>Qld!AU14</f>
        <v>2.5000000000000001E-2</v>
      </c>
      <c r="AV14" s="634">
        <f>Qld!AV14</f>
        <v>2.5000000000000001E-2</v>
      </c>
      <c r="AW14" s="634">
        <f>Qld!AW14</f>
        <v>2.5000000000000001E-2</v>
      </c>
      <c r="AX14" s="634">
        <f>Qld!AX14</f>
        <v>2.5000000000000001E-2</v>
      </c>
      <c r="AY14" s="634">
        <f>Qld!AY14</f>
        <v>2.5000000000000001E-2</v>
      </c>
      <c r="AZ14" s="634">
        <f>Qld!AZ14</f>
        <v>2.5000000000000001E-2</v>
      </c>
      <c r="BA14" s="634">
        <f>Qld!BA14</f>
        <v>2.5000000000000001E-2</v>
      </c>
      <c r="BB14" s="634">
        <f>Qld!BB14</f>
        <v>2.5000000000000001E-2</v>
      </c>
      <c r="BC14" s="634">
        <f>Qld!BC14</f>
        <v>2.5000000000000001E-2</v>
      </c>
      <c r="BD14" s="634">
        <f>Qld!BD14</f>
        <v>2.5000000000000001E-2</v>
      </c>
      <c r="BE14" s="634">
        <f>Qld!BE14</f>
        <v>2.5000000000000001E-2</v>
      </c>
      <c r="BF14" s="634">
        <f>Qld!BF14</f>
        <v>2.5000000000000001E-2</v>
      </c>
      <c r="BG14" s="634">
        <f>Qld!BG14</f>
        <v>2.5000000000000001E-2</v>
      </c>
      <c r="BH14" s="634">
        <f>Qld!BH14</f>
        <v>2.5000000000000001E-2</v>
      </c>
      <c r="BI14" s="634">
        <f>Qld!BI14</f>
        <v>2.5000000000000001E-2</v>
      </c>
      <c r="BJ14" s="634">
        <f>Qld!BJ14</f>
        <v>2.5000000000000001E-2</v>
      </c>
      <c r="BK14" s="634">
        <f>Qld!BK14</f>
        <v>2.5000000000000001E-2</v>
      </c>
      <c r="BL14" s="634">
        <f>Qld!BL14</f>
        <v>2.5000000000000001E-2</v>
      </c>
      <c r="BM14" s="634">
        <f>Qld!BM14</f>
        <v>2.5000000000000001E-2</v>
      </c>
      <c r="BN14" s="634">
        <f>Qld!BN14</f>
        <v>2.5000000000000001E-2</v>
      </c>
      <c r="BO14" s="634">
        <f>Qld!BO14</f>
        <v>2.5000000000000001E-2</v>
      </c>
      <c r="BP14" s="634">
        <f>Qld!BP14</f>
        <v>2.5000000000000001E-2</v>
      </c>
      <c r="BQ14" s="634">
        <f>Qld!BQ14</f>
        <v>2.5000000000000001E-2</v>
      </c>
      <c r="BR14" s="634">
        <f>Qld!BR14</f>
        <v>2.5000000000000001E-2</v>
      </c>
      <c r="BS14" s="634">
        <f>Qld!BS14</f>
        <v>2.5000000000000001E-2</v>
      </c>
      <c r="BT14" s="634">
        <f>Qld!BT14</f>
        <v>2.5000000000000001E-2</v>
      </c>
      <c r="BU14" s="634">
        <f>Qld!BU14</f>
        <v>2.5000000000000001E-2</v>
      </c>
      <c r="BV14" s="634">
        <f>Qld!BV14</f>
        <v>2.5000000000000001E-2</v>
      </c>
      <c r="BW14" s="634">
        <f>Qld!BW14</f>
        <v>2.5000000000000001E-2</v>
      </c>
      <c r="BX14" s="634">
        <f>Qld!BX14</f>
        <v>2.5000000000000001E-2</v>
      </c>
      <c r="BY14" s="634">
        <f>Qld!BY14</f>
        <v>2.5000000000000001E-2</v>
      </c>
      <c r="BZ14" s="634">
        <f>Qld!BZ14</f>
        <v>2.5000000000000001E-2</v>
      </c>
      <c r="CA14" s="634">
        <f>Qld!CA14</f>
        <v>2.5000000000000001E-2</v>
      </c>
      <c r="CB14" s="634">
        <f>Qld!CB14</f>
        <v>2.5000000000000001E-2</v>
      </c>
      <c r="CC14" s="634">
        <f>Qld!CC14</f>
        <v>2.5000000000000001E-2</v>
      </c>
      <c r="CD14" s="634">
        <f>Qld!CD14</f>
        <v>2.5000000000000001E-2</v>
      </c>
      <c r="CE14" s="634">
        <f>Qld!CE14</f>
        <v>2.5000000000000001E-2</v>
      </c>
      <c r="CF14" s="634">
        <f>Qld!CF14</f>
        <v>2.5000000000000001E-2</v>
      </c>
      <c r="CG14" s="634">
        <f>Qld!CG14</f>
        <v>2.5000000000000001E-2</v>
      </c>
      <c r="CH14" s="634">
        <f>Qld!CH14</f>
        <v>2.5000000000000001E-2</v>
      </c>
      <c r="CI14" s="634">
        <f>Qld!CI14</f>
        <v>2.5000000000000001E-2</v>
      </c>
      <c r="CJ14" s="634">
        <f>Qld!CJ14</f>
        <v>2.5000000000000001E-2</v>
      </c>
      <c r="CK14" s="634">
        <f>Qld!CK14</f>
        <v>2.5000000000000001E-2</v>
      </c>
      <c r="CL14" s="634">
        <f>Qld!CL14</f>
        <v>2.5000000000000001E-2</v>
      </c>
      <c r="CM14" s="634">
        <f>Qld!CM14</f>
        <v>2.5000000000000001E-2</v>
      </c>
      <c r="CN14" s="634">
        <f>Qld!CN14</f>
        <v>2.5000000000000001E-2</v>
      </c>
      <c r="CO14" s="634">
        <f>Qld!CO14</f>
        <v>2.5000000000000001E-2</v>
      </c>
      <c r="CP14" s="634">
        <f>Qld!CP14</f>
        <v>2.5000000000000001E-2</v>
      </c>
      <c r="CQ14" s="635" t="s">
        <v>77</v>
      </c>
    </row>
    <row r="15" spans="1:95" s="98" customFormat="1" outlineLevel="1" x14ac:dyDescent="0.2">
      <c r="B15" s="532" t="s">
        <v>313</v>
      </c>
      <c r="C15" s="25"/>
      <c r="D15" s="532"/>
      <c r="E15" s="532"/>
      <c r="F15" s="532"/>
      <c r="G15" s="532"/>
      <c r="H15" s="532"/>
      <c r="I15" s="636">
        <f>Qld!K15</f>
        <v>2.4107701941139759E-2</v>
      </c>
      <c r="J15" s="636">
        <f>Qld!L15</f>
        <v>3.2100275145215518E-2</v>
      </c>
      <c r="K15" s="636">
        <f>Qld!K15</f>
        <v>2.4107701941139759E-2</v>
      </c>
      <c r="L15" s="636">
        <f>Qld!L15</f>
        <v>3.2100275145215518E-2</v>
      </c>
      <c r="M15" s="636">
        <f>Qld!M15</f>
        <v>2.962085308056861E-2</v>
      </c>
      <c r="N15" s="636">
        <f>Qld!N15</f>
        <v>3.3659378596087475E-2</v>
      </c>
      <c r="O15" s="636">
        <f>Qld!O15</f>
        <v>3.1171722794322454E-2</v>
      </c>
      <c r="P15" s="636">
        <f>Qld!P15</f>
        <v>2.3211875843454743E-2</v>
      </c>
      <c r="Q15" s="636">
        <f>Qld!Q15</f>
        <v>3.1126351886045844E-2</v>
      </c>
      <c r="R15" s="636">
        <f>Qld!R15</f>
        <v>2.3023791250959436E-2</v>
      </c>
      <c r="S15" s="636">
        <f>Qld!S15</f>
        <v>2.2755688922230677E-2</v>
      </c>
      <c r="T15" s="636">
        <f>Qld!T15</f>
        <v>3.0155642023346401E-2</v>
      </c>
      <c r="U15" s="636">
        <f>Qld!U15</f>
        <v>2.5000000000000001E-2</v>
      </c>
      <c r="V15" s="636">
        <f>Qld!V15</f>
        <v>1.4999999999999999E-2</v>
      </c>
      <c r="W15" s="636">
        <f>Qld!W15</f>
        <v>1.4999999999999999E-2</v>
      </c>
      <c r="X15" s="636">
        <f>Qld!X15</f>
        <v>2.5000000000000001E-2</v>
      </c>
      <c r="Y15" s="636">
        <f>Qld!Y15</f>
        <v>2.5000000000000001E-2</v>
      </c>
      <c r="Z15" s="636">
        <f>Qld!Z15</f>
        <v>2.5000000000000001E-2</v>
      </c>
      <c r="AA15" s="636">
        <f>Qld!AA15</f>
        <v>2.5000000000000001E-2</v>
      </c>
      <c r="AB15" s="636">
        <f>Qld!AB15</f>
        <v>2.5000000000000001E-2</v>
      </c>
      <c r="AC15" s="636">
        <f>Qld!AC15</f>
        <v>2.5000000000000001E-2</v>
      </c>
      <c r="AD15" s="636">
        <f>Qld!AD15</f>
        <v>2.5000000000000001E-2</v>
      </c>
      <c r="AE15" s="636">
        <f>Qld!AE15</f>
        <v>2.5000000000000001E-2</v>
      </c>
      <c r="AF15" s="636">
        <f>Qld!AF15</f>
        <v>2.5000000000000001E-2</v>
      </c>
      <c r="AG15" s="636">
        <f>Qld!AG15</f>
        <v>2.5000000000000001E-2</v>
      </c>
      <c r="AH15" s="636">
        <f>Qld!AH15</f>
        <v>2.5000000000000001E-2</v>
      </c>
      <c r="AI15" s="636">
        <f>Qld!AI15</f>
        <v>2.5000000000000001E-2</v>
      </c>
      <c r="AJ15" s="636">
        <f>Qld!AJ15</f>
        <v>2.5000000000000001E-2</v>
      </c>
      <c r="AK15" s="636">
        <f>Qld!AK15</f>
        <v>2.5000000000000001E-2</v>
      </c>
      <c r="AL15" s="636">
        <f>Qld!AL15</f>
        <v>2.5000000000000001E-2</v>
      </c>
      <c r="AM15" s="636">
        <f>Qld!AM15</f>
        <v>2.5000000000000001E-2</v>
      </c>
      <c r="AN15" s="636">
        <f>Qld!AN15</f>
        <v>2.5000000000000001E-2</v>
      </c>
      <c r="AO15" s="636">
        <f>Qld!AO15</f>
        <v>2.5000000000000001E-2</v>
      </c>
      <c r="AP15" s="636">
        <f>Qld!AP15</f>
        <v>2.5000000000000001E-2</v>
      </c>
      <c r="AQ15" s="636">
        <f>Qld!AQ15</f>
        <v>2.5000000000000001E-2</v>
      </c>
      <c r="AR15" s="636">
        <f>Qld!AR15</f>
        <v>2.5000000000000001E-2</v>
      </c>
      <c r="AS15" s="636">
        <f>Qld!AS15</f>
        <v>2.5000000000000001E-2</v>
      </c>
      <c r="AT15" s="636">
        <f>Qld!AT15</f>
        <v>2.5000000000000001E-2</v>
      </c>
      <c r="AU15" s="636">
        <f>Qld!AU15</f>
        <v>2.5000000000000001E-2</v>
      </c>
      <c r="AV15" s="636">
        <f>Qld!AV15</f>
        <v>2.5000000000000001E-2</v>
      </c>
      <c r="AW15" s="636">
        <f>Qld!AW15</f>
        <v>2.5000000000000001E-2</v>
      </c>
      <c r="AX15" s="636">
        <f>Qld!AX15</f>
        <v>2.5000000000000001E-2</v>
      </c>
      <c r="AY15" s="636">
        <f>Qld!AY15</f>
        <v>2.5000000000000001E-2</v>
      </c>
      <c r="AZ15" s="636">
        <f>Qld!AZ15</f>
        <v>2.5000000000000001E-2</v>
      </c>
      <c r="BA15" s="636">
        <f>Qld!BA15</f>
        <v>2.5000000000000001E-2</v>
      </c>
      <c r="BB15" s="636">
        <f>Qld!BB15</f>
        <v>2.5000000000000001E-2</v>
      </c>
      <c r="BC15" s="636">
        <f>Qld!BC15</f>
        <v>2.5000000000000001E-2</v>
      </c>
      <c r="BD15" s="636">
        <f>Qld!BD15</f>
        <v>2.5000000000000001E-2</v>
      </c>
      <c r="BE15" s="636">
        <f>Qld!BE15</f>
        <v>2.5000000000000001E-2</v>
      </c>
      <c r="BF15" s="636">
        <f>Qld!BF15</f>
        <v>2.5000000000000001E-2</v>
      </c>
      <c r="BG15" s="636">
        <f>Qld!BG15</f>
        <v>2.5000000000000001E-2</v>
      </c>
      <c r="BH15" s="636">
        <f>Qld!BH15</f>
        <v>2.5000000000000001E-2</v>
      </c>
      <c r="BI15" s="636">
        <f>Qld!BI15</f>
        <v>2.5000000000000001E-2</v>
      </c>
      <c r="BJ15" s="636">
        <f>Qld!BJ15</f>
        <v>2.5000000000000001E-2</v>
      </c>
      <c r="BK15" s="636">
        <f>Qld!BK15</f>
        <v>2.5000000000000001E-2</v>
      </c>
      <c r="BL15" s="636">
        <f>Qld!BL15</f>
        <v>2.5000000000000001E-2</v>
      </c>
      <c r="BM15" s="636">
        <f>Qld!BM15</f>
        <v>2.5000000000000001E-2</v>
      </c>
      <c r="BN15" s="636">
        <f>Qld!BN15</f>
        <v>2.5000000000000001E-2</v>
      </c>
      <c r="BO15" s="636">
        <f>Qld!BO15</f>
        <v>2.5000000000000001E-2</v>
      </c>
      <c r="BP15" s="636">
        <f>Qld!BP15</f>
        <v>2.5000000000000001E-2</v>
      </c>
      <c r="BQ15" s="636">
        <f>Qld!BQ15</f>
        <v>2.5000000000000001E-2</v>
      </c>
      <c r="BR15" s="636">
        <f>Qld!BR15</f>
        <v>2.5000000000000001E-2</v>
      </c>
      <c r="BS15" s="636">
        <f>Qld!BS15</f>
        <v>2.5000000000000001E-2</v>
      </c>
      <c r="BT15" s="636">
        <f>Qld!BT15</f>
        <v>2.5000000000000001E-2</v>
      </c>
      <c r="BU15" s="636">
        <f>Qld!BU15</f>
        <v>2.5000000000000001E-2</v>
      </c>
      <c r="BV15" s="636">
        <f>Qld!BV15</f>
        <v>2.5000000000000001E-2</v>
      </c>
      <c r="BW15" s="636">
        <f>Qld!BW15</f>
        <v>2.5000000000000001E-2</v>
      </c>
      <c r="BX15" s="636">
        <f>Qld!BX15</f>
        <v>2.5000000000000001E-2</v>
      </c>
      <c r="BY15" s="636">
        <f>Qld!BY15</f>
        <v>2.5000000000000001E-2</v>
      </c>
      <c r="BZ15" s="636">
        <f>Qld!BZ15</f>
        <v>2.5000000000000001E-2</v>
      </c>
      <c r="CA15" s="636">
        <f>Qld!CA15</f>
        <v>2.5000000000000001E-2</v>
      </c>
      <c r="CB15" s="636">
        <f>Qld!CB15</f>
        <v>2.5000000000000001E-2</v>
      </c>
      <c r="CC15" s="636">
        <f>Qld!CC15</f>
        <v>2.5000000000000001E-2</v>
      </c>
      <c r="CD15" s="636">
        <f>Qld!CD15</f>
        <v>2.5000000000000001E-2</v>
      </c>
      <c r="CE15" s="636">
        <f>Qld!CE15</f>
        <v>2.5000000000000001E-2</v>
      </c>
      <c r="CF15" s="636">
        <f>Qld!CF15</f>
        <v>2.5000000000000001E-2</v>
      </c>
      <c r="CG15" s="636">
        <f>Qld!CG15</f>
        <v>2.5000000000000001E-2</v>
      </c>
      <c r="CH15" s="636">
        <f>Qld!CH15</f>
        <v>2.5000000000000001E-2</v>
      </c>
      <c r="CI15" s="636">
        <f>Qld!CI15</f>
        <v>2.5000000000000001E-2</v>
      </c>
      <c r="CJ15" s="636">
        <f>Qld!CJ15</f>
        <v>2.5000000000000001E-2</v>
      </c>
      <c r="CK15" s="636">
        <f>Qld!CK15</f>
        <v>2.5000000000000001E-2</v>
      </c>
      <c r="CL15" s="636">
        <f>Qld!CL15</f>
        <v>2.5000000000000001E-2</v>
      </c>
      <c r="CM15" s="636">
        <f>Qld!CM15</f>
        <v>2.5000000000000001E-2</v>
      </c>
      <c r="CN15" s="636">
        <f>Qld!CN15</f>
        <v>2.5000000000000001E-2</v>
      </c>
      <c r="CO15" s="636">
        <f>Qld!CO15</f>
        <v>2.5000000000000001E-2</v>
      </c>
      <c r="CP15" s="636">
        <f>Qld!CP15</f>
        <v>2.5000000000000001E-2</v>
      </c>
      <c r="CQ15" s="635" t="s">
        <v>77</v>
      </c>
    </row>
    <row r="16" spans="1:95" x14ac:dyDescent="0.2">
      <c r="CQ16" s="23" t="s">
        <v>77</v>
      </c>
    </row>
    <row r="17" spans="2:95" s="233" customFormat="1" x14ac:dyDescent="0.2">
      <c r="B17" s="728" t="s">
        <v>354</v>
      </c>
      <c r="C17" s="312"/>
      <c r="D17" s="312">
        <f t="shared" ref="D17:AI17" si="4">Fiscal_Year</f>
        <v>0</v>
      </c>
      <c r="E17" s="312">
        <f t="shared" si="4"/>
        <v>0</v>
      </c>
      <c r="F17" s="312">
        <f t="shared" si="4"/>
        <v>36707</v>
      </c>
      <c r="G17" s="312">
        <f t="shared" si="4"/>
        <v>37072</v>
      </c>
      <c r="H17" s="312">
        <f t="shared" si="4"/>
        <v>37437</v>
      </c>
      <c r="I17" s="312">
        <f t="shared" si="4"/>
        <v>37802</v>
      </c>
      <c r="J17" s="312">
        <f t="shared" si="4"/>
        <v>38168</v>
      </c>
      <c r="K17" s="312">
        <f t="shared" si="4"/>
        <v>38533</v>
      </c>
      <c r="L17" s="312">
        <f t="shared" si="4"/>
        <v>38898</v>
      </c>
      <c r="M17" s="312">
        <f t="shared" si="4"/>
        <v>39263</v>
      </c>
      <c r="N17" s="312">
        <f t="shared" si="4"/>
        <v>39629</v>
      </c>
      <c r="O17" s="312">
        <f t="shared" si="4"/>
        <v>39994</v>
      </c>
      <c r="P17" s="312">
        <f t="shared" si="4"/>
        <v>40359</v>
      </c>
      <c r="Q17" s="312">
        <f t="shared" si="4"/>
        <v>40724</v>
      </c>
      <c r="R17" s="312">
        <f t="shared" si="4"/>
        <v>41090</v>
      </c>
      <c r="S17" s="312">
        <f t="shared" si="4"/>
        <v>41455</v>
      </c>
      <c r="T17" s="312">
        <f t="shared" si="4"/>
        <v>41820</v>
      </c>
      <c r="U17" s="312">
        <f t="shared" si="4"/>
        <v>42185</v>
      </c>
      <c r="V17" s="312">
        <f t="shared" si="4"/>
        <v>42551</v>
      </c>
      <c r="W17" s="312">
        <f t="shared" si="4"/>
        <v>42916</v>
      </c>
      <c r="X17" s="312">
        <f t="shared" si="4"/>
        <v>43281</v>
      </c>
      <c r="Y17" s="312">
        <f t="shared" si="4"/>
        <v>43646</v>
      </c>
      <c r="Z17" s="312">
        <f t="shared" si="4"/>
        <v>44012</v>
      </c>
      <c r="AA17" s="312">
        <f t="shared" si="4"/>
        <v>44377</v>
      </c>
      <c r="AB17" s="312">
        <f t="shared" si="4"/>
        <v>44742</v>
      </c>
      <c r="AC17" s="312">
        <f t="shared" si="4"/>
        <v>45107</v>
      </c>
      <c r="AD17" s="312">
        <f t="shared" si="4"/>
        <v>45473</v>
      </c>
      <c r="AE17" s="312">
        <f t="shared" si="4"/>
        <v>45838</v>
      </c>
      <c r="AF17" s="312">
        <f t="shared" si="4"/>
        <v>46203</v>
      </c>
      <c r="AG17" s="312">
        <f t="shared" si="4"/>
        <v>46568</v>
      </c>
      <c r="AH17" s="312">
        <f t="shared" si="4"/>
        <v>46934</v>
      </c>
      <c r="AI17" s="312">
        <f t="shared" si="4"/>
        <v>47299</v>
      </c>
      <c r="AJ17" s="312">
        <f t="shared" ref="AJ17:CP17" si="5">Fiscal_Year</f>
        <v>47664</v>
      </c>
      <c r="AK17" s="312">
        <f t="shared" si="5"/>
        <v>48029</v>
      </c>
      <c r="AL17" s="312">
        <f t="shared" si="5"/>
        <v>48395</v>
      </c>
      <c r="AM17" s="312">
        <f t="shared" si="5"/>
        <v>48760</v>
      </c>
      <c r="AN17" s="312">
        <f t="shared" si="5"/>
        <v>49125</v>
      </c>
      <c r="AO17" s="312">
        <f t="shared" si="5"/>
        <v>49490</v>
      </c>
      <c r="AP17" s="312">
        <f t="shared" si="5"/>
        <v>49856</v>
      </c>
      <c r="AQ17" s="312">
        <f t="shared" si="5"/>
        <v>50221</v>
      </c>
      <c r="AR17" s="312">
        <f t="shared" si="5"/>
        <v>50586</v>
      </c>
      <c r="AS17" s="312">
        <f t="shared" si="5"/>
        <v>50951</v>
      </c>
      <c r="AT17" s="312">
        <f t="shared" si="5"/>
        <v>51317</v>
      </c>
      <c r="AU17" s="312">
        <f t="shared" si="5"/>
        <v>51682</v>
      </c>
      <c r="AV17" s="312">
        <f t="shared" si="5"/>
        <v>52047</v>
      </c>
      <c r="AW17" s="312">
        <f t="shared" si="5"/>
        <v>52412</v>
      </c>
      <c r="AX17" s="312">
        <f t="shared" si="5"/>
        <v>52778</v>
      </c>
      <c r="AY17" s="312">
        <f t="shared" si="5"/>
        <v>53143</v>
      </c>
      <c r="AZ17" s="312">
        <f t="shared" si="5"/>
        <v>53508</v>
      </c>
      <c r="BA17" s="312">
        <f t="shared" si="5"/>
        <v>53873</v>
      </c>
      <c r="BB17" s="312">
        <f t="shared" si="5"/>
        <v>54239</v>
      </c>
      <c r="BC17" s="312">
        <f t="shared" si="5"/>
        <v>54604</v>
      </c>
      <c r="BD17" s="312">
        <f t="shared" si="5"/>
        <v>54969</v>
      </c>
      <c r="BE17" s="312">
        <f t="shared" si="5"/>
        <v>55334</v>
      </c>
      <c r="BF17" s="312">
        <f t="shared" si="5"/>
        <v>55700</v>
      </c>
      <c r="BG17" s="312">
        <f t="shared" si="5"/>
        <v>56065</v>
      </c>
      <c r="BH17" s="312">
        <f t="shared" si="5"/>
        <v>56430</v>
      </c>
      <c r="BI17" s="312">
        <f t="shared" si="5"/>
        <v>56795</v>
      </c>
      <c r="BJ17" s="312">
        <f t="shared" si="5"/>
        <v>57161</v>
      </c>
      <c r="BK17" s="312">
        <f t="shared" si="5"/>
        <v>57526</v>
      </c>
      <c r="BL17" s="312">
        <f t="shared" si="5"/>
        <v>57891</v>
      </c>
      <c r="BM17" s="312">
        <f t="shared" si="5"/>
        <v>58256</v>
      </c>
      <c r="BN17" s="312">
        <f t="shared" si="5"/>
        <v>58622</v>
      </c>
      <c r="BO17" s="312">
        <f t="shared" si="5"/>
        <v>58987</v>
      </c>
      <c r="BP17" s="312">
        <f t="shared" si="5"/>
        <v>59352</v>
      </c>
      <c r="BQ17" s="312">
        <f t="shared" si="5"/>
        <v>59717</v>
      </c>
      <c r="BR17" s="312">
        <f t="shared" si="5"/>
        <v>60083</v>
      </c>
      <c r="BS17" s="312">
        <f t="shared" si="5"/>
        <v>60448</v>
      </c>
      <c r="BT17" s="312">
        <f t="shared" si="5"/>
        <v>60813</v>
      </c>
      <c r="BU17" s="312">
        <f t="shared" si="5"/>
        <v>61178</v>
      </c>
      <c r="BV17" s="312">
        <f t="shared" si="5"/>
        <v>61544</v>
      </c>
      <c r="BW17" s="312">
        <f t="shared" si="5"/>
        <v>61909</v>
      </c>
      <c r="BX17" s="312">
        <f t="shared" si="5"/>
        <v>62274</v>
      </c>
      <c r="BY17" s="312">
        <f t="shared" si="5"/>
        <v>62639</v>
      </c>
      <c r="BZ17" s="312">
        <f t="shared" si="5"/>
        <v>63005</v>
      </c>
      <c r="CA17" s="312">
        <f t="shared" si="5"/>
        <v>63370</v>
      </c>
      <c r="CB17" s="312">
        <f t="shared" si="5"/>
        <v>63735</v>
      </c>
      <c r="CC17" s="312">
        <f t="shared" si="5"/>
        <v>64100</v>
      </c>
      <c r="CD17" s="312">
        <f t="shared" si="5"/>
        <v>64466</v>
      </c>
      <c r="CE17" s="312">
        <f t="shared" si="5"/>
        <v>64831</v>
      </c>
      <c r="CF17" s="312">
        <f t="shared" si="5"/>
        <v>65196</v>
      </c>
      <c r="CG17" s="312">
        <f t="shared" si="5"/>
        <v>65561</v>
      </c>
      <c r="CH17" s="312">
        <f t="shared" si="5"/>
        <v>65927</v>
      </c>
      <c r="CI17" s="312">
        <f t="shared" si="5"/>
        <v>66292</v>
      </c>
      <c r="CJ17" s="312">
        <f t="shared" si="5"/>
        <v>66657</v>
      </c>
      <c r="CK17" s="312">
        <f t="shared" si="5"/>
        <v>67022</v>
      </c>
      <c r="CL17" s="312">
        <f t="shared" si="5"/>
        <v>67388</v>
      </c>
      <c r="CM17" s="312">
        <f t="shared" si="5"/>
        <v>67753</v>
      </c>
      <c r="CN17" s="312">
        <f t="shared" si="5"/>
        <v>68118</v>
      </c>
      <c r="CO17" s="312">
        <f t="shared" si="5"/>
        <v>68483</v>
      </c>
      <c r="CP17" s="312">
        <f t="shared" si="5"/>
        <v>68849</v>
      </c>
      <c r="CQ17" s="23" t="s">
        <v>77</v>
      </c>
    </row>
    <row r="18" spans="2:95" ht="5.0999999999999996" customHeight="1" x14ac:dyDescent="0.2">
      <c r="CQ18" s="23" t="s">
        <v>77</v>
      </c>
    </row>
    <row r="19" spans="2:95" outlineLevel="1" x14ac:dyDescent="0.2">
      <c r="B19" s="8" t="s">
        <v>357</v>
      </c>
      <c r="I19" s="625">
        <f>+APA!I26</f>
        <v>0</v>
      </c>
      <c r="J19" s="625">
        <f>+APA!J26</f>
        <v>0</v>
      </c>
      <c r="K19" s="625" t="str">
        <f>+APA!K26</f>
        <v>n.a.</v>
      </c>
      <c r="L19" s="625" t="str">
        <f>+APA!L26</f>
        <v>n.a.</v>
      </c>
      <c r="M19" s="625">
        <f>+APA!M26</f>
        <v>66.628</v>
      </c>
      <c r="N19" s="625">
        <f>+APA!N26</f>
        <v>102.04900000000001</v>
      </c>
      <c r="O19" s="625">
        <f>+APA!O26</f>
        <v>135.625</v>
      </c>
      <c r="P19" s="625">
        <f>+APA!P26</f>
        <v>136.852</v>
      </c>
      <c r="Q19" s="625">
        <f>+APA!Q26</f>
        <v>151.209</v>
      </c>
      <c r="R19" s="625">
        <f>+APA!R26</f>
        <v>161.297</v>
      </c>
      <c r="S19" s="625">
        <f>+APA!S26</f>
        <v>162.58199999999999</v>
      </c>
      <c r="T19" s="625">
        <f>+APA!T26</f>
        <v>153.66900000000001</v>
      </c>
      <c r="U19" s="625">
        <f>+APA!U26</f>
        <v>163.59200000000001</v>
      </c>
      <c r="V19" s="625">
        <f>+APA!V26</f>
        <v>152.99100000000001</v>
      </c>
      <c r="W19" s="625">
        <f>+APA!W26</f>
        <v>156.946</v>
      </c>
      <c r="X19" s="51">
        <f t="shared" ref="X19:BB19" si="6">+X47+X49</f>
        <v>158.27643018123871</v>
      </c>
      <c r="Y19" s="51">
        <f t="shared" si="6"/>
        <v>159.02741404813943</v>
      </c>
      <c r="Z19" s="51">
        <f t="shared" si="6"/>
        <v>189.07785006607816</v>
      </c>
      <c r="AA19" s="51">
        <f t="shared" si="6"/>
        <v>192.24608967092712</v>
      </c>
      <c r="AB19" s="51">
        <f t="shared" si="6"/>
        <v>195.50137906972145</v>
      </c>
      <c r="AC19" s="51">
        <f t="shared" si="6"/>
        <v>196.84554364093964</v>
      </c>
      <c r="AD19" s="51">
        <f t="shared" si="6"/>
        <v>197.92566316327563</v>
      </c>
      <c r="AE19" s="51">
        <f t="shared" si="6"/>
        <v>203.06105844357853</v>
      </c>
      <c r="AF19" s="51">
        <f t="shared" si="6"/>
        <v>207.65656518658028</v>
      </c>
      <c r="AG19" s="51">
        <f t="shared" si="6"/>
        <v>209.38118486399563</v>
      </c>
      <c r="AH19" s="51">
        <f t="shared" si="6"/>
        <v>211.14427408159304</v>
      </c>
      <c r="AI19" s="51">
        <f t="shared" si="6"/>
        <v>212.94726302707775</v>
      </c>
      <c r="AJ19" s="51">
        <f t="shared" si="6"/>
        <v>214.79059982316804</v>
      </c>
      <c r="AK19" s="51">
        <f t="shared" si="6"/>
        <v>216.67575889596219</v>
      </c>
      <c r="AL19" s="51">
        <f t="shared" si="6"/>
        <v>218.60323705661756</v>
      </c>
      <c r="AM19" s="51">
        <f t="shared" si="6"/>
        <v>220.5735529509038</v>
      </c>
      <c r="AN19" s="51">
        <f t="shared" si="6"/>
        <v>222.58925546775515</v>
      </c>
      <c r="AO19" s="51">
        <f t="shared" si="6"/>
        <v>224.65041427130421</v>
      </c>
      <c r="AP19" s="51">
        <f t="shared" si="6"/>
        <v>226.75762376522795</v>
      </c>
      <c r="AQ19" s="51">
        <f t="shared" si="6"/>
        <v>228.91300930814901</v>
      </c>
      <c r="AR19" s="51">
        <f t="shared" si="6"/>
        <v>231.11772226252441</v>
      </c>
      <c r="AS19" s="51">
        <f t="shared" si="6"/>
        <v>43.985229503019106</v>
      </c>
      <c r="AT19" s="51">
        <f t="shared" si="6"/>
        <v>0</v>
      </c>
      <c r="AU19" s="51">
        <f t="shared" si="6"/>
        <v>0</v>
      </c>
      <c r="AV19" s="51">
        <f t="shared" si="6"/>
        <v>0</v>
      </c>
      <c r="AW19" s="51">
        <f t="shared" si="6"/>
        <v>0</v>
      </c>
      <c r="AX19" s="51">
        <f t="shared" si="6"/>
        <v>0</v>
      </c>
      <c r="AY19" s="51">
        <f t="shared" si="6"/>
        <v>0</v>
      </c>
      <c r="AZ19" s="51">
        <f t="shared" si="6"/>
        <v>0</v>
      </c>
      <c r="BA19" s="51">
        <f t="shared" si="6"/>
        <v>0</v>
      </c>
      <c r="BB19" s="51">
        <f t="shared" si="6"/>
        <v>0</v>
      </c>
      <c r="BC19" s="51">
        <f t="shared" ref="BC19:CP19" si="7">+BC47+BC49</f>
        <v>0</v>
      </c>
      <c r="BD19" s="51">
        <f t="shared" si="7"/>
        <v>0</v>
      </c>
      <c r="BE19" s="51">
        <f t="shared" si="7"/>
        <v>0</v>
      </c>
      <c r="BF19" s="51">
        <f t="shared" si="7"/>
        <v>0</v>
      </c>
      <c r="BG19" s="51">
        <f t="shared" si="7"/>
        <v>0</v>
      </c>
      <c r="BH19" s="51">
        <f t="shared" si="7"/>
        <v>0</v>
      </c>
      <c r="BI19" s="51">
        <f t="shared" si="7"/>
        <v>0</v>
      </c>
      <c r="BJ19" s="51">
        <f t="shared" si="7"/>
        <v>0</v>
      </c>
      <c r="BK19" s="51">
        <f t="shared" si="7"/>
        <v>0</v>
      </c>
      <c r="BL19" s="51">
        <f t="shared" si="7"/>
        <v>0</v>
      </c>
      <c r="BM19" s="51">
        <f t="shared" si="7"/>
        <v>0</v>
      </c>
      <c r="BN19" s="51">
        <f t="shared" si="7"/>
        <v>0</v>
      </c>
      <c r="BO19" s="51">
        <f t="shared" si="7"/>
        <v>0</v>
      </c>
      <c r="BP19" s="51">
        <f t="shared" si="7"/>
        <v>0</v>
      </c>
      <c r="BQ19" s="51">
        <f t="shared" si="7"/>
        <v>0</v>
      </c>
      <c r="BR19" s="51">
        <f t="shared" si="7"/>
        <v>0</v>
      </c>
      <c r="BS19" s="51">
        <f t="shared" si="7"/>
        <v>0</v>
      </c>
      <c r="BT19" s="51">
        <f t="shared" si="7"/>
        <v>0</v>
      </c>
      <c r="BU19" s="51">
        <f t="shared" si="7"/>
        <v>0</v>
      </c>
      <c r="BV19" s="51">
        <f t="shared" si="7"/>
        <v>0</v>
      </c>
      <c r="BW19" s="51">
        <f t="shared" si="7"/>
        <v>0</v>
      </c>
      <c r="BX19" s="51">
        <f t="shared" si="7"/>
        <v>0</v>
      </c>
      <c r="BY19" s="51">
        <f t="shared" si="7"/>
        <v>0</v>
      </c>
      <c r="BZ19" s="51">
        <f t="shared" si="7"/>
        <v>0</v>
      </c>
      <c r="CA19" s="51">
        <f t="shared" si="7"/>
        <v>0</v>
      </c>
      <c r="CB19" s="51">
        <f t="shared" si="7"/>
        <v>0</v>
      </c>
      <c r="CC19" s="51">
        <f t="shared" si="7"/>
        <v>0</v>
      </c>
      <c r="CD19" s="51">
        <f t="shared" si="7"/>
        <v>0</v>
      </c>
      <c r="CE19" s="51">
        <f t="shared" si="7"/>
        <v>0</v>
      </c>
      <c r="CF19" s="51">
        <f t="shared" si="7"/>
        <v>0</v>
      </c>
      <c r="CG19" s="51">
        <f t="shared" si="7"/>
        <v>0</v>
      </c>
      <c r="CH19" s="51">
        <f t="shared" si="7"/>
        <v>0</v>
      </c>
      <c r="CI19" s="51">
        <f t="shared" si="7"/>
        <v>0</v>
      </c>
      <c r="CJ19" s="51">
        <f t="shared" si="7"/>
        <v>0</v>
      </c>
      <c r="CK19" s="51">
        <f t="shared" si="7"/>
        <v>0</v>
      </c>
      <c r="CL19" s="51">
        <f t="shared" si="7"/>
        <v>0</v>
      </c>
      <c r="CM19" s="51">
        <f t="shared" si="7"/>
        <v>0</v>
      </c>
      <c r="CN19" s="51">
        <f t="shared" si="7"/>
        <v>0</v>
      </c>
      <c r="CO19" s="51">
        <f t="shared" si="7"/>
        <v>0</v>
      </c>
      <c r="CP19" s="51">
        <f t="shared" si="7"/>
        <v>0</v>
      </c>
      <c r="CQ19" s="23" t="s">
        <v>77</v>
      </c>
    </row>
    <row r="20" spans="2:95" outlineLevel="1" x14ac:dyDescent="0.2">
      <c r="B20" s="8" t="s">
        <v>358</v>
      </c>
      <c r="I20" s="625">
        <f>+APA!I27</f>
        <v>0</v>
      </c>
      <c r="J20" s="625">
        <f>+APA!J27</f>
        <v>0</v>
      </c>
      <c r="K20" s="625" t="str">
        <f>+APA!K27</f>
        <v>n.a.</v>
      </c>
      <c r="L20" s="625" t="str">
        <f>+APA!L27</f>
        <v>n.a.</v>
      </c>
      <c r="M20" s="625">
        <f>+APA!M27</f>
        <v>0</v>
      </c>
      <c r="N20" s="625">
        <f>+APA!N27</f>
        <v>1.8939999999999999</v>
      </c>
      <c r="O20" s="625">
        <f>+APA!O27</f>
        <v>1.9430000000000001</v>
      </c>
      <c r="P20" s="625">
        <f>+APA!P27</f>
        <v>2.0049999999999999</v>
      </c>
      <c r="Q20" s="625">
        <f>+APA!Q27</f>
        <v>2.0489999999999999</v>
      </c>
      <c r="R20" s="625">
        <f>+APA!R27</f>
        <v>2.109</v>
      </c>
      <c r="S20" s="625">
        <f>+APA!S27</f>
        <v>2.1640000000000001</v>
      </c>
      <c r="T20" s="625">
        <f>+APA!T27</f>
        <v>2.6869999999999998</v>
      </c>
      <c r="U20" s="625">
        <f>+APA!U27</f>
        <v>2.7250000000000001</v>
      </c>
      <c r="V20" s="625">
        <f>+APA!V27</f>
        <v>2.871</v>
      </c>
      <c r="W20" s="625">
        <f>+APA!W27</f>
        <v>2.9580000000000002</v>
      </c>
      <c r="X20" s="51">
        <f t="shared" ref="X20:BB20" si="8">+X48</f>
        <v>3.0319500000000001</v>
      </c>
      <c r="Y20" s="51">
        <f t="shared" si="8"/>
        <v>3.1077487499999998</v>
      </c>
      <c r="Z20" s="51">
        <f t="shared" si="8"/>
        <v>3.1854424687499994</v>
      </c>
      <c r="AA20" s="51">
        <f t="shared" si="8"/>
        <v>3.2650785304687489</v>
      </c>
      <c r="AB20" s="51">
        <f t="shared" si="8"/>
        <v>3.3426241455673815</v>
      </c>
      <c r="AC20" s="51">
        <f t="shared" si="8"/>
        <v>3.4220114690246066</v>
      </c>
      <c r="AD20" s="51">
        <f t="shared" si="8"/>
        <v>3.5032842414139407</v>
      </c>
      <c r="AE20" s="51">
        <f t="shared" si="8"/>
        <v>2.3597075690461322</v>
      </c>
      <c r="AF20" s="51">
        <f t="shared" si="8"/>
        <v>2.4157506238109776</v>
      </c>
      <c r="AG20" s="51">
        <f t="shared" si="8"/>
        <v>2.4731247011264883</v>
      </c>
      <c r="AH20" s="51">
        <f t="shared" si="8"/>
        <v>2.5318614127782424</v>
      </c>
      <c r="AI20" s="51">
        <f t="shared" si="8"/>
        <v>2.5919931213317255</v>
      </c>
      <c r="AJ20" s="51">
        <f t="shared" si="8"/>
        <v>2.6535529579633539</v>
      </c>
      <c r="AK20" s="51">
        <f t="shared" si="8"/>
        <v>2.7165748407149835</v>
      </c>
      <c r="AL20" s="51">
        <f t="shared" si="8"/>
        <v>2.781093493181964</v>
      </c>
      <c r="AM20" s="51">
        <f t="shared" si="8"/>
        <v>2.8471444636450354</v>
      </c>
      <c r="AN20" s="51">
        <f t="shared" si="8"/>
        <v>2.9147641446566048</v>
      </c>
      <c r="AO20" s="51">
        <f t="shared" si="8"/>
        <v>2.9839897930921988</v>
      </c>
      <c r="AP20" s="51">
        <f t="shared" si="8"/>
        <v>3.0548595506781382</v>
      </c>
      <c r="AQ20" s="51">
        <f t="shared" si="8"/>
        <v>3.1274124650067439</v>
      </c>
      <c r="AR20" s="51">
        <f t="shared" si="8"/>
        <v>3.2016885110506537</v>
      </c>
      <c r="AS20" s="51">
        <f t="shared" si="8"/>
        <v>3.2777286131881067</v>
      </c>
      <c r="AT20" s="51">
        <f t="shared" si="8"/>
        <v>3.3555746677513238</v>
      </c>
      <c r="AU20" s="51">
        <f t="shared" si="8"/>
        <v>3.4352695661104176</v>
      </c>
      <c r="AV20" s="51">
        <f t="shared" si="8"/>
        <v>3.5168572183055398</v>
      </c>
      <c r="AW20" s="51">
        <f t="shared" si="8"/>
        <v>3.6003825772402962</v>
      </c>
      <c r="AX20" s="51">
        <f t="shared" si="8"/>
        <v>3.6858916634497532</v>
      </c>
      <c r="AY20" s="51">
        <f t="shared" si="8"/>
        <v>3.7734315904566844</v>
      </c>
      <c r="AZ20" s="51">
        <f t="shared" si="8"/>
        <v>3.8630505907300305</v>
      </c>
      <c r="BA20" s="51">
        <f t="shared" si="8"/>
        <v>3.9547980422598683</v>
      </c>
      <c r="BB20" s="51">
        <f t="shared" si="8"/>
        <v>4.0487244957635395</v>
      </c>
      <c r="BC20" s="51">
        <f t="shared" ref="BC20:CP20" si="9">+BC48</f>
        <v>4.1448817025379237</v>
      </c>
      <c r="BD20" s="51">
        <f t="shared" si="9"/>
        <v>4.2433226429731992</v>
      </c>
      <c r="BE20" s="51">
        <f t="shared" si="9"/>
        <v>4.3441015557438121</v>
      </c>
      <c r="BF20" s="51">
        <f t="shared" si="9"/>
        <v>4.4472739676927278</v>
      </c>
      <c r="BG20" s="51">
        <f t="shared" si="9"/>
        <v>4.5528967244254295</v>
      </c>
      <c r="BH20" s="51">
        <f t="shared" si="9"/>
        <v>4.6610280216305329</v>
      </c>
      <c r="BI20" s="51">
        <f t="shared" si="9"/>
        <v>4.771727437144258</v>
      </c>
      <c r="BJ20" s="51">
        <f t="shared" si="9"/>
        <v>4.8850559637764341</v>
      </c>
      <c r="BK20" s="51">
        <f t="shared" si="9"/>
        <v>5.0010760429161243</v>
      </c>
      <c r="BL20" s="51">
        <f t="shared" si="9"/>
        <v>5.1198515989353819</v>
      </c>
      <c r="BM20" s="51">
        <f t="shared" si="9"/>
        <v>5.2414480744100969</v>
      </c>
      <c r="BN20" s="51">
        <f t="shared" si="9"/>
        <v>5.3659324661773367</v>
      </c>
      <c r="BO20" s="51">
        <f t="shared" si="9"/>
        <v>5.4933733622490477</v>
      </c>
      <c r="BP20" s="51">
        <f t="shared" si="9"/>
        <v>5.6238409796024627</v>
      </c>
      <c r="BQ20" s="51">
        <f t="shared" si="9"/>
        <v>5.7574072028680208</v>
      </c>
      <c r="BR20" s="51">
        <f t="shared" si="9"/>
        <v>5.8941456239361356</v>
      </c>
      <c r="BS20" s="51">
        <f t="shared" si="9"/>
        <v>6.0341315825046182</v>
      </c>
      <c r="BT20" s="51">
        <f t="shared" si="9"/>
        <v>6.1774422075891025</v>
      </c>
      <c r="BU20" s="51">
        <f t="shared" si="9"/>
        <v>6.324156460019343</v>
      </c>
      <c r="BV20" s="51">
        <f t="shared" si="9"/>
        <v>6.4743551759448019</v>
      </c>
      <c r="BW20" s="51">
        <f t="shared" si="9"/>
        <v>6.6281211113734901</v>
      </c>
      <c r="BX20" s="51">
        <f t="shared" si="9"/>
        <v>6.7855389877686099</v>
      </c>
      <c r="BY20" s="51">
        <f t="shared" si="9"/>
        <v>6.9466955387281137</v>
      </c>
      <c r="BZ20" s="51">
        <f t="shared" si="9"/>
        <v>7.1116795577729057</v>
      </c>
      <c r="CA20" s="51">
        <f t="shared" si="9"/>
        <v>7.2805819472700115</v>
      </c>
      <c r="CB20" s="51">
        <f t="shared" si="9"/>
        <v>7.4534957685176737</v>
      </c>
      <c r="CC20" s="51">
        <f t="shared" si="9"/>
        <v>0</v>
      </c>
      <c r="CD20" s="51">
        <f t="shared" si="9"/>
        <v>0</v>
      </c>
      <c r="CE20" s="51">
        <f t="shared" si="9"/>
        <v>0</v>
      </c>
      <c r="CF20" s="51">
        <f t="shared" si="9"/>
        <v>0</v>
      </c>
      <c r="CG20" s="51">
        <f t="shared" si="9"/>
        <v>0</v>
      </c>
      <c r="CH20" s="51">
        <f t="shared" si="9"/>
        <v>0</v>
      </c>
      <c r="CI20" s="51">
        <f t="shared" si="9"/>
        <v>0</v>
      </c>
      <c r="CJ20" s="51">
        <f t="shared" si="9"/>
        <v>0</v>
      </c>
      <c r="CK20" s="51">
        <f t="shared" si="9"/>
        <v>0</v>
      </c>
      <c r="CL20" s="51">
        <f t="shared" si="9"/>
        <v>0</v>
      </c>
      <c r="CM20" s="51">
        <f t="shared" si="9"/>
        <v>0</v>
      </c>
      <c r="CN20" s="51">
        <f t="shared" si="9"/>
        <v>0</v>
      </c>
      <c r="CO20" s="51">
        <f t="shared" si="9"/>
        <v>0</v>
      </c>
      <c r="CP20" s="51">
        <f t="shared" si="9"/>
        <v>0</v>
      </c>
      <c r="CQ20" s="23" t="s">
        <v>77</v>
      </c>
    </row>
    <row r="21" spans="2:95" outlineLevel="1" x14ac:dyDescent="0.2">
      <c r="B21" s="485" t="s">
        <v>12</v>
      </c>
      <c r="D21" s="485"/>
      <c r="E21" s="485"/>
      <c r="F21" s="485"/>
      <c r="G21" s="485"/>
      <c r="H21" s="485"/>
      <c r="I21" s="85">
        <f t="shared" ref="I21:BB21" si="10">SUM(I19:I20)</f>
        <v>0</v>
      </c>
      <c r="J21" s="85">
        <f t="shared" si="10"/>
        <v>0</v>
      </c>
      <c r="K21" s="85">
        <f t="shared" si="10"/>
        <v>0</v>
      </c>
      <c r="L21" s="85">
        <f t="shared" si="10"/>
        <v>0</v>
      </c>
      <c r="M21" s="85">
        <f t="shared" si="10"/>
        <v>66.628</v>
      </c>
      <c r="N21" s="85">
        <f t="shared" si="10"/>
        <v>103.94300000000001</v>
      </c>
      <c r="O21" s="85">
        <f t="shared" si="10"/>
        <v>137.56800000000001</v>
      </c>
      <c r="P21" s="85">
        <f t="shared" si="10"/>
        <v>138.857</v>
      </c>
      <c r="Q21" s="85">
        <f t="shared" si="10"/>
        <v>153.25800000000001</v>
      </c>
      <c r="R21" s="85">
        <f t="shared" si="10"/>
        <v>163.40600000000001</v>
      </c>
      <c r="S21" s="85">
        <f t="shared" si="10"/>
        <v>164.74599999999998</v>
      </c>
      <c r="T21" s="85">
        <f t="shared" si="10"/>
        <v>156.35600000000002</v>
      </c>
      <c r="U21" s="85">
        <f t="shared" si="10"/>
        <v>166.31700000000001</v>
      </c>
      <c r="V21" s="85">
        <f t="shared" si="10"/>
        <v>155.86200000000002</v>
      </c>
      <c r="W21" s="85">
        <f t="shared" si="10"/>
        <v>159.904</v>
      </c>
      <c r="X21" s="85">
        <f t="shared" si="10"/>
        <v>161.3083801812387</v>
      </c>
      <c r="Y21" s="85">
        <f t="shared" si="10"/>
        <v>162.13516279813945</v>
      </c>
      <c r="Z21" s="85">
        <f t="shared" si="10"/>
        <v>192.26329253482817</v>
      </c>
      <c r="AA21" s="85">
        <f t="shared" si="10"/>
        <v>195.51116820139586</v>
      </c>
      <c r="AB21" s="85">
        <f t="shared" si="10"/>
        <v>198.84400321528884</v>
      </c>
      <c r="AC21" s="85">
        <f t="shared" si="10"/>
        <v>200.26755510996423</v>
      </c>
      <c r="AD21" s="85">
        <f t="shared" si="10"/>
        <v>201.42894740468958</v>
      </c>
      <c r="AE21" s="85">
        <f t="shared" si="10"/>
        <v>205.42076601262465</v>
      </c>
      <c r="AF21" s="85">
        <f t="shared" si="10"/>
        <v>210.07231581039125</v>
      </c>
      <c r="AG21" s="85">
        <f t="shared" si="10"/>
        <v>211.85430956512212</v>
      </c>
      <c r="AH21" s="85">
        <f t="shared" si="10"/>
        <v>213.67613549437129</v>
      </c>
      <c r="AI21" s="85">
        <f t="shared" si="10"/>
        <v>215.53925614840949</v>
      </c>
      <c r="AJ21" s="85">
        <f t="shared" si="10"/>
        <v>217.44415278113138</v>
      </c>
      <c r="AK21" s="85">
        <f t="shared" si="10"/>
        <v>219.39233373667719</v>
      </c>
      <c r="AL21" s="85">
        <f t="shared" si="10"/>
        <v>221.38433054979953</v>
      </c>
      <c r="AM21" s="85">
        <f t="shared" si="10"/>
        <v>223.42069741454884</v>
      </c>
      <c r="AN21" s="85">
        <f t="shared" si="10"/>
        <v>225.50401961241175</v>
      </c>
      <c r="AO21" s="85">
        <f t="shared" si="10"/>
        <v>227.63440406439642</v>
      </c>
      <c r="AP21" s="85">
        <f t="shared" si="10"/>
        <v>229.81248331590609</v>
      </c>
      <c r="AQ21" s="85">
        <f t="shared" si="10"/>
        <v>232.04042177315577</v>
      </c>
      <c r="AR21" s="85">
        <f t="shared" si="10"/>
        <v>234.31941077357507</v>
      </c>
      <c r="AS21" s="85">
        <f t="shared" si="10"/>
        <v>47.262958116207216</v>
      </c>
      <c r="AT21" s="85">
        <f t="shared" si="10"/>
        <v>3.3555746677513238</v>
      </c>
      <c r="AU21" s="85">
        <f t="shared" si="10"/>
        <v>3.4352695661104176</v>
      </c>
      <c r="AV21" s="85">
        <f t="shared" si="10"/>
        <v>3.5168572183055398</v>
      </c>
      <c r="AW21" s="85">
        <f t="shared" si="10"/>
        <v>3.6003825772402962</v>
      </c>
      <c r="AX21" s="85">
        <f t="shared" si="10"/>
        <v>3.6858916634497532</v>
      </c>
      <c r="AY21" s="85">
        <f t="shared" si="10"/>
        <v>3.7734315904566844</v>
      </c>
      <c r="AZ21" s="85">
        <f t="shared" si="10"/>
        <v>3.8630505907300305</v>
      </c>
      <c r="BA21" s="85">
        <f t="shared" si="10"/>
        <v>3.9547980422598683</v>
      </c>
      <c r="BB21" s="85">
        <f t="shared" si="10"/>
        <v>4.0487244957635395</v>
      </c>
      <c r="BC21" s="85">
        <f t="shared" ref="BC21:CP21" si="11">SUM(BC19:BC20)</f>
        <v>4.1448817025379237</v>
      </c>
      <c r="BD21" s="85">
        <f t="shared" si="11"/>
        <v>4.2433226429731992</v>
      </c>
      <c r="BE21" s="85">
        <f t="shared" si="11"/>
        <v>4.3441015557438121</v>
      </c>
      <c r="BF21" s="85">
        <f t="shared" si="11"/>
        <v>4.4472739676927278</v>
      </c>
      <c r="BG21" s="85">
        <f t="shared" si="11"/>
        <v>4.5528967244254295</v>
      </c>
      <c r="BH21" s="85">
        <f t="shared" si="11"/>
        <v>4.6610280216305329</v>
      </c>
      <c r="BI21" s="85">
        <f t="shared" si="11"/>
        <v>4.771727437144258</v>
      </c>
      <c r="BJ21" s="85">
        <f t="shared" si="11"/>
        <v>4.8850559637764341</v>
      </c>
      <c r="BK21" s="85">
        <f t="shared" si="11"/>
        <v>5.0010760429161243</v>
      </c>
      <c r="BL21" s="85">
        <f t="shared" si="11"/>
        <v>5.1198515989353819</v>
      </c>
      <c r="BM21" s="85">
        <f t="shared" si="11"/>
        <v>5.2414480744100969</v>
      </c>
      <c r="BN21" s="85">
        <f t="shared" si="11"/>
        <v>5.3659324661773367</v>
      </c>
      <c r="BO21" s="85">
        <f t="shared" si="11"/>
        <v>5.4933733622490477</v>
      </c>
      <c r="BP21" s="85">
        <f t="shared" si="11"/>
        <v>5.6238409796024627</v>
      </c>
      <c r="BQ21" s="85">
        <f t="shared" si="11"/>
        <v>5.7574072028680208</v>
      </c>
      <c r="BR21" s="85">
        <f t="shared" si="11"/>
        <v>5.8941456239361356</v>
      </c>
      <c r="BS21" s="85">
        <f t="shared" si="11"/>
        <v>6.0341315825046182</v>
      </c>
      <c r="BT21" s="85">
        <f t="shared" si="11"/>
        <v>6.1774422075891025</v>
      </c>
      <c r="BU21" s="85">
        <f t="shared" si="11"/>
        <v>6.324156460019343</v>
      </c>
      <c r="BV21" s="85">
        <f t="shared" si="11"/>
        <v>6.4743551759448019</v>
      </c>
      <c r="BW21" s="85">
        <f t="shared" si="11"/>
        <v>6.6281211113734901</v>
      </c>
      <c r="BX21" s="85">
        <f t="shared" si="11"/>
        <v>6.7855389877686099</v>
      </c>
      <c r="BY21" s="85">
        <f t="shared" si="11"/>
        <v>6.9466955387281137</v>
      </c>
      <c r="BZ21" s="85">
        <f t="shared" si="11"/>
        <v>7.1116795577729057</v>
      </c>
      <c r="CA21" s="85">
        <f t="shared" si="11"/>
        <v>7.2805819472700115</v>
      </c>
      <c r="CB21" s="85">
        <f t="shared" si="11"/>
        <v>7.4534957685176737</v>
      </c>
      <c r="CC21" s="85">
        <f t="shared" si="11"/>
        <v>0</v>
      </c>
      <c r="CD21" s="85">
        <f t="shared" si="11"/>
        <v>0</v>
      </c>
      <c r="CE21" s="85">
        <f t="shared" si="11"/>
        <v>0</v>
      </c>
      <c r="CF21" s="85">
        <f t="shared" si="11"/>
        <v>0</v>
      </c>
      <c r="CG21" s="85">
        <f t="shared" si="11"/>
        <v>0</v>
      </c>
      <c r="CH21" s="85">
        <f t="shared" si="11"/>
        <v>0</v>
      </c>
      <c r="CI21" s="85">
        <f t="shared" si="11"/>
        <v>0</v>
      </c>
      <c r="CJ21" s="85">
        <f t="shared" si="11"/>
        <v>0</v>
      </c>
      <c r="CK21" s="85">
        <f t="shared" si="11"/>
        <v>0</v>
      </c>
      <c r="CL21" s="85">
        <f t="shared" si="11"/>
        <v>0</v>
      </c>
      <c r="CM21" s="85">
        <f t="shared" si="11"/>
        <v>0</v>
      </c>
      <c r="CN21" s="85">
        <f t="shared" si="11"/>
        <v>0</v>
      </c>
      <c r="CO21" s="85">
        <f t="shared" si="11"/>
        <v>0</v>
      </c>
      <c r="CP21" s="85">
        <f t="shared" si="11"/>
        <v>0</v>
      </c>
      <c r="CQ21" s="23" t="s">
        <v>77</v>
      </c>
    </row>
    <row r="22" spans="2:95" outlineLevel="1" x14ac:dyDescent="0.2">
      <c r="CQ22" s="23" t="s">
        <v>77</v>
      </c>
    </row>
    <row r="23" spans="2:95" outlineLevel="1" x14ac:dyDescent="0.2">
      <c r="B23" s="8" t="s">
        <v>359</v>
      </c>
      <c r="I23" s="625">
        <f>+APA!I46</f>
        <v>0</v>
      </c>
      <c r="J23" s="625">
        <f>+APA!J46</f>
        <v>0</v>
      </c>
      <c r="K23" s="625" t="str">
        <f>+APA!K46</f>
        <v>n.a.</v>
      </c>
      <c r="L23" s="625" t="str">
        <f>+APA!L46</f>
        <v>n.a.</v>
      </c>
      <c r="M23" s="625">
        <f>+APA!M46</f>
        <v>50.325000000000003</v>
      </c>
      <c r="N23" s="625">
        <f>+APA!N46</f>
        <v>75.186999999999998</v>
      </c>
      <c r="O23" s="625">
        <f>+APA!O46</f>
        <v>105.773</v>
      </c>
      <c r="P23" s="625">
        <f>+APA!P46</f>
        <v>103.98699999999999</v>
      </c>
      <c r="Q23" s="625">
        <f>+APA!Q46</f>
        <v>114.26300000000001</v>
      </c>
      <c r="R23" s="625">
        <f>+APA!R46</f>
        <v>121.54900000000001</v>
      </c>
      <c r="S23" s="625">
        <f>+APA!S46</f>
        <v>124.014</v>
      </c>
      <c r="T23" s="625">
        <f>+APA!T46</f>
        <v>127.616</v>
      </c>
      <c r="U23" s="625">
        <f>+APA!U46</f>
        <v>130.16999999999999</v>
      </c>
      <c r="V23" s="625">
        <f>+APA!V46</f>
        <v>120.8</v>
      </c>
      <c r="W23" s="625">
        <f>+APA!W46</f>
        <v>123.008</v>
      </c>
      <c r="X23" s="51">
        <f t="shared" ref="X23:BB23" si="12">+X60+X62</f>
        <v>124.07234414499096</v>
      </c>
      <c r="Y23" s="51">
        <f t="shared" si="12"/>
        <v>124.67313123851154</v>
      </c>
      <c r="Z23" s="51">
        <f t="shared" si="12"/>
        <v>148.71348005286251</v>
      </c>
      <c r="AA23" s="51">
        <f t="shared" si="12"/>
        <v>151.24807173674168</v>
      </c>
      <c r="AB23" s="51">
        <f t="shared" si="12"/>
        <v>153.85230325577714</v>
      </c>
      <c r="AC23" s="51">
        <f t="shared" si="12"/>
        <v>154.9276349127517</v>
      </c>
      <c r="AD23" s="51">
        <f t="shared" si="12"/>
        <v>155.79173053062047</v>
      </c>
      <c r="AE23" s="51">
        <f t="shared" si="12"/>
        <v>159.90004675486281</v>
      </c>
      <c r="AF23" s="51">
        <f t="shared" si="12"/>
        <v>163.57645214926421</v>
      </c>
      <c r="AG23" s="51">
        <f t="shared" si="12"/>
        <v>164.95614789119648</v>
      </c>
      <c r="AH23" s="51">
        <f t="shared" si="12"/>
        <v>166.36661926527441</v>
      </c>
      <c r="AI23" s="51">
        <f t="shared" si="12"/>
        <v>167.75920761856239</v>
      </c>
      <c r="AJ23" s="51">
        <f t="shared" si="12"/>
        <v>169.18301509260371</v>
      </c>
      <c r="AK23" s="51">
        <f t="shared" si="12"/>
        <v>170.63917026500104</v>
      </c>
      <c r="AL23" s="51">
        <f t="shared" si="12"/>
        <v>172.12806904265454</v>
      </c>
      <c r="AM23" s="51">
        <f t="shared" si="12"/>
        <v>173.65012426176384</v>
      </c>
      <c r="AN23" s="51">
        <f t="shared" si="12"/>
        <v>175.20727200738384</v>
      </c>
      <c r="AO23" s="51">
        <f t="shared" si="12"/>
        <v>176.79958952590414</v>
      </c>
      <c r="AP23" s="51">
        <f t="shared" si="12"/>
        <v>178.42754821208212</v>
      </c>
      <c r="AQ23" s="51">
        <f t="shared" si="12"/>
        <v>180.09276828469427</v>
      </c>
      <c r="AR23" s="51">
        <f t="shared" si="12"/>
        <v>181.79614008763846</v>
      </c>
      <c r="AS23" s="51">
        <f t="shared" si="12"/>
        <v>41.497791235992231</v>
      </c>
      <c r="AT23" s="51">
        <f t="shared" si="12"/>
        <v>6.3096076335769453</v>
      </c>
      <c r="AU23" s="51">
        <f t="shared" si="12"/>
        <v>6.3096076335769453</v>
      </c>
      <c r="AV23" s="51">
        <f t="shared" si="12"/>
        <v>6.3096076335769453</v>
      </c>
      <c r="AW23" s="51">
        <f t="shared" si="12"/>
        <v>6.3096076335769453</v>
      </c>
      <c r="AX23" s="51">
        <f t="shared" si="12"/>
        <v>6.3096076335769453</v>
      </c>
      <c r="AY23" s="51">
        <f t="shared" si="12"/>
        <v>6.3096076335769453</v>
      </c>
      <c r="AZ23" s="51">
        <f t="shared" si="12"/>
        <v>6.3096076335769453</v>
      </c>
      <c r="BA23" s="51">
        <f t="shared" si="12"/>
        <v>6.3096076335769453</v>
      </c>
      <c r="BB23" s="51">
        <f t="shared" si="12"/>
        <v>6.3096076335769453</v>
      </c>
      <c r="BC23" s="51">
        <f t="shared" ref="BC23:CP23" si="13">+BC60+BC62</f>
        <v>6.3096076335769453</v>
      </c>
      <c r="BD23" s="51">
        <f t="shared" si="13"/>
        <v>6.3096076335769453</v>
      </c>
      <c r="BE23" s="51">
        <f t="shared" si="13"/>
        <v>6.3096076335769453</v>
      </c>
      <c r="BF23" s="51">
        <f t="shared" si="13"/>
        <v>6.3096076335769453</v>
      </c>
      <c r="BG23" s="51">
        <f t="shared" si="13"/>
        <v>6.3096076335769453</v>
      </c>
      <c r="BH23" s="51">
        <f t="shared" si="13"/>
        <v>6.3096076335769453</v>
      </c>
      <c r="BI23" s="51">
        <f t="shared" si="13"/>
        <v>6.3096076335769453</v>
      </c>
      <c r="BJ23" s="51">
        <f t="shared" si="13"/>
        <v>6.3096076335769453</v>
      </c>
      <c r="BK23" s="51">
        <f t="shared" si="13"/>
        <v>6.3096076335769453</v>
      </c>
      <c r="BL23" s="51">
        <f t="shared" si="13"/>
        <v>6.3096076335769453</v>
      </c>
      <c r="BM23" s="51">
        <f t="shared" si="13"/>
        <v>6.3096076335769453</v>
      </c>
      <c r="BN23" s="51">
        <f t="shared" si="13"/>
        <v>6.3096076335769453</v>
      </c>
      <c r="BO23" s="51">
        <f t="shared" si="13"/>
        <v>6.3096076335769453</v>
      </c>
      <c r="BP23" s="51">
        <f t="shared" si="13"/>
        <v>6.3096076335769453</v>
      </c>
      <c r="BQ23" s="51">
        <f t="shared" si="13"/>
        <v>6.3096076335769453</v>
      </c>
      <c r="BR23" s="51">
        <f t="shared" si="13"/>
        <v>6.3096076335769453</v>
      </c>
      <c r="BS23" s="51">
        <f t="shared" si="13"/>
        <v>6.3096076335769453</v>
      </c>
      <c r="BT23" s="51">
        <f t="shared" si="13"/>
        <v>6.3096076335769453</v>
      </c>
      <c r="BU23" s="51">
        <f t="shared" si="13"/>
        <v>6.3096076335769453</v>
      </c>
      <c r="BV23" s="51">
        <f t="shared" si="13"/>
        <v>6.3096076335769453</v>
      </c>
      <c r="BW23" s="51">
        <f t="shared" si="13"/>
        <v>6.3096076335769453</v>
      </c>
      <c r="BX23" s="51">
        <f t="shared" si="13"/>
        <v>6.3096076335769453</v>
      </c>
      <c r="BY23" s="51">
        <f t="shared" si="13"/>
        <v>6.3096076335769453</v>
      </c>
      <c r="BZ23" s="51">
        <f t="shared" si="13"/>
        <v>6.3096076335769453</v>
      </c>
      <c r="CA23" s="51">
        <f t="shared" si="13"/>
        <v>6.3096076335769453</v>
      </c>
      <c r="CB23" s="51">
        <f t="shared" si="13"/>
        <v>6.3096076335769453</v>
      </c>
      <c r="CC23" s="51">
        <f t="shared" si="13"/>
        <v>6.3096076335769453</v>
      </c>
      <c r="CD23" s="51">
        <f t="shared" si="13"/>
        <v>6.3096076335769453</v>
      </c>
      <c r="CE23" s="51">
        <f t="shared" si="13"/>
        <v>6.3096076335769453</v>
      </c>
      <c r="CF23" s="51">
        <f t="shared" si="13"/>
        <v>6.3096076335769453</v>
      </c>
      <c r="CG23" s="51">
        <f t="shared" si="13"/>
        <v>6.3096076335769453</v>
      </c>
      <c r="CH23" s="51">
        <f t="shared" si="13"/>
        <v>6.3096076335769453</v>
      </c>
      <c r="CI23" s="51">
        <f t="shared" si="13"/>
        <v>6.3096076335769453</v>
      </c>
      <c r="CJ23" s="51">
        <f t="shared" si="13"/>
        <v>6.3096076335769453</v>
      </c>
      <c r="CK23" s="51">
        <f t="shared" si="13"/>
        <v>6.3096076335769453</v>
      </c>
      <c r="CL23" s="51">
        <f t="shared" si="13"/>
        <v>6.3096076335769453</v>
      </c>
      <c r="CM23" s="51">
        <f t="shared" si="13"/>
        <v>6.3096076335769453</v>
      </c>
      <c r="CN23" s="51">
        <f t="shared" si="13"/>
        <v>6.3096076335769453</v>
      </c>
      <c r="CO23" s="51">
        <f t="shared" si="13"/>
        <v>6.3096076335769453</v>
      </c>
      <c r="CP23" s="51">
        <f t="shared" si="13"/>
        <v>6.3096076335769453</v>
      </c>
      <c r="CQ23" s="23" t="s">
        <v>77</v>
      </c>
    </row>
    <row r="24" spans="2:95" outlineLevel="1" x14ac:dyDescent="0.2">
      <c r="B24" s="8" t="s">
        <v>360</v>
      </c>
      <c r="I24" s="625">
        <f>+APA!I47</f>
        <v>0</v>
      </c>
      <c r="J24" s="625">
        <f>+APA!J47</f>
        <v>0</v>
      </c>
      <c r="K24" s="625" t="str">
        <f>+APA!K47</f>
        <v>n.a.</v>
      </c>
      <c r="L24" s="625" t="str">
        <f>+APA!L47</f>
        <v>n.a.</v>
      </c>
      <c r="M24" s="625">
        <f>+APA!M47</f>
        <v>0</v>
      </c>
      <c r="N24" s="625">
        <f>+APA!N47</f>
        <v>1.7</v>
      </c>
      <c r="O24" s="625">
        <f>+APA!O47</f>
        <v>1.72</v>
      </c>
      <c r="P24" s="625">
        <f>+APA!P47</f>
        <v>1.72</v>
      </c>
      <c r="Q24" s="625">
        <f>+APA!Q47</f>
        <v>1.6180000000000001</v>
      </c>
      <c r="R24" s="625">
        <f>+APA!R47</f>
        <v>1.5209999999999999</v>
      </c>
      <c r="S24" s="625">
        <f>+APA!S47</f>
        <v>1.732</v>
      </c>
      <c r="T24" s="625">
        <f>+APA!T47</f>
        <v>2.38</v>
      </c>
      <c r="U24" s="625">
        <f>+APA!U47</f>
        <v>1.94</v>
      </c>
      <c r="V24" s="625">
        <f>+APA!V47</f>
        <v>2.2999999999999998</v>
      </c>
      <c r="W24" s="625">
        <f>+APA!W47</f>
        <v>2.319</v>
      </c>
      <c r="X24" s="51">
        <f t="shared" ref="X24:BB24" si="14">+X61</f>
        <v>2.3769749999999998</v>
      </c>
      <c r="Y24" s="51">
        <f t="shared" si="14"/>
        <v>2.4363993749999997</v>
      </c>
      <c r="Z24" s="51">
        <f t="shared" si="14"/>
        <v>2.4973093593749995</v>
      </c>
      <c r="AA24" s="51">
        <f t="shared" si="14"/>
        <v>2.559742093359374</v>
      </c>
      <c r="AB24" s="51">
        <f t="shared" si="14"/>
        <v>2.6196542975302721</v>
      </c>
      <c r="AC24" s="51">
        <f t="shared" si="14"/>
        <v>2.6809673747865697</v>
      </c>
      <c r="AD24" s="51">
        <f t="shared" si="14"/>
        <v>2.7437140448199528</v>
      </c>
      <c r="AE24" s="51">
        <f t="shared" si="14"/>
        <v>1.5811481175372948</v>
      </c>
      <c r="AF24" s="51">
        <f t="shared" si="14"/>
        <v>1.6177271860144193</v>
      </c>
      <c r="AG24" s="51">
        <f t="shared" si="14"/>
        <v>1.6551506773850162</v>
      </c>
      <c r="AH24" s="51">
        <f t="shared" si="14"/>
        <v>1.6934380384432335</v>
      </c>
      <c r="AI24" s="51">
        <f t="shared" si="14"/>
        <v>1.7326091626383415</v>
      </c>
      <c r="AJ24" s="51">
        <f t="shared" si="14"/>
        <v>1.7726844003026354</v>
      </c>
      <c r="AK24" s="51">
        <f t="shared" si="14"/>
        <v>1.813684569112747</v>
      </c>
      <c r="AL24" s="51">
        <f t="shared" si="14"/>
        <v>1.8556309647896718</v>
      </c>
      <c r="AM24" s="51">
        <f t="shared" si="14"/>
        <v>1.8985453720429359</v>
      </c>
      <c r="AN24" s="51">
        <f t="shared" si="14"/>
        <v>1.9424500757644529</v>
      </c>
      <c r="AO24" s="51">
        <f t="shared" si="14"/>
        <v>1.9873678724777433</v>
      </c>
      <c r="AP24" s="51">
        <f t="shared" si="14"/>
        <v>2.0333220820483215</v>
      </c>
      <c r="AQ24" s="51">
        <f t="shared" si="14"/>
        <v>2.0803365596611818</v>
      </c>
      <c r="AR24" s="51">
        <f t="shared" si="14"/>
        <v>2.1284357080714527</v>
      </c>
      <c r="AS24" s="51">
        <f t="shared" si="14"/>
        <v>2.1776444901344258</v>
      </c>
      <c r="AT24" s="51">
        <f t="shared" si="14"/>
        <v>2.2279884416213012</v>
      </c>
      <c r="AU24" s="51">
        <f t="shared" si="14"/>
        <v>2.2794936843271447</v>
      </c>
      <c r="AV24" s="51">
        <f t="shared" si="14"/>
        <v>2.3321869394776851</v>
      </c>
      <c r="AW24" s="51">
        <f t="shared" si="14"/>
        <v>2.3860955414417453</v>
      </c>
      <c r="AX24" s="51">
        <f t="shared" si="14"/>
        <v>2.4412474517562384</v>
      </c>
      <c r="AY24" s="51">
        <f t="shared" si="14"/>
        <v>2.4976712734708322</v>
      </c>
      <c r="AZ24" s="51">
        <f t="shared" si="14"/>
        <v>2.5553962658195322</v>
      </c>
      <c r="BA24" s="51">
        <f t="shared" si="14"/>
        <v>2.6144523592266076</v>
      </c>
      <c r="BB24" s="51">
        <f t="shared" si="14"/>
        <v>2.6748701706544473</v>
      </c>
      <c r="BC24" s="51">
        <f t="shared" ref="BC24:CP24" si="15">+BC61</f>
        <v>2.7366810193011042</v>
      </c>
      <c r="BD24" s="51">
        <f t="shared" si="15"/>
        <v>2.7999169426554591</v>
      </c>
      <c r="BE24" s="51">
        <f t="shared" si="15"/>
        <v>2.8646107129181289</v>
      </c>
      <c r="BF24" s="51">
        <f t="shared" si="15"/>
        <v>2.9307958537964023</v>
      </c>
      <c r="BG24" s="51">
        <f t="shared" si="15"/>
        <v>2.9985066576816966</v>
      </c>
      <c r="BH24" s="51">
        <f t="shared" si="15"/>
        <v>3.0677782032182064</v>
      </c>
      <c r="BI24" s="51">
        <f t="shared" si="15"/>
        <v>3.1386463732716239</v>
      </c>
      <c r="BJ24" s="51">
        <f t="shared" si="15"/>
        <v>3.211147873306984</v>
      </c>
      <c r="BK24" s="51">
        <f t="shared" si="15"/>
        <v>3.2853202501849381</v>
      </c>
      <c r="BL24" s="51">
        <f t="shared" si="15"/>
        <v>3.3612019113859164</v>
      </c>
      <c r="BM24" s="51">
        <f t="shared" si="15"/>
        <v>3.4388321446718946</v>
      </c>
      <c r="BN24" s="51">
        <f t="shared" si="15"/>
        <v>3.5182511381956796</v>
      </c>
      <c r="BO24" s="51">
        <f t="shared" si="15"/>
        <v>3.5995000010678493</v>
      </c>
      <c r="BP24" s="51">
        <f t="shared" si="15"/>
        <v>3.6826207843917347</v>
      </c>
      <c r="BQ24" s="51">
        <f t="shared" si="15"/>
        <v>3.7676565027770246</v>
      </c>
      <c r="BR24" s="51">
        <f t="shared" si="15"/>
        <v>3.8546511563428645</v>
      </c>
      <c r="BS24" s="51">
        <f t="shared" si="15"/>
        <v>3.9436497532215156</v>
      </c>
      <c r="BT24" s="51">
        <f t="shared" si="15"/>
        <v>4.0346983325739227</v>
      </c>
      <c r="BU24" s="51">
        <f t="shared" si="15"/>
        <v>4.1278439881287836</v>
      </c>
      <c r="BV24" s="51">
        <f t="shared" si="15"/>
        <v>4.2231348922569794</v>
      </c>
      <c r="BW24" s="51">
        <f t="shared" si="15"/>
        <v>4.3206203205934717</v>
      </c>
      <c r="BX24" s="51">
        <f t="shared" si="15"/>
        <v>4.4203506772190906</v>
      </c>
      <c r="BY24" s="51">
        <f t="shared" si="15"/>
        <v>4.5223775204148566</v>
      </c>
      <c r="BZ24" s="51">
        <f t="shared" si="15"/>
        <v>4.6267535890018179</v>
      </c>
      <c r="CA24" s="51">
        <f t="shared" si="15"/>
        <v>4.7335328292796461</v>
      </c>
      <c r="CB24" s="51">
        <f t="shared" si="15"/>
        <v>4.8427704225775496</v>
      </c>
      <c r="CC24" s="51">
        <f t="shared" si="15"/>
        <v>0</v>
      </c>
      <c r="CD24" s="51">
        <f t="shared" si="15"/>
        <v>0</v>
      </c>
      <c r="CE24" s="51">
        <f t="shared" si="15"/>
        <v>0</v>
      </c>
      <c r="CF24" s="51">
        <f t="shared" si="15"/>
        <v>0</v>
      </c>
      <c r="CG24" s="51">
        <f t="shared" si="15"/>
        <v>0</v>
      </c>
      <c r="CH24" s="51">
        <f t="shared" si="15"/>
        <v>0</v>
      </c>
      <c r="CI24" s="51">
        <f t="shared" si="15"/>
        <v>0</v>
      </c>
      <c r="CJ24" s="51">
        <f t="shared" si="15"/>
        <v>0</v>
      </c>
      <c r="CK24" s="51">
        <f t="shared" si="15"/>
        <v>0</v>
      </c>
      <c r="CL24" s="51">
        <f t="shared" si="15"/>
        <v>0</v>
      </c>
      <c r="CM24" s="51">
        <f t="shared" si="15"/>
        <v>0</v>
      </c>
      <c r="CN24" s="51">
        <f t="shared" si="15"/>
        <v>0</v>
      </c>
      <c r="CO24" s="51">
        <f t="shared" si="15"/>
        <v>0</v>
      </c>
      <c r="CP24" s="51">
        <f t="shared" si="15"/>
        <v>0</v>
      </c>
      <c r="CQ24" s="23" t="s">
        <v>77</v>
      </c>
    </row>
    <row r="25" spans="2:95" outlineLevel="1" x14ac:dyDescent="0.2">
      <c r="B25" s="485" t="s">
        <v>348</v>
      </c>
      <c r="D25" s="485"/>
      <c r="E25" s="485"/>
      <c r="F25" s="485"/>
      <c r="G25" s="485"/>
      <c r="H25" s="485"/>
      <c r="I25" s="85">
        <f t="shared" ref="I25:BB25" si="16">SUM(I23:I24)</f>
        <v>0</v>
      </c>
      <c r="J25" s="85">
        <f t="shared" si="16"/>
        <v>0</v>
      </c>
      <c r="K25" s="85">
        <f t="shared" si="16"/>
        <v>0</v>
      </c>
      <c r="L25" s="85">
        <f t="shared" si="16"/>
        <v>0</v>
      </c>
      <c r="M25" s="85">
        <f t="shared" si="16"/>
        <v>50.325000000000003</v>
      </c>
      <c r="N25" s="85">
        <f t="shared" si="16"/>
        <v>76.887</v>
      </c>
      <c r="O25" s="85">
        <f t="shared" si="16"/>
        <v>107.49299999999999</v>
      </c>
      <c r="P25" s="85">
        <f t="shared" si="16"/>
        <v>105.70699999999999</v>
      </c>
      <c r="Q25" s="85">
        <f t="shared" si="16"/>
        <v>115.881</v>
      </c>
      <c r="R25" s="85">
        <f t="shared" si="16"/>
        <v>123.07000000000001</v>
      </c>
      <c r="S25" s="85">
        <f t="shared" si="16"/>
        <v>125.746</v>
      </c>
      <c r="T25" s="85">
        <f t="shared" si="16"/>
        <v>129.99600000000001</v>
      </c>
      <c r="U25" s="85">
        <f t="shared" si="16"/>
        <v>132.10999999999999</v>
      </c>
      <c r="V25" s="85">
        <f t="shared" si="16"/>
        <v>123.1</v>
      </c>
      <c r="W25" s="85">
        <f t="shared" si="16"/>
        <v>125.327</v>
      </c>
      <c r="X25" s="85">
        <f t="shared" si="16"/>
        <v>126.44931914499097</v>
      </c>
      <c r="Y25" s="85">
        <f t="shared" si="16"/>
        <v>127.10953061351154</v>
      </c>
      <c r="Z25" s="85">
        <f t="shared" si="16"/>
        <v>151.21078941223752</v>
      </c>
      <c r="AA25" s="85">
        <f t="shared" si="16"/>
        <v>153.80781383010105</v>
      </c>
      <c r="AB25" s="85">
        <f t="shared" si="16"/>
        <v>156.47195755330742</v>
      </c>
      <c r="AC25" s="85">
        <f t="shared" si="16"/>
        <v>157.60860228753828</v>
      </c>
      <c r="AD25" s="85">
        <f t="shared" si="16"/>
        <v>158.53544457544041</v>
      </c>
      <c r="AE25" s="85">
        <f t="shared" si="16"/>
        <v>161.4811948724001</v>
      </c>
      <c r="AF25" s="85">
        <f t="shared" si="16"/>
        <v>165.19417933527862</v>
      </c>
      <c r="AG25" s="85">
        <f t="shared" si="16"/>
        <v>166.6112985685815</v>
      </c>
      <c r="AH25" s="85">
        <f t="shared" si="16"/>
        <v>168.06005730371766</v>
      </c>
      <c r="AI25" s="85">
        <f t="shared" si="16"/>
        <v>169.49181678120073</v>
      </c>
      <c r="AJ25" s="85">
        <f t="shared" si="16"/>
        <v>170.95569949290635</v>
      </c>
      <c r="AK25" s="85">
        <f t="shared" si="16"/>
        <v>172.45285483411379</v>
      </c>
      <c r="AL25" s="85">
        <f t="shared" si="16"/>
        <v>173.98370000744421</v>
      </c>
      <c r="AM25" s="85">
        <f t="shared" si="16"/>
        <v>175.54866963380678</v>
      </c>
      <c r="AN25" s="85">
        <f t="shared" si="16"/>
        <v>177.14972208314828</v>
      </c>
      <c r="AO25" s="85">
        <f t="shared" si="16"/>
        <v>178.78695739838187</v>
      </c>
      <c r="AP25" s="85">
        <f t="shared" si="16"/>
        <v>180.46087029413044</v>
      </c>
      <c r="AQ25" s="85">
        <f t="shared" si="16"/>
        <v>182.17310484435546</v>
      </c>
      <c r="AR25" s="85">
        <f t="shared" si="16"/>
        <v>183.92457579570993</v>
      </c>
      <c r="AS25" s="85">
        <f t="shared" si="16"/>
        <v>43.675435726126658</v>
      </c>
      <c r="AT25" s="85">
        <f t="shared" si="16"/>
        <v>8.5375960751982465</v>
      </c>
      <c r="AU25" s="85">
        <f t="shared" si="16"/>
        <v>8.58910131790409</v>
      </c>
      <c r="AV25" s="85">
        <f t="shared" si="16"/>
        <v>8.6417945730546304</v>
      </c>
      <c r="AW25" s="85">
        <f t="shared" si="16"/>
        <v>8.6957031750186911</v>
      </c>
      <c r="AX25" s="85">
        <f t="shared" si="16"/>
        <v>8.7508550853331837</v>
      </c>
      <c r="AY25" s="85">
        <f t="shared" si="16"/>
        <v>8.8072789070477775</v>
      </c>
      <c r="AZ25" s="85">
        <f t="shared" si="16"/>
        <v>8.865003899396477</v>
      </c>
      <c r="BA25" s="85">
        <f t="shared" si="16"/>
        <v>8.9240599928035529</v>
      </c>
      <c r="BB25" s="85">
        <f t="shared" si="16"/>
        <v>8.9844778042313926</v>
      </c>
      <c r="BC25" s="85">
        <f t="shared" ref="BC25:CP25" si="17">SUM(BC23:BC24)</f>
        <v>9.0462886528780491</v>
      </c>
      <c r="BD25" s="85">
        <f t="shared" si="17"/>
        <v>9.1095245762324044</v>
      </c>
      <c r="BE25" s="85">
        <f t="shared" si="17"/>
        <v>9.1742183464950742</v>
      </c>
      <c r="BF25" s="85">
        <f t="shared" si="17"/>
        <v>9.2404034873733476</v>
      </c>
      <c r="BG25" s="85">
        <f t="shared" si="17"/>
        <v>9.3081142912586419</v>
      </c>
      <c r="BH25" s="85">
        <f t="shared" si="17"/>
        <v>9.3773858367951526</v>
      </c>
      <c r="BI25" s="85">
        <f t="shared" si="17"/>
        <v>9.4482540068485683</v>
      </c>
      <c r="BJ25" s="85">
        <f t="shared" si="17"/>
        <v>9.5207555068839298</v>
      </c>
      <c r="BK25" s="85">
        <f t="shared" si="17"/>
        <v>9.5949278837618834</v>
      </c>
      <c r="BL25" s="85">
        <f t="shared" si="17"/>
        <v>9.6708095449628608</v>
      </c>
      <c r="BM25" s="85">
        <f t="shared" si="17"/>
        <v>9.7484397782488408</v>
      </c>
      <c r="BN25" s="85">
        <f t="shared" si="17"/>
        <v>9.8278587717726253</v>
      </c>
      <c r="BO25" s="85">
        <f t="shared" si="17"/>
        <v>9.9091076346447942</v>
      </c>
      <c r="BP25" s="85">
        <f t="shared" si="17"/>
        <v>9.9922284179686791</v>
      </c>
      <c r="BQ25" s="85">
        <f t="shared" si="17"/>
        <v>10.077264136353969</v>
      </c>
      <c r="BR25" s="85">
        <f t="shared" si="17"/>
        <v>10.16425878991981</v>
      </c>
      <c r="BS25" s="85">
        <f t="shared" si="17"/>
        <v>10.253257386798461</v>
      </c>
      <c r="BT25" s="85">
        <f t="shared" si="17"/>
        <v>10.344305966150868</v>
      </c>
      <c r="BU25" s="85">
        <f t="shared" si="17"/>
        <v>10.43745162170573</v>
      </c>
      <c r="BV25" s="85">
        <f t="shared" si="17"/>
        <v>10.532742525833925</v>
      </c>
      <c r="BW25" s="85">
        <f t="shared" si="17"/>
        <v>10.630227954170417</v>
      </c>
      <c r="BX25" s="85">
        <f t="shared" si="17"/>
        <v>10.729958310796036</v>
      </c>
      <c r="BY25" s="85">
        <f t="shared" si="17"/>
        <v>10.831985153991802</v>
      </c>
      <c r="BZ25" s="85">
        <f t="shared" si="17"/>
        <v>10.936361222578764</v>
      </c>
      <c r="CA25" s="85">
        <f t="shared" si="17"/>
        <v>11.043140462856591</v>
      </c>
      <c r="CB25" s="85">
        <f t="shared" si="17"/>
        <v>11.152378056154495</v>
      </c>
      <c r="CC25" s="85">
        <f t="shared" si="17"/>
        <v>6.3096076335769453</v>
      </c>
      <c r="CD25" s="85">
        <f t="shared" si="17"/>
        <v>6.3096076335769453</v>
      </c>
      <c r="CE25" s="85">
        <f t="shared" si="17"/>
        <v>6.3096076335769453</v>
      </c>
      <c r="CF25" s="85">
        <f t="shared" si="17"/>
        <v>6.3096076335769453</v>
      </c>
      <c r="CG25" s="85">
        <f t="shared" si="17"/>
        <v>6.3096076335769453</v>
      </c>
      <c r="CH25" s="85">
        <f t="shared" si="17"/>
        <v>6.3096076335769453</v>
      </c>
      <c r="CI25" s="85">
        <f t="shared" si="17"/>
        <v>6.3096076335769453</v>
      </c>
      <c r="CJ25" s="85">
        <f t="shared" si="17"/>
        <v>6.3096076335769453</v>
      </c>
      <c r="CK25" s="85">
        <f t="shared" si="17"/>
        <v>6.3096076335769453</v>
      </c>
      <c r="CL25" s="85">
        <f t="shared" si="17"/>
        <v>6.3096076335769453</v>
      </c>
      <c r="CM25" s="85">
        <f t="shared" si="17"/>
        <v>6.3096076335769453</v>
      </c>
      <c r="CN25" s="85">
        <f t="shared" si="17"/>
        <v>6.3096076335769453</v>
      </c>
      <c r="CO25" s="85">
        <f t="shared" si="17"/>
        <v>6.3096076335769453</v>
      </c>
      <c r="CP25" s="85">
        <f t="shared" si="17"/>
        <v>6.3096076335769453</v>
      </c>
      <c r="CQ25" s="23" t="s">
        <v>77</v>
      </c>
    </row>
    <row r="26" spans="2:95" outlineLevel="1" x14ac:dyDescent="0.2">
      <c r="B26" s="24"/>
      <c r="D26" s="24"/>
      <c r="E26" s="24"/>
      <c r="F26" s="24"/>
      <c r="G26" s="24"/>
      <c r="H26" s="24"/>
      <c r="I26" s="236"/>
      <c r="J26" s="236"/>
      <c r="K26" s="236"/>
      <c r="L26" s="236"/>
      <c r="M26" s="236"/>
      <c r="N26" s="236"/>
      <c r="O26" s="236"/>
      <c r="P26" s="236"/>
      <c r="Q26" s="236"/>
      <c r="R26" s="236"/>
      <c r="S26" s="236"/>
      <c r="T26" s="236"/>
      <c r="U26" s="236"/>
      <c r="V26" s="236"/>
      <c r="W26" s="236"/>
      <c r="X26" s="236"/>
      <c r="Y26" s="236"/>
      <c r="Z26" s="236"/>
      <c r="AA26" s="236"/>
      <c r="AB26" s="236"/>
      <c r="AC26" s="236"/>
      <c r="AD26" s="236"/>
      <c r="AE26" s="236"/>
      <c r="AF26" s="236"/>
      <c r="AG26" s="236"/>
      <c r="AH26" s="236"/>
      <c r="AI26" s="236"/>
      <c r="AJ26" s="236"/>
      <c r="AK26" s="236"/>
      <c r="AL26" s="236"/>
      <c r="AM26" s="236"/>
      <c r="AN26" s="236"/>
      <c r="AO26" s="236"/>
      <c r="AP26" s="236"/>
      <c r="AQ26" s="236"/>
      <c r="AR26" s="236"/>
      <c r="AS26" s="236"/>
      <c r="AT26" s="236"/>
      <c r="AU26" s="236"/>
      <c r="AV26" s="236"/>
      <c r="AW26" s="236"/>
      <c r="AX26" s="236"/>
      <c r="AY26" s="236"/>
      <c r="AZ26" s="236"/>
      <c r="BA26" s="236"/>
      <c r="BB26" s="236"/>
      <c r="BC26" s="236"/>
      <c r="BD26" s="236"/>
      <c r="BE26" s="236"/>
      <c r="BF26" s="236"/>
      <c r="BG26" s="236"/>
      <c r="BH26" s="236"/>
      <c r="BI26" s="236"/>
      <c r="BJ26" s="236"/>
      <c r="BK26" s="236"/>
      <c r="BL26" s="236"/>
      <c r="BM26" s="236"/>
      <c r="BN26" s="236"/>
      <c r="BO26" s="236"/>
      <c r="BP26" s="236"/>
      <c r="BQ26" s="236"/>
      <c r="BR26" s="236"/>
      <c r="BS26" s="236"/>
      <c r="BT26" s="236"/>
      <c r="BU26" s="236"/>
      <c r="BV26" s="236"/>
      <c r="BW26" s="236"/>
      <c r="BX26" s="236"/>
      <c r="BY26" s="236"/>
      <c r="BZ26" s="236"/>
      <c r="CA26" s="236"/>
      <c r="CB26" s="236"/>
      <c r="CC26" s="236"/>
      <c r="CD26" s="236"/>
      <c r="CE26" s="236"/>
      <c r="CF26" s="236"/>
      <c r="CG26" s="236"/>
      <c r="CH26" s="236"/>
      <c r="CI26" s="236"/>
      <c r="CJ26" s="236"/>
      <c r="CK26" s="236"/>
      <c r="CL26" s="236"/>
      <c r="CM26" s="236"/>
      <c r="CN26" s="236"/>
      <c r="CO26" s="236"/>
      <c r="CP26" s="236"/>
      <c r="CQ26" s="23" t="s">
        <v>77</v>
      </c>
    </row>
    <row r="27" spans="2:95" outlineLevel="1" x14ac:dyDescent="0.2">
      <c r="B27" s="731" t="s">
        <v>582</v>
      </c>
      <c r="E27" s="511" t="s">
        <v>585</v>
      </c>
      <c r="F27" s="24"/>
      <c r="G27" s="24"/>
      <c r="H27" s="24"/>
      <c r="I27" s="236">
        <f t="shared" ref="I27:T31" si="18">SUMIF($E$47:$E$49,$E27,I$60:I$62)</f>
        <v>0</v>
      </c>
      <c r="J27" s="236">
        <f t="shared" si="18"/>
        <v>0</v>
      </c>
      <c r="K27" s="236">
        <f t="shared" si="18"/>
        <v>0</v>
      </c>
      <c r="L27" s="236">
        <f t="shared" si="18"/>
        <v>0</v>
      </c>
      <c r="M27" s="236">
        <f t="shared" si="18"/>
        <v>50.325000000000003</v>
      </c>
      <c r="N27" s="236">
        <f t="shared" si="18"/>
        <v>75.186999999999998</v>
      </c>
      <c r="O27" s="236">
        <f t="shared" si="18"/>
        <v>105.773</v>
      </c>
      <c r="P27" s="236">
        <f t="shared" si="18"/>
        <v>103.98699999999999</v>
      </c>
      <c r="Q27" s="236">
        <f t="shared" si="18"/>
        <v>114.26300000000001</v>
      </c>
      <c r="R27" s="236">
        <f>SUMIF($E$47:$E$49,$E27,R$60:R$62)</f>
        <v>121.54900000000001</v>
      </c>
      <c r="S27" s="236">
        <f t="shared" si="18"/>
        <v>124.014</v>
      </c>
      <c r="T27" s="236">
        <f t="shared" si="18"/>
        <v>127.616</v>
      </c>
      <c r="U27" s="236">
        <f t="shared" ref="U27:AD31" si="19">SUMIF($E$47:$E$49,$E27,U$60:U$62)</f>
        <v>130.16999999999999</v>
      </c>
      <c r="V27" s="236">
        <f t="shared" si="19"/>
        <v>120.8</v>
      </c>
      <c r="W27" s="236">
        <f t="shared" si="19"/>
        <v>123.008</v>
      </c>
      <c r="X27" s="236">
        <f t="shared" si="19"/>
        <v>124.07234414499096</v>
      </c>
      <c r="Y27" s="236">
        <f t="shared" si="19"/>
        <v>124.67313123851154</v>
      </c>
      <c r="Z27" s="236">
        <f t="shared" si="19"/>
        <v>126.21348005286252</v>
      </c>
      <c r="AA27" s="236">
        <f t="shared" si="19"/>
        <v>128.18557173674168</v>
      </c>
      <c r="AB27" s="236">
        <f t="shared" si="19"/>
        <v>130.24206888077714</v>
      </c>
      <c r="AC27" s="236">
        <f t="shared" si="19"/>
        <v>130.75665747134545</v>
      </c>
      <c r="AD27" s="236">
        <f t="shared" si="19"/>
        <v>131.04669237498084</v>
      </c>
      <c r="AE27" s="236">
        <f t="shared" ref="AE27:AN31" si="20">SUMIF($E$47:$E$49,$E27,AE$60:AE$62)</f>
        <v>134.56731394302673</v>
      </c>
      <c r="AF27" s="236">
        <f t="shared" si="20"/>
        <v>137.64206693314702</v>
      </c>
      <c r="AG27" s="236">
        <f t="shared" si="20"/>
        <v>138.40582102619652</v>
      </c>
      <c r="AH27" s="236">
        <f t="shared" si="20"/>
        <v>139.1857221372307</v>
      </c>
      <c r="AI27" s="236">
        <f t="shared" si="20"/>
        <v>139.93276418372764</v>
      </c>
      <c r="AJ27" s="236">
        <f t="shared" si="20"/>
        <v>140.69569362619163</v>
      </c>
      <c r="AK27" s="236">
        <f t="shared" si="20"/>
        <v>141.47527491376167</v>
      </c>
      <c r="AL27" s="236">
        <f t="shared" si="20"/>
        <v>142.27153117682326</v>
      </c>
      <c r="AM27" s="236">
        <f t="shared" si="20"/>
        <v>143.08449362161906</v>
      </c>
      <c r="AN27" s="236">
        <f t="shared" si="20"/>
        <v>143.91570763953561</v>
      </c>
      <c r="AO27" s="236">
        <f t="shared" ref="AO27:AX31" si="21">SUMIF($E$47:$E$49,$E27,AO$60:AO$62)</f>
        <v>144.76485050431953</v>
      </c>
      <c r="AP27" s="236">
        <f t="shared" si="21"/>
        <v>145.63198413873485</v>
      </c>
      <c r="AQ27" s="236">
        <f t="shared" si="21"/>
        <v>146.51830956460503</v>
      </c>
      <c r="AR27" s="236">
        <f t="shared" si="21"/>
        <v>147.4242879729471</v>
      </c>
      <c r="AS27" s="236">
        <f t="shared" si="21"/>
        <v>6.3096076335769453</v>
      </c>
      <c r="AT27" s="236">
        <f t="shared" si="21"/>
        <v>6.3096076335769453</v>
      </c>
      <c r="AU27" s="236">
        <f t="shared" si="21"/>
        <v>6.3096076335769453</v>
      </c>
      <c r="AV27" s="236">
        <f t="shared" si="21"/>
        <v>6.3096076335769453</v>
      </c>
      <c r="AW27" s="236">
        <f t="shared" si="21"/>
        <v>6.3096076335769453</v>
      </c>
      <c r="AX27" s="236">
        <f t="shared" si="21"/>
        <v>6.3096076335769453</v>
      </c>
      <c r="AY27" s="236">
        <f t="shared" ref="AY27:BH31" si="22">SUMIF($E$47:$E$49,$E27,AY$60:AY$62)</f>
        <v>6.3096076335769453</v>
      </c>
      <c r="AZ27" s="236">
        <f t="shared" si="22"/>
        <v>6.3096076335769453</v>
      </c>
      <c r="BA27" s="236">
        <f t="shared" si="22"/>
        <v>6.3096076335769453</v>
      </c>
      <c r="BB27" s="236">
        <f t="shared" si="22"/>
        <v>6.3096076335769453</v>
      </c>
      <c r="BC27" s="236">
        <f t="shared" si="22"/>
        <v>6.3096076335769453</v>
      </c>
      <c r="BD27" s="236">
        <f t="shared" si="22"/>
        <v>6.3096076335769453</v>
      </c>
      <c r="BE27" s="236">
        <f t="shared" si="22"/>
        <v>6.3096076335769453</v>
      </c>
      <c r="BF27" s="236">
        <f t="shared" si="22"/>
        <v>6.3096076335769453</v>
      </c>
      <c r="BG27" s="236">
        <f t="shared" si="22"/>
        <v>6.3096076335769453</v>
      </c>
      <c r="BH27" s="236">
        <f t="shared" si="22"/>
        <v>6.3096076335769453</v>
      </c>
      <c r="BI27" s="236">
        <f t="shared" ref="BI27:BR31" si="23">SUMIF($E$47:$E$49,$E27,BI$60:BI$62)</f>
        <v>6.3096076335769453</v>
      </c>
      <c r="BJ27" s="236">
        <f t="shared" si="23"/>
        <v>6.3096076335769453</v>
      </c>
      <c r="BK27" s="236">
        <f t="shared" si="23"/>
        <v>6.3096076335769453</v>
      </c>
      <c r="BL27" s="236">
        <f t="shared" si="23"/>
        <v>6.3096076335769453</v>
      </c>
      <c r="BM27" s="236">
        <f t="shared" si="23"/>
        <v>6.3096076335769453</v>
      </c>
      <c r="BN27" s="236">
        <f t="shared" si="23"/>
        <v>6.3096076335769453</v>
      </c>
      <c r="BO27" s="236">
        <f t="shared" si="23"/>
        <v>6.3096076335769453</v>
      </c>
      <c r="BP27" s="236">
        <f t="shared" si="23"/>
        <v>6.3096076335769453</v>
      </c>
      <c r="BQ27" s="236">
        <f t="shared" si="23"/>
        <v>6.3096076335769453</v>
      </c>
      <c r="BR27" s="236">
        <f t="shared" si="23"/>
        <v>6.3096076335769453</v>
      </c>
      <c r="BS27" s="236">
        <f t="shared" ref="BS27:CB31" si="24">SUMIF($E$47:$E$49,$E27,BS$60:BS$62)</f>
        <v>6.3096076335769453</v>
      </c>
      <c r="BT27" s="236">
        <f t="shared" si="24"/>
        <v>6.3096076335769453</v>
      </c>
      <c r="BU27" s="236">
        <f t="shared" si="24"/>
        <v>6.3096076335769453</v>
      </c>
      <c r="BV27" s="236">
        <f t="shared" si="24"/>
        <v>6.3096076335769453</v>
      </c>
      <c r="BW27" s="236">
        <f t="shared" si="24"/>
        <v>6.3096076335769453</v>
      </c>
      <c r="BX27" s="236">
        <f t="shared" si="24"/>
        <v>6.3096076335769453</v>
      </c>
      <c r="BY27" s="236">
        <f t="shared" si="24"/>
        <v>6.3096076335769453</v>
      </c>
      <c r="BZ27" s="236">
        <f t="shared" si="24"/>
        <v>6.3096076335769453</v>
      </c>
      <c r="CA27" s="236">
        <f t="shared" si="24"/>
        <v>6.3096076335769453</v>
      </c>
      <c r="CB27" s="236">
        <f t="shared" si="24"/>
        <v>6.3096076335769453</v>
      </c>
      <c r="CC27" s="236">
        <f t="shared" ref="CC27:CP31" si="25">SUMIF($E$47:$E$49,$E27,CC$60:CC$62)</f>
        <v>6.3096076335769453</v>
      </c>
      <c r="CD27" s="236">
        <f t="shared" si="25"/>
        <v>6.3096076335769453</v>
      </c>
      <c r="CE27" s="236">
        <f t="shared" si="25"/>
        <v>6.3096076335769453</v>
      </c>
      <c r="CF27" s="236">
        <f t="shared" si="25"/>
        <v>6.3096076335769453</v>
      </c>
      <c r="CG27" s="236">
        <f t="shared" si="25"/>
        <v>6.3096076335769453</v>
      </c>
      <c r="CH27" s="236">
        <f t="shared" si="25"/>
        <v>6.3096076335769453</v>
      </c>
      <c r="CI27" s="236">
        <f t="shared" si="25"/>
        <v>6.3096076335769453</v>
      </c>
      <c r="CJ27" s="236">
        <f t="shared" si="25"/>
        <v>6.3096076335769453</v>
      </c>
      <c r="CK27" s="236">
        <f t="shared" si="25"/>
        <v>6.3096076335769453</v>
      </c>
      <c r="CL27" s="236">
        <f t="shared" si="25"/>
        <v>6.3096076335769453</v>
      </c>
      <c r="CM27" s="236">
        <f t="shared" si="25"/>
        <v>6.3096076335769453</v>
      </c>
      <c r="CN27" s="236">
        <f t="shared" si="25"/>
        <v>6.3096076335769453</v>
      </c>
      <c r="CO27" s="236">
        <f t="shared" si="25"/>
        <v>6.3096076335769453</v>
      </c>
      <c r="CP27" s="236">
        <f t="shared" si="25"/>
        <v>6.3096076335769453</v>
      </c>
      <c r="CQ27" s="23" t="s">
        <v>77</v>
      </c>
    </row>
    <row r="28" spans="2:95" outlineLevel="1" x14ac:dyDescent="0.2">
      <c r="B28" s="731" t="s">
        <v>581</v>
      </c>
      <c r="E28" s="511" t="s">
        <v>574</v>
      </c>
      <c r="F28" s="24"/>
      <c r="G28" s="24"/>
      <c r="H28" s="24"/>
      <c r="I28" s="236">
        <f t="shared" si="18"/>
        <v>0</v>
      </c>
      <c r="J28" s="236">
        <f t="shared" si="18"/>
        <v>0</v>
      </c>
      <c r="K28" s="236">
        <f t="shared" si="18"/>
        <v>0</v>
      </c>
      <c r="L28" s="236">
        <f t="shared" si="18"/>
        <v>0</v>
      </c>
      <c r="M28" s="236">
        <f t="shared" si="18"/>
        <v>0</v>
      </c>
      <c r="N28" s="236">
        <f t="shared" si="18"/>
        <v>0</v>
      </c>
      <c r="O28" s="236">
        <f t="shared" si="18"/>
        <v>0</v>
      </c>
      <c r="P28" s="236">
        <f t="shared" si="18"/>
        <v>0</v>
      </c>
      <c r="Q28" s="236">
        <f t="shared" si="18"/>
        <v>0</v>
      </c>
      <c r="R28" s="236">
        <f t="shared" si="18"/>
        <v>0</v>
      </c>
      <c r="S28" s="236">
        <f t="shared" si="18"/>
        <v>0</v>
      </c>
      <c r="T28" s="236">
        <f t="shared" si="18"/>
        <v>0</v>
      </c>
      <c r="U28" s="236">
        <f t="shared" si="19"/>
        <v>0</v>
      </c>
      <c r="V28" s="236">
        <f t="shared" si="19"/>
        <v>0</v>
      </c>
      <c r="W28" s="236">
        <f t="shared" si="19"/>
        <v>0</v>
      </c>
      <c r="X28" s="236">
        <f t="shared" si="19"/>
        <v>0</v>
      </c>
      <c r="Y28" s="236">
        <f t="shared" si="19"/>
        <v>0</v>
      </c>
      <c r="Z28" s="236">
        <f t="shared" si="19"/>
        <v>0</v>
      </c>
      <c r="AA28" s="236">
        <f t="shared" si="19"/>
        <v>0</v>
      </c>
      <c r="AB28" s="236">
        <f t="shared" si="19"/>
        <v>0</v>
      </c>
      <c r="AC28" s="236">
        <f t="shared" si="19"/>
        <v>0</v>
      </c>
      <c r="AD28" s="236">
        <f t="shared" si="19"/>
        <v>0</v>
      </c>
      <c r="AE28" s="236">
        <f t="shared" si="20"/>
        <v>0</v>
      </c>
      <c r="AF28" s="236">
        <f t="shared" si="20"/>
        <v>0</v>
      </c>
      <c r="AG28" s="236">
        <f t="shared" si="20"/>
        <v>0</v>
      </c>
      <c r="AH28" s="236">
        <f t="shared" si="20"/>
        <v>0</v>
      </c>
      <c r="AI28" s="236">
        <f t="shared" si="20"/>
        <v>0</v>
      </c>
      <c r="AJ28" s="236">
        <f t="shared" si="20"/>
        <v>0</v>
      </c>
      <c r="AK28" s="236">
        <f t="shared" si="20"/>
        <v>0</v>
      </c>
      <c r="AL28" s="236">
        <f t="shared" si="20"/>
        <v>0</v>
      </c>
      <c r="AM28" s="236">
        <f t="shared" si="20"/>
        <v>0</v>
      </c>
      <c r="AN28" s="236">
        <f t="shared" si="20"/>
        <v>0</v>
      </c>
      <c r="AO28" s="236">
        <f t="shared" si="21"/>
        <v>0</v>
      </c>
      <c r="AP28" s="236">
        <f t="shared" si="21"/>
        <v>0</v>
      </c>
      <c r="AQ28" s="236">
        <f t="shared" si="21"/>
        <v>0</v>
      </c>
      <c r="AR28" s="236">
        <f t="shared" si="21"/>
        <v>0</v>
      </c>
      <c r="AS28" s="236">
        <f t="shared" si="21"/>
        <v>0</v>
      </c>
      <c r="AT28" s="236">
        <f t="shared" si="21"/>
        <v>0</v>
      </c>
      <c r="AU28" s="236">
        <f t="shared" si="21"/>
        <v>0</v>
      </c>
      <c r="AV28" s="236">
        <f t="shared" si="21"/>
        <v>0</v>
      </c>
      <c r="AW28" s="236">
        <f t="shared" si="21"/>
        <v>0</v>
      </c>
      <c r="AX28" s="236">
        <f t="shared" si="21"/>
        <v>0</v>
      </c>
      <c r="AY28" s="236">
        <f t="shared" si="22"/>
        <v>0</v>
      </c>
      <c r="AZ28" s="236">
        <f t="shared" si="22"/>
        <v>0</v>
      </c>
      <c r="BA28" s="236">
        <f t="shared" si="22"/>
        <v>0</v>
      </c>
      <c r="BB28" s="236">
        <f t="shared" si="22"/>
        <v>0</v>
      </c>
      <c r="BC28" s="236">
        <f t="shared" si="22"/>
        <v>0</v>
      </c>
      <c r="BD28" s="236">
        <f t="shared" si="22"/>
        <v>0</v>
      </c>
      <c r="BE28" s="236">
        <f t="shared" si="22"/>
        <v>0</v>
      </c>
      <c r="BF28" s="236">
        <f t="shared" si="22"/>
        <v>0</v>
      </c>
      <c r="BG28" s="236">
        <f t="shared" si="22"/>
        <v>0</v>
      </c>
      <c r="BH28" s="236">
        <f t="shared" si="22"/>
        <v>0</v>
      </c>
      <c r="BI28" s="236">
        <f t="shared" si="23"/>
        <v>0</v>
      </c>
      <c r="BJ28" s="236">
        <f t="shared" si="23"/>
        <v>0</v>
      </c>
      <c r="BK28" s="236">
        <f t="shared" si="23"/>
        <v>0</v>
      </c>
      <c r="BL28" s="236">
        <f t="shared" si="23"/>
        <v>0</v>
      </c>
      <c r="BM28" s="236">
        <f t="shared" si="23"/>
        <v>0</v>
      </c>
      <c r="BN28" s="236">
        <f t="shared" si="23"/>
        <v>0</v>
      </c>
      <c r="BO28" s="236">
        <f t="shared" si="23"/>
        <v>0</v>
      </c>
      <c r="BP28" s="236">
        <f t="shared" si="23"/>
        <v>0</v>
      </c>
      <c r="BQ28" s="236">
        <f t="shared" si="23"/>
        <v>0</v>
      </c>
      <c r="BR28" s="236">
        <f t="shared" si="23"/>
        <v>0</v>
      </c>
      <c r="BS28" s="236">
        <f t="shared" si="24"/>
        <v>0</v>
      </c>
      <c r="BT28" s="236">
        <f t="shared" si="24"/>
        <v>0</v>
      </c>
      <c r="BU28" s="236">
        <f t="shared" si="24"/>
        <v>0</v>
      </c>
      <c r="BV28" s="236">
        <f t="shared" si="24"/>
        <v>0</v>
      </c>
      <c r="BW28" s="236">
        <f t="shared" si="24"/>
        <v>0</v>
      </c>
      <c r="BX28" s="236">
        <f t="shared" si="24"/>
        <v>0</v>
      </c>
      <c r="BY28" s="236">
        <f t="shared" si="24"/>
        <v>0</v>
      </c>
      <c r="BZ28" s="236">
        <f t="shared" si="24"/>
        <v>0</v>
      </c>
      <c r="CA28" s="236">
        <f t="shared" si="24"/>
        <v>0</v>
      </c>
      <c r="CB28" s="236">
        <f t="shared" si="24"/>
        <v>0</v>
      </c>
      <c r="CC28" s="236">
        <f t="shared" si="25"/>
        <v>0</v>
      </c>
      <c r="CD28" s="236">
        <f t="shared" si="25"/>
        <v>0</v>
      </c>
      <c r="CE28" s="236">
        <f t="shared" si="25"/>
        <v>0</v>
      </c>
      <c r="CF28" s="236">
        <f t="shared" si="25"/>
        <v>0</v>
      </c>
      <c r="CG28" s="236">
        <f t="shared" si="25"/>
        <v>0</v>
      </c>
      <c r="CH28" s="236">
        <f t="shared" si="25"/>
        <v>0</v>
      </c>
      <c r="CI28" s="236">
        <f t="shared" si="25"/>
        <v>0</v>
      </c>
      <c r="CJ28" s="236">
        <f t="shared" si="25"/>
        <v>0</v>
      </c>
      <c r="CK28" s="236">
        <f t="shared" si="25"/>
        <v>0</v>
      </c>
      <c r="CL28" s="236">
        <f t="shared" si="25"/>
        <v>0</v>
      </c>
      <c r="CM28" s="236">
        <f t="shared" si="25"/>
        <v>0</v>
      </c>
      <c r="CN28" s="236">
        <f t="shared" si="25"/>
        <v>0</v>
      </c>
      <c r="CO28" s="236">
        <f t="shared" si="25"/>
        <v>0</v>
      </c>
      <c r="CP28" s="236">
        <f t="shared" si="25"/>
        <v>0</v>
      </c>
      <c r="CQ28" s="23" t="s">
        <v>77</v>
      </c>
    </row>
    <row r="29" spans="2:95" outlineLevel="1" x14ac:dyDescent="0.2">
      <c r="B29" s="731" t="s">
        <v>587</v>
      </c>
      <c r="D29" s="24"/>
      <c r="E29" s="512">
        <f>E48</f>
        <v>0.1</v>
      </c>
      <c r="F29" s="24"/>
      <c r="G29" s="24"/>
      <c r="H29" s="24"/>
      <c r="I29" s="236">
        <f t="shared" si="18"/>
        <v>0</v>
      </c>
      <c r="J29" s="236">
        <f t="shared" si="18"/>
        <v>0</v>
      </c>
      <c r="K29" s="236">
        <f t="shared" si="18"/>
        <v>0</v>
      </c>
      <c r="L29" s="236">
        <f t="shared" si="18"/>
        <v>0</v>
      </c>
      <c r="M29" s="236">
        <f t="shared" si="18"/>
        <v>0</v>
      </c>
      <c r="N29" s="236">
        <f t="shared" si="18"/>
        <v>1.7</v>
      </c>
      <c r="O29" s="236">
        <f t="shared" si="18"/>
        <v>1.72</v>
      </c>
      <c r="P29" s="236">
        <f t="shared" si="18"/>
        <v>1.72</v>
      </c>
      <c r="Q29" s="236">
        <f t="shared" si="18"/>
        <v>1.6180000000000001</v>
      </c>
      <c r="R29" s="236">
        <f t="shared" si="18"/>
        <v>1.5209999999999999</v>
      </c>
      <c r="S29" s="236">
        <f t="shared" si="18"/>
        <v>1.732</v>
      </c>
      <c r="T29" s="236">
        <f t="shared" si="18"/>
        <v>2.38</v>
      </c>
      <c r="U29" s="236">
        <f t="shared" si="19"/>
        <v>1.94</v>
      </c>
      <c r="V29" s="236">
        <f t="shared" si="19"/>
        <v>2.2999999999999998</v>
      </c>
      <c r="W29" s="236">
        <f t="shared" si="19"/>
        <v>2.319</v>
      </c>
      <c r="X29" s="236">
        <f t="shared" si="19"/>
        <v>2.3769749999999998</v>
      </c>
      <c r="Y29" s="236">
        <f t="shared" si="19"/>
        <v>2.4363993749999997</v>
      </c>
      <c r="Z29" s="236">
        <f t="shared" si="19"/>
        <v>2.4973093593749995</v>
      </c>
      <c r="AA29" s="236">
        <f t="shared" si="19"/>
        <v>2.559742093359374</v>
      </c>
      <c r="AB29" s="236">
        <f t="shared" si="19"/>
        <v>2.6196542975302721</v>
      </c>
      <c r="AC29" s="236">
        <f t="shared" si="19"/>
        <v>2.6809673747865697</v>
      </c>
      <c r="AD29" s="236">
        <f t="shared" si="19"/>
        <v>2.7437140448199528</v>
      </c>
      <c r="AE29" s="236">
        <f t="shared" si="20"/>
        <v>1.5811481175372948</v>
      </c>
      <c r="AF29" s="236">
        <f t="shared" si="20"/>
        <v>1.6177271860144193</v>
      </c>
      <c r="AG29" s="236">
        <f t="shared" si="20"/>
        <v>1.6551506773850162</v>
      </c>
      <c r="AH29" s="236">
        <f t="shared" si="20"/>
        <v>1.6934380384432335</v>
      </c>
      <c r="AI29" s="236">
        <f t="shared" si="20"/>
        <v>1.7326091626383415</v>
      </c>
      <c r="AJ29" s="236">
        <f t="shared" si="20"/>
        <v>1.7726844003026354</v>
      </c>
      <c r="AK29" s="236">
        <f t="shared" si="20"/>
        <v>1.813684569112747</v>
      </c>
      <c r="AL29" s="236">
        <f t="shared" si="20"/>
        <v>1.8556309647896718</v>
      </c>
      <c r="AM29" s="236">
        <f t="shared" si="20"/>
        <v>1.8985453720429359</v>
      </c>
      <c r="AN29" s="236">
        <f t="shared" si="20"/>
        <v>1.9424500757644529</v>
      </c>
      <c r="AO29" s="236">
        <f t="shared" si="21"/>
        <v>1.9873678724777433</v>
      </c>
      <c r="AP29" s="236">
        <f t="shared" si="21"/>
        <v>2.0333220820483215</v>
      </c>
      <c r="AQ29" s="236">
        <f t="shared" si="21"/>
        <v>2.0803365596611818</v>
      </c>
      <c r="AR29" s="236">
        <f t="shared" si="21"/>
        <v>2.1284357080714527</v>
      </c>
      <c r="AS29" s="236">
        <f t="shared" si="21"/>
        <v>2.1776444901344258</v>
      </c>
      <c r="AT29" s="236">
        <f t="shared" si="21"/>
        <v>2.2279884416213012</v>
      </c>
      <c r="AU29" s="236">
        <f t="shared" si="21"/>
        <v>2.2794936843271447</v>
      </c>
      <c r="AV29" s="236">
        <f t="shared" si="21"/>
        <v>2.3321869394776851</v>
      </c>
      <c r="AW29" s="236">
        <f t="shared" si="21"/>
        <v>2.3860955414417453</v>
      </c>
      <c r="AX29" s="236">
        <f t="shared" si="21"/>
        <v>2.4412474517562384</v>
      </c>
      <c r="AY29" s="236">
        <f t="shared" si="22"/>
        <v>2.4976712734708322</v>
      </c>
      <c r="AZ29" s="236">
        <f t="shared" si="22"/>
        <v>2.5553962658195322</v>
      </c>
      <c r="BA29" s="236">
        <f t="shared" si="22"/>
        <v>2.6144523592266076</v>
      </c>
      <c r="BB29" s="236">
        <f t="shared" si="22"/>
        <v>2.6748701706544473</v>
      </c>
      <c r="BC29" s="236">
        <f t="shared" si="22"/>
        <v>2.7366810193011042</v>
      </c>
      <c r="BD29" s="236">
        <f t="shared" si="22"/>
        <v>2.7999169426554591</v>
      </c>
      <c r="BE29" s="236">
        <f t="shared" si="22"/>
        <v>2.8646107129181289</v>
      </c>
      <c r="BF29" s="236">
        <f t="shared" si="22"/>
        <v>2.9307958537964023</v>
      </c>
      <c r="BG29" s="236">
        <f t="shared" si="22"/>
        <v>2.9985066576816966</v>
      </c>
      <c r="BH29" s="236">
        <f t="shared" si="22"/>
        <v>3.0677782032182064</v>
      </c>
      <c r="BI29" s="236">
        <f t="shared" si="23"/>
        <v>3.1386463732716239</v>
      </c>
      <c r="BJ29" s="236">
        <f t="shared" si="23"/>
        <v>3.211147873306984</v>
      </c>
      <c r="BK29" s="236">
        <f t="shared" si="23"/>
        <v>3.2853202501849381</v>
      </c>
      <c r="BL29" s="236">
        <f t="shared" si="23"/>
        <v>3.3612019113859164</v>
      </c>
      <c r="BM29" s="236">
        <f t="shared" si="23"/>
        <v>3.4388321446718946</v>
      </c>
      <c r="BN29" s="236">
        <f t="shared" si="23"/>
        <v>3.5182511381956796</v>
      </c>
      <c r="BO29" s="236">
        <f t="shared" si="23"/>
        <v>3.5995000010678493</v>
      </c>
      <c r="BP29" s="236">
        <f t="shared" si="23"/>
        <v>3.6826207843917347</v>
      </c>
      <c r="BQ29" s="236">
        <f t="shared" si="23"/>
        <v>3.7676565027770246</v>
      </c>
      <c r="BR29" s="236">
        <f t="shared" si="23"/>
        <v>3.8546511563428645</v>
      </c>
      <c r="BS29" s="236">
        <f t="shared" si="24"/>
        <v>3.9436497532215156</v>
      </c>
      <c r="BT29" s="236">
        <f t="shared" si="24"/>
        <v>4.0346983325739227</v>
      </c>
      <c r="BU29" s="236">
        <f t="shared" si="24"/>
        <v>4.1278439881287836</v>
      </c>
      <c r="BV29" s="236">
        <f t="shared" si="24"/>
        <v>4.2231348922569794</v>
      </c>
      <c r="BW29" s="236">
        <f t="shared" si="24"/>
        <v>4.3206203205934717</v>
      </c>
      <c r="BX29" s="236">
        <f t="shared" si="24"/>
        <v>4.4203506772190906</v>
      </c>
      <c r="BY29" s="236">
        <f t="shared" si="24"/>
        <v>4.5223775204148566</v>
      </c>
      <c r="BZ29" s="236">
        <f t="shared" si="24"/>
        <v>4.6267535890018179</v>
      </c>
      <c r="CA29" s="236">
        <f t="shared" si="24"/>
        <v>4.7335328292796461</v>
      </c>
      <c r="CB29" s="236">
        <f t="shared" si="24"/>
        <v>4.8427704225775496</v>
      </c>
      <c r="CC29" s="236">
        <f t="shared" si="25"/>
        <v>0</v>
      </c>
      <c r="CD29" s="236">
        <f t="shared" si="25"/>
        <v>0</v>
      </c>
      <c r="CE29" s="236">
        <f t="shared" si="25"/>
        <v>0</v>
      </c>
      <c r="CF29" s="236">
        <f t="shared" si="25"/>
        <v>0</v>
      </c>
      <c r="CG29" s="236">
        <f t="shared" si="25"/>
        <v>0</v>
      </c>
      <c r="CH29" s="236">
        <f t="shared" si="25"/>
        <v>0</v>
      </c>
      <c r="CI29" s="236">
        <f t="shared" si="25"/>
        <v>0</v>
      </c>
      <c r="CJ29" s="236">
        <f t="shared" si="25"/>
        <v>0</v>
      </c>
      <c r="CK29" s="236">
        <f t="shared" si="25"/>
        <v>0</v>
      </c>
      <c r="CL29" s="236">
        <f t="shared" si="25"/>
        <v>0</v>
      </c>
      <c r="CM29" s="236">
        <f t="shared" si="25"/>
        <v>0</v>
      </c>
      <c r="CN29" s="236">
        <f t="shared" si="25"/>
        <v>0</v>
      </c>
      <c r="CO29" s="236">
        <f t="shared" si="25"/>
        <v>0</v>
      </c>
      <c r="CP29" s="236">
        <f t="shared" si="25"/>
        <v>0</v>
      </c>
      <c r="CQ29" s="23" t="s">
        <v>77</v>
      </c>
    </row>
    <row r="30" spans="2:95" outlineLevel="1" x14ac:dyDescent="0.2">
      <c r="B30" s="731" t="s">
        <v>583</v>
      </c>
      <c r="D30" s="24"/>
      <c r="E30" s="511" t="s">
        <v>586</v>
      </c>
      <c r="F30" s="24"/>
      <c r="G30" s="24"/>
      <c r="H30" s="24"/>
      <c r="I30" s="236">
        <f t="shared" si="18"/>
        <v>0</v>
      </c>
      <c r="J30" s="236">
        <f t="shared" si="18"/>
        <v>0</v>
      </c>
      <c r="K30" s="236">
        <f t="shared" si="18"/>
        <v>0</v>
      </c>
      <c r="L30" s="236">
        <f t="shared" si="18"/>
        <v>0</v>
      </c>
      <c r="M30" s="236">
        <f t="shared" si="18"/>
        <v>0</v>
      </c>
      <c r="N30" s="236">
        <f t="shared" si="18"/>
        <v>0</v>
      </c>
      <c r="O30" s="236">
        <f t="shared" si="18"/>
        <v>0</v>
      </c>
      <c r="P30" s="236">
        <f t="shared" si="18"/>
        <v>0</v>
      </c>
      <c r="Q30" s="236">
        <f t="shared" si="18"/>
        <v>0</v>
      </c>
      <c r="R30" s="236">
        <f t="shared" si="18"/>
        <v>0</v>
      </c>
      <c r="S30" s="236">
        <f t="shared" si="18"/>
        <v>0</v>
      </c>
      <c r="T30" s="236">
        <f t="shared" si="18"/>
        <v>0</v>
      </c>
      <c r="U30" s="236">
        <f t="shared" si="19"/>
        <v>0</v>
      </c>
      <c r="V30" s="236">
        <f t="shared" si="19"/>
        <v>0</v>
      </c>
      <c r="W30" s="236">
        <f t="shared" si="19"/>
        <v>0</v>
      </c>
      <c r="X30" s="236">
        <f t="shared" si="19"/>
        <v>0</v>
      </c>
      <c r="Y30" s="236">
        <f t="shared" si="19"/>
        <v>0</v>
      </c>
      <c r="Z30" s="236">
        <f t="shared" si="19"/>
        <v>22.5</v>
      </c>
      <c r="AA30" s="236">
        <f t="shared" si="19"/>
        <v>23.0625</v>
      </c>
      <c r="AB30" s="236">
        <f t="shared" si="19"/>
        <v>23.610234374999997</v>
      </c>
      <c r="AC30" s="236">
        <f t="shared" si="19"/>
        <v>24.170977441406247</v>
      </c>
      <c r="AD30" s="236">
        <f t="shared" si="19"/>
        <v>24.745038155639644</v>
      </c>
      <c r="AE30" s="236">
        <f t="shared" si="20"/>
        <v>25.332732811836081</v>
      </c>
      <c r="AF30" s="236">
        <f t="shared" si="20"/>
        <v>25.934385216117189</v>
      </c>
      <c r="AG30" s="236">
        <f t="shared" si="20"/>
        <v>26.550326864999967</v>
      </c>
      <c r="AH30" s="236">
        <f t="shared" si="20"/>
        <v>27.180897128043711</v>
      </c>
      <c r="AI30" s="236">
        <f t="shared" si="20"/>
        <v>27.826443434834751</v>
      </c>
      <c r="AJ30" s="236">
        <f t="shared" si="20"/>
        <v>28.487321466412073</v>
      </c>
      <c r="AK30" s="236">
        <f t="shared" si="20"/>
        <v>29.163895351239361</v>
      </c>
      <c r="AL30" s="236">
        <f t="shared" si="20"/>
        <v>29.856537865831292</v>
      </c>
      <c r="AM30" s="236">
        <f t="shared" si="20"/>
        <v>30.565630640144782</v>
      </c>
      <c r="AN30" s="236">
        <f t="shared" si="20"/>
        <v>31.29156436784822</v>
      </c>
      <c r="AO30" s="236">
        <f t="shared" si="21"/>
        <v>32.034739021584613</v>
      </c>
      <c r="AP30" s="236">
        <f t="shared" si="21"/>
        <v>32.795564073347251</v>
      </c>
      <c r="AQ30" s="236">
        <f t="shared" si="21"/>
        <v>33.574458720089247</v>
      </c>
      <c r="AR30" s="236">
        <f t="shared" si="21"/>
        <v>34.371852114691364</v>
      </c>
      <c r="AS30" s="236">
        <f t="shared" si="21"/>
        <v>35.188183602415286</v>
      </c>
      <c r="AT30" s="236">
        <f t="shared" si="21"/>
        <v>0</v>
      </c>
      <c r="AU30" s="236">
        <f t="shared" si="21"/>
        <v>0</v>
      </c>
      <c r="AV30" s="236">
        <f t="shared" si="21"/>
        <v>0</v>
      </c>
      <c r="AW30" s="236">
        <f t="shared" si="21"/>
        <v>0</v>
      </c>
      <c r="AX30" s="236">
        <f t="shared" si="21"/>
        <v>0</v>
      </c>
      <c r="AY30" s="236">
        <f t="shared" si="22"/>
        <v>0</v>
      </c>
      <c r="AZ30" s="236">
        <f t="shared" si="22"/>
        <v>0</v>
      </c>
      <c r="BA30" s="236">
        <f t="shared" si="22"/>
        <v>0</v>
      </c>
      <c r="BB30" s="236">
        <f t="shared" si="22"/>
        <v>0</v>
      </c>
      <c r="BC30" s="236">
        <f t="shared" si="22"/>
        <v>0</v>
      </c>
      <c r="BD30" s="236">
        <f t="shared" si="22"/>
        <v>0</v>
      </c>
      <c r="BE30" s="236">
        <f t="shared" si="22"/>
        <v>0</v>
      </c>
      <c r="BF30" s="236">
        <f t="shared" si="22"/>
        <v>0</v>
      </c>
      <c r="BG30" s="236">
        <f t="shared" si="22"/>
        <v>0</v>
      </c>
      <c r="BH30" s="236">
        <f t="shared" si="22"/>
        <v>0</v>
      </c>
      <c r="BI30" s="236">
        <f t="shared" si="23"/>
        <v>0</v>
      </c>
      <c r="BJ30" s="236">
        <f t="shared" si="23"/>
        <v>0</v>
      </c>
      <c r="BK30" s="236">
        <f t="shared" si="23"/>
        <v>0</v>
      </c>
      <c r="BL30" s="236">
        <f t="shared" si="23"/>
        <v>0</v>
      </c>
      <c r="BM30" s="236">
        <f t="shared" si="23"/>
        <v>0</v>
      </c>
      <c r="BN30" s="236">
        <f t="shared" si="23"/>
        <v>0</v>
      </c>
      <c r="BO30" s="236">
        <f t="shared" si="23"/>
        <v>0</v>
      </c>
      <c r="BP30" s="236">
        <f t="shared" si="23"/>
        <v>0</v>
      </c>
      <c r="BQ30" s="236">
        <f t="shared" si="23"/>
        <v>0</v>
      </c>
      <c r="BR30" s="236">
        <f t="shared" si="23"/>
        <v>0</v>
      </c>
      <c r="BS30" s="236">
        <f t="shared" si="24"/>
        <v>0</v>
      </c>
      <c r="BT30" s="236">
        <f t="shared" si="24"/>
        <v>0</v>
      </c>
      <c r="BU30" s="236">
        <f t="shared" si="24"/>
        <v>0</v>
      </c>
      <c r="BV30" s="236">
        <f t="shared" si="24"/>
        <v>0</v>
      </c>
      <c r="BW30" s="236">
        <f t="shared" si="24"/>
        <v>0</v>
      </c>
      <c r="BX30" s="236">
        <f t="shared" si="24"/>
        <v>0</v>
      </c>
      <c r="BY30" s="236">
        <f t="shared" si="24"/>
        <v>0</v>
      </c>
      <c r="BZ30" s="236">
        <f t="shared" si="24"/>
        <v>0</v>
      </c>
      <c r="CA30" s="236">
        <f t="shared" si="24"/>
        <v>0</v>
      </c>
      <c r="CB30" s="236">
        <f t="shared" si="24"/>
        <v>0</v>
      </c>
      <c r="CC30" s="236">
        <f t="shared" si="25"/>
        <v>0</v>
      </c>
      <c r="CD30" s="236">
        <f t="shared" si="25"/>
        <v>0</v>
      </c>
      <c r="CE30" s="236">
        <f t="shared" si="25"/>
        <v>0</v>
      </c>
      <c r="CF30" s="236">
        <f t="shared" si="25"/>
        <v>0</v>
      </c>
      <c r="CG30" s="236">
        <f t="shared" si="25"/>
        <v>0</v>
      </c>
      <c r="CH30" s="236">
        <f t="shared" si="25"/>
        <v>0</v>
      </c>
      <c r="CI30" s="236">
        <f t="shared" si="25"/>
        <v>0</v>
      </c>
      <c r="CJ30" s="236">
        <f t="shared" si="25"/>
        <v>0</v>
      </c>
      <c r="CK30" s="236">
        <f t="shared" si="25"/>
        <v>0</v>
      </c>
      <c r="CL30" s="236">
        <f t="shared" si="25"/>
        <v>0</v>
      </c>
      <c r="CM30" s="236">
        <f t="shared" si="25"/>
        <v>0</v>
      </c>
      <c r="CN30" s="236">
        <f t="shared" si="25"/>
        <v>0</v>
      </c>
      <c r="CO30" s="236">
        <f t="shared" si="25"/>
        <v>0</v>
      </c>
      <c r="CP30" s="236">
        <f t="shared" si="25"/>
        <v>0</v>
      </c>
      <c r="CQ30" s="23" t="s">
        <v>77</v>
      </c>
    </row>
    <row r="31" spans="2:95" outlineLevel="1" x14ac:dyDescent="0.2">
      <c r="B31" s="731" t="s">
        <v>584</v>
      </c>
      <c r="D31" s="24"/>
      <c r="E31" s="511" t="s">
        <v>579</v>
      </c>
      <c r="F31" s="24"/>
      <c r="G31" s="24"/>
      <c r="H31" s="24"/>
      <c r="I31" s="236">
        <f t="shared" si="18"/>
        <v>0</v>
      </c>
      <c r="J31" s="236">
        <f t="shared" si="18"/>
        <v>0</v>
      </c>
      <c r="K31" s="236">
        <f t="shared" si="18"/>
        <v>0</v>
      </c>
      <c r="L31" s="236">
        <f t="shared" si="18"/>
        <v>0</v>
      </c>
      <c r="M31" s="236">
        <f t="shared" si="18"/>
        <v>0</v>
      </c>
      <c r="N31" s="236">
        <f t="shared" si="18"/>
        <v>0</v>
      </c>
      <c r="O31" s="236">
        <f t="shared" si="18"/>
        <v>0</v>
      </c>
      <c r="P31" s="236">
        <f t="shared" si="18"/>
        <v>0</v>
      </c>
      <c r="Q31" s="236">
        <f t="shared" si="18"/>
        <v>0</v>
      </c>
      <c r="R31" s="236">
        <f t="shared" si="18"/>
        <v>0</v>
      </c>
      <c r="S31" s="236">
        <f t="shared" si="18"/>
        <v>0</v>
      </c>
      <c r="T31" s="236">
        <f t="shared" si="18"/>
        <v>0</v>
      </c>
      <c r="U31" s="236">
        <f t="shared" si="19"/>
        <v>0</v>
      </c>
      <c r="V31" s="236">
        <f t="shared" si="19"/>
        <v>0</v>
      </c>
      <c r="W31" s="236">
        <f t="shared" si="19"/>
        <v>0</v>
      </c>
      <c r="X31" s="236">
        <f t="shared" si="19"/>
        <v>0</v>
      </c>
      <c r="Y31" s="236">
        <f t="shared" si="19"/>
        <v>0</v>
      </c>
      <c r="Z31" s="236">
        <f t="shared" si="19"/>
        <v>0</v>
      </c>
      <c r="AA31" s="236">
        <f t="shared" si="19"/>
        <v>0</v>
      </c>
      <c r="AB31" s="236">
        <f t="shared" si="19"/>
        <v>0</v>
      </c>
      <c r="AC31" s="236">
        <f t="shared" si="19"/>
        <v>0</v>
      </c>
      <c r="AD31" s="236">
        <f t="shared" si="19"/>
        <v>0</v>
      </c>
      <c r="AE31" s="236">
        <f t="shared" si="20"/>
        <v>0</v>
      </c>
      <c r="AF31" s="236">
        <f t="shared" si="20"/>
        <v>0</v>
      </c>
      <c r="AG31" s="236">
        <f t="shared" si="20"/>
        <v>0</v>
      </c>
      <c r="AH31" s="236">
        <f t="shared" si="20"/>
        <v>0</v>
      </c>
      <c r="AI31" s="236">
        <f t="shared" si="20"/>
        <v>0</v>
      </c>
      <c r="AJ31" s="236">
        <f t="shared" si="20"/>
        <v>0</v>
      </c>
      <c r="AK31" s="236">
        <f t="shared" si="20"/>
        <v>0</v>
      </c>
      <c r="AL31" s="236">
        <f t="shared" si="20"/>
        <v>0</v>
      </c>
      <c r="AM31" s="236">
        <f t="shared" si="20"/>
        <v>0</v>
      </c>
      <c r="AN31" s="236">
        <f t="shared" si="20"/>
        <v>0</v>
      </c>
      <c r="AO31" s="236">
        <f t="shared" si="21"/>
        <v>0</v>
      </c>
      <c r="AP31" s="236">
        <f t="shared" si="21"/>
        <v>0</v>
      </c>
      <c r="AQ31" s="236">
        <f t="shared" si="21"/>
        <v>0</v>
      </c>
      <c r="AR31" s="236">
        <f t="shared" si="21"/>
        <v>0</v>
      </c>
      <c r="AS31" s="236">
        <f t="shared" si="21"/>
        <v>0</v>
      </c>
      <c r="AT31" s="236">
        <f t="shared" si="21"/>
        <v>0</v>
      </c>
      <c r="AU31" s="236">
        <f t="shared" si="21"/>
        <v>0</v>
      </c>
      <c r="AV31" s="236">
        <f t="shared" si="21"/>
        <v>0</v>
      </c>
      <c r="AW31" s="236">
        <f t="shared" si="21"/>
        <v>0</v>
      </c>
      <c r="AX31" s="236">
        <f t="shared" si="21"/>
        <v>0</v>
      </c>
      <c r="AY31" s="236">
        <f t="shared" si="22"/>
        <v>0</v>
      </c>
      <c r="AZ31" s="236">
        <f t="shared" si="22"/>
        <v>0</v>
      </c>
      <c r="BA31" s="236">
        <f t="shared" si="22"/>
        <v>0</v>
      </c>
      <c r="BB31" s="236">
        <f t="shared" si="22"/>
        <v>0</v>
      </c>
      <c r="BC31" s="236">
        <f t="shared" si="22"/>
        <v>0</v>
      </c>
      <c r="BD31" s="236">
        <f t="shared" si="22"/>
        <v>0</v>
      </c>
      <c r="BE31" s="236">
        <f t="shared" si="22"/>
        <v>0</v>
      </c>
      <c r="BF31" s="236">
        <f t="shared" si="22"/>
        <v>0</v>
      </c>
      <c r="BG31" s="236">
        <f t="shared" si="22"/>
        <v>0</v>
      </c>
      <c r="BH31" s="236">
        <f t="shared" si="22"/>
        <v>0</v>
      </c>
      <c r="BI31" s="236">
        <f t="shared" si="23"/>
        <v>0</v>
      </c>
      <c r="BJ31" s="236">
        <f t="shared" si="23"/>
        <v>0</v>
      </c>
      <c r="BK31" s="236">
        <f t="shared" si="23"/>
        <v>0</v>
      </c>
      <c r="BL31" s="236">
        <f t="shared" si="23"/>
        <v>0</v>
      </c>
      <c r="BM31" s="236">
        <f t="shared" si="23"/>
        <v>0</v>
      </c>
      <c r="BN31" s="236">
        <f t="shared" si="23"/>
        <v>0</v>
      </c>
      <c r="BO31" s="236">
        <f t="shared" si="23"/>
        <v>0</v>
      </c>
      <c r="BP31" s="236">
        <f t="shared" si="23"/>
        <v>0</v>
      </c>
      <c r="BQ31" s="236">
        <f t="shared" si="23"/>
        <v>0</v>
      </c>
      <c r="BR31" s="236">
        <f t="shared" si="23"/>
        <v>0</v>
      </c>
      <c r="BS31" s="236">
        <f t="shared" si="24"/>
        <v>0</v>
      </c>
      <c r="BT31" s="236">
        <f t="shared" si="24"/>
        <v>0</v>
      </c>
      <c r="BU31" s="236">
        <f t="shared" si="24"/>
        <v>0</v>
      </c>
      <c r="BV31" s="236">
        <f t="shared" si="24"/>
        <v>0</v>
      </c>
      <c r="BW31" s="236">
        <f t="shared" si="24"/>
        <v>0</v>
      </c>
      <c r="BX31" s="236">
        <f t="shared" si="24"/>
        <v>0</v>
      </c>
      <c r="BY31" s="236">
        <f t="shared" si="24"/>
        <v>0</v>
      </c>
      <c r="BZ31" s="236">
        <f t="shared" si="24"/>
        <v>0</v>
      </c>
      <c r="CA31" s="236">
        <f t="shared" si="24"/>
        <v>0</v>
      </c>
      <c r="CB31" s="236">
        <f t="shared" si="24"/>
        <v>0</v>
      </c>
      <c r="CC31" s="236">
        <f t="shared" si="25"/>
        <v>0</v>
      </c>
      <c r="CD31" s="236">
        <f t="shared" si="25"/>
        <v>0</v>
      </c>
      <c r="CE31" s="236">
        <f t="shared" si="25"/>
        <v>0</v>
      </c>
      <c r="CF31" s="236">
        <f t="shared" si="25"/>
        <v>0</v>
      </c>
      <c r="CG31" s="236">
        <f t="shared" si="25"/>
        <v>0</v>
      </c>
      <c r="CH31" s="236">
        <f t="shared" si="25"/>
        <v>0</v>
      </c>
      <c r="CI31" s="236">
        <f t="shared" si="25"/>
        <v>0</v>
      </c>
      <c r="CJ31" s="236">
        <f t="shared" si="25"/>
        <v>0</v>
      </c>
      <c r="CK31" s="236">
        <f t="shared" si="25"/>
        <v>0</v>
      </c>
      <c r="CL31" s="236">
        <f t="shared" si="25"/>
        <v>0</v>
      </c>
      <c r="CM31" s="236">
        <f t="shared" si="25"/>
        <v>0</v>
      </c>
      <c r="CN31" s="236">
        <f t="shared" si="25"/>
        <v>0</v>
      </c>
      <c r="CO31" s="236">
        <f t="shared" si="25"/>
        <v>0</v>
      </c>
      <c r="CP31" s="236">
        <f t="shared" si="25"/>
        <v>0</v>
      </c>
      <c r="CQ31" s="23" t="s">
        <v>77</v>
      </c>
    </row>
    <row r="32" spans="2:95" outlineLevel="1" x14ac:dyDescent="0.2">
      <c r="B32" s="311" t="s">
        <v>46</v>
      </c>
      <c r="D32" s="24"/>
      <c r="E32" s="24"/>
      <c r="F32" s="24"/>
      <c r="G32" s="24"/>
      <c r="H32" s="24"/>
      <c r="I32" s="245" t="b">
        <f t="shared" ref="I32:T32" si="26">IF(ABS(I25-SUM(I27:I31)&lt;0.1),TRUE,I25-SUM(I27:I31))</f>
        <v>1</v>
      </c>
      <c r="J32" s="245" t="b">
        <f t="shared" si="26"/>
        <v>1</v>
      </c>
      <c r="K32" s="245" t="b">
        <f t="shared" si="26"/>
        <v>1</v>
      </c>
      <c r="L32" s="245" t="b">
        <f t="shared" si="26"/>
        <v>1</v>
      </c>
      <c r="M32" s="245" t="b">
        <f t="shared" si="26"/>
        <v>1</v>
      </c>
      <c r="N32" s="245" t="b">
        <f t="shared" si="26"/>
        <v>1</v>
      </c>
      <c r="O32" s="245" t="b">
        <f t="shared" si="26"/>
        <v>1</v>
      </c>
      <c r="P32" s="245" t="b">
        <f t="shared" si="26"/>
        <v>1</v>
      </c>
      <c r="Q32" s="245" t="b">
        <f t="shared" si="26"/>
        <v>1</v>
      </c>
      <c r="R32" s="245" t="b">
        <f t="shared" si="26"/>
        <v>1</v>
      </c>
      <c r="S32" s="245" t="b">
        <f t="shared" si="26"/>
        <v>1</v>
      </c>
      <c r="T32" s="245" t="b">
        <f t="shared" si="26"/>
        <v>1</v>
      </c>
      <c r="U32" s="245" t="b">
        <f>IF(ABS(U25-SUM(U27:U31)&lt;0.1),TRUE,U25-SUM(U27:U31))</f>
        <v>1</v>
      </c>
      <c r="V32" s="245" t="b">
        <f t="shared" ref="V32:BA32" si="27">IF(ABS(V25-SUM(V27:V31)&lt;0.1),TRUE,V25-SUM(V27:V31))</f>
        <v>1</v>
      </c>
      <c r="W32" s="245" t="b">
        <f t="shared" si="27"/>
        <v>1</v>
      </c>
      <c r="X32" s="245" t="b">
        <f t="shared" si="27"/>
        <v>1</v>
      </c>
      <c r="Y32" s="245" t="b">
        <f t="shared" si="27"/>
        <v>1</v>
      </c>
      <c r="Z32" s="245" t="b">
        <f t="shared" si="27"/>
        <v>1</v>
      </c>
      <c r="AA32" s="245" t="b">
        <f t="shared" si="27"/>
        <v>1</v>
      </c>
      <c r="AB32" s="245" t="b">
        <f t="shared" si="27"/>
        <v>1</v>
      </c>
      <c r="AC32" s="245" t="b">
        <f t="shared" si="27"/>
        <v>1</v>
      </c>
      <c r="AD32" s="245" t="b">
        <f t="shared" si="27"/>
        <v>1</v>
      </c>
      <c r="AE32" s="245" t="b">
        <f t="shared" si="27"/>
        <v>1</v>
      </c>
      <c r="AF32" s="245" t="b">
        <f t="shared" si="27"/>
        <v>1</v>
      </c>
      <c r="AG32" s="245" t="b">
        <f t="shared" si="27"/>
        <v>1</v>
      </c>
      <c r="AH32" s="245" t="b">
        <f t="shared" si="27"/>
        <v>1</v>
      </c>
      <c r="AI32" s="245" t="b">
        <f t="shared" si="27"/>
        <v>1</v>
      </c>
      <c r="AJ32" s="245" t="b">
        <f t="shared" si="27"/>
        <v>1</v>
      </c>
      <c r="AK32" s="245" t="b">
        <f t="shared" si="27"/>
        <v>1</v>
      </c>
      <c r="AL32" s="245" t="b">
        <f t="shared" si="27"/>
        <v>1</v>
      </c>
      <c r="AM32" s="245" t="b">
        <f t="shared" si="27"/>
        <v>1</v>
      </c>
      <c r="AN32" s="245" t="b">
        <f t="shared" si="27"/>
        <v>1</v>
      </c>
      <c r="AO32" s="245" t="b">
        <f t="shared" si="27"/>
        <v>1</v>
      </c>
      <c r="AP32" s="245" t="b">
        <f t="shared" si="27"/>
        <v>1</v>
      </c>
      <c r="AQ32" s="245" t="b">
        <f t="shared" si="27"/>
        <v>1</v>
      </c>
      <c r="AR32" s="245" t="b">
        <f t="shared" si="27"/>
        <v>1</v>
      </c>
      <c r="AS32" s="245" t="b">
        <f t="shared" si="27"/>
        <v>1</v>
      </c>
      <c r="AT32" s="245" t="b">
        <f t="shared" si="27"/>
        <v>1</v>
      </c>
      <c r="AU32" s="245" t="b">
        <f t="shared" si="27"/>
        <v>1</v>
      </c>
      <c r="AV32" s="245" t="b">
        <f t="shared" si="27"/>
        <v>1</v>
      </c>
      <c r="AW32" s="245" t="b">
        <f t="shared" si="27"/>
        <v>1</v>
      </c>
      <c r="AX32" s="245" t="b">
        <f t="shared" si="27"/>
        <v>1</v>
      </c>
      <c r="AY32" s="245" t="b">
        <f t="shared" si="27"/>
        <v>1</v>
      </c>
      <c r="AZ32" s="245" t="b">
        <f t="shared" si="27"/>
        <v>1</v>
      </c>
      <c r="BA32" s="245" t="b">
        <f t="shared" si="27"/>
        <v>1</v>
      </c>
      <c r="BB32" s="245" t="b">
        <f>IF(ABS(BB25-SUM(BB27:BB31)&lt;0.1),TRUE,BB25-SUM(BB27:BB31))</f>
        <v>1</v>
      </c>
      <c r="BC32" s="245" t="b">
        <f t="shared" ref="BC32:CP32" si="28">IF(ABS(BC25-SUM(BC27:BC31)&lt;0.1),TRUE,BC25-SUM(BC27:BC31))</f>
        <v>1</v>
      </c>
      <c r="BD32" s="245" t="b">
        <f t="shared" si="28"/>
        <v>1</v>
      </c>
      <c r="BE32" s="245" t="b">
        <f t="shared" si="28"/>
        <v>1</v>
      </c>
      <c r="BF32" s="245" t="b">
        <f t="shared" si="28"/>
        <v>1</v>
      </c>
      <c r="BG32" s="245" t="b">
        <f t="shared" si="28"/>
        <v>1</v>
      </c>
      <c r="BH32" s="245" t="b">
        <f t="shared" si="28"/>
        <v>1</v>
      </c>
      <c r="BI32" s="245" t="b">
        <f t="shared" si="28"/>
        <v>1</v>
      </c>
      <c r="BJ32" s="245" t="b">
        <f t="shared" si="28"/>
        <v>1</v>
      </c>
      <c r="BK32" s="245" t="b">
        <f t="shared" si="28"/>
        <v>1</v>
      </c>
      <c r="BL32" s="245" t="b">
        <f t="shared" si="28"/>
        <v>1</v>
      </c>
      <c r="BM32" s="245" t="b">
        <f t="shared" si="28"/>
        <v>1</v>
      </c>
      <c r="BN32" s="245" t="b">
        <f t="shared" si="28"/>
        <v>1</v>
      </c>
      <c r="BO32" s="245" t="b">
        <f t="shared" si="28"/>
        <v>1</v>
      </c>
      <c r="BP32" s="245" t="b">
        <f t="shared" si="28"/>
        <v>1</v>
      </c>
      <c r="BQ32" s="245" t="b">
        <f t="shared" si="28"/>
        <v>1</v>
      </c>
      <c r="BR32" s="245" t="b">
        <f t="shared" si="28"/>
        <v>1</v>
      </c>
      <c r="BS32" s="245" t="b">
        <f t="shared" si="28"/>
        <v>1</v>
      </c>
      <c r="BT32" s="245" t="b">
        <f t="shared" si="28"/>
        <v>1</v>
      </c>
      <c r="BU32" s="245" t="b">
        <f t="shared" si="28"/>
        <v>1</v>
      </c>
      <c r="BV32" s="245" t="b">
        <f t="shared" si="28"/>
        <v>1</v>
      </c>
      <c r="BW32" s="245" t="b">
        <f t="shared" si="28"/>
        <v>1</v>
      </c>
      <c r="BX32" s="245" t="b">
        <f t="shared" si="28"/>
        <v>1</v>
      </c>
      <c r="BY32" s="245" t="b">
        <f t="shared" si="28"/>
        <v>1</v>
      </c>
      <c r="BZ32" s="245" t="b">
        <f t="shared" si="28"/>
        <v>1</v>
      </c>
      <c r="CA32" s="245" t="b">
        <f t="shared" si="28"/>
        <v>1</v>
      </c>
      <c r="CB32" s="245" t="b">
        <f t="shared" si="28"/>
        <v>1</v>
      </c>
      <c r="CC32" s="245" t="b">
        <f t="shared" si="28"/>
        <v>1</v>
      </c>
      <c r="CD32" s="245" t="b">
        <f t="shared" si="28"/>
        <v>1</v>
      </c>
      <c r="CE32" s="245" t="b">
        <f t="shared" si="28"/>
        <v>1</v>
      </c>
      <c r="CF32" s="245" t="b">
        <f t="shared" si="28"/>
        <v>1</v>
      </c>
      <c r="CG32" s="245" t="b">
        <f t="shared" si="28"/>
        <v>1</v>
      </c>
      <c r="CH32" s="245" t="b">
        <f t="shared" si="28"/>
        <v>1</v>
      </c>
      <c r="CI32" s="245" t="b">
        <f t="shared" si="28"/>
        <v>1</v>
      </c>
      <c r="CJ32" s="245" t="b">
        <f t="shared" si="28"/>
        <v>1</v>
      </c>
      <c r="CK32" s="245" t="b">
        <f t="shared" si="28"/>
        <v>1</v>
      </c>
      <c r="CL32" s="245" t="b">
        <f t="shared" si="28"/>
        <v>1</v>
      </c>
      <c r="CM32" s="245" t="b">
        <f t="shared" si="28"/>
        <v>1</v>
      </c>
      <c r="CN32" s="245" t="b">
        <f t="shared" si="28"/>
        <v>1</v>
      </c>
      <c r="CO32" s="245" t="b">
        <f t="shared" si="28"/>
        <v>1</v>
      </c>
      <c r="CP32" s="245" t="b">
        <f t="shared" si="28"/>
        <v>1</v>
      </c>
      <c r="CQ32" s="23" t="s">
        <v>77</v>
      </c>
    </row>
    <row r="33" spans="2:95" outlineLevel="1" x14ac:dyDescent="0.2">
      <c r="B33" s="24"/>
      <c r="D33" s="24"/>
      <c r="E33" s="24"/>
      <c r="F33" s="24"/>
      <c r="G33" s="24"/>
      <c r="H33" s="24"/>
      <c r="I33" s="236"/>
      <c r="J33" s="236"/>
      <c r="K33" s="236"/>
      <c r="L33" s="236"/>
      <c r="M33" s="236"/>
      <c r="N33" s="236"/>
      <c r="O33" s="236"/>
      <c r="P33" s="236"/>
      <c r="Q33" s="236"/>
      <c r="R33" s="236"/>
      <c r="S33" s="236"/>
      <c r="T33" s="236"/>
      <c r="U33" s="236"/>
      <c r="V33" s="236"/>
      <c r="W33" s="236"/>
      <c r="X33" s="236"/>
      <c r="Y33" s="236"/>
      <c r="Z33" s="236"/>
      <c r="AA33" s="236"/>
      <c r="AB33" s="236"/>
      <c r="AC33" s="236"/>
      <c r="AD33" s="236"/>
      <c r="AE33" s="236"/>
      <c r="AF33" s="236"/>
      <c r="AG33" s="236"/>
      <c r="AH33" s="236"/>
      <c r="AI33" s="236"/>
      <c r="AJ33" s="236"/>
      <c r="AK33" s="236"/>
      <c r="AL33" s="236"/>
      <c r="AM33" s="236"/>
      <c r="AN33" s="236"/>
      <c r="AO33" s="236"/>
      <c r="AP33" s="236"/>
      <c r="AQ33" s="236"/>
      <c r="AR33" s="236"/>
      <c r="AS33" s="236"/>
      <c r="AT33" s="236"/>
      <c r="AU33" s="236"/>
      <c r="AV33" s="236"/>
      <c r="AW33" s="236"/>
      <c r="AX33" s="236"/>
      <c r="AY33" s="236"/>
      <c r="AZ33" s="236"/>
      <c r="BA33" s="236"/>
      <c r="BB33" s="236"/>
      <c r="BC33" s="236"/>
      <c r="BD33" s="236"/>
      <c r="BE33" s="236"/>
      <c r="BF33" s="236"/>
      <c r="BG33" s="236"/>
      <c r="BH33" s="236"/>
      <c r="BI33" s="236"/>
      <c r="BJ33" s="236"/>
      <c r="BK33" s="236"/>
      <c r="BL33" s="236"/>
      <c r="BM33" s="236"/>
      <c r="BN33" s="236"/>
      <c r="BO33" s="236"/>
      <c r="BP33" s="236"/>
      <c r="BQ33" s="236"/>
      <c r="BR33" s="236"/>
      <c r="BS33" s="236"/>
      <c r="BT33" s="236"/>
      <c r="BU33" s="236"/>
      <c r="BV33" s="236"/>
      <c r="BW33" s="236"/>
      <c r="BX33" s="236"/>
      <c r="BY33" s="236"/>
      <c r="BZ33" s="236"/>
      <c r="CA33" s="236"/>
      <c r="CB33" s="236"/>
      <c r="CC33" s="236"/>
      <c r="CD33" s="236"/>
      <c r="CE33" s="236"/>
      <c r="CF33" s="236"/>
      <c r="CG33" s="236"/>
      <c r="CH33" s="236"/>
      <c r="CI33" s="236"/>
      <c r="CJ33" s="236"/>
      <c r="CK33" s="236"/>
      <c r="CL33" s="236"/>
      <c r="CM33" s="236"/>
      <c r="CN33" s="236"/>
      <c r="CO33" s="236"/>
      <c r="CP33" s="236"/>
      <c r="CQ33" s="23" t="s">
        <v>77</v>
      </c>
    </row>
    <row r="34" spans="2:95" s="98" customFormat="1" outlineLevel="1" x14ac:dyDescent="0.2">
      <c r="B34" s="98" t="s">
        <v>361</v>
      </c>
      <c r="C34" s="24"/>
      <c r="I34" s="93" t="str">
        <f t="shared" ref="I34:BB34" si="29">IF(ISERROR(+I23/I19),"n.a.",+I23/I19)</f>
        <v>n.a.</v>
      </c>
      <c r="J34" s="93" t="str">
        <f t="shared" si="29"/>
        <v>n.a.</v>
      </c>
      <c r="K34" s="93" t="str">
        <f t="shared" si="29"/>
        <v>n.a.</v>
      </c>
      <c r="L34" s="93" t="str">
        <f t="shared" si="29"/>
        <v>n.a.</v>
      </c>
      <c r="M34" s="93">
        <f t="shared" si="29"/>
        <v>0.75531308158732069</v>
      </c>
      <c r="N34" s="93">
        <f t="shared" si="29"/>
        <v>0.73677351076443665</v>
      </c>
      <c r="O34" s="93">
        <f t="shared" si="29"/>
        <v>0.77989308755760367</v>
      </c>
      <c r="P34" s="93">
        <f t="shared" si="29"/>
        <v>0.75985005699587871</v>
      </c>
      <c r="Q34" s="93">
        <f t="shared" si="29"/>
        <v>0.75566269203552705</v>
      </c>
      <c r="R34" s="93">
        <f t="shared" si="29"/>
        <v>0.75357260209427335</v>
      </c>
      <c r="S34" s="93">
        <f t="shared" si="29"/>
        <v>0.76277816732479609</v>
      </c>
      <c r="T34" s="93">
        <f t="shared" si="29"/>
        <v>0.83046027500667008</v>
      </c>
      <c r="U34" s="93">
        <f t="shared" si="29"/>
        <v>0.79569905618856651</v>
      </c>
      <c r="V34" s="93">
        <f t="shared" si="29"/>
        <v>0.78958893006778164</v>
      </c>
      <c r="W34" s="93">
        <f t="shared" si="29"/>
        <v>0.78376001936971951</v>
      </c>
      <c r="X34" s="93">
        <f t="shared" si="29"/>
        <v>0.78389652838972024</v>
      </c>
      <c r="Y34" s="93">
        <f t="shared" si="29"/>
        <v>0.78397257469565307</v>
      </c>
      <c r="Z34" s="93">
        <f t="shared" si="29"/>
        <v>0.78651983826180971</v>
      </c>
      <c r="AA34" s="93">
        <f t="shared" si="29"/>
        <v>0.78674199301341907</v>
      </c>
      <c r="AB34" s="93">
        <f t="shared" si="29"/>
        <v>0.78696275181214426</v>
      </c>
      <c r="AC34" s="93">
        <f t="shared" si="29"/>
        <v>0.78705177697774453</v>
      </c>
      <c r="AD34" s="93">
        <f t="shared" si="29"/>
        <v>0.78712243799381665</v>
      </c>
      <c r="AE34" s="93">
        <f t="shared" si="29"/>
        <v>0.78744811033914608</v>
      </c>
      <c r="AF34" s="93">
        <f t="shared" si="29"/>
        <v>0.78772588770448981</v>
      </c>
      <c r="AG34" s="93">
        <f t="shared" si="29"/>
        <v>0.78782698645221816</v>
      </c>
      <c r="AH34" s="93">
        <f t="shared" si="29"/>
        <v>0.78792863310602923</v>
      </c>
      <c r="AI34" s="93">
        <f t="shared" si="29"/>
        <v>0.78779696547323363</v>
      </c>
      <c r="AJ34" s="93">
        <f t="shared" si="29"/>
        <v>0.78766489423600494</v>
      </c>
      <c r="AK34" s="93">
        <f t="shared" si="29"/>
        <v>0.78753235310893355</v>
      </c>
      <c r="AL34" s="93">
        <f t="shared" si="29"/>
        <v>0.78739945190323923</v>
      </c>
      <c r="AM34" s="93">
        <f t="shared" si="29"/>
        <v>0.78726629706334561</v>
      </c>
      <c r="AN34" s="93">
        <f t="shared" si="29"/>
        <v>0.78713265669179977</v>
      </c>
      <c r="AO34" s="93">
        <f t="shared" si="29"/>
        <v>0.78699872466020948</v>
      </c>
      <c r="AP34" s="93">
        <f t="shared" si="29"/>
        <v>0.78686460569376904</v>
      </c>
      <c r="AQ34" s="93">
        <f t="shared" si="29"/>
        <v>0.78673015932556345</v>
      </c>
      <c r="AR34" s="93">
        <f t="shared" si="29"/>
        <v>0.78659541253672427</v>
      </c>
      <c r="AS34" s="93">
        <f t="shared" si="29"/>
        <v>0.9434483281062308</v>
      </c>
      <c r="AT34" s="93" t="str">
        <f t="shared" si="29"/>
        <v>n.a.</v>
      </c>
      <c r="AU34" s="93" t="str">
        <f t="shared" si="29"/>
        <v>n.a.</v>
      </c>
      <c r="AV34" s="93" t="str">
        <f t="shared" si="29"/>
        <v>n.a.</v>
      </c>
      <c r="AW34" s="93" t="str">
        <f t="shared" si="29"/>
        <v>n.a.</v>
      </c>
      <c r="AX34" s="93" t="str">
        <f t="shared" si="29"/>
        <v>n.a.</v>
      </c>
      <c r="AY34" s="93" t="str">
        <f t="shared" si="29"/>
        <v>n.a.</v>
      </c>
      <c r="AZ34" s="93" t="str">
        <f t="shared" si="29"/>
        <v>n.a.</v>
      </c>
      <c r="BA34" s="93" t="str">
        <f t="shared" si="29"/>
        <v>n.a.</v>
      </c>
      <c r="BB34" s="93" t="str">
        <f t="shared" si="29"/>
        <v>n.a.</v>
      </c>
      <c r="BC34" s="93" t="str">
        <f t="shared" ref="BC34:CP34" si="30">IF(ISERROR(+BC23/BC19),"n.a.",+BC23/BC19)</f>
        <v>n.a.</v>
      </c>
      <c r="BD34" s="93" t="str">
        <f t="shared" si="30"/>
        <v>n.a.</v>
      </c>
      <c r="BE34" s="93" t="str">
        <f t="shared" si="30"/>
        <v>n.a.</v>
      </c>
      <c r="BF34" s="93" t="str">
        <f t="shared" si="30"/>
        <v>n.a.</v>
      </c>
      <c r="BG34" s="93" t="str">
        <f t="shared" si="30"/>
        <v>n.a.</v>
      </c>
      <c r="BH34" s="93" t="str">
        <f t="shared" si="30"/>
        <v>n.a.</v>
      </c>
      <c r="BI34" s="93" t="str">
        <f t="shared" si="30"/>
        <v>n.a.</v>
      </c>
      <c r="BJ34" s="93" t="str">
        <f t="shared" si="30"/>
        <v>n.a.</v>
      </c>
      <c r="BK34" s="93" t="str">
        <f t="shared" si="30"/>
        <v>n.a.</v>
      </c>
      <c r="BL34" s="93" t="str">
        <f t="shared" si="30"/>
        <v>n.a.</v>
      </c>
      <c r="BM34" s="93" t="str">
        <f t="shared" si="30"/>
        <v>n.a.</v>
      </c>
      <c r="BN34" s="93" t="str">
        <f t="shared" si="30"/>
        <v>n.a.</v>
      </c>
      <c r="BO34" s="93" t="str">
        <f t="shared" si="30"/>
        <v>n.a.</v>
      </c>
      <c r="BP34" s="93" t="str">
        <f t="shared" si="30"/>
        <v>n.a.</v>
      </c>
      <c r="BQ34" s="93" t="str">
        <f t="shared" si="30"/>
        <v>n.a.</v>
      </c>
      <c r="BR34" s="93" t="str">
        <f t="shared" si="30"/>
        <v>n.a.</v>
      </c>
      <c r="BS34" s="93" t="str">
        <f t="shared" si="30"/>
        <v>n.a.</v>
      </c>
      <c r="BT34" s="93" t="str">
        <f t="shared" si="30"/>
        <v>n.a.</v>
      </c>
      <c r="BU34" s="93" t="str">
        <f t="shared" si="30"/>
        <v>n.a.</v>
      </c>
      <c r="BV34" s="93" t="str">
        <f t="shared" si="30"/>
        <v>n.a.</v>
      </c>
      <c r="BW34" s="93" t="str">
        <f t="shared" si="30"/>
        <v>n.a.</v>
      </c>
      <c r="BX34" s="93" t="str">
        <f t="shared" si="30"/>
        <v>n.a.</v>
      </c>
      <c r="BY34" s="93" t="str">
        <f t="shared" si="30"/>
        <v>n.a.</v>
      </c>
      <c r="BZ34" s="93" t="str">
        <f t="shared" si="30"/>
        <v>n.a.</v>
      </c>
      <c r="CA34" s="93" t="str">
        <f t="shared" si="30"/>
        <v>n.a.</v>
      </c>
      <c r="CB34" s="93" t="str">
        <f t="shared" si="30"/>
        <v>n.a.</v>
      </c>
      <c r="CC34" s="93" t="str">
        <f t="shared" si="30"/>
        <v>n.a.</v>
      </c>
      <c r="CD34" s="93" t="str">
        <f t="shared" si="30"/>
        <v>n.a.</v>
      </c>
      <c r="CE34" s="93" t="str">
        <f t="shared" si="30"/>
        <v>n.a.</v>
      </c>
      <c r="CF34" s="93" t="str">
        <f t="shared" si="30"/>
        <v>n.a.</v>
      </c>
      <c r="CG34" s="93" t="str">
        <f t="shared" si="30"/>
        <v>n.a.</v>
      </c>
      <c r="CH34" s="93" t="str">
        <f t="shared" si="30"/>
        <v>n.a.</v>
      </c>
      <c r="CI34" s="93" t="str">
        <f t="shared" si="30"/>
        <v>n.a.</v>
      </c>
      <c r="CJ34" s="93" t="str">
        <f t="shared" si="30"/>
        <v>n.a.</v>
      </c>
      <c r="CK34" s="93" t="str">
        <f t="shared" si="30"/>
        <v>n.a.</v>
      </c>
      <c r="CL34" s="93" t="str">
        <f t="shared" si="30"/>
        <v>n.a.</v>
      </c>
      <c r="CM34" s="93" t="str">
        <f t="shared" si="30"/>
        <v>n.a.</v>
      </c>
      <c r="CN34" s="93" t="str">
        <f t="shared" si="30"/>
        <v>n.a.</v>
      </c>
      <c r="CO34" s="93" t="str">
        <f t="shared" si="30"/>
        <v>n.a.</v>
      </c>
      <c r="CP34" s="93" t="str">
        <f t="shared" si="30"/>
        <v>n.a.</v>
      </c>
      <c r="CQ34" s="23" t="s">
        <v>77</v>
      </c>
    </row>
    <row r="35" spans="2:95" s="98" customFormat="1" outlineLevel="1" x14ac:dyDescent="0.2">
      <c r="B35" s="98" t="s">
        <v>362</v>
      </c>
      <c r="C35" s="24"/>
      <c r="I35" s="93" t="str">
        <f t="shared" ref="I35:BB35" si="31">IF(ISERROR(+I24/I20),"n.a.",+I24/I20)</f>
        <v>n.a.</v>
      </c>
      <c r="J35" s="93" t="str">
        <f t="shared" si="31"/>
        <v>n.a.</v>
      </c>
      <c r="K35" s="93" t="str">
        <f t="shared" si="31"/>
        <v>n.a.</v>
      </c>
      <c r="L35" s="93" t="str">
        <f t="shared" si="31"/>
        <v>n.a.</v>
      </c>
      <c r="M35" s="93" t="str">
        <f t="shared" si="31"/>
        <v>n.a.</v>
      </c>
      <c r="N35" s="93">
        <f t="shared" si="31"/>
        <v>0.89757127771911305</v>
      </c>
      <c r="O35" s="93">
        <f t="shared" si="31"/>
        <v>0.88522902727740604</v>
      </c>
      <c r="P35" s="93">
        <f t="shared" si="31"/>
        <v>0.85785536159601006</v>
      </c>
      <c r="Q35" s="93">
        <f t="shared" si="31"/>
        <v>0.7896534895070767</v>
      </c>
      <c r="R35" s="93">
        <f t="shared" si="31"/>
        <v>0.72119487908961588</v>
      </c>
      <c r="S35" s="93">
        <f t="shared" si="31"/>
        <v>0.80036968576709788</v>
      </c>
      <c r="T35" s="93">
        <f t="shared" si="31"/>
        <v>0.88574618533680682</v>
      </c>
      <c r="U35" s="93">
        <f t="shared" si="31"/>
        <v>0.71192660550458708</v>
      </c>
      <c r="V35" s="93">
        <f t="shared" si="31"/>
        <v>0.80111459421804243</v>
      </c>
      <c r="W35" s="93">
        <f t="shared" si="31"/>
        <v>0.78397565922920887</v>
      </c>
      <c r="X35" s="93">
        <f t="shared" si="31"/>
        <v>0.78397565922920887</v>
      </c>
      <c r="Y35" s="93">
        <f t="shared" si="31"/>
        <v>0.78397565922920887</v>
      </c>
      <c r="Z35" s="93">
        <f t="shared" si="31"/>
        <v>0.78397565922920898</v>
      </c>
      <c r="AA35" s="93">
        <f t="shared" si="31"/>
        <v>0.78397565922920887</v>
      </c>
      <c r="AB35" s="93">
        <f t="shared" si="31"/>
        <v>0.78371189324536172</v>
      </c>
      <c r="AC35" s="93">
        <f t="shared" si="31"/>
        <v>0.78344780520292634</v>
      </c>
      <c r="AD35" s="93">
        <f t="shared" si="31"/>
        <v>0.7831833947086686</v>
      </c>
      <c r="AE35" s="93">
        <f t="shared" si="31"/>
        <v>0.67006104412185463</v>
      </c>
      <c r="AF35" s="93">
        <f t="shared" si="31"/>
        <v>0.66965818825387158</v>
      </c>
      <c r="AG35" s="93">
        <f t="shared" si="31"/>
        <v>0.6692548404983818</v>
      </c>
      <c r="AH35" s="93">
        <f t="shared" si="31"/>
        <v>0.66885100025479016</v>
      </c>
      <c r="AI35" s="93">
        <f t="shared" si="31"/>
        <v>0.66844666692176791</v>
      </c>
      <c r="AJ35" s="93">
        <f t="shared" si="31"/>
        <v>0.66804183989725241</v>
      </c>
      <c r="AK35" s="93">
        <f t="shared" si="31"/>
        <v>0.66763651857844564</v>
      </c>
      <c r="AL35" s="93">
        <f t="shared" si="31"/>
        <v>0.6672307023618137</v>
      </c>
      <c r="AM35" s="93">
        <f t="shared" si="31"/>
        <v>0.66682439064308574</v>
      </c>
      <c r="AN35" s="93">
        <f t="shared" si="31"/>
        <v>0.66641758281725316</v>
      </c>
      <c r="AO35" s="93">
        <f t="shared" si="31"/>
        <v>0.66601027827856851</v>
      </c>
      <c r="AP35" s="93">
        <f t="shared" si="31"/>
        <v>0.66560247642054482</v>
      </c>
      <c r="AQ35" s="93">
        <f t="shared" si="31"/>
        <v>0.66519417663595448</v>
      </c>
      <c r="AR35" s="93">
        <f t="shared" si="31"/>
        <v>0.66478537831682871</v>
      </c>
      <c r="AS35" s="93">
        <f t="shared" si="31"/>
        <v>0.6643760808544561</v>
      </c>
      <c r="AT35" s="93">
        <f t="shared" si="31"/>
        <v>0.66396628363938215</v>
      </c>
      <c r="AU35" s="93">
        <f t="shared" si="31"/>
        <v>0.66355598606140842</v>
      </c>
      <c r="AV35" s="93">
        <f t="shared" si="31"/>
        <v>0.66314518750959084</v>
      </c>
      <c r="AW35" s="93">
        <f t="shared" si="31"/>
        <v>0.66273388737223993</v>
      </c>
      <c r="AX35" s="93">
        <f t="shared" si="31"/>
        <v>0.66232208503691903</v>
      </c>
      <c r="AY35" s="93">
        <f t="shared" si="31"/>
        <v>0.66190977989044408</v>
      </c>
      <c r="AZ35" s="93">
        <f t="shared" si="31"/>
        <v>0.66149697131888174</v>
      </c>
      <c r="BA35" s="93">
        <f t="shared" si="31"/>
        <v>0.66108365870754948</v>
      </c>
      <c r="BB35" s="93">
        <f t="shared" si="31"/>
        <v>0.66066984144101404</v>
      </c>
      <c r="BC35" s="93">
        <f t="shared" ref="BC35:CP35" si="32">IF(ISERROR(+BC24/BC20),"n.a.",+BC24/BC20)</f>
        <v>0.66025551890309098</v>
      </c>
      <c r="BD35" s="93">
        <f t="shared" si="32"/>
        <v>0.65984069047684324</v>
      </c>
      <c r="BE35" s="93">
        <f t="shared" si="32"/>
        <v>0.65942535554458059</v>
      </c>
      <c r="BF35" s="93">
        <f t="shared" si="32"/>
        <v>0.65900951348785841</v>
      </c>
      <c r="BG35" s="93">
        <f t="shared" si="32"/>
        <v>0.65859316368747745</v>
      </c>
      <c r="BH35" s="93">
        <f t="shared" si="32"/>
        <v>0.6581763055234815</v>
      </c>
      <c r="BI35" s="93">
        <f t="shared" si="32"/>
        <v>0.65775893837515864</v>
      </c>
      <c r="BJ35" s="93">
        <f t="shared" si="32"/>
        <v>0.657341061621038</v>
      </c>
      <c r="BK35" s="93">
        <f t="shared" si="32"/>
        <v>0.65692267463889031</v>
      </c>
      <c r="BL35" s="93">
        <f t="shared" si="32"/>
        <v>0.65650377680572658</v>
      </c>
      <c r="BM35" s="93">
        <f t="shared" si="32"/>
        <v>0.65608436749779708</v>
      </c>
      <c r="BN35" s="93">
        <f t="shared" si="32"/>
        <v>0.65566444609059049</v>
      </c>
      <c r="BO35" s="93">
        <f t="shared" si="32"/>
        <v>0.65524401195883297</v>
      </c>
      <c r="BP35" s="93">
        <f t="shared" si="32"/>
        <v>0.6548230644764873</v>
      </c>
      <c r="BQ35" s="93">
        <f t="shared" si="32"/>
        <v>0.65440160301675154</v>
      </c>
      <c r="BR35" s="93">
        <f t="shared" si="32"/>
        <v>0.65397962695205891</v>
      </c>
      <c r="BS35" s="93">
        <f t="shared" si="32"/>
        <v>0.65355713565407614</v>
      </c>
      <c r="BT35" s="93">
        <f t="shared" si="32"/>
        <v>0.65313412849370256</v>
      </c>
      <c r="BU35" s="93">
        <f t="shared" si="32"/>
        <v>0.65271060484106969</v>
      </c>
      <c r="BV35" s="93">
        <f t="shared" si="32"/>
        <v>0.65228656406553998</v>
      </c>
      <c r="BW35" s="93">
        <f t="shared" si="32"/>
        <v>0.65186200553570539</v>
      </c>
      <c r="BX35" s="93">
        <f t="shared" si="32"/>
        <v>0.65143692861938751</v>
      </c>
      <c r="BY35" s="93">
        <f t="shared" si="32"/>
        <v>0.65101133268363576</v>
      </c>
      <c r="BZ35" s="93">
        <f t="shared" si="32"/>
        <v>0.65058521709472694</v>
      </c>
      <c r="CA35" s="93">
        <f t="shared" si="32"/>
        <v>0.65015858121816372</v>
      </c>
      <c r="CB35" s="93">
        <f t="shared" si="32"/>
        <v>0.64973142441867426</v>
      </c>
      <c r="CC35" s="93" t="str">
        <f t="shared" si="32"/>
        <v>n.a.</v>
      </c>
      <c r="CD35" s="93" t="str">
        <f t="shared" si="32"/>
        <v>n.a.</v>
      </c>
      <c r="CE35" s="93" t="str">
        <f t="shared" si="32"/>
        <v>n.a.</v>
      </c>
      <c r="CF35" s="93" t="str">
        <f t="shared" si="32"/>
        <v>n.a.</v>
      </c>
      <c r="CG35" s="93" t="str">
        <f t="shared" si="32"/>
        <v>n.a.</v>
      </c>
      <c r="CH35" s="93" t="str">
        <f t="shared" si="32"/>
        <v>n.a.</v>
      </c>
      <c r="CI35" s="93" t="str">
        <f t="shared" si="32"/>
        <v>n.a.</v>
      </c>
      <c r="CJ35" s="93" t="str">
        <f t="shared" si="32"/>
        <v>n.a.</v>
      </c>
      <c r="CK35" s="93" t="str">
        <f t="shared" si="32"/>
        <v>n.a.</v>
      </c>
      <c r="CL35" s="93" t="str">
        <f t="shared" si="32"/>
        <v>n.a.</v>
      </c>
      <c r="CM35" s="93" t="str">
        <f t="shared" si="32"/>
        <v>n.a.</v>
      </c>
      <c r="CN35" s="93" t="str">
        <f t="shared" si="32"/>
        <v>n.a.</v>
      </c>
      <c r="CO35" s="93" t="str">
        <f t="shared" si="32"/>
        <v>n.a.</v>
      </c>
      <c r="CP35" s="93" t="str">
        <f t="shared" si="32"/>
        <v>n.a.</v>
      </c>
      <c r="CQ35" s="23" t="s">
        <v>77</v>
      </c>
    </row>
    <row r="36" spans="2:95" outlineLevel="1" x14ac:dyDescent="0.2">
      <c r="B36" s="532" t="s">
        <v>454</v>
      </c>
      <c r="D36" s="485"/>
      <c r="E36" s="485"/>
      <c r="F36" s="485"/>
      <c r="G36" s="485"/>
      <c r="H36" s="485"/>
      <c r="I36" s="94" t="str">
        <f t="shared" ref="I36:BB36" si="33">IF(ISERROR(+I25/I21),"n.a.",+I25/I21)</f>
        <v>n.a.</v>
      </c>
      <c r="J36" s="94" t="str">
        <f t="shared" si="33"/>
        <v>n.a.</v>
      </c>
      <c r="K36" s="94" t="str">
        <f t="shared" si="33"/>
        <v>n.a.</v>
      </c>
      <c r="L36" s="94" t="str">
        <f t="shared" si="33"/>
        <v>n.a.</v>
      </c>
      <c r="M36" s="94">
        <f t="shared" si="33"/>
        <v>0.75531308158732069</v>
      </c>
      <c r="N36" s="94">
        <f t="shared" si="33"/>
        <v>0.73970349133659785</v>
      </c>
      <c r="O36" s="94">
        <f t="shared" si="33"/>
        <v>0.7813808443824144</v>
      </c>
      <c r="P36" s="94">
        <f t="shared" si="33"/>
        <v>0.76126518648681729</v>
      </c>
      <c r="Q36" s="94">
        <f t="shared" si="33"/>
        <v>0.75611713581020235</v>
      </c>
      <c r="R36" s="94">
        <f t="shared" si="33"/>
        <v>0.75315471892096986</v>
      </c>
      <c r="S36" s="94">
        <f t="shared" si="33"/>
        <v>0.76327194590460468</v>
      </c>
      <c r="T36" s="94">
        <f t="shared" si="33"/>
        <v>0.83141037120417505</v>
      </c>
      <c r="U36" s="94">
        <f t="shared" si="33"/>
        <v>0.79432649699068636</v>
      </c>
      <c r="V36" s="94">
        <f t="shared" si="33"/>
        <v>0.78980123442532479</v>
      </c>
      <c r="W36" s="94">
        <f t="shared" si="33"/>
        <v>0.78376400840504301</v>
      </c>
      <c r="X36" s="94">
        <f t="shared" si="33"/>
        <v>0.78389801573184426</v>
      </c>
      <c r="Y36" s="94">
        <f t="shared" si="33"/>
        <v>0.78397263381888782</v>
      </c>
      <c r="Z36" s="94">
        <f t="shared" si="33"/>
        <v>0.78647768598286094</v>
      </c>
      <c r="AA36" s="94">
        <f t="shared" si="33"/>
        <v>0.78669579464465056</v>
      </c>
      <c r="AB36" s="94">
        <f t="shared" si="33"/>
        <v>0.78690810395672273</v>
      </c>
      <c r="AC36" s="94">
        <f t="shared" si="33"/>
        <v>0.7869901951966084</v>
      </c>
      <c r="AD36" s="94">
        <f t="shared" si="33"/>
        <v>0.78705392952745701</v>
      </c>
      <c r="AE36" s="94">
        <f t="shared" si="33"/>
        <v>0.78609966269172538</v>
      </c>
      <c r="AF36" s="94">
        <f t="shared" si="33"/>
        <v>0.78636815469003019</v>
      </c>
      <c r="AG36" s="94">
        <f t="shared" si="33"/>
        <v>0.78644281020569318</v>
      </c>
      <c r="AH36" s="94">
        <f t="shared" si="33"/>
        <v>0.78651767505475467</v>
      </c>
      <c r="AI36" s="94">
        <f t="shared" si="33"/>
        <v>0.78636170417372686</v>
      </c>
      <c r="AJ36" s="94">
        <f t="shared" si="33"/>
        <v>0.78620508901419839</v>
      </c>
      <c r="AK36" s="94">
        <f t="shared" si="33"/>
        <v>0.78604777066229714</v>
      </c>
      <c r="AL36" s="94">
        <f t="shared" si="33"/>
        <v>0.78588985758550456</v>
      </c>
      <c r="AM36" s="94">
        <f t="shared" si="33"/>
        <v>0.78573145489776497</v>
      </c>
      <c r="AN36" s="94">
        <f t="shared" si="33"/>
        <v>0.78557234761325712</v>
      </c>
      <c r="AO36" s="94">
        <f t="shared" si="33"/>
        <v>0.78541272411442742</v>
      </c>
      <c r="AP36" s="94">
        <f t="shared" si="33"/>
        <v>0.78525268814951332</v>
      </c>
      <c r="AQ36" s="94">
        <f t="shared" si="33"/>
        <v>0.78509211219435326</v>
      </c>
      <c r="AR36" s="94">
        <f t="shared" si="33"/>
        <v>0.78493102721838903</v>
      </c>
      <c r="AS36" s="94">
        <f t="shared" si="33"/>
        <v>0.92409441700073491</v>
      </c>
      <c r="AT36" s="94">
        <f t="shared" si="33"/>
        <v>2.5443022196014962</v>
      </c>
      <c r="AU36" s="94">
        <f t="shared" si="33"/>
        <v>2.5002699650231803</v>
      </c>
      <c r="AV36" s="94">
        <f t="shared" si="33"/>
        <v>2.4572491962634584</v>
      </c>
      <c r="AW36" s="94">
        <f t="shared" si="33"/>
        <v>2.4152164356055663</v>
      </c>
      <c r="AX36" s="94">
        <f t="shared" si="33"/>
        <v>2.374148749977897</v>
      </c>
      <c r="AY36" s="94">
        <f t="shared" si="33"/>
        <v>2.3340237383187503</v>
      </c>
      <c r="AZ36" s="94">
        <f t="shared" si="33"/>
        <v>2.2948195192341991</v>
      </c>
      <c r="BA36" s="94">
        <f t="shared" si="33"/>
        <v>2.2565147189422921</v>
      </c>
      <c r="BB36" s="94">
        <f t="shared" si="33"/>
        <v>2.2190884594969287</v>
      </c>
      <c r="BC36" s="94">
        <f t="shared" ref="BC36:CP36" si="34">IF(ISERROR(+BC25/BC21),"n.a.",+BC25/BC21)</f>
        <v>2.1825203472849366</v>
      </c>
      <c r="BD36" s="94">
        <f t="shared" si="34"/>
        <v>2.1467904617900015</v>
      </c>
      <c r="BE36" s="94">
        <f t="shared" si="34"/>
        <v>2.1118793446172628</v>
      </c>
      <c r="BF36" s="94">
        <f t="shared" si="34"/>
        <v>2.0777679887725298</v>
      </c>
      <c r="BG36" s="94">
        <f t="shared" si="34"/>
        <v>2.0444378281902091</v>
      </c>
      <c r="BH36" s="94">
        <f t="shared" si="34"/>
        <v>2.0118707275041721</v>
      </c>
      <c r="BI36" s="94">
        <f t="shared" si="34"/>
        <v>1.9800489720559307</v>
      </c>
      <c r="BJ36" s="94">
        <f t="shared" si="34"/>
        <v>1.9489552581346128</v>
      </c>
      <c r="BK36" s="94">
        <f t="shared" si="34"/>
        <v>1.918572683443359</v>
      </c>
      <c r="BL36" s="94">
        <f t="shared" si="34"/>
        <v>1.8888847377868925</v>
      </c>
      <c r="BM36" s="94">
        <f t="shared" si="34"/>
        <v>1.8598752939751266</v>
      </c>
      <c r="BN36" s="94">
        <f t="shared" si="34"/>
        <v>1.831528598937799</v>
      </c>
      <c r="BO36" s="94">
        <f t="shared" si="34"/>
        <v>1.8038292650452392</v>
      </c>
      <c r="BP36" s="94">
        <f t="shared" si="34"/>
        <v>1.7767622616304859</v>
      </c>
      <c r="BQ36" s="94">
        <f t="shared" si="34"/>
        <v>1.7503129067080814</v>
      </c>
      <c r="BR36" s="94">
        <f t="shared" si="34"/>
        <v>1.7244668588849819</v>
      </c>
      <c r="BS36" s="94">
        <f t="shared" si="34"/>
        <v>1.6992101094591292</v>
      </c>
      <c r="BT36" s="94">
        <f t="shared" si="34"/>
        <v>1.6745289747013248</v>
      </c>
      <c r="BU36" s="94">
        <f t="shared" si="34"/>
        <v>1.6504100883161588</v>
      </c>
      <c r="BV36" s="94">
        <f t="shared" si="34"/>
        <v>1.6268403940778369</v>
      </c>
      <c r="BW36" s="94">
        <f t="shared" si="34"/>
        <v>1.6038071386368502</v>
      </c>
      <c r="BX36" s="94">
        <f t="shared" si="34"/>
        <v>1.5812978644935218</v>
      </c>
      <c r="BY36" s="94">
        <f t="shared" si="34"/>
        <v>1.5593004031345608</v>
      </c>
      <c r="BZ36" s="94">
        <f t="shared" si="34"/>
        <v>1.5378028683288418</v>
      </c>
      <c r="CA36" s="94">
        <f t="shared" si="34"/>
        <v>1.5167936495787153</v>
      </c>
      <c r="CB36" s="94">
        <f t="shared" si="34"/>
        <v>1.4962614057232426</v>
      </c>
      <c r="CC36" s="94" t="str">
        <f t="shared" si="34"/>
        <v>n.a.</v>
      </c>
      <c r="CD36" s="94" t="str">
        <f t="shared" si="34"/>
        <v>n.a.</v>
      </c>
      <c r="CE36" s="94" t="str">
        <f t="shared" si="34"/>
        <v>n.a.</v>
      </c>
      <c r="CF36" s="94" t="str">
        <f t="shared" si="34"/>
        <v>n.a.</v>
      </c>
      <c r="CG36" s="94" t="str">
        <f t="shared" si="34"/>
        <v>n.a.</v>
      </c>
      <c r="CH36" s="94" t="str">
        <f t="shared" si="34"/>
        <v>n.a.</v>
      </c>
      <c r="CI36" s="94" t="str">
        <f t="shared" si="34"/>
        <v>n.a.</v>
      </c>
      <c r="CJ36" s="94" t="str">
        <f t="shared" si="34"/>
        <v>n.a.</v>
      </c>
      <c r="CK36" s="94" t="str">
        <f t="shared" si="34"/>
        <v>n.a.</v>
      </c>
      <c r="CL36" s="94" t="str">
        <f t="shared" si="34"/>
        <v>n.a.</v>
      </c>
      <c r="CM36" s="94" t="str">
        <f t="shared" si="34"/>
        <v>n.a.</v>
      </c>
      <c r="CN36" s="94" t="str">
        <f t="shared" si="34"/>
        <v>n.a.</v>
      </c>
      <c r="CO36" s="94" t="str">
        <f t="shared" si="34"/>
        <v>n.a.</v>
      </c>
      <c r="CP36" s="94" t="str">
        <f t="shared" si="34"/>
        <v>n.a.</v>
      </c>
      <c r="CQ36" s="23" t="s">
        <v>77</v>
      </c>
    </row>
    <row r="37" spans="2:95" outlineLevel="1" x14ac:dyDescent="0.2">
      <c r="B37" s="485"/>
      <c r="D37" s="485"/>
      <c r="E37" s="485"/>
      <c r="F37" s="485"/>
      <c r="G37" s="485"/>
      <c r="H37" s="485"/>
      <c r="I37" s="539"/>
      <c r="J37" s="539"/>
      <c r="K37" s="539"/>
      <c r="L37" s="539"/>
      <c r="M37" s="539"/>
      <c r="N37" s="539"/>
      <c r="O37" s="539"/>
      <c r="P37" s="539"/>
      <c r="Q37" s="539"/>
      <c r="R37" s="539"/>
      <c r="S37" s="539"/>
      <c r="T37" s="539"/>
      <c r="U37" s="539"/>
      <c r="V37" s="539"/>
      <c r="W37" s="539"/>
      <c r="X37" s="539"/>
      <c r="Y37" s="539"/>
      <c r="Z37" s="539"/>
      <c r="AA37" s="539"/>
      <c r="AB37" s="539"/>
      <c r="AC37" s="539"/>
      <c r="AD37" s="539"/>
      <c r="AE37" s="539"/>
      <c r="AF37" s="539"/>
      <c r="AG37" s="539"/>
      <c r="AH37" s="539"/>
      <c r="AI37" s="539"/>
      <c r="AJ37" s="539"/>
      <c r="AK37" s="539"/>
      <c r="AL37" s="539"/>
      <c r="AM37" s="539"/>
      <c r="AN37" s="539"/>
      <c r="AO37" s="539"/>
      <c r="AP37" s="539"/>
      <c r="AQ37" s="539"/>
      <c r="AR37" s="539"/>
      <c r="AS37" s="539"/>
      <c r="AT37" s="539"/>
      <c r="AU37" s="539"/>
      <c r="AV37" s="539"/>
      <c r="AW37" s="539"/>
      <c r="AX37" s="539"/>
      <c r="AY37" s="539"/>
      <c r="AZ37" s="539"/>
      <c r="BA37" s="539"/>
      <c r="BB37" s="539"/>
      <c r="BC37" s="539"/>
      <c r="BD37" s="539"/>
      <c r="BE37" s="539"/>
      <c r="BF37" s="539"/>
      <c r="BG37" s="539"/>
      <c r="BH37" s="539"/>
      <c r="BI37" s="539"/>
      <c r="BJ37" s="539"/>
      <c r="BK37" s="539"/>
      <c r="BL37" s="539"/>
      <c r="BM37" s="539"/>
      <c r="BN37" s="539"/>
      <c r="BO37" s="539"/>
      <c r="BP37" s="539"/>
      <c r="BQ37" s="539"/>
      <c r="BR37" s="539"/>
      <c r="BS37" s="539"/>
      <c r="BT37" s="539"/>
      <c r="BU37" s="539"/>
      <c r="BV37" s="539"/>
      <c r="BW37" s="539"/>
      <c r="BX37" s="539"/>
      <c r="BY37" s="539"/>
      <c r="BZ37" s="539"/>
      <c r="CA37" s="539"/>
      <c r="CB37" s="539"/>
      <c r="CC37" s="539"/>
      <c r="CD37" s="539"/>
      <c r="CE37" s="539"/>
      <c r="CF37" s="539"/>
      <c r="CG37" s="539"/>
      <c r="CH37" s="539"/>
      <c r="CI37" s="539"/>
      <c r="CJ37" s="539"/>
      <c r="CK37" s="539"/>
      <c r="CL37" s="539"/>
      <c r="CM37" s="539"/>
      <c r="CN37" s="539"/>
      <c r="CO37" s="539"/>
      <c r="CP37" s="539"/>
      <c r="CQ37" s="23" t="s">
        <v>77</v>
      </c>
    </row>
    <row r="38" spans="2:95" outlineLevel="1" x14ac:dyDescent="0.2">
      <c r="B38" s="485" t="s">
        <v>316</v>
      </c>
      <c r="D38" s="485"/>
      <c r="E38" s="485"/>
      <c r="F38" s="485"/>
      <c r="G38" s="485"/>
      <c r="H38" s="485"/>
      <c r="I38" s="85"/>
      <c r="J38" s="85"/>
      <c r="K38" s="85"/>
      <c r="L38" s="315"/>
      <c r="M38" s="315"/>
      <c r="N38" s="315"/>
      <c r="O38" s="315"/>
      <c r="P38" s="315"/>
      <c r="Q38" s="315"/>
      <c r="R38" s="315"/>
      <c r="S38" s="315"/>
      <c r="T38" s="315"/>
      <c r="U38" s="315"/>
      <c r="V38" s="315"/>
      <c r="W38" s="315"/>
      <c r="X38" s="197">
        <v>1</v>
      </c>
      <c r="Y38" s="160">
        <f>X38</f>
        <v>1</v>
      </c>
      <c r="Z38" s="160">
        <f>Y38</f>
        <v>1</v>
      </c>
      <c r="AA38" s="160">
        <f t="shared" ref="AA38:CL38" si="35">Z38</f>
        <v>1</v>
      </c>
      <c r="AB38" s="197">
        <v>0.95</v>
      </c>
      <c r="AC38" s="160">
        <f t="shared" si="35"/>
        <v>0.95</v>
      </c>
      <c r="AD38" s="160">
        <f t="shared" si="35"/>
        <v>0.95</v>
      </c>
      <c r="AE38" s="160">
        <f t="shared" si="35"/>
        <v>0.95</v>
      </c>
      <c r="AF38" s="160">
        <f t="shared" si="35"/>
        <v>0.95</v>
      </c>
      <c r="AG38" s="160">
        <f t="shared" si="35"/>
        <v>0.95</v>
      </c>
      <c r="AH38" s="160">
        <f t="shared" si="35"/>
        <v>0.95</v>
      </c>
      <c r="AI38" s="160">
        <f t="shared" si="35"/>
        <v>0.95</v>
      </c>
      <c r="AJ38" s="160">
        <f t="shared" si="35"/>
        <v>0.95</v>
      </c>
      <c r="AK38" s="160">
        <f t="shared" si="35"/>
        <v>0.95</v>
      </c>
      <c r="AL38" s="160">
        <f t="shared" si="35"/>
        <v>0.95</v>
      </c>
      <c r="AM38" s="160">
        <f t="shared" si="35"/>
        <v>0.95</v>
      </c>
      <c r="AN38" s="160">
        <f t="shared" si="35"/>
        <v>0.95</v>
      </c>
      <c r="AO38" s="160">
        <f t="shared" si="35"/>
        <v>0.95</v>
      </c>
      <c r="AP38" s="160">
        <f t="shared" si="35"/>
        <v>0.95</v>
      </c>
      <c r="AQ38" s="160">
        <f t="shared" si="35"/>
        <v>0.95</v>
      </c>
      <c r="AR38" s="160">
        <f t="shared" si="35"/>
        <v>0.95</v>
      </c>
      <c r="AS38" s="160">
        <f t="shared" si="35"/>
        <v>0.95</v>
      </c>
      <c r="AT38" s="160">
        <f t="shared" si="35"/>
        <v>0.95</v>
      </c>
      <c r="AU38" s="160">
        <f t="shared" si="35"/>
        <v>0.95</v>
      </c>
      <c r="AV38" s="160">
        <f t="shared" si="35"/>
        <v>0.95</v>
      </c>
      <c r="AW38" s="160">
        <f t="shared" si="35"/>
        <v>0.95</v>
      </c>
      <c r="AX38" s="160">
        <f t="shared" si="35"/>
        <v>0.95</v>
      </c>
      <c r="AY38" s="160">
        <f t="shared" si="35"/>
        <v>0.95</v>
      </c>
      <c r="AZ38" s="160">
        <f t="shared" si="35"/>
        <v>0.95</v>
      </c>
      <c r="BA38" s="160">
        <f t="shared" si="35"/>
        <v>0.95</v>
      </c>
      <c r="BB38" s="160">
        <f t="shared" si="35"/>
        <v>0.95</v>
      </c>
      <c r="BC38" s="160">
        <f t="shared" si="35"/>
        <v>0.95</v>
      </c>
      <c r="BD38" s="160">
        <f t="shared" si="35"/>
        <v>0.95</v>
      </c>
      <c r="BE38" s="160">
        <f t="shared" si="35"/>
        <v>0.95</v>
      </c>
      <c r="BF38" s="160">
        <f t="shared" si="35"/>
        <v>0.95</v>
      </c>
      <c r="BG38" s="160">
        <f t="shared" si="35"/>
        <v>0.95</v>
      </c>
      <c r="BH38" s="160">
        <f t="shared" si="35"/>
        <v>0.95</v>
      </c>
      <c r="BI38" s="160">
        <f t="shared" si="35"/>
        <v>0.95</v>
      </c>
      <c r="BJ38" s="160">
        <f t="shared" si="35"/>
        <v>0.95</v>
      </c>
      <c r="BK38" s="160">
        <f t="shared" si="35"/>
        <v>0.95</v>
      </c>
      <c r="BL38" s="160">
        <f t="shared" si="35"/>
        <v>0.95</v>
      </c>
      <c r="BM38" s="160">
        <f t="shared" si="35"/>
        <v>0.95</v>
      </c>
      <c r="BN38" s="160">
        <f t="shared" si="35"/>
        <v>0.95</v>
      </c>
      <c r="BO38" s="160">
        <f t="shared" si="35"/>
        <v>0.95</v>
      </c>
      <c r="BP38" s="160">
        <f t="shared" si="35"/>
        <v>0.95</v>
      </c>
      <c r="BQ38" s="160">
        <f t="shared" si="35"/>
        <v>0.95</v>
      </c>
      <c r="BR38" s="160">
        <f t="shared" si="35"/>
        <v>0.95</v>
      </c>
      <c r="BS38" s="160">
        <f t="shared" si="35"/>
        <v>0.95</v>
      </c>
      <c r="BT38" s="160">
        <f t="shared" si="35"/>
        <v>0.95</v>
      </c>
      <c r="BU38" s="160">
        <f t="shared" si="35"/>
        <v>0.95</v>
      </c>
      <c r="BV38" s="160">
        <f t="shared" si="35"/>
        <v>0.95</v>
      </c>
      <c r="BW38" s="160">
        <f t="shared" si="35"/>
        <v>0.95</v>
      </c>
      <c r="BX38" s="160">
        <f t="shared" si="35"/>
        <v>0.95</v>
      </c>
      <c r="BY38" s="160">
        <f t="shared" si="35"/>
        <v>0.95</v>
      </c>
      <c r="BZ38" s="160">
        <f t="shared" si="35"/>
        <v>0.95</v>
      </c>
      <c r="CA38" s="160">
        <f t="shared" si="35"/>
        <v>0.95</v>
      </c>
      <c r="CB38" s="160">
        <f t="shared" si="35"/>
        <v>0.95</v>
      </c>
      <c r="CC38" s="160">
        <f t="shared" si="35"/>
        <v>0.95</v>
      </c>
      <c r="CD38" s="160">
        <f t="shared" si="35"/>
        <v>0.95</v>
      </c>
      <c r="CE38" s="160">
        <f t="shared" si="35"/>
        <v>0.95</v>
      </c>
      <c r="CF38" s="160">
        <f t="shared" si="35"/>
        <v>0.95</v>
      </c>
      <c r="CG38" s="160">
        <f t="shared" si="35"/>
        <v>0.95</v>
      </c>
      <c r="CH38" s="160">
        <f t="shared" si="35"/>
        <v>0.95</v>
      </c>
      <c r="CI38" s="160">
        <f t="shared" si="35"/>
        <v>0.95</v>
      </c>
      <c r="CJ38" s="160">
        <f t="shared" si="35"/>
        <v>0.95</v>
      </c>
      <c r="CK38" s="160">
        <f t="shared" si="35"/>
        <v>0.95</v>
      </c>
      <c r="CL38" s="160">
        <f t="shared" si="35"/>
        <v>0.95</v>
      </c>
      <c r="CM38" s="160">
        <f>CL38</f>
        <v>0.95</v>
      </c>
      <c r="CN38" s="160">
        <f>CM38</f>
        <v>0.95</v>
      </c>
      <c r="CO38" s="160">
        <f>CN38</f>
        <v>0.95</v>
      </c>
      <c r="CP38" s="160">
        <f>CO38</f>
        <v>0.95</v>
      </c>
      <c r="CQ38" s="23" t="s">
        <v>77</v>
      </c>
    </row>
    <row r="39" spans="2:95" outlineLevel="1" x14ac:dyDescent="0.2">
      <c r="B39" s="24"/>
      <c r="D39" s="24"/>
      <c r="E39" s="24"/>
      <c r="F39" s="24"/>
      <c r="G39" s="24"/>
      <c r="H39" s="24"/>
      <c r="I39" s="236"/>
      <c r="J39" s="236"/>
      <c r="K39" s="236"/>
      <c r="L39" s="540"/>
      <c r="M39" s="540"/>
      <c r="N39" s="540"/>
      <c r="O39" s="540"/>
      <c r="P39" s="540"/>
      <c r="Q39" s="540"/>
      <c r="R39" s="541"/>
      <c r="S39" s="541"/>
      <c r="T39" s="314"/>
      <c r="U39" s="314"/>
      <c r="V39" s="314"/>
      <c r="W39" s="314"/>
      <c r="X39" s="314"/>
      <c r="Y39" s="314"/>
      <c r="Z39" s="314"/>
      <c r="AA39" s="314"/>
      <c r="AB39" s="314"/>
      <c r="AC39" s="314"/>
      <c r="AD39" s="314"/>
      <c r="AE39" s="314"/>
      <c r="AF39" s="314"/>
      <c r="AG39" s="314"/>
      <c r="AH39" s="314"/>
      <c r="AI39" s="314"/>
      <c r="AJ39" s="314"/>
      <c r="AK39" s="314"/>
      <c r="AL39" s="314"/>
      <c r="AM39" s="314"/>
      <c r="AN39" s="314"/>
      <c r="AO39" s="314"/>
      <c r="AP39" s="314"/>
      <c r="AQ39" s="314"/>
      <c r="AR39" s="314"/>
      <c r="AS39" s="314"/>
      <c r="AT39" s="314"/>
      <c r="AU39" s="314"/>
      <c r="AV39" s="314"/>
      <c r="AW39" s="314"/>
      <c r="AX39" s="314"/>
      <c r="AY39" s="314"/>
      <c r="AZ39" s="314"/>
      <c r="BA39" s="314"/>
      <c r="BB39" s="314"/>
      <c r="BC39" s="314"/>
      <c r="BD39" s="314"/>
      <c r="BE39" s="314"/>
      <c r="BF39" s="314"/>
      <c r="BG39" s="314"/>
      <c r="BH39" s="314"/>
      <c r="BI39" s="314"/>
      <c r="BJ39" s="314"/>
      <c r="BK39" s="314"/>
      <c r="BL39" s="314"/>
      <c r="BM39" s="314"/>
      <c r="BN39" s="314"/>
      <c r="BO39" s="314"/>
      <c r="BP39" s="314"/>
      <c r="BQ39" s="314"/>
      <c r="BR39" s="314"/>
      <c r="BS39" s="314"/>
      <c r="BT39" s="314"/>
      <c r="BU39" s="314"/>
      <c r="BV39" s="314"/>
      <c r="BW39" s="314"/>
      <c r="BX39" s="314"/>
      <c r="BY39" s="314"/>
      <c r="BZ39" s="314"/>
      <c r="CA39" s="314"/>
      <c r="CB39" s="314"/>
      <c r="CC39" s="314"/>
      <c r="CD39" s="314"/>
      <c r="CE39" s="314"/>
      <c r="CF39" s="314"/>
      <c r="CG39" s="314"/>
      <c r="CH39" s="314"/>
      <c r="CI39" s="314"/>
      <c r="CJ39" s="314"/>
      <c r="CK39" s="314"/>
      <c r="CL39" s="314"/>
      <c r="CM39" s="314"/>
      <c r="CN39" s="314"/>
      <c r="CO39" s="314"/>
      <c r="CP39" s="314"/>
      <c r="CQ39" s="23" t="s">
        <v>77</v>
      </c>
    </row>
    <row r="40" spans="2:95" outlineLevel="1" x14ac:dyDescent="0.2">
      <c r="B40" s="104" t="s">
        <v>578</v>
      </c>
      <c r="D40" s="24"/>
      <c r="CQ40" s="23" t="s">
        <v>77</v>
      </c>
    </row>
    <row r="41" spans="2:95" outlineLevel="1" x14ac:dyDescent="0.2">
      <c r="B41" s="518" t="s">
        <v>580</v>
      </c>
      <c r="D41" s="617">
        <f>Valuation!$D$14</f>
        <v>0.8322059038275248</v>
      </c>
      <c r="E41" s="485"/>
      <c r="F41" s="485"/>
      <c r="G41" s="485"/>
      <c r="H41" s="485"/>
      <c r="I41" s="85"/>
      <c r="J41" s="85"/>
      <c r="K41" s="85"/>
      <c r="L41" s="315"/>
      <c r="M41" s="315"/>
      <c r="N41" s="315"/>
      <c r="O41" s="315"/>
      <c r="P41" s="315"/>
      <c r="Q41" s="315"/>
      <c r="R41" s="315"/>
      <c r="S41" s="315"/>
      <c r="T41" s="315"/>
      <c r="U41" s="315"/>
      <c r="V41" s="315"/>
      <c r="W41" s="85"/>
      <c r="X41" s="542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  <c r="AL41" s="85"/>
      <c r="AM41" s="85"/>
      <c r="AN41" s="85"/>
      <c r="AO41" s="85"/>
      <c r="AP41" s="85"/>
      <c r="AQ41" s="85"/>
      <c r="AR41" s="85"/>
      <c r="AS41" s="85"/>
      <c r="AT41" s="85"/>
      <c r="AU41" s="85"/>
      <c r="AV41" s="85"/>
      <c r="AW41" s="85"/>
      <c r="AX41" s="85"/>
      <c r="AY41" s="85"/>
      <c r="AZ41" s="85"/>
      <c r="BA41" s="85"/>
      <c r="BB41" s="85"/>
      <c r="BC41" s="85"/>
      <c r="BD41" s="85"/>
      <c r="BE41" s="85"/>
      <c r="BF41" s="85"/>
      <c r="BG41" s="85"/>
      <c r="BH41" s="85"/>
      <c r="BI41" s="85"/>
      <c r="BJ41" s="85"/>
      <c r="BK41" s="85"/>
      <c r="BL41" s="85"/>
      <c r="BM41" s="85"/>
      <c r="BN41" s="85"/>
      <c r="BO41" s="85"/>
      <c r="BP41" s="85"/>
      <c r="BQ41" s="85"/>
      <c r="BR41" s="85"/>
      <c r="BS41" s="85"/>
      <c r="BT41" s="85"/>
      <c r="BU41" s="85"/>
      <c r="BV41" s="85"/>
      <c r="BW41" s="85"/>
      <c r="BX41" s="85"/>
      <c r="BY41" s="85"/>
      <c r="BZ41" s="85"/>
      <c r="CA41" s="85"/>
      <c r="CB41" s="85"/>
      <c r="CC41" s="85"/>
      <c r="CD41" s="85"/>
      <c r="CE41" s="85"/>
      <c r="CF41" s="85"/>
      <c r="CG41" s="85"/>
      <c r="CH41" s="85"/>
      <c r="CI41" s="85"/>
      <c r="CJ41" s="85"/>
      <c r="CK41" s="85"/>
      <c r="CL41" s="85"/>
      <c r="CM41" s="85"/>
      <c r="CN41" s="85"/>
      <c r="CO41" s="85"/>
      <c r="CP41" s="85"/>
      <c r="CQ41" s="23" t="s">
        <v>77</v>
      </c>
    </row>
    <row r="42" spans="2:95" outlineLevel="1" x14ac:dyDescent="0.2">
      <c r="B42" s="91" t="s">
        <v>355</v>
      </c>
      <c r="E42" s="511"/>
      <c r="R42" s="51"/>
      <c r="S42" s="51"/>
      <c r="T42" s="51"/>
      <c r="U42" s="51"/>
      <c r="V42" s="39"/>
      <c r="W42" s="39"/>
      <c r="X42" s="675"/>
      <c r="Y42" s="675"/>
      <c r="Z42" s="675"/>
      <c r="AA42" s="675">
        <v>0</v>
      </c>
      <c r="AB42" s="675"/>
      <c r="AC42" s="675"/>
      <c r="AD42" s="675"/>
      <c r="AE42" s="675"/>
      <c r="AF42" s="675"/>
      <c r="AG42" s="675"/>
      <c r="AH42" s="675"/>
      <c r="AI42" s="675"/>
      <c r="AJ42" s="675"/>
      <c r="AK42" s="675"/>
      <c r="AL42" s="675"/>
      <c r="AM42" s="675"/>
      <c r="AN42" s="675"/>
      <c r="AO42" s="675"/>
      <c r="AP42" s="675"/>
      <c r="AQ42" s="675"/>
      <c r="AR42" s="666"/>
      <c r="AS42" s="675">
        <v>2</v>
      </c>
      <c r="AT42" s="675"/>
      <c r="AU42" s="675"/>
      <c r="AV42" s="675"/>
      <c r="AW42" s="675"/>
      <c r="AX42" s="675"/>
      <c r="AY42" s="675"/>
      <c r="AZ42" s="675"/>
      <c r="BA42" s="675"/>
      <c r="BB42" s="675"/>
      <c r="BC42" s="675"/>
      <c r="BD42" s="675"/>
      <c r="BE42" s="675"/>
      <c r="BF42" s="675"/>
      <c r="BG42" s="675"/>
      <c r="BH42" s="675"/>
      <c r="BI42" s="675"/>
      <c r="BJ42" s="675"/>
      <c r="BK42" s="675"/>
      <c r="BL42" s="675"/>
      <c r="BM42" s="675"/>
      <c r="BN42" s="675"/>
      <c r="BO42" s="675"/>
      <c r="BP42" s="675"/>
      <c r="BQ42" s="675"/>
      <c r="BR42" s="675"/>
      <c r="BS42" s="675"/>
      <c r="BT42" s="675"/>
      <c r="BU42" s="675"/>
      <c r="BV42" s="675"/>
      <c r="BW42" s="675"/>
      <c r="BX42" s="675"/>
      <c r="BY42" s="675"/>
      <c r="BZ42" s="675"/>
      <c r="CA42" s="675"/>
      <c r="CB42" s="675"/>
      <c r="CC42" s="675"/>
      <c r="CD42" s="675"/>
      <c r="CE42" s="675"/>
      <c r="CF42" s="675"/>
      <c r="CG42" s="675"/>
      <c r="CH42" s="675"/>
      <c r="CI42" s="675"/>
      <c r="CJ42" s="675"/>
      <c r="CK42" s="675"/>
      <c r="CL42" s="675"/>
      <c r="CM42" s="675"/>
      <c r="CN42" s="675"/>
      <c r="CO42" s="675"/>
      <c r="CP42" s="675"/>
      <c r="CQ42" s="23" t="s">
        <v>77</v>
      </c>
    </row>
    <row r="43" spans="2:95" outlineLevel="1" x14ac:dyDescent="0.2">
      <c r="B43" s="8" t="s">
        <v>356</v>
      </c>
      <c r="E43" s="512"/>
      <c r="R43" s="51"/>
      <c r="S43" s="51"/>
      <c r="T43" s="51"/>
      <c r="U43" s="51"/>
      <c r="V43" s="250"/>
      <c r="W43" s="250"/>
      <c r="X43" s="675"/>
      <c r="Y43" s="675"/>
      <c r="Z43" s="675"/>
      <c r="AA43" s="675"/>
      <c r="AB43" s="675"/>
      <c r="AC43" s="675"/>
      <c r="AD43" s="675"/>
      <c r="AE43" s="675">
        <v>1</v>
      </c>
      <c r="AF43" s="675"/>
      <c r="AG43" s="675"/>
      <c r="AH43" s="675"/>
      <c r="AI43" s="675"/>
      <c r="AJ43" s="675"/>
      <c r="AK43" s="675"/>
      <c r="AL43" s="675"/>
      <c r="AM43" s="675"/>
      <c r="AN43" s="675"/>
      <c r="AO43" s="675"/>
      <c r="AP43" s="675"/>
      <c r="AQ43" s="675"/>
      <c r="AR43" s="675"/>
      <c r="AS43" s="675"/>
      <c r="AT43" s="675"/>
      <c r="AU43" s="675"/>
      <c r="AV43" s="675"/>
      <c r="AW43" s="675"/>
      <c r="AX43" s="675"/>
      <c r="AY43" s="675"/>
      <c r="AZ43" s="675"/>
      <c r="BA43" s="666"/>
      <c r="BB43" s="675"/>
      <c r="BC43" s="675"/>
      <c r="BD43" s="675"/>
      <c r="BE43" s="675"/>
      <c r="BF43" s="675"/>
      <c r="BG43" s="675"/>
      <c r="BH43" s="675"/>
      <c r="BI43" s="675"/>
      <c r="BJ43" s="675"/>
      <c r="BK43" s="675"/>
      <c r="BL43" s="675"/>
      <c r="BM43" s="675"/>
      <c r="BN43" s="675"/>
      <c r="BO43" s="675"/>
      <c r="BP43" s="675"/>
      <c r="BQ43" s="675"/>
      <c r="BR43" s="675"/>
      <c r="BS43" s="675"/>
      <c r="BT43" s="675"/>
      <c r="BU43" s="675"/>
      <c r="BV43" s="666"/>
      <c r="BW43" s="675"/>
      <c r="BX43" s="675"/>
      <c r="BY43" s="675"/>
      <c r="BZ43" s="675"/>
      <c r="CA43" s="675"/>
      <c r="CB43" s="675"/>
      <c r="CC43" s="675">
        <v>2</v>
      </c>
      <c r="CD43" s="675"/>
      <c r="CE43" s="675"/>
      <c r="CF43" s="675"/>
      <c r="CG43" s="675"/>
      <c r="CH43" s="675"/>
      <c r="CI43" s="675"/>
      <c r="CJ43" s="675"/>
      <c r="CK43" s="675"/>
      <c r="CL43" s="675"/>
      <c r="CM43" s="675"/>
      <c r="CN43" s="675"/>
      <c r="CO43" s="675"/>
      <c r="CP43" s="675"/>
      <c r="CQ43" s="23" t="s">
        <v>77</v>
      </c>
    </row>
    <row r="44" spans="2:95" outlineLevel="1" x14ac:dyDescent="0.2">
      <c r="B44" s="12" t="s">
        <v>570</v>
      </c>
      <c r="E44" s="511"/>
      <c r="R44" s="51"/>
      <c r="S44" s="51"/>
      <c r="T44" s="51"/>
      <c r="U44" s="51"/>
      <c r="V44" s="39"/>
      <c r="W44" s="39"/>
      <c r="X44" s="675"/>
      <c r="Y44" s="675"/>
      <c r="Z44" s="675"/>
      <c r="AA44" s="675"/>
      <c r="AB44" s="675"/>
      <c r="AC44" s="675"/>
      <c r="AD44" s="675"/>
      <c r="AE44" s="675"/>
      <c r="AF44" s="675"/>
      <c r="AG44" s="675"/>
      <c r="AH44" s="675"/>
      <c r="AI44" s="675"/>
      <c r="AJ44" s="675"/>
      <c r="AK44" s="675"/>
      <c r="AL44" s="675"/>
      <c r="AM44" s="675"/>
      <c r="AN44" s="675"/>
      <c r="AO44" s="675"/>
      <c r="AP44" s="675"/>
      <c r="AQ44" s="675"/>
      <c r="AR44" s="675"/>
      <c r="AS44" s="675"/>
      <c r="AT44" s="675">
        <v>2</v>
      </c>
      <c r="AU44" s="675"/>
      <c r="AV44" s="675"/>
      <c r="AW44" s="675"/>
      <c r="AX44" s="675"/>
      <c r="AY44" s="675"/>
      <c r="AZ44" s="675"/>
      <c r="BA44" s="675"/>
      <c r="BB44" s="675"/>
      <c r="BC44" s="675"/>
      <c r="BD44" s="675"/>
      <c r="BE44" s="675"/>
      <c r="BF44" s="675"/>
      <c r="BG44" s="675"/>
      <c r="BH44" s="675"/>
      <c r="BI44" s="675"/>
      <c r="BJ44" s="675"/>
      <c r="BK44" s="675"/>
      <c r="BL44" s="675"/>
      <c r="BM44" s="675"/>
      <c r="BN44" s="675"/>
      <c r="BO44" s="675"/>
      <c r="BP44" s="675"/>
      <c r="BQ44" s="675"/>
      <c r="BR44" s="675"/>
      <c r="BS44" s="675"/>
      <c r="BT44" s="675"/>
      <c r="BU44" s="675"/>
      <c r="BV44" s="675"/>
      <c r="BW44" s="675"/>
      <c r="BX44" s="675"/>
      <c r="BY44" s="675"/>
      <c r="BZ44" s="675"/>
      <c r="CA44" s="675"/>
      <c r="CB44" s="675"/>
      <c r="CC44" s="675"/>
      <c r="CD44" s="675"/>
      <c r="CE44" s="675"/>
      <c r="CF44" s="675"/>
      <c r="CG44" s="675"/>
      <c r="CH44" s="675"/>
      <c r="CI44" s="675"/>
      <c r="CJ44" s="675"/>
      <c r="CK44" s="675"/>
      <c r="CL44" s="675"/>
      <c r="CM44" s="675"/>
      <c r="CN44" s="675"/>
      <c r="CO44" s="675"/>
      <c r="CP44" s="675"/>
      <c r="CQ44" s="23" t="s">
        <v>77</v>
      </c>
    </row>
    <row r="45" spans="2:95" outlineLevel="1" x14ac:dyDescent="0.2">
      <c r="B45" s="24"/>
      <c r="Q45" s="447"/>
      <c r="R45" s="447"/>
      <c r="S45" s="447"/>
      <c r="CQ45" s="23" t="s">
        <v>77</v>
      </c>
    </row>
    <row r="46" spans="2:95" outlineLevel="1" x14ac:dyDescent="0.2">
      <c r="B46" s="358" t="s">
        <v>315</v>
      </c>
      <c r="D46" s="218"/>
      <c r="E46" s="218"/>
      <c r="F46" s="218"/>
      <c r="G46" s="218"/>
      <c r="H46" s="218"/>
      <c r="I46" s="66"/>
      <c r="J46" s="66"/>
      <c r="K46" s="66"/>
      <c r="L46" s="248"/>
      <c r="M46" s="248"/>
      <c r="N46" s="248"/>
      <c r="O46" s="248"/>
      <c r="P46" s="248"/>
      <c r="Q46" s="248"/>
      <c r="R46" s="248"/>
      <c r="S46" s="248"/>
      <c r="T46" s="248"/>
      <c r="U46" s="248"/>
      <c r="V46" s="248"/>
      <c r="W46" s="66"/>
      <c r="X46" s="543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  <c r="AX46" s="66"/>
      <c r="AY46" s="66"/>
      <c r="AZ46" s="66"/>
      <c r="BA46" s="66"/>
      <c r="BB46" s="66"/>
      <c r="BC46" s="66"/>
      <c r="BD46" s="66"/>
      <c r="BE46" s="66"/>
      <c r="BF46" s="66"/>
      <c r="BG46" s="66"/>
      <c r="BH46" s="66"/>
      <c r="BI46" s="66"/>
      <c r="BJ46" s="66"/>
      <c r="BK46" s="66"/>
      <c r="BL46" s="66"/>
      <c r="BM46" s="66"/>
      <c r="BN46" s="66"/>
      <c r="BO46" s="66"/>
      <c r="BP46" s="66"/>
      <c r="BQ46" s="66"/>
      <c r="BR46" s="66"/>
      <c r="BS46" s="66"/>
      <c r="BT46" s="66"/>
      <c r="BU46" s="66"/>
      <c r="BV46" s="66"/>
      <c r="BW46" s="66"/>
      <c r="BX46" s="66"/>
      <c r="BY46" s="66"/>
      <c r="BZ46" s="66"/>
      <c r="CA46" s="66"/>
      <c r="CB46" s="66"/>
      <c r="CC46" s="66"/>
      <c r="CD46" s="66"/>
      <c r="CE46" s="66"/>
      <c r="CF46" s="66"/>
      <c r="CG46" s="66"/>
      <c r="CH46" s="66"/>
      <c r="CI46" s="66"/>
      <c r="CJ46" s="66"/>
      <c r="CK46" s="66"/>
      <c r="CL46" s="66"/>
      <c r="CM46" s="66"/>
      <c r="CN46" s="66"/>
      <c r="CO46" s="66"/>
      <c r="CP46" s="66"/>
      <c r="CQ46" s="23" t="s">
        <v>77</v>
      </c>
    </row>
    <row r="47" spans="2:95" outlineLevel="1" x14ac:dyDescent="0.2">
      <c r="B47" s="91" t="s">
        <v>355</v>
      </c>
      <c r="D47" s="309">
        <v>0.78500000000000003</v>
      </c>
      <c r="E47" s="511" t="s">
        <v>585</v>
      </c>
      <c r="I47" s="9" t="str">
        <f t="shared" ref="I47:Q47" si="36">IF(ISERROR(+I60/I34),"n.a.",+I60/I34)</f>
        <v>n.a.</v>
      </c>
      <c r="J47" s="9" t="str">
        <f t="shared" si="36"/>
        <v>n.a.</v>
      </c>
      <c r="K47" s="9" t="str">
        <f t="shared" si="36"/>
        <v>n.a.</v>
      </c>
      <c r="L47" s="9" t="str">
        <f t="shared" si="36"/>
        <v>n.a.</v>
      </c>
      <c r="M47" s="9">
        <f t="shared" si="36"/>
        <v>66.628</v>
      </c>
      <c r="N47" s="9">
        <f t="shared" si="36"/>
        <v>102.04900000000001</v>
      </c>
      <c r="O47" s="9">
        <f t="shared" si="36"/>
        <v>135.625</v>
      </c>
      <c r="P47" s="9">
        <f t="shared" si="36"/>
        <v>136.852</v>
      </c>
      <c r="Q47" s="9">
        <f t="shared" si="36"/>
        <v>151.209</v>
      </c>
      <c r="R47" s="51">
        <f>+(R116*0.5+Q116*0.5)+Q47-+(Q116*0.5+P116*0.5)+5.4</f>
        <v>142.73838934091864</v>
      </c>
      <c r="S47" s="51">
        <f t="shared" ref="S47:W48" si="37">S19</f>
        <v>162.58199999999999</v>
      </c>
      <c r="T47" s="51">
        <f t="shared" si="37"/>
        <v>153.66900000000001</v>
      </c>
      <c r="U47" s="51">
        <f t="shared" si="37"/>
        <v>163.59200000000001</v>
      </c>
      <c r="V47" s="51">
        <f t="shared" si="37"/>
        <v>152.99100000000001</v>
      </c>
      <c r="W47" s="51">
        <f t="shared" si="37"/>
        <v>156.946</v>
      </c>
      <c r="X47" s="157">
        <f>+(X116*0.5+W116*0.5)+W47-+(W116*0.5+V116*0.5)</f>
        <v>158.27643018123871</v>
      </c>
      <c r="Y47" s="157">
        <f>+(Y116*0.5+X116*0.5)+X47-+(X116*0.5+W116*0.5)</f>
        <v>159.02741404813943</v>
      </c>
      <c r="Z47" s="157">
        <f t="shared" ref="Z47:AR47" si="38">+(Z116*0.5+Y116*0.5)+Y47-+(Y116*0.5+X116*0.5)</f>
        <v>160.95285006607816</v>
      </c>
      <c r="AA47" s="157">
        <f t="shared" si="38"/>
        <v>163.41796467092712</v>
      </c>
      <c r="AB47" s="157">
        <f t="shared" si="38"/>
        <v>165.98858610097145</v>
      </c>
      <c r="AC47" s="157">
        <f t="shared" si="38"/>
        <v>166.63182183918184</v>
      </c>
      <c r="AD47" s="157">
        <f t="shared" si="38"/>
        <v>166.99436546872607</v>
      </c>
      <c r="AE47" s="157">
        <f t="shared" si="38"/>
        <v>171.39514242878343</v>
      </c>
      <c r="AF47" s="157">
        <f t="shared" si="38"/>
        <v>175.23858366643378</v>
      </c>
      <c r="AG47" s="157">
        <f t="shared" si="38"/>
        <v>176.19327628274567</v>
      </c>
      <c r="AH47" s="157">
        <f t="shared" si="38"/>
        <v>177.16815267153839</v>
      </c>
      <c r="AI47" s="157">
        <f t="shared" si="38"/>
        <v>178.16420873353431</v>
      </c>
      <c r="AJ47" s="157">
        <f t="shared" si="38"/>
        <v>179.18144799015295</v>
      </c>
      <c r="AK47" s="157">
        <f t="shared" si="38"/>
        <v>180.220889706913</v>
      </c>
      <c r="AL47" s="157">
        <f t="shared" si="38"/>
        <v>181.28256472432844</v>
      </c>
      <c r="AM47" s="157">
        <f t="shared" si="38"/>
        <v>182.36651465072282</v>
      </c>
      <c r="AN47" s="157">
        <f t="shared" si="38"/>
        <v>183.47480000794488</v>
      </c>
      <c r="AO47" s="157">
        <f t="shared" si="38"/>
        <v>184.60699049432344</v>
      </c>
      <c r="AP47" s="157">
        <f t="shared" si="38"/>
        <v>185.76316867354387</v>
      </c>
      <c r="AQ47" s="157">
        <f t="shared" si="38"/>
        <v>186.94493590803745</v>
      </c>
      <c r="AR47" s="157">
        <f t="shared" si="38"/>
        <v>188.1529071191602</v>
      </c>
      <c r="AS47" s="157"/>
      <c r="AT47" s="157"/>
      <c r="AU47" s="157"/>
      <c r="AV47" s="157"/>
      <c r="AW47" s="157"/>
      <c r="AX47" s="157"/>
      <c r="AY47" s="157"/>
      <c r="AZ47" s="157"/>
      <c r="BA47" s="157"/>
      <c r="BB47" s="157"/>
      <c r="BC47" s="157"/>
      <c r="BD47" s="157"/>
      <c r="BE47" s="157"/>
      <c r="BF47" s="157"/>
      <c r="BG47" s="157"/>
      <c r="BH47" s="157"/>
      <c r="BI47" s="157"/>
      <c r="BJ47" s="157"/>
      <c r="BK47" s="157"/>
      <c r="BL47" s="157"/>
      <c r="BM47" s="157"/>
      <c r="BN47" s="157"/>
      <c r="BO47" s="157"/>
      <c r="BP47" s="157"/>
      <c r="BQ47" s="157"/>
      <c r="BR47" s="157"/>
      <c r="BS47" s="157"/>
      <c r="BT47" s="157"/>
      <c r="BU47" s="157"/>
      <c r="BV47" s="157"/>
      <c r="BW47" s="157"/>
      <c r="BX47" s="157"/>
      <c r="BY47" s="157"/>
      <c r="BZ47" s="157"/>
      <c r="CA47" s="157"/>
      <c r="CB47" s="157"/>
      <c r="CC47" s="157"/>
      <c r="CD47" s="157"/>
      <c r="CE47" s="157"/>
      <c r="CF47" s="157"/>
      <c r="CG47" s="157"/>
      <c r="CH47" s="157"/>
      <c r="CI47" s="157"/>
      <c r="CJ47" s="157"/>
      <c r="CK47" s="157"/>
      <c r="CL47" s="157"/>
      <c r="CM47" s="157"/>
      <c r="CN47" s="157"/>
      <c r="CO47" s="157"/>
      <c r="CP47" s="157"/>
      <c r="CQ47" s="23" t="s">
        <v>77</v>
      </c>
    </row>
    <row r="48" spans="2:95" outlineLevel="1" x14ac:dyDescent="0.2">
      <c r="B48" s="8" t="s">
        <v>356</v>
      </c>
      <c r="D48" s="309">
        <v>0.78500000000000003</v>
      </c>
      <c r="E48" s="619">
        <f>Valuation!$E$13</f>
        <v>0.1</v>
      </c>
      <c r="I48" s="9" t="str">
        <f t="shared" ref="I48:Q48" si="39">IF(ISERROR(+I61/I35),"n.a.",+I61/I35)</f>
        <v>n.a.</v>
      </c>
      <c r="J48" s="9" t="str">
        <f t="shared" si="39"/>
        <v>n.a.</v>
      </c>
      <c r="K48" s="9" t="str">
        <f t="shared" si="39"/>
        <v>n.a.</v>
      </c>
      <c r="L48" s="9" t="str">
        <f t="shared" si="39"/>
        <v>n.a.</v>
      </c>
      <c r="M48" s="9" t="str">
        <f t="shared" si="39"/>
        <v>n.a.</v>
      </c>
      <c r="N48" s="9">
        <f t="shared" si="39"/>
        <v>1.8939999999999999</v>
      </c>
      <c r="O48" s="9">
        <f t="shared" si="39"/>
        <v>1.9430000000000001</v>
      </c>
      <c r="P48" s="9">
        <f t="shared" si="39"/>
        <v>2.0049999999999999</v>
      </c>
      <c r="Q48" s="9">
        <f t="shared" si="39"/>
        <v>2.0489999999999999</v>
      </c>
      <c r="R48" s="51">
        <f>+Q48*(1+R$10*R$38)</f>
        <v>2.0489999999999999</v>
      </c>
      <c r="S48" s="51">
        <f t="shared" si="37"/>
        <v>2.1640000000000001</v>
      </c>
      <c r="T48" s="51">
        <f t="shared" si="37"/>
        <v>2.6869999999999998</v>
      </c>
      <c r="U48" s="51">
        <f t="shared" si="37"/>
        <v>2.7250000000000001</v>
      </c>
      <c r="V48" s="51">
        <f t="shared" si="37"/>
        <v>2.871</v>
      </c>
      <c r="W48" s="51">
        <f t="shared" si="37"/>
        <v>2.9580000000000002</v>
      </c>
      <c r="X48" s="51">
        <f>IF(X43=0,W48*(1+X$9*X$38),IF(X43=1,-X55/(1-PERCENTILE($D48:$E48,$D$41)),IF(X43=2,)))</f>
        <v>3.0319500000000001</v>
      </c>
      <c r="Y48" s="51">
        <f t="shared" ref="Y48:CJ48" si="40">IF(Y43=0,X48*(1+Y$9*Y$38),IF(Y43=1,-Y55/(1-PERCENTILE($D48:$E48,$D$41)),IF(Y43=2,)))</f>
        <v>3.1077487499999998</v>
      </c>
      <c r="Z48" s="51">
        <f t="shared" si="40"/>
        <v>3.1854424687499994</v>
      </c>
      <c r="AA48" s="51">
        <f t="shared" si="40"/>
        <v>3.2650785304687489</v>
      </c>
      <c r="AB48" s="51">
        <f t="shared" si="40"/>
        <v>3.3426241455673815</v>
      </c>
      <c r="AC48" s="51">
        <f t="shared" si="40"/>
        <v>3.4220114690246066</v>
      </c>
      <c r="AD48" s="51">
        <f t="shared" si="40"/>
        <v>3.5032842414139407</v>
      </c>
      <c r="AE48" s="51">
        <f t="shared" si="40"/>
        <v>2.3597075690461322</v>
      </c>
      <c r="AF48" s="51">
        <f t="shared" si="40"/>
        <v>2.4157506238109776</v>
      </c>
      <c r="AG48" s="51">
        <f t="shared" si="40"/>
        <v>2.4731247011264883</v>
      </c>
      <c r="AH48" s="51">
        <f t="shared" si="40"/>
        <v>2.5318614127782424</v>
      </c>
      <c r="AI48" s="51">
        <f t="shared" si="40"/>
        <v>2.5919931213317255</v>
      </c>
      <c r="AJ48" s="51">
        <f t="shared" si="40"/>
        <v>2.6535529579633539</v>
      </c>
      <c r="AK48" s="51">
        <f t="shared" si="40"/>
        <v>2.7165748407149835</v>
      </c>
      <c r="AL48" s="51">
        <f t="shared" si="40"/>
        <v>2.781093493181964</v>
      </c>
      <c r="AM48" s="51">
        <f t="shared" si="40"/>
        <v>2.8471444636450354</v>
      </c>
      <c r="AN48" s="51">
        <f t="shared" si="40"/>
        <v>2.9147641446566048</v>
      </c>
      <c r="AO48" s="51">
        <f t="shared" si="40"/>
        <v>2.9839897930921988</v>
      </c>
      <c r="AP48" s="51">
        <f t="shared" si="40"/>
        <v>3.0548595506781382</v>
      </c>
      <c r="AQ48" s="51">
        <f t="shared" si="40"/>
        <v>3.1274124650067439</v>
      </c>
      <c r="AR48" s="51">
        <f t="shared" si="40"/>
        <v>3.2016885110506537</v>
      </c>
      <c r="AS48" s="51">
        <f t="shared" si="40"/>
        <v>3.2777286131881067</v>
      </c>
      <c r="AT48" s="51">
        <f t="shared" si="40"/>
        <v>3.3555746677513238</v>
      </c>
      <c r="AU48" s="51">
        <f t="shared" si="40"/>
        <v>3.4352695661104176</v>
      </c>
      <c r="AV48" s="51">
        <f t="shared" si="40"/>
        <v>3.5168572183055398</v>
      </c>
      <c r="AW48" s="51">
        <f t="shared" si="40"/>
        <v>3.6003825772402962</v>
      </c>
      <c r="AX48" s="51">
        <f t="shared" si="40"/>
        <v>3.6858916634497532</v>
      </c>
      <c r="AY48" s="51">
        <f t="shared" si="40"/>
        <v>3.7734315904566844</v>
      </c>
      <c r="AZ48" s="51">
        <f t="shared" si="40"/>
        <v>3.8630505907300305</v>
      </c>
      <c r="BA48" s="51">
        <f t="shared" si="40"/>
        <v>3.9547980422598683</v>
      </c>
      <c r="BB48" s="51">
        <f t="shared" si="40"/>
        <v>4.0487244957635395</v>
      </c>
      <c r="BC48" s="51">
        <f t="shared" si="40"/>
        <v>4.1448817025379237</v>
      </c>
      <c r="BD48" s="51">
        <f t="shared" si="40"/>
        <v>4.2433226429731992</v>
      </c>
      <c r="BE48" s="51">
        <f t="shared" si="40"/>
        <v>4.3441015557438121</v>
      </c>
      <c r="BF48" s="51">
        <f t="shared" si="40"/>
        <v>4.4472739676927278</v>
      </c>
      <c r="BG48" s="51">
        <f t="shared" si="40"/>
        <v>4.5528967244254295</v>
      </c>
      <c r="BH48" s="51">
        <f t="shared" si="40"/>
        <v>4.6610280216305329</v>
      </c>
      <c r="BI48" s="51">
        <f t="shared" si="40"/>
        <v>4.771727437144258</v>
      </c>
      <c r="BJ48" s="51">
        <f t="shared" si="40"/>
        <v>4.8850559637764341</v>
      </c>
      <c r="BK48" s="51">
        <f t="shared" si="40"/>
        <v>5.0010760429161243</v>
      </c>
      <c r="BL48" s="51">
        <f t="shared" si="40"/>
        <v>5.1198515989353819</v>
      </c>
      <c r="BM48" s="51">
        <f t="shared" si="40"/>
        <v>5.2414480744100969</v>
      </c>
      <c r="BN48" s="51">
        <f t="shared" si="40"/>
        <v>5.3659324661773367</v>
      </c>
      <c r="BO48" s="51">
        <f t="shared" si="40"/>
        <v>5.4933733622490477</v>
      </c>
      <c r="BP48" s="51">
        <f t="shared" si="40"/>
        <v>5.6238409796024627</v>
      </c>
      <c r="BQ48" s="51">
        <f t="shared" si="40"/>
        <v>5.7574072028680208</v>
      </c>
      <c r="BR48" s="51">
        <f t="shared" si="40"/>
        <v>5.8941456239361356</v>
      </c>
      <c r="BS48" s="51">
        <f t="shared" si="40"/>
        <v>6.0341315825046182</v>
      </c>
      <c r="BT48" s="51">
        <f t="shared" si="40"/>
        <v>6.1774422075891025</v>
      </c>
      <c r="BU48" s="51">
        <f t="shared" si="40"/>
        <v>6.324156460019343</v>
      </c>
      <c r="BV48" s="51">
        <f t="shared" si="40"/>
        <v>6.4743551759448019</v>
      </c>
      <c r="BW48" s="51">
        <f t="shared" si="40"/>
        <v>6.6281211113734901</v>
      </c>
      <c r="BX48" s="51">
        <f t="shared" si="40"/>
        <v>6.7855389877686099</v>
      </c>
      <c r="BY48" s="51">
        <f t="shared" si="40"/>
        <v>6.9466955387281137</v>
      </c>
      <c r="BZ48" s="51">
        <f t="shared" si="40"/>
        <v>7.1116795577729057</v>
      </c>
      <c r="CA48" s="51">
        <f t="shared" si="40"/>
        <v>7.2805819472700115</v>
      </c>
      <c r="CB48" s="51">
        <f t="shared" si="40"/>
        <v>7.4534957685176737</v>
      </c>
      <c r="CC48" s="51">
        <f t="shared" si="40"/>
        <v>0</v>
      </c>
      <c r="CD48" s="51">
        <f t="shared" si="40"/>
        <v>0</v>
      </c>
      <c r="CE48" s="51">
        <f t="shared" si="40"/>
        <v>0</v>
      </c>
      <c r="CF48" s="51">
        <f t="shared" si="40"/>
        <v>0</v>
      </c>
      <c r="CG48" s="51">
        <f t="shared" si="40"/>
        <v>0</v>
      </c>
      <c r="CH48" s="51">
        <f t="shared" si="40"/>
        <v>0</v>
      </c>
      <c r="CI48" s="51">
        <f t="shared" si="40"/>
        <v>0</v>
      </c>
      <c r="CJ48" s="51">
        <f t="shared" si="40"/>
        <v>0</v>
      </c>
      <c r="CK48" s="51">
        <f t="shared" ref="CK48:CP48" si="41">IF(CK43=0,CJ48*(1+CK$9*CK$38),IF(CK43=1,-CK55/(1-PERCENTILE($D48:$E48,$D$41)),IF(CK43=2,)))</f>
        <v>0</v>
      </c>
      <c r="CL48" s="51">
        <f t="shared" si="41"/>
        <v>0</v>
      </c>
      <c r="CM48" s="51">
        <f t="shared" si="41"/>
        <v>0</v>
      </c>
      <c r="CN48" s="51">
        <f t="shared" si="41"/>
        <v>0</v>
      </c>
      <c r="CO48" s="51">
        <f t="shared" si="41"/>
        <v>0</v>
      </c>
      <c r="CP48" s="51">
        <f t="shared" si="41"/>
        <v>0</v>
      </c>
      <c r="CQ48" s="23" t="s">
        <v>77</v>
      </c>
    </row>
    <row r="49" spans="2:95" outlineLevel="1" x14ac:dyDescent="0.2">
      <c r="B49" s="12" t="s">
        <v>570</v>
      </c>
      <c r="D49" s="309">
        <v>0.8</v>
      </c>
      <c r="E49" s="511" t="s">
        <v>586</v>
      </c>
      <c r="R49" s="51"/>
      <c r="S49" s="51"/>
      <c r="T49" s="51"/>
      <c r="U49" s="51"/>
      <c r="V49" s="51"/>
      <c r="W49" s="51"/>
      <c r="X49" s="307"/>
      <c r="Y49" s="307"/>
      <c r="Z49" s="157">
        <f>Z62/D49</f>
        <v>28.125</v>
      </c>
      <c r="AA49" s="51">
        <f>IF(AA44=0,Z49*(1+AA$9*AA$38),IF(AA44=1,-AA56/(1-PERCENTILE($D49:$E49,$D$41)),IF(AA44=2,)))</f>
        <v>28.828124999999996</v>
      </c>
      <c r="AB49" s="51">
        <f t="shared" ref="AB49:CM49" si="42">IF(AB44=0,AA49*(1+AB$9*AB$38),IF(AB44=1,-AB56/(1-PERCENTILE($D49:$E49,$D$41)),IF(AB44=2,)))</f>
        <v>29.512792968749995</v>
      </c>
      <c r="AC49" s="51">
        <f t="shared" si="42"/>
        <v>30.213721801757806</v>
      </c>
      <c r="AD49" s="51">
        <f t="shared" si="42"/>
        <v>30.931297694549553</v>
      </c>
      <c r="AE49" s="51">
        <f t="shared" si="42"/>
        <v>31.665916014795101</v>
      </c>
      <c r="AF49" s="51">
        <f t="shared" si="42"/>
        <v>32.417981520146483</v>
      </c>
      <c r="AG49" s="51">
        <f t="shared" si="42"/>
        <v>33.187908581249957</v>
      </c>
      <c r="AH49" s="51">
        <f t="shared" si="42"/>
        <v>33.976121410054638</v>
      </c>
      <c r="AI49" s="51">
        <f t="shared" si="42"/>
        <v>34.783054293543437</v>
      </c>
      <c r="AJ49" s="51">
        <f t="shared" si="42"/>
        <v>35.60915183301509</v>
      </c>
      <c r="AK49" s="51">
        <f t="shared" si="42"/>
        <v>36.454869189049198</v>
      </c>
      <c r="AL49" s="51">
        <f t="shared" si="42"/>
        <v>37.320672332289114</v>
      </c>
      <c r="AM49" s="51">
        <f t="shared" si="42"/>
        <v>38.207038300180976</v>
      </c>
      <c r="AN49" s="51">
        <f t="shared" si="42"/>
        <v>39.114455459810273</v>
      </c>
      <c r="AO49" s="51">
        <f t="shared" si="42"/>
        <v>40.043423776980767</v>
      </c>
      <c r="AP49" s="51">
        <f t="shared" si="42"/>
        <v>40.99445509168406</v>
      </c>
      <c r="AQ49" s="51">
        <f t="shared" si="42"/>
        <v>41.968073400111557</v>
      </c>
      <c r="AR49" s="51">
        <f t="shared" si="42"/>
        <v>42.964815143364206</v>
      </c>
      <c r="AS49" s="51">
        <f t="shared" si="42"/>
        <v>43.985229503019106</v>
      </c>
      <c r="AT49" s="51">
        <f t="shared" si="42"/>
        <v>0</v>
      </c>
      <c r="AU49" s="51">
        <f t="shared" si="42"/>
        <v>0</v>
      </c>
      <c r="AV49" s="51">
        <f t="shared" si="42"/>
        <v>0</v>
      </c>
      <c r="AW49" s="51">
        <f t="shared" si="42"/>
        <v>0</v>
      </c>
      <c r="AX49" s="51">
        <f t="shared" si="42"/>
        <v>0</v>
      </c>
      <c r="AY49" s="51">
        <f t="shared" si="42"/>
        <v>0</v>
      </c>
      <c r="AZ49" s="51">
        <f t="shared" si="42"/>
        <v>0</v>
      </c>
      <c r="BA49" s="51">
        <f t="shared" si="42"/>
        <v>0</v>
      </c>
      <c r="BB49" s="51">
        <f t="shared" si="42"/>
        <v>0</v>
      </c>
      <c r="BC49" s="51">
        <f t="shared" si="42"/>
        <v>0</v>
      </c>
      <c r="BD49" s="51">
        <f t="shared" si="42"/>
        <v>0</v>
      </c>
      <c r="BE49" s="51">
        <f t="shared" si="42"/>
        <v>0</v>
      </c>
      <c r="BF49" s="51">
        <f t="shared" si="42"/>
        <v>0</v>
      </c>
      <c r="BG49" s="51">
        <f t="shared" si="42"/>
        <v>0</v>
      </c>
      <c r="BH49" s="51">
        <f t="shared" si="42"/>
        <v>0</v>
      </c>
      <c r="BI49" s="51">
        <f t="shared" si="42"/>
        <v>0</v>
      </c>
      <c r="BJ49" s="51">
        <f t="shared" si="42"/>
        <v>0</v>
      </c>
      <c r="BK49" s="51">
        <f t="shared" si="42"/>
        <v>0</v>
      </c>
      <c r="BL49" s="51">
        <f t="shared" si="42"/>
        <v>0</v>
      </c>
      <c r="BM49" s="51">
        <f t="shared" si="42"/>
        <v>0</v>
      </c>
      <c r="BN49" s="51">
        <f t="shared" si="42"/>
        <v>0</v>
      </c>
      <c r="BO49" s="51">
        <f t="shared" si="42"/>
        <v>0</v>
      </c>
      <c r="BP49" s="51">
        <f t="shared" si="42"/>
        <v>0</v>
      </c>
      <c r="BQ49" s="51">
        <f t="shared" si="42"/>
        <v>0</v>
      </c>
      <c r="BR49" s="51">
        <f t="shared" si="42"/>
        <v>0</v>
      </c>
      <c r="BS49" s="51">
        <f t="shared" si="42"/>
        <v>0</v>
      </c>
      <c r="BT49" s="51">
        <f t="shared" si="42"/>
        <v>0</v>
      </c>
      <c r="BU49" s="51">
        <f t="shared" si="42"/>
        <v>0</v>
      </c>
      <c r="BV49" s="51">
        <f t="shared" si="42"/>
        <v>0</v>
      </c>
      <c r="BW49" s="51">
        <f t="shared" si="42"/>
        <v>0</v>
      </c>
      <c r="BX49" s="51">
        <f t="shared" si="42"/>
        <v>0</v>
      </c>
      <c r="BY49" s="51">
        <f t="shared" si="42"/>
        <v>0</v>
      </c>
      <c r="BZ49" s="51">
        <f t="shared" si="42"/>
        <v>0</v>
      </c>
      <c r="CA49" s="51">
        <f t="shared" si="42"/>
        <v>0</v>
      </c>
      <c r="CB49" s="51">
        <f t="shared" si="42"/>
        <v>0</v>
      </c>
      <c r="CC49" s="51">
        <f t="shared" si="42"/>
        <v>0</v>
      </c>
      <c r="CD49" s="51">
        <f t="shared" si="42"/>
        <v>0</v>
      </c>
      <c r="CE49" s="51">
        <f t="shared" si="42"/>
        <v>0</v>
      </c>
      <c r="CF49" s="51">
        <f t="shared" si="42"/>
        <v>0</v>
      </c>
      <c r="CG49" s="51">
        <f t="shared" si="42"/>
        <v>0</v>
      </c>
      <c r="CH49" s="51">
        <f t="shared" si="42"/>
        <v>0</v>
      </c>
      <c r="CI49" s="51">
        <f t="shared" si="42"/>
        <v>0</v>
      </c>
      <c r="CJ49" s="51">
        <f t="shared" si="42"/>
        <v>0</v>
      </c>
      <c r="CK49" s="51">
        <f t="shared" si="42"/>
        <v>0</v>
      </c>
      <c r="CL49" s="51">
        <f t="shared" si="42"/>
        <v>0</v>
      </c>
      <c r="CM49" s="51">
        <f t="shared" si="42"/>
        <v>0</v>
      </c>
      <c r="CN49" s="51">
        <f t="shared" ref="CN49:CP49" si="43">IF(CN44=0,CM49*(1+CN$9*CN$38),IF(CN44=1,-CN56/(1-PERCENTILE($D49:$E49,$D$41)),IF(CN44=2,)))</f>
        <v>0</v>
      </c>
      <c r="CO49" s="51">
        <f t="shared" si="43"/>
        <v>0</v>
      </c>
      <c r="CP49" s="51">
        <f t="shared" si="43"/>
        <v>0</v>
      </c>
      <c r="CQ49" s="23" t="s">
        <v>77</v>
      </c>
    </row>
    <row r="50" spans="2:95" outlineLevel="1" x14ac:dyDescent="0.2">
      <c r="B50" s="485" t="s">
        <v>299</v>
      </c>
      <c r="D50" s="485"/>
      <c r="E50" s="485"/>
      <c r="F50" s="485"/>
      <c r="G50" s="485"/>
      <c r="H50" s="485"/>
      <c r="I50" s="85">
        <f t="shared" ref="I50:AN50" si="44">SUM(I47:I48)</f>
        <v>0</v>
      </c>
      <c r="J50" s="85">
        <f t="shared" si="44"/>
        <v>0</v>
      </c>
      <c r="K50" s="85">
        <f t="shared" si="44"/>
        <v>0</v>
      </c>
      <c r="L50" s="85">
        <f t="shared" si="44"/>
        <v>0</v>
      </c>
      <c r="M50" s="85">
        <f t="shared" si="44"/>
        <v>66.628</v>
      </c>
      <c r="N50" s="85">
        <f t="shared" si="44"/>
        <v>103.94300000000001</v>
      </c>
      <c r="O50" s="85">
        <f t="shared" si="44"/>
        <v>137.56800000000001</v>
      </c>
      <c r="P50" s="85">
        <f t="shared" si="44"/>
        <v>138.857</v>
      </c>
      <c r="Q50" s="85">
        <f t="shared" si="44"/>
        <v>153.25800000000001</v>
      </c>
      <c r="R50" s="85">
        <f t="shared" si="44"/>
        <v>144.78738934091865</v>
      </c>
      <c r="S50" s="85">
        <f t="shared" si="44"/>
        <v>164.74599999999998</v>
      </c>
      <c r="T50" s="85">
        <f t="shared" si="44"/>
        <v>156.35600000000002</v>
      </c>
      <c r="U50" s="85">
        <f t="shared" si="44"/>
        <v>166.31700000000001</v>
      </c>
      <c r="V50" s="85">
        <f>SUM(V47:V48)</f>
        <v>155.86200000000002</v>
      </c>
      <c r="W50" s="85">
        <f>SUM(W47:W48)</f>
        <v>159.904</v>
      </c>
      <c r="X50" s="85">
        <f t="shared" si="44"/>
        <v>161.3083801812387</v>
      </c>
      <c r="Y50" s="85">
        <f t="shared" si="44"/>
        <v>162.13516279813945</v>
      </c>
      <c r="Z50" s="85">
        <f t="shared" si="44"/>
        <v>164.13829253482817</v>
      </c>
      <c r="AA50" s="85">
        <f t="shared" si="44"/>
        <v>166.68304320139586</v>
      </c>
      <c r="AB50" s="85">
        <f t="shared" si="44"/>
        <v>169.33121024653883</v>
      </c>
      <c r="AC50" s="85">
        <f t="shared" si="44"/>
        <v>170.05383330820644</v>
      </c>
      <c r="AD50" s="85">
        <f t="shared" si="44"/>
        <v>170.49764971014002</v>
      </c>
      <c r="AE50" s="85">
        <f t="shared" si="44"/>
        <v>173.75484999782955</v>
      </c>
      <c r="AF50" s="85">
        <f t="shared" si="44"/>
        <v>177.65433429024475</v>
      </c>
      <c r="AG50" s="85">
        <f t="shared" si="44"/>
        <v>178.66640098387217</v>
      </c>
      <c r="AH50" s="85">
        <f t="shared" si="44"/>
        <v>179.70001408431665</v>
      </c>
      <c r="AI50" s="85">
        <f t="shared" si="44"/>
        <v>180.75620185486605</v>
      </c>
      <c r="AJ50" s="85">
        <f t="shared" si="44"/>
        <v>181.83500094811629</v>
      </c>
      <c r="AK50" s="85">
        <f t="shared" si="44"/>
        <v>182.937464547628</v>
      </c>
      <c r="AL50" s="85">
        <f t="shared" si="44"/>
        <v>184.06365821751041</v>
      </c>
      <c r="AM50" s="85">
        <f t="shared" si="44"/>
        <v>185.21365911436786</v>
      </c>
      <c r="AN50" s="85">
        <f t="shared" si="44"/>
        <v>186.38956415260148</v>
      </c>
      <c r="AO50" s="85">
        <f t="shared" ref="AO50:BT50" si="45">SUM(AO47:AO48)</f>
        <v>187.59098028741565</v>
      </c>
      <c r="AP50" s="85">
        <f t="shared" si="45"/>
        <v>188.81802822422202</v>
      </c>
      <c r="AQ50" s="85">
        <f t="shared" si="45"/>
        <v>190.07234837304421</v>
      </c>
      <c r="AR50" s="85">
        <f t="shared" si="45"/>
        <v>191.35459563021087</v>
      </c>
      <c r="AS50" s="85">
        <f t="shared" si="45"/>
        <v>3.2777286131881067</v>
      </c>
      <c r="AT50" s="85">
        <f t="shared" si="45"/>
        <v>3.3555746677513238</v>
      </c>
      <c r="AU50" s="85">
        <f t="shared" si="45"/>
        <v>3.4352695661104176</v>
      </c>
      <c r="AV50" s="85">
        <f t="shared" si="45"/>
        <v>3.5168572183055398</v>
      </c>
      <c r="AW50" s="85">
        <f t="shared" si="45"/>
        <v>3.6003825772402962</v>
      </c>
      <c r="AX50" s="85">
        <f t="shared" si="45"/>
        <v>3.6858916634497532</v>
      </c>
      <c r="AY50" s="85">
        <f t="shared" si="45"/>
        <v>3.7734315904566844</v>
      </c>
      <c r="AZ50" s="85">
        <f t="shared" si="45"/>
        <v>3.8630505907300305</v>
      </c>
      <c r="BA50" s="85">
        <f t="shared" si="45"/>
        <v>3.9547980422598683</v>
      </c>
      <c r="BB50" s="85">
        <f t="shared" si="45"/>
        <v>4.0487244957635395</v>
      </c>
      <c r="BC50" s="85">
        <f t="shared" si="45"/>
        <v>4.1448817025379237</v>
      </c>
      <c r="BD50" s="85">
        <f t="shared" si="45"/>
        <v>4.2433226429731992</v>
      </c>
      <c r="BE50" s="85">
        <f t="shared" si="45"/>
        <v>4.3441015557438121</v>
      </c>
      <c r="BF50" s="85">
        <f t="shared" si="45"/>
        <v>4.4472739676927278</v>
      </c>
      <c r="BG50" s="85">
        <f t="shared" si="45"/>
        <v>4.5528967244254295</v>
      </c>
      <c r="BH50" s="85">
        <f t="shared" si="45"/>
        <v>4.6610280216305329</v>
      </c>
      <c r="BI50" s="85">
        <f t="shared" si="45"/>
        <v>4.771727437144258</v>
      </c>
      <c r="BJ50" s="85">
        <f t="shared" si="45"/>
        <v>4.8850559637764341</v>
      </c>
      <c r="BK50" s="85">
        <f t="shared" si="45"/>
        <v>5.0010760429161243</v>
      </c>
      <c r="BL50" s="85">
        <f t="shared" si="45"/>
        <v>5.1198515989353819</v>
      </c>
      <c r="BM50" s="85">
        <f t="shared" si="45"/>
        <v>5.2414480744100969</v>
      </c>
      <c r="BN50" s="85">
        <f t="shared" si="45"/>
        <v>5.3659324661773367</v>
      </c>
      <c r="BO50" s="85">
        <f t="shared" si="45"/>
        <v>5.4933733622490477</v>
      </c>
      <c r="BP50" s="85">
        <f t="shared" si="45"/>
        <v>5.6238409796024627</v>
      </c>
      <c r="BQ50" s="85">
        <f t="shared" si="45"/>
        <v>5.7574072028680208</v>
      </c>
      <c r="BR50" s="85">
        <f t="shared" si="45"/>
        <v>5.8941456239361356</v>
      </c>
      <c r="BS50" s="85">
        <f t="shared" si="45"/>
        <v>6.0341315825046182</v>
      </c>
      <c r="BT50" s="85">
        <f t="shared" si="45"/>
        <v>6.1774422075891025</v>
      </c>
      <c r="BU50" s="85">
        <f t="shared" ref="BU50:CP50" si="46">SUM(BU47:BU48)</f>
        <v>6.324156460019343</v>
      </c>
      <c r="BV50" s="85">
        <f t="shared" si="46"/>
        <v>6.4743551759448019</v>
      </c>
      <c r="BW50" s="85">
        <f t="shared" si="46"/>
        <v>6.6281211113734901</v>
      </c>
      <c r="BX50" s="85">
        <f t="shared" si="46"/>
        <v>6.7855389877686099</v>
      </c>
      <c r="BY50" s="85">
        <f t="shared" si="46"/>
        <v>6.9466955387281137</v>
      </c>
      <c r="BZ50" s="85">
        <f t="shared" si="46"/>
        <v>7.1116795577729057</v>
      </c>
      <c r="CA50" s="85">
        <f t="shared" si="46"/>
        <v>7.2805819472700115</v>
      </c>
      <c r="CB50" s="85">
        <f t="shared" si="46"/>
        <v>7.4534957685176737</v>
      </c>
      <c r="CC50" s="85">
        <f t="shared" si="46"/>
        <v>0</v>
      </c>
      <c r="CD50" s="85">
        <f t="shared" si="46"/>
        <v>0</v>
      </c>
      <c r="CE50" s="85">
        <f t="shared" si="46"/>
        <v>0</v>
      </c>
      <c r="CF50" s="85">
        <f t="shared" si="46"/>
        <v>0</v>
      </c>
      <c r="CG50" s="85">
        <f t="shared" si="46"/>
        <v>0</v>
      </c>
      <c r="CH50" s="85">
        <f t="shared" si="46"/>
        <v>0</v>
      </c>
      <c r="CI50" s="85">
        <f t="shared" si="46"/>
        <v>0</v>
      </c>
      <c r="CJ50" s="85">
        <f t="shared" si="46"/>
        <v>0</v>
      </c>
      <c r="CK50" s="85">
        <f t="shared" si="46"/>
        <v>0</v>
      </c>
      <c r="CL50" s="85">
        <f t="shared" si="46"/>
        <v>0</v>
      </c>
      <c r="CM50" s="85">
        <f t="shared" si="46"/>
        <v>0</v>
      </c>
      <c r="CN50" s="85">
        <f t="shared" si="46"/>
        <v>0</v>
      </c>
      <c r="CO50" s="85">
        <f t="shared" si="46"/>
        <v>0</v>
      </c>
      <c r="CP50" s="85">
        <f t="shared" si="46"/>
        <v>0</v>
      </c>
      <c r="CQ50" s="23" t="s">
        <v>77</v>
      </c>
    </row>
    <row r="51" spans="2:95" s="98" customFormat="1" outlineLevel="1" x14ac:dyDescent="0.2">
      <c r="B51" s="25" t="s">
        <v>300</v>
      </c>
      <c r="C51" s="24"/>
      <c r="I51" s="118">
        <f t="shared" ref="I51:AN51" si="47">+I21-I50</f>
        <v>0</v>
      </c>
      <c r="J51" s="118">
        <f t="shared" si="47"/>
        <v>0</v>
      </c>
      <c r="K51" s="118">
        <f t="shared" si="47"/>
        <v>0</v>
      </c>
      <c r="L51" s="118">
        <f t="shared" si="47"/>
        <v>0</v>
      </c>
      <c r="M51" s="118">
        <f t="shared" si="47"/>
        <v>0</v>
      </c>
      <c r="N51" s="118">
        <f t="shared" si="47"/>
        <v>0</v>
      </c>
      <c r="O51" s="118">
        <f t="shared" si="47"/>
        <v>0</v>
      </c>
      <c r="P51" s="118">
        <f t="shared" si="47"/>
        <v>0</v>
      </c>
      <c r="Q51" s="118">
        <f t="shared" si="47"/>
        <v>0</v>
      </c>
      <c r="R51" s="118">
        <f t="shared" si="47"/>
        <v>18.618610659081355</v>
      </c>
      <c r="S51" s="118">
        <f t="shared" si="47"/>
        <v>0</v>
      </c>
      <c r="T51" s="118">
        <f t="shared" si="47"/>
        <v>0</v>
      </c>
      <c r="U51" s="118">
        <f t="shared" si="47"/>
        <v>0</v>
      </c>
      <c r="V51" s="118">
        <f t="shared" si="47"/>
        <v>0</v>
      </c>
      <c r="W51" s="118">
        <f t="shared" si="47"/>
        <v>0</v>
      </c>
      <c r="X51" s="118">
        <f t="shared" si="47"/>
        <v>0</v>
      </c>
      <c r="Y51" s="118">
        <f t="shared" si="47"/>
        <v>0</v>
      </c>
      <c r="Z51" s="118">
        <f t="shared" si="47"/>
        <v>28.125</v>
      </c>
      <c r="AA51" s="118">
        <f t="shared" si="47"/>
        <v>28.828125</v>
      </c>
      <c r="AB51" s="118">
        <f t="shared" si="47"/>
        <v>29.512792968750006</v>
      </c>
      <c r="AC51" s="118">
        <f t="shared" si="47"/>
        <v>30.213721801757799</v>
      </c>
      <c r="AD51" s="118">
        <f t="shared" si="47"/>
        <v>30.931297694549556</v>
      </c>
      <c r="AE51" s="118">
        <f t="shared" si="47"/>
        <v>31.665916014795101</v>
      </c>
      <c r="AF51" s="118">
        <f t="shared" si="47"/>
        <v>32.417981520146498</v>
      </c>
      <c r="AG51" s="118">
        <f t="shared" si="47"/>
        <v>33.187908581249957</v>
      </c>
      <c r="AH51" s="118">
        <f t="shared" si="47"/>
        <v>33.976121410054645</v>
      </c>
      <c r="AI51" s="118">
        <f t="shared" si="47"/>
        <v>34.783054293543444</v>
      </c>
      <c r="AJ51" s="118">
        <f t="shared" si="47"/>
        <v>35.60915183301509</v>
      </c>
      <c r="AK51" s="118">
        <f t="shared" si="47"/>
        <v>36.454869189049191</v>
      </c>
      <c r="AL51" s="118">
        <f t="shared" si="47"/>
        <v>37.320672332289121</v>
      </c>
      <c r="AM51" s="118">
        <f t="shared" si="47"/>
        <v>38.207038300180983</v>
      </c>
      <c r="AN51" s="118">
        <f t="shared" si="47"/>
        <v>39.114455459810273</v>
      </c>
      <c r="AO51" s="118">
        <f t="shared" ref="AO51:BT51" si="48">+AO21-AO50</f>
        <v>40.043423776980774</v>
      </c>
      <c r="AP51" s="118">
        <f t="shared" si="48"/>
        <v>40.994455091684074</v>
      </c>
      <c r="AQ51" s="118">
        <f t="shared" si="48"/>
        <v>41.968073400111564</v>
      </c>
      <c r="AR51" s="118">
        <f t="shared" si="48"/>
        <v>42.964815143364206</v>
      </c>
      <c r="AS51" s="118">
        <f t="shared" si="48"/>
        <v>43.985229503019106</v>
      </c>
      <c r="AT51" s="118">
        <f t="shared" si="48"/>
        <v>0</v>
      </c>
      <c r="AU51" s="118">
        <f t="shared" si="48"/>
        <v>0</v>
      </c>
      <c r="AV51" s="118">
        <f t="shared" si="48"/>
        <v>0</v>
      </c>
      <c r="AW51" s="118">
        <f t="shared" si="48"/>
        <v>0</v>
      </c>
      <c r="AX51" s="118">
        <f t="shared" si="48"/>
        <v>0</v>
      </c>
      <c r="AY51" s="118">
        <f t="shared" si="48"/>
        <v>0</v>
      </c>
      <c r="AZ51" s="118">
        <f t="shared" si="48"/>
        <v>0</v>
      </c>
      <c r="BA51" s="118">
        <f t="shared" si="48"/>
        <v>0</v>
      </c>
      <c r="BB51" s="118">
        <f t="shared" si="48"/>
        <v>0</v>
      </c>
      <c r="BC51" s="118">
        <f t="shared" si="48"/>
        <v>0</v>
      </c>
      <c r="BD51" s="118">
        <f t="shared" si="48"/>
        <v>0</v>
      </c>
      <c r="BE51" s="118">
        <f t="shared" si="48"/>
        <v>0</v>
      </c>
      <c r="BF51" s="118">
        <f t="shared" si="48"/>
        <v>0</v>
      </c>
      <c r="BG51" s="118">
        <f t="shared" si="48"/>
        <v>0</v>
      </c>
      <c r="BH51" s="118">
        <f t="shared" si="48"/>
        <v>0</v>
      </c>
      <c r="BI51" s="118">
        <f t="shared" si="48"/>
        <v>0</v>
      </c>
      <c r="BJ51" s="118">
        <f t="shared" si="48"/>
        <v>0</v>
      </c>
      <c r="BK51" s="118">
        <f t="shared" si="48"/>
        <v>0</v>
      </c>
      <c r="BL51" s="118">
        <f t="shared" si="48"/>
        <v>0</v>
      </c>
      <c r="BM51" s="118">
        <f t="shared" si="48"/>
        <v>0</v>
      </c>
      <c r="BN51" s="118">
        <f t="shared" si="48"/>
        <v>0</v>
      </c>
      <c r="BO51" s="118">
        <f t="shared" si="48"/>
        <v>0</v>
      </c>
      <c r="BP51" s="118">
        <f t="shared" si="48"/>
        <v>0</v>
      </c>
      <c r="BQ51" s="118">
        <f t="shared" si="48"/>
        <v>0</v>
      </c>
      <c r="BR51" s="118">
        <f t="shared" si="48"/>
        <v>0</v>
      </c>
      <c r="BS51" s="118">
        <f t="shared" si="48"/>
        <v>0</v>
      </c>
      <c r="BT51" s="118">
        <f t="shared" si="48"/>
        <v>0</v>
      </c>
      <c r="BU51" s="118">
        <f t="shared" ref="BU51:CP51" si="49">+BU21-BU50</f>
        <v>0</v>
      </c>
      <c r="BV51" s="118">
        <f t="shared" si="49"/>
        <v>0</v>
      </c>
      <c r="BW51" s="118">
        <f t="shared" si="49"/>
        <v>0</v>
      </c>
      <c r="BX51" s="118">
        <f t="shared" si="49"/>
        <v>0</v>
      </c>
      <c r="BY51" s="118">
        <f t="shared" si="49"/>
        <v>0</v>
      </c>
      <c r="BZ51" s="118">
        <f t="shared" si="49"/>
        <v>0</v>
      </c>
      <c r="CA51" s="118">
        <f t="shared" si="49"/>
        <v>0</v>
      </c>
      <c r="CB51" s="118">
        <f t="shared" si="49"/>
        <v>0</v>
      </c>
      <c r="CC51" s="118">
        <f t="shared" si="49"/>
        <v>0</v>
      </c>
      <c r="CD51" s="118">
        <f t="shared" si="49"/>
        <v>0</v>
      </c>
      <c r="CE51" s="118">
        <f t="shared" si="49"/>
        <v>0</v>
      </c>
      <c r="CF51" s="118">
        <f t="shared" si="49"/>
        <v>0</v>
      </c>
      <c r="CG51" s="118">
        <f t="shared" si="49"/>
        <v>0</v>
      </c>
      <c r="CH51" s="118">
        <f t="shared" si="49"/>
        <v>0</v>
      </c>
      <c r="CI51" s="118">
        <f t="shared" si="49"/>
        <v>0</v>
      </c>
      <c r="CJ51" s="118">
        <f t="shared" si="49"/>
        <v>0</v>
      </c>
      <c r="CK51" s="118">
        <f t="shared" si="49"/>
        <v>0</v>
      </c>
      <c r="CL51" s="118">
        <f t="shared" si="49"/>
        <v>0</v>
      </c>
      <c r="CM51" s="118">
        <f t="shared" si="49"/>
        <v>0</v>
      </c>
      <c r="CN51" s="118">
        <f t="shared" si="49"/>
        <v>0</v>
      </c>
      <c r="CO51" s="118">
        <f t="shared" si="49"/>
        <v>0</v>
      </c>
      <c r="CP51" s="118">
        <f t="shared" si="49"/>
        <v>0</v>
      </c>
      <c r="CQ51" s="23" t="s">
        <v>77</v>
      </c>
    </row>
    <row r="52" spans="2:95" outlineLevel="1" x14ac:dyDescent="0.2">
      <c r="B52" s="24"/>
      <c r="Q52" s="447"/>
      <c r="R52" s="447"/>
      <c r="S52" s="447"/>
      <c r="CQ52" s="23" t="s">
        <v>77</v>
      </c>
    </row>
    <row r="53" spans="2:95" outlineLevel="1" x14ac:dyDescent="0.2">
      <c r="B53" s="358" t="s">
        <v>575</v>
      </c>
      <c r="D53" s="218"/>
      <c r="E53" s="218"/>
      <c r="F53" s="218"/>
      <c r="G53" s="218"/>
      <c r="H53" s="218"/>
      <c r="I53" s="66"/>
      <c r="J53" s="66"/>
      <c r="K53" s="66"/>
      <c r="L53" s="66"/>
      <c r="M53" s="66"/>
      <c r="N53" s="66"/>
      <c r="O53" s="66"/>
      <c r="P53" s="66"/>
      <c r="Q53" s="248"/>
      <c r="R53" s="248"/>
      <c r="S53" s="248"/>
      <c r="T53" s="248"/>
      <c r="U53" s="66"/>
      <c r="V53" s="66"/>
      <c r="W53" s="66"/>
      <c r="X53" s="66"/>
      <c r="Y53" s="66"/>
      <c r="Z53" s="66"/>
      <c r="AA53" s="66"/>
      <c r="AB53" s="66"/>
      <c r="AC53" s="66"/>
      <c r="AD53" s="66"/>
      <c r="AE53" s="66"/>
      <c r="AF53" s="66"/>
      <c r="AG53" s="66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  <c r="AX53" s="66"/>
      <c r="AY53" s="66"/>
      <c r="AZ53" s="66"/>
      <c r="BA53" s="66"/>
      <c r="BB53" s="66"/>
      <c r="BC53" s="66"/>
      <c r="BD53" s="66"/>
      <c r="BE53" s="66"/>
      <c r="BF53" s="66"/>
      <c r="BG53" s="66"/>
      <c r="BH53" s="66"/>
      <c r="BI53" s="66"/>
      <c r="BJ53" s="66"/>
      <c r="BK53" s="66"/>
      <c r="BL53" s="66"/>
      <c r="BM53" s="66"/>
      <c r="BN53" s="66"/>
      <c r="BO53" s="66"/>
      <c r="BP53" s="66"/>
      <c r="BQ53" s="66"/>
      <c r="BR53" s="66"/>
      <c r="BS53" s="66"/>
      <c r="BT53" s="66"/>
      <c r="BU53" s="66"/>
      <c r="BV53" s="66"/>
      <c r="BW53" s="66"/>
      <c r="BX53" s="66"/>
      <c r="BY53" s="66"/>
      <c r="BZ53" s="66"/>
      <c r="CA53" s="66"/>
      <c r="CB53" s="66"/>
      <c r="CC53" s="66"/>
      <c r="CD53" s="66"/>
      <c r="CE53" s="66"/>
      <c r="CF53" s="66"/>
      <c r="CG53" s="66"/>
      <c r="CH53" s="66"/>
      <c r="CI53" s="66"/>
      <c r="CJ53" s="66"/>
      <c r="CK53" s="66"/>
      <c r="CL53" s="66"/>
      <c r="CM53" s="66"/>
      <c r="CN53" s="66"/>
      <c r="CO53" s="66"/>
      <c r="CP53" s="66"/>
      <c r="CQ53" s="23" t="s">
        <v>77</v>
      </c>
    </row>
    <row r="54" spans="2:95" outlineLevel="1" x14ac:dyDescent="0.2">
      <c r="B54" s="91" t="s">
        <v>355</v>
      </c>
      <c r="L54" s="250"/>
      <c r="M54" s="250">
        <f t="shared" ref="M54:AQ54" si="50">M60-M47</f>
        <v>-16.302999999999997</v>
      </c>
      <c r="N54" s="250">
        <f t="shared" si="50"/>
        <v>-26.862000000000009</v>
      </c>
      <c r="O54" s="250">
        <f t="shared" si="50"/>
        <v>-29.852000000000004</v>
      </c>
      <c r="P54" s="250">
        <f t="shared" si="50"/>
        <v>-32.865000000000009</v>
      </c>
      <c r="Q54" s="250">
        <f t="shared" si="50"/>
        <v>-36.945999999999998</v>
      </c>
      <c r="R54" s="250">
        <f t="shared" si="50"/>
        <v>-21.189389340918638</v>
      </c>
      <c r="S54" s="250">
        <f t="shared" si="50"/>
        <v>-38.567999999999998</v>
      </c>
      <c r="T54" s="250">
        <f t="shared" si="50"/>
        <v>-26.053000000000011</v>
      </c>
      <c r="U54" s="250">
        <f t="shared" si="50"/>
        <v>-33.422000000000025</v>
      </c>
      <c r="V54" s="250">
        <f>V60-V47</f>
        <v>-32.191000000000017</v>
      </c>
      <c r="W54" s="250">
        <f>W60-W47</f>
        <v>-33.938000000000002</v>
      </c>
      <c r="X54" s="307">
        <f t="shared" si="50"/>
        <v>-34.204086036247745</v>
      </c>
      <c r="Y54" s="307">
        <f t="shared" si="50"/>
        <v>-34.35428280962789</v>
      </c>
      <c r="Z54" s="307">
        <f t="shared" si="50"/>
        <v>-34.739370013215634</v>
      </c>
      <c r="AA54" s="307">
        <f t="shared" si="50"/>
        <v>-35.232392934185441</v>
      </c>
      <c r="AB54" s="307">
        <f t="shared" si="50"/>
        <v>-35.746517220194306</v>
      </c>
      <c r="AC54" s="307">
        <f t="shared" si="50"/>
        <v>-35.875164367836391</v>
      </c>
      <c r="AD54" s="307">
        <f t="shared" si="50"/>
        <v>-35.947673093745237</v>
      </c>
      <c r="AE54" s="307">
        <f t="shared" si="50"/>
        <v>-36.827828485756697</v>
      </c>
      <c r="AF54" s="307">
        <f t="shared" si="50"/>
        <v>-37.596516733286762</v>
      </c>
      <c r="AG54" s="307">
        <f t="shared" si="50"/>
        <v>-37.787455256549151</v>
      </c>
      <c r="AH54" s="307">
        <f t="shared" si="50"/>
        <v>-37.982430534307696</v>
      </c>
      <c r="AI54" s="307">
        <f t="shared" si="50"/>
        <v>-38.231444549806668</v>
      </c>
      <c r="AJ54" s="307">
        <f t="shared" si="50"/>
        <v>-38.48575436396132</v>
      </c>
      <c r="AK54" s="307">
        <f t="shared" si="50"/>
        <v>-38.745614793151333</v>
      </c>
      <c r="AL54" s="307">
        <f t="shared" si="50"/>
        <v>-39.011033547505178</v>
      </c>
      <c r="AM54" s="307">
        <f t="shared" si="50"/>
        <v>-39.28202102910376</v>
      </c>
      <c r="AN54" s="307">
        <f t="shared" si="50"/>
        <v>-39.559092368409267</v>
      </c>
      <c r="AO54" s="307">
        <f t="shared" si="50"/>
        <v>-39.842139990003915</v>
      </c>
      <c r="AP54" s="307">
        <f t="shared" si="50"/>
        <v>-40.131184534809023</v>
      </c>
      <c r="AQ54" s="307">
        <f t="shared" si="50"/>
        <v>-40.426626343432417</v>
      </c>
      <c r="AR54" s="307">
        <f t="shared" ref="AR54:BW54" si="51">AR60-AR47</f>
        <v>-40.728619146213106</v>
      </c>
      <c r="AS54" s="307">
        <f t="shared" si="51"/>
        <v>6.3096076335769453</v>
      </c>
      <c r="AT54" s="307">
        <f t="shared" si="51"/>
        <v>6.3096076335769453</v>
      </c>
      <c r="AU54" s="307">
        <f t="shared" si="51"/>
        <v>6.3096076335769453</v>
      </c>
      <c r="AV54" s="307">
        <f t="shared" si="51"/>
        <v>6.3096076335769453</v>
      </c>
      <c r="AW54" s="307">
        <f t="shared" si="51"/>
        <v>6.3096076335769453</v>
      </c>
      <c r="AX54" s="307">
        <f t="shared" si="51"/>
        <v>6.3096076335769453</v>
      </c>
      <c r="AY54" s="307">
        <f t="shared" si="51"/>
        <v>6.3096076335769453</v>
      </c>
      <c r="AZ54" s="307">
        <f t="shared" si="51"/>
        <v>6.3096076335769453</v>
      </c>
      <c r="BA54" s="307">
        <f t="shared" si="51"/>
        <v>6.3096076335769453</v>
      </c>
      <c r="BB54" s="307">
        <f t="shared" si="51"/>
        <v>6.3096076335769453</v>
      </c>
      <c r="BC54" s="307">
        <f t="shared" si="51"/>
        <v>6.3096076335769453</v>
      </c>
      <c r="BD54" s="307">
        <f t="shared" si="51"/>
        <v>6.3096076335769453</v>
      </c>
      <c r="BE54" s="307">
        <f t="shared" si="51"/>
        <v>6.3096076335769453</v>
      </c>
      <c r="BF54" s="307">
        <f t="shared" si="51"/>
        <v>6.3096076335769453</v>
      </c>
      <c r="BG54" s="307">
        <f t="shared" si="51"/>
        <v>6.3096076335769453</v>
      </c>
      <c r="BH54" s="307">
        <f t="shared" si="51"/>
        <v>6.3096076335769453</v>
      </c>
      <c r="BI54" s="307">
        <f t="shared" si="51"/>
        <v>6.3096076335769453</v>
      </c>
      <c r="BJ54" s="307">
        <f t="shared" si="51"/>
        <v>6.3096076335769453</v>
      </c>
      <c r="BK54" s="307">
        <f t="shared" si="51"/>
        <v>6.3096076335769453</v>
      </c>
      <c r="BL54" s="307">
        <f t="shared" si="51"/>
        <v>6.3096076335769453</v>
      </c>
      <c r="BM54" s="307">
        <f t="shared" si="51"/>
        <v>6.3096076335769453</v>
      </c>
      <c r="BN54" s="307">
        <f t="shared" si="51"/>
        <v>6.3096076335769453</v>
      </c>
      <c r="BO54" s="307">
        <f t="shared" si="51"/>
        <v>6.3096076335769453</v>
      </c>
      <c r="BP54" s="307">
        <f t="shared" si="51"/>
        <v>6.3096076335769453</v>
      </c>
      <c r="BQ54" s="307">
        <f t="shared" si="51"/>
        <v>6.3096076335769453</v>
      </c>
      <c r="BR54" s="307">
        <f t="shared" si="51"/>
        <v>6.3096076335769453</v>
      </c>
      <c r="BS54" s="307">
        <f t="shared" si="51"/>
        <v>6.3096076335769453</v>
      </c>
      <c r="BT54" s="307">
        <f t="shared" si="51"/>
        <v>6.3096076335769453</v>
      </c>
      <c r="BU54" s="307">
        <f t="shared" si="51"/>
        <v>6.3096076335769453</v>
      </c>
      <c r="BV54" s="307">
        <f t="shared" si="51"/>
        <v>6.3096076335769453</v>
      </c>
      <c r="BW54" s="307">
        <f t="shared" si="51"/>
        <v>6.3096076335769453</v>
      </c>
      <c r="BX54" s="307">
        <f t="shared" ref="BX54:CP54" si="52">BX60-BX47</f>
        <v>6.3096076335769453</v>
      </c>
      <c r="BY54" s="307">
        <f t="shared" si="52"/>
        <v>6.3096076335769453</v>
      </c>
      <c r="BZ54" s="307">
        <f t="shared" si="52"/>
        <v>6.3096076335769453</v>
      </c>
      <c r="CA54" s="307">
        <f t="shared" si="52"/>
        <v>6.3096076335769453</v>
      </c>
      <c r="CB54" s="307">
        <f t="shared" si="52"/>
        <v>6.3096076335769453</v>
      </c>
      <c r="CC54" s="307">
        <f t="shared" si="52"/>
        <v>6.3096076335769453</v>
      </c>
      <c r="CD54" s="307">
        <f t="shared" si="52"/>
        <v>6.3096076335769453</v>
      </c>
      <c r="CE54" s="307">
        <f t="shared" si="52"/>
        <v>6.3096076335769453</v>
      </c>
      <c r="CF54" s="307">
        <f t="shared" si="52"/>
        <v>6.3096076335769453</v>
      </c>
      <c r="CG54" s="307">
        <f t="shared" si="52"/>
        <v>6.3096076335769453</v>
      </c>
      <c r="CH54" s="307">
        <f t="shared" si="52"/>
        <v>6.3096076335769453</v>
      </c>
      <c r="CI54" s="307">
        <f t="shared" si="52"/>
        <v>6.3096076335769453</v>
      </c>
      <c r="CJ54" s="307">
        <f t="shared" si="52"/>
        <v>6.3096076335769453</v>
      </c>
      <c r="CK54" s="307">
        <f t="shared" si="52"/>
        <v>6.3096076335769453</v>
      </c>
      <c r="CL54" s="307">
        <f t="shared" si="52"/>
        <v>6.3096076335769453</v>
      </c>
      <c r="CM54" s="307">
        <f t="shared" si="52"/>
        <v>6.3096076335769453</v>
      </c>
      <c r="CN54" s="307">
        <f t="shared" si="52"/>
        <v>6.3096076335769453</v>
      </c>
      <c r="CO54" s="307">
        <f t="shared" si="52"/>
        <v>6.3096076335769453</v>
      </c>
      <c r="CP54" s="307">
        <f t="shared" si="52"/>
        <v>6.3096076335769453</v>
      </c>
      <c r="CQ54" s="23" t="s">
        <v>77</v>
      </c>
    </row>
    <row r="55" spans="2:95" outlineLevel="1" x14ac:dyDescent="0.2">
      <c r="B55" s="8" t="s">
        <v>356</v>
      </c>
      <c r="K55" s="250"/>
      <c r="L55" s="250"/>
      <c r="M55" s="250"/>
      <c r="N55" s="250">
        <f t="shared" ref="N55:U55" si="53">N61-N48</f>
        <v>-0.19399999999999995</v>
      </c>
      <c r="O55" s="250">
        <f t="shared" si="53"/>
        <v>-0.22300000000000009</v>
      </c>
      <c r="P55" s="250">
        <f t="shared" si="53"/>
        <v>-0.28499999999999992</v>
      </c>
      <c r="Q55" s="250">
        <f t="shared" si="53"/>
        <v>-0.43099999999999983</v>
      </c>
      <c r="R55" s="250">
        <f t="shared" si="53"/>
        <v>-0.52800000000000002</v>
      </c>
      <c r="S55" s="250">
        <f t="shared" si="53"/>
        <v>-0.43200000000000016</v>
      </c>
      <c r="T55" s="250">
        <f t="shared" si="53"/>
        <v>-0.30699999999999994</v>
      </c>
      <c r="U55" s="250">
        <f t="shared" si="53"/>
        <v>-0.78500000000000014</v>
      </c>
      <c r="V55" s="250">
        <f>V61-V48</f>
        <v>-0.57100000000000017</v>
      </c>
      <c r="W55" s="250">
        <f>W61-W48</f>
        <v>-0.63900000000000023</v>
      </c>
      <c r="X55" s="157">
        <f t="shared" ref="X55:BC55" si="54">IF(X43&lt;&gt;2,W55*(1+X$10),)</f>
        <v>-0.6549750000000002</v>
      </c>
      <c r="Y55" s="157">
        <f t="shared" si="54"/>
        <v>-0.67134937500000014</v>
      </c>
      <c r="Z55" s="157">
        <f t="shared" si="54"/>
        <v>-0.68813310937500005</v>
      </c>
      <c r="AA55" s="157">
        <f t="shared" si="54"/>
        <v>-0.70533643710937499</v>
      </c>
      <c r="AB55" s="157">
        <f t="shared" si="54"/>
        <v>-0.72296984803710929</v>
      </c>
      <c r="AC55" s="157">
        <f t="shared" si="54"/>
        <v>-0.74104409423803697</v>
      </c>
      <c r="AD55" s="157">
        <f t="shared" si="54"/>
        <v>-0.75957019659398783</v>
      </c>
      <c r="AE55" s="157">
        <f t="shared" si="54"/>
        <v>-0.77855945150883743</v>
      </c>
      <c r="AF55" s="157">
        <f t="shared" si="54"/>
        <v>-0.79802343779655827</v>
      </c>
      <c r="AG55" s="157">
        <f t="shared" si="54"/>
        <v>-0.8179740237414721</v>
      </c>
      <c r="AH55" s="157">
        <f t="shared" si="54"/>
        <v>-0.8384233743350088</v>
      </c>
      <c r="AI55" s="157">
        <f t="shared" si="54"/>
        <v>-0.85938395869338391</v>
      </c>
      <c r="AJ55" s="157">
        <f t="shared" si="54"/>
        <v>-0.88086855766071848</v>
      </c>
      <c r="AK55" s="157">
        <f t="shared" si="54"/>
        <v>-0.90289027160223634</v>
      </c>
      <c r="AL55" s="157">
        <f t="shared" si="54"/>
        <v>-0.92546252839229215</v>
      </c>
      <c r="AM55" s="157">
        <f t="shared" si="54"/>
        <v>-0.94859909160209932</v>
      </c>
      <c r="AN55" s="157">
        <f t="shared" si="54"/>
        <v>-0.97231406889215177</v>
      </c>
      <c r="AO55" s="157">
        <f t="shared" si="54"/>
        <v>-0.99662192061445543</v>
      </c>
      <c r="AP55" s="157">
        <f t="shared" si="54"/>
        <v>-1.0215374686298166</v>
      </c>
      <c r="AQ55" s="157">
        <f t="shared" si="54"/>
        <v>-1.0470759053455621</v>
      </c>
      <c r="AR55" s="157">
        <f t="shared" si="54"/>
        <v>-1.073252802979201</v>
      </c>
      <c r="AS55" s="157">
        <f t="shared" si="54"/>
        <v>-1.1000841230536809</v>
      </c>
      <c r="AT55" s="157">
        <f t="shared" si="54"/>
        <v>-1.1275862261300227</v>
      </c>
      <c r="AU55" s="157">
        <f t="shared" si="54"/>
        <v>-1.1557758817832731</v>
      </c>
      <c r="AV55" s="157">
        <f t="shared" si="54"/>
        <v>-1.1846702788278547</v>
      </c>
      <c r="AW55" s="157">
        <f t="shared" si="54"/>
        <v>-1.2142870357985509</v>
      </c>
      <c r="AX55" s="157">
        <f t="shared" si="54"/>
        <v>-1.2446442116935146</v>
      </c>
      <c r="AY55" s="157">
        <f t="shared" si="54"/>
        <v>-1.2757603169858522</v>
      </c>
      <c r="AZ55" s="157">
        <f t="shared" si="54"/>
        <v>-1.3076543249104984</v>
      </c>
      <c r="BA55" s="157">
        <f t="shared" si="54"/>
        <v>-1.3403456830332607</v>
      </c>
      <c r="BB55" s="157">
        <f t="shared" si="54"/>
        <v>-1.3738543251090922</v>
      </c>
      <c r="BC55" s="157">
        <f t="shared" si="54"/>
        <v>-1.4082006832368195</v>
      </c>
      <c r="BD55" s="157">
        <f t="shared" ref="BD55:CI55" si="55">IF(BD43&lt;&gt;2,BC55*(1+BD$10),)</f>
        <v>-1.4434057003177398</v>
      </c>
      <c r="BE55" s="157">
        <f t="shared" si="55"/>
        <v>-1.4794908428256832</v>
      </c>
      <c r="BF55" s="157">
        <f t="shared" si="55"/>
        <v>-1.5164781138963253</v>
      </c>
      <c r="BG55" s="157">
        <f t="shared" si="55"/>
        <v>-1.5543900667437331</v>
      </c>
      <c r="BH55" s="157">
        <f t="shared" si="55"/>
        <v>-1.5932498184123263</v>
      </c>
      <c r="BI55" s="157">
        <f t="shared" si="55"/>
        <v>-1.6330810638726343</v>
      </c>
      <c r="BJ55" s="157">
        <f t="shared" si="55"/>
        <v>-1.6739080904694501</v>
      </c>
      <c r="BK55" s="157">
        <f t="shared" si="55"/>
        <v>-1.7157557927311862</v>
      </c>
      <c r="BL55" s="157">
        <f t="shared" si="55"/>
        <v>-1.7586496875494657</v>
      </c>
      <c r="BM55" s="157">
        <f t="shared" si="55"/>
        <v>-1.8026159297382023</v>
      </c>
      <c r="BN55" s="157">
        <f t="shared" si="55"/>
        <v>-1.8476813279816571</v>
      </c>
      <c r="BO55" s="157">
        <f t="shared" si="55"/>
        <v>-1.8938733611811984</v>
      </c>
      <c r="BP55" s="157">
        <f t="shared" si="55"/>
        <v>-1.9412201952107282</v>
      </c>
      <c r="BQ55" s="157">
        <f t="shared" si="55"/>
        <v>-1.9897507000909962</v>
      </c>
      <c r="BR55" s="157">
        <f t="shared" si="55"/>
        <v>-2.0394944675932711</v>
      </c>
      <c r="BS55" s="157">
        <f t="shared" si="55"/>
        <v>-2.0904818292831027</v>
      </c>
      <c r="BT55" s="157">
        <f t="shared" si="55"/>
        <v>-2.1427438750151802</v>
      </c>
      <c r="BU55" s="157">
        <f t="shared" si="55"/>
        <v>-2.1963124718905593</v>
      </c>
      <c r="BV55" s="157">
        <f t="shared" si="55"/>
        <v>-2.251220283687823</v>
      </c>
      <c r="BW55" s="157">
        <f t="shared" si="55"/>
        <v>-2.3075007907800185</v>
      </c>
      <c r="BX55" s="157">
        <f t="shared" si="55"/>
        <v>-2.3651883105495188</v>
      </c>
      <c r="BY55" s="157">
        <f t="shared" si="55"/>
        <v>-2.4243180183132567</v>
      </c>
      <c r="BZ55" s="157">
        <f t="shared" si="55"/>
        <v>-2.4849259687710878</v>
      </c>
      <c r="CA55" s="157">
        <f t="shared" si="55"/>
        <v>-2.5470491179903649</v>
      </c>
      <c r="CB55" s="157">
        <f t="shared" si="55"/>
        <v>-2.6107253459401236</v>
      </c>
      <c r="CC55" s="157">
        <f t="shared" si="55"/>
        <v>0</v>
      </c>
      <c r="CD55" s="157">
        <f t="shared" si="55"/>
        <v>0</v>
      </c>
      <c r="CE55" s="157">
        <f t="shared" si="55"/>
        <v>0</v>
      </c>
      <c r="CF55" s="157">
        <f t="shared" si="55"/>
        <v>0</v>
      </c>
      <c r="CG55" s="157">
        <f t="shared" si="55"/>
        <v>0</v>
      </c>
      <c r="CH55" s="157">
        <f t="shared" si="55"/>
        <v>0</v>
      </c>
      <c r="CI55" s="157">
        <f t="shared" si="55"/>
        <v>0</v>
      </c>
      <c r="CJ55" s="157">
        <f t="shared" ref="CJ55:CP55" si="56">IF(CJ43&lt;&gt;2,CI55*(1+CJ$10),)</f>
        <v>0</v>
      </c>
      <c r="CK55" s="157">
        <f t="shared" si="56"/>
        <v>0</v>
      </c>
      <c r="CL55" s="157">
        <f t="shared" si="56"/>
        <v>0</v>
      </c>
      <c r="CM55" s="157">
        <f t="shared" si="56"/>
        <v>0</v>
      </c>
      <c r="CN55" s="157">
        <f t="shared" si="56"/>
        <v>0</v>
      </c>
      <c r="CO55" s="157">
        <f t="shared" si="56"/>
        <v>0</v>
      </c>
      <c r="CP55" s="157">
        <f t="shared" si="56"/>
        <v>0</v>
      </c>
      <c r="CQ55" s="23" t="s">
        <v>77</v>
      </c>
    </row>
    <row r="56" spans="2:95" outlineLevel="1" x14ac:dyDescent="0.2">
      <c r="B56" s="8" t="s">
        <v>570</v>
      </c>
      <c r="T56" s="250"/>
      <c r="U56" s="250"/>
      <c r="V56" s="250"/>
      <c r="W56" s="250"/>
      <c r="X56" s="307">
        <f t="shared" ref="X56:BA56" si="57">X62-X49</f>
        <v>0</v>
      </c>
      <c r="Y56" s="307">
        <f t="shared" si="57"/>
        <v>0</v>
      </c>
      <c r="Z56" s="307">
        <f t="shared" si="57"/>
        <v>-5.625</v>
      </c>
      <c r="AA56" s="307">
        <f t="shared" si="57"/>
        <v>-5.7656249999999964</v>
      </c>
      <c r="AB56" s="307">
        <f t="shared" si="57"/>
        <v>-5.9025585937499976</v>
      </c>
      <c r="AC56" s="307">
        <f t="shared" si="57"/>
        <v>-6.0427443603515592</v>
      </c>
      <c r="AD56" s="307">
        <f t="shared" si="57"/>
        <v>-6.1862595389099084</v>
      </c>
      <c r="AE56" s="307">
        <f t="shared" si="57"/>
        <v>-6.3331832029590203</v>
      </c>
      <c r="AF56" s="307">
        <f t="shared" si="57"/>
        <v>-6.4835963040292945</v>
      </c>
      <c r="AG56" s="307">
        <f t="shared" si="57"/>
        <v>-6.6375817162499899</v>
      </c>
      <c r="AH56" s="307">
        <f t="shared" si="57"/>
        <v>-6.7952242820109277</v>
      </c>
      <c r="AI56" s="307">
        <f t="shared" si="57"/>
        <v>-6.9566108587086859</v>
      </c>
      <c r="AJ56" s="307">
        <f t="shared" si="57"/>
        <v>-7.1218303666030174</v>
      </c>
      <c r="AK56" s="307">
        <f t="shared" si="57"/>
        <v>-7.2909738378098368</v>
      </c>
      <c r="AL56" s="307">
        <f t="shared" si="57"/>
        <v>-7.4641344664578213</v>
      </c>
      <c r="AM56" s="307">
        <f t="shared" si="57"/>
        <v>-7.6414076600361938</v>
      </c>
      <c r="AN56" s="307">
        <f t="shared" si="57"/>
        <v>-7.8228910919620525</v>
      </c>
      <c r="AO56" s="307">
        <f t="shared" si="57"/>
        <v>-8.0086847553961533</v>
      </c>
      <c r="AP56" s="307">
        <f t="shared" si="57"/>
        <v>-8.1988910183368091</v>
      </c>
      <c r="AQ56" s="307">
        <f t="shared" si="57"/>
        <v>-8.3936146800223099</v>
      </c>
      <c r="AR56" s="307">
        <f t="shared" si="57"/>
        <v>-8.5929630286728411</v>
      </c>
      <c r="AS56" s="307">
        <f t="shared" si="57"/>
        <v>-8.7970459006038197</v>
      </c>
      <c r="AT56" s="307">
        <f t="shared" si="57"/>
        <v>0</v>
      </c>
      <c r="AU56" s="307">
        <f t="shared" si="57"/>
        <v>0</v>
      </c>
      <c r="AV56" s="307">
        <f t="shared" si="57"/>
        <v>0</v>
      </c>
      <c r="AW56" s="307">
        <f t="shared" si="57"/>
        <v>0</v>
      </c>
      <c r="AX56" s="307">
        <f t="shared" si="57"/>
        <v>0</v>
      </c>
      <c r="AY56" s="307">
        <f t="shared" si="57"/>
        <v>0</v>
      </c>
      <c r="AZ56" s="307">
        <f t="shared" si="57"/>
        <v>0</v>
      </c>
      <c r="BA56" s="307">
        <f t="shared" si="57"/>
        <v>0</v>
      </c>
      <c r="BB56" s="307">
        <f t="shared" ref="BB56:CG56" si="58">BB62-BB49</f>
        <v>0</v>
      </c>
      <c r="BC56" s="307">
        <f t="shared" si="58"/>
        <v>0</v>
      </c>
      <c r="BD56" s="307">
        <f t="shared" si="58"/>
        <v>0</v>
      </c>
      <c r="BE56" s="307">
        <f t="shared" si="58"/>
        <v>0</v>
      </c>
      <c r="BF56" s="307">
        <f t="shared" si="58"/>
        <v>0</v>
      </c>
      <c r="BG56" s="307">
        <f t="shared" si="58"/>
        <v>0</v>
      </c>
      <c r="BH56" s="307">
        <f t="shared" si="58"/>
        <v>0</v>
      </c>
      <c r="BI56" s="307">
        <f t="shared" si="58"/>
        <v>0</v>
      </c>
      <c r="BJ56" s="307">
        <f t="shared" si="58"/>
        <v>0</v>
      </c>
      <c r="BK56" s="307">
        <f t="shared" si="58"/>
        <v>0</v>
      </c>
      <c r="BL56" s="307">
        <f t="shared" si="58"/>
        <v>0</v>
      </c>
      <c r="BM56" s="307">
        <f t="shared" si="58"/>
        <v>0</v>
      </c>
      <c r="BN56" s="307">
        <f t="shared" si="58"/>
        <v>0</v>
      </c>
      <c r="BO56" s="307">
        <f t="shared" si="58"/>
        <v>0</v>
      </c>
      <c r="BP56" s="307">
        <f t="shared" si="58"/>
        <v>0</v>
      </c>
      <c r="BQ56" s="307">
        <f t="shared" si="58"/>
        <v>0</v>
      </c>
      <c r="BR56" s="307">
        <f t="shared" si="58"/>
        <v>0</v>
      </c>
      <c r="BS56" s="307">
        <f t="shared" si="58"/>
        <v>0</v>
      </c>
      <c r="BT56" s="307">
        <f t="shared" si="58"/>
        <v>0</v>
      </c>
      <c r="BU56" s="307">
        <f t="shared" si="58"/>
        <v>0</v>
      </c>
      <c r="BV56" s="307">
        <f t="shared" si="58"/>
        <v>0</v>
      </c>
      <c r="BW56" s="307">
        <f t="shared" si="58"/>
        <v>0</v>
      </c>
      <c r="BX56" s="307">
        <f t="shared" si="58"/>
        <v>0</v>
      </c>
      <c r="BY56" s="307">
        <f t="shared" si="58"/>
        <v>0</v>
      </c>
      <c r="BZ56" s="307">
        <f t="shared" si="58"/>
        <v>0</v>
      </c>
      <c r="CA56" s="307">
        <f t="shared" si="58"/>
        <v>0</v>
      </c>
      <c r="CB56" s="307">
        <f t="shared" si="58"/>
        <v>0</v>
      </c>
      <c r="CC56" s="307">
        <f t="shared" si="58"/>
        <v>0</v>
      </c>
      <c r="CD56" s="307">
        <f t="shared" si="58"/>
        <v>0</v>
      </c>
      <c r="CE56" s="307">
        <f t="shared" si="58"/>
        <v>0</v>
      </c>
      <c r="CF56" s="307">
        <f t="shared" si="58"/>
        <v>0</v>
      </c>
      <c r="CG56" s="307">
        <f t="shared" si="58"/>
        <v>0</v>
      </c>
      <c r="CH56" s="307">
        <f t="shared" ref="CH56:CP56" si="59">CH62-CH49</f>
        <v>0</v>
      </c>
      <c r="CI56" s="307">
        <f t="shared" si="59"/>
        <v>0</v>
      </c>
      <c r="CJ56" s="307">
        <f t="shared" si="59"/>
        <v>0</v>
      </c>
      <c r="CK56" s="307">
        <f t="shared" si="59"/>
        <v>0</v>
      </c>
      <c r="CL56" s="307">
        <f t="shared" si="59"/>
        <v>0</v>
      </c>
      <c r="CM56" s="307">
        <f t="shared" si="59"/>
        <v>0</v>
      </c>
      <c r="CN56" s="307">
        <f t="shared" si="59"/>
        <v>0</v>
      </c>
      <c r="CO56" s="307">
        <f t="shared" si="59"/>
        <v>0</v>
      </c>
      <c r="CP56" s="307">
        <f t="shared" si="59"/>
        <v>0</v>
      </c>
      <c r="CQ56" s="23"/>
    </row>
    <row r="57" spans="2:95" outlineLevel="1" x14ac:dyDescent="0.2">
      <c r="B57" s="485" t="s">
        <v>299</v>
      </c>
      <c r="D57" s="485"/>
      <c r="E57" s="485"/>
      <c r="F57" s="485"/>
      <c r="G57" s="485"/>
      <c r="H57" s="485"/>
      <c r="I57" s="85">
        <f t="shared" ref="I57:AN57" si="60">SUM(I54:I55)</f>
        <v>0</v>
      </c>
      <c r="J57" s="85">
        <f t="shared" si="60"/>
        <v>0</v>
      </c>
      <c r="K57" s="85">
        <f t="shared" si="60"/>
        <v>0</v>
      </c>
      <c r="L57" s="85">
        <f t="shared" si="60"/>
        <v>0</v>
      </c>
      <c r="M57" s="85">
        <f t="shared" si="60"/>
        <v>-16.302999999999997</v>
      </c>
      <c r="N57" s="85">
        <f t="shared" si="60"/>
        <v>-27.056000000000008</v>
      </c>
      <c r="O57" s="85">
        <f t="shared" si="60"/>
        <v>-30.075000000000003</v>
      </c>
      <c r="P57" s="85">
        <f t="shared" si="60"/>
        <v>-33.150000000000006</v>
      </c>
      <c r="Q57" s="85">
        <f t="shared" si="60"/>
        <v>-37.376999999999995</v>
      </c>
      <c r="R57" s="85">
        <f t="shared" si="60"/>
        <v>-21.717389340918636</v>
      </c>
      <c r="S57" s="85">
        <f t="shared" si="60"/>
        <v>-39</v>
      </c>
      <c r="T57" s="85">
        <f t="shared" si="60"/>
        <v>-26.36000000000001</v>
      </c>
      <c r="U57" s="85">
        <f t="shared" si="60"/>
        <v>-34.207000000000022</v>
      </c>
      <c r="V57" s="85">
        <f>SUM(V54:V55)</f>
        <v>-32.762000000000015</v>
      </c>
      <c r="W57" s="85">
        <f>SUM(W54:W55)</f>
        <v>-34.577000000000005</v>
      </c>
      <c r="X57" s="85">
        <f t="shared" si="60"/>
        <v>-34.859061036247745</v>
      </c>
      <c r="Y57" s="85">
        <f t="shared" si="60"/>
        <v>-35.025632184627888</v>
      </c>
      <c r="Z57" s="85">
        <f t="shared" si="60"/>
        <v>-35.427503122590636</v>
      </c>
      <c r="AA57" s="85">
        <f t="shared" si="60"/>
        <v>-35.937729371294814</v>
      </c>
      <c r="AB57" s="85">
        <f t="shared" si="60"/>
        <v>-36.469487068231416</v>
      </c>
      <c r="AC57" s="85">
        <f t="shared" si="60"/>
        <v>-36.616208462074425</v>
      </c>
      <c r="AD57" s="85">
        <f t="shared" si="60"/>
        <v>-36.707243290339228</v>
      </c>
      <c r="AE57" s="85">
        <f t="shared" si="60"/>
        <v>-37.606387937265538</v>
      </c>
      <c r="AF57" s="85">
        <f t="shared" si="60"/>
        <v>-38.394540171083321</v>
      </c>
      <c r="AG57" s="85">
        <f t="shared" si="60"/>
        <v>-38.605429280290622</v>
      </c>
      <c r="AH57" s="85">
        <f t="shared" si="60"/>
        <v>-38.820853908642704</v>
      </c>
      <c r="AI57" s="85">
        <f t="shared" si="60"/>
        <v>-39.090828508500053</v>
      </c>
      <c r="AJ57" s="85">
        <f t="shared" si="60"/>
        <v>-39.366622921622039</v>
      </c>
      <c r="AK57" s="85">
        <f t="shared" si="60"/>
        <v>-39.648505064753572</v>
      </c>
      <c r="AL57" s="85">
        <f t="shared" si="60"/>
        <v>-39.936496075897473</v>
      </c>
      <c r="AM57" s="85">
        <f t="shared" si="60"/>
        <v>-40.230620120705858</v>
      </c>
      <c r="AN57" s="85">
        <f t="shared" si="60"/>
        <v>-40.53140643730142</v>
      </c>
      <c r="AO57" s="85">
        <f t="shared" ref="AO57:BT57" si="61">SUM(AO54:AO55)</f>
        <v>-40.838761910618373</v>
      </c>
      <c r="AP57" s="85">
        <f t="shared" si="61"/>
        <v>-41.152722003438839</v>
      </c>
      <c r="AQ57" s="85">
        <f t="shared" si="61"/>
        <v>-41.473702248777983</v>
      </c>
      <c r="AR57" s="85">
        <f t="shared" si="61"/>
        <v>-41.801871949192304</v>
      </c>
      <c r="AS57" s="85">
        <f t="shared" si="61"/>
        <v>5.2095235105232645</v>
      </c>
      <c r="AT57" s="85">
        <f t="shared" si="61"/>
        <v>5.1820214074469231</v>
      </c>
      <c r="AU57" s="85">
        <f t="shared" si="61"/>
        <v>5.153831751793672</v>
      </c>
      <c r="AV57" s="85">
        <f t="shared" si="61"/>
        <v>5.1249373547490906</v>
      </c>
      <c r="AW57" s="85">
        <f t="shared" si="61"/>
        <v>5.0953205977783949</v>
      </c>
      <c r="AX57" s="85">
        <f t="shared" si="61"/>
        <v>5.064963421883431</v>
      </c>
      <c r="AY57" s="85">
        <f t="shared" si="61"/>
        <v>5.0338473165910926</v>
      </c>
      <c r="AZ57" s="85">
        <f t="shared" si="61"/>
        <v>5.0019533086664474</v>
      </c>
      <c r="BA57" s="85">
        <f t="shared" si="61"/>
        <v>4.9692619505436841</v>
      </c>
      <c r="BB57" s="85">
        <f t="shared" si="61"/>
        <v>4.9357533084678531</v>
      </c>
      <c r="BC57" s="85">
        <f t="shared" si="61"/>
        <v>4.9014069503401263</v>
      </c>
      <c r="BD57" s="85">
        <f t="shared" si="61"/>
        <v>4.8662019332592052</v>
      </c>
      <c r="BE57" s="85">
        <f t="shared" si="61"/>
        <v>4.8301167907512621</v>
      </c>
      <c r="BF57" s="85">
        <f t="shared" si="61"/>
        <v>4.7931295196806198</v>
      </c>
      <c r="BG57" s="85">
        <f t="shared" si="61"/>
        <v>4.7552175668332124</v>
      </c>
      <c r="BH57" s="85">
        <f t="shared" si="61"/>
        <v>4.7163578151646188</v>
      </c>
      <c r="BI57" s="85">
        <f t="shared" si="61"/>
        <v>4.6765265697043112</v>
      </c>
      <c r="BJ57" s="85">
        <f t="shared" si="61"/>
        <v>4.6356995431074957</v>
      </c>
      <c r="BK57" s="85">
        <f t="shared" si="61"/>
        <v>4.5938518408457591</v>
      </c>
      <c r="BL57" s="85">
        <f t="shared" si="61"/>
        <v>4.5509579460274798</v>
      </c>
      <c r="BM57" s="85">
        <f t="shared" si="61"/>
        <v>4.506991703838743</v>
      </c>
      <c r="BN57" s="85">
        <f t="shared" si="61"/>
        <v>4.4619263055952878</v>
      </c>
      <c r="BO57" s="85">
        <f t="shared" si="61"/>
        <v>4.4157342723957473</v>
      </c>
      <c r="BP57" s="85">
        <f t="shared" si="61"/>
        <v>4.3683874383662173</v>
      </c>
      <c r="BQ57" s="85">
        <f t="shared" si="61"/>
        <v>4.3198569334859496</v>
      </c>
      <c r="BR57" s="85">
        <f t="shared" si="61"/>
        <v>4.2701131659836742</v>
      </c>
      <c r="BS57" s="85">
        <f t="shared" si="61"/>
        <v>4.2191258042938422</v>
      </c>
      <c r="BT57" s="85">
        <f t="shared" si="61"/>
        <v>4.1668637585617656</v>
      </c>
      <c r="BU57" s="85">
        <f t="shared" ref="BU57:CP57" si="62">SUM(BU54:BU55)</f>
        <v>4.113295161686386</v>
      </c>
      <c r="BV57" s="85">
        <f t="shared" si="62"/>
        <v>4.0583873498891219</v>
      </c>
      <c r="BW57" s="85">
        <f t="shared" si="62"/>
        <v>4.0021068427969269</v>
      </c>
      <c r="BX57" s="85">
        <f t="shared" si="62"/>
        <v>3.9444193230274265</v>
      </c>
      <c r="BY57" s="85">
        <f t="shared" si="62"/>
        <v>3.8852896152636887</v>
      </c>
      <c r="BZ57" s="85">
        <f t="shared" si="62"/>
        <v>3.8246816648058575</v>
      </c>
      <c r="CA57" s="85">
        <f t="shared" si="62"/>
        <v>3.7625585155865804</v>
      </c>
      <c r="CB57" s="85">
        <f t="shared" si="62"/>
        <v>3.6988822876368217</v>
      </c>
      <c r="CC57" s="85">
        <f t="shared" si="62"/>
        <v>6.3096076335769453</v>
      </c>
      <c r="CD57" s="85">
        <f t="shared" si="62"/>
        <v>6.3096076335769453</v>
      </c>
      <c r="CE57" s="85">
        <f t="shared" si="62"/>
        <v>6.3096076335769453</v>
      </c>
      <c r="CF57" s="85">
        <f t="shared" si="62"/>
        <v>6.3096076335769453</v>
      </c>
      <c r="CG57" s="85">
        <f t="shared" si="62"/>
        <v>6.3096076335769453</v>
      </c>
      <c r="CH57" s="85">
        <f t="shared" si="62"/>
        <v>6.3096076335769453</v>
      </c>
      <c r="CI57" s="85">
        <f t="shared" si="62"/>
        <v>6.3096076335769453</v>
      </c>
      <c r="CJ57" s="85">
        <f t="shared" si="62"/>
        <v>6.3096076335769453</v>
      </c>
      <c r="CK57" s="85">
        <f t="shared" si="62"/>
        <v>6.3096076335769453</v>
      </c>
      <c r="CL57" s="85">
        <f t="shared" si="62"/>
        <v>6.3096076335769453</v>
      </c>
      <c r="CM57" s="85">
        <f t="shared" si="62"/>
        <v>6.3096076335769453</v>
      </c>
      <c r="CN57" s="85">
        <f t="shared" si="62"/>
        <v>6.3096076335769453</v>
      </c>
      <c r="CO57" s="85">
        <f t="shared" si="62"/>
        <v>6.3096076335769453</v>
      </c>
      <c r="CP57" s="85">
        <f t="shared" si="62"/>
        <v>6.3096076335769453</v>
      </c>
      <c r="CQ57" s="23" t="s">
        <v>77</v>
      </c>
    </row>
    <row r="58" spans="2:95" outlineLevel="1" x14ac:dyDescent="0.2">
      <c r="B58" s="218"/>
      <c r="D58" s="218"/>
      <c r="E58" s="218"/>
      <c r="F58" s="218"/>
      <c r="G58" s="218"/>
      <c r="H58" s="218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66"/>
      <c r="AV58" s="66"/>
      <c r="AW58" s="66"/>
      <c r="AX58" s="66"/>
      <c r="AY58" s="66"/>
      <c r="AZ58" s="66"/>
      <c r="BA58" s="66"/>
      <c r="BB58" s="66"/>
      <c r="BC58" s="66"/>
      <c r="BD58" s="66"/>
      <c r="BE58" s="66"/>
      <c r="BF58" s="66"/>
      <c r="BG58" s="66"/>
      <c r="BH58" s="66"/>
      <c r="BI58" s="66"/>
      <c r="BJ58" s="66"/>
      <c r="BK58" s="66"/>
      <c r="BL58" s="66"/>
      <c r="BM58" s="66"/>
      <c r="BN58" s="66"/>
      <c r="BO58" s="66"/>
      <c r="BP58" s="66"/>
      <c r="BQ58" s="66"/>
      <c r="BR58" s="66"/>
      <c r="BS58" s="66"/>
      <c r="BT58" s="66"/>
      <c r="BU58" s="66"/>
      <c r="BV58" s="66"/>
      <c r="BW58" s="66"/>
      <c r="BX58" s="66"/>
      <c r="BY58" s="66"/>
      <c r="BZ58" s="66"/>
      <c r="CA58" s="66"/>
      <c r="CB58" s="66"/>
      <c r="CC58" s="66"/>
      <c r="CD58" s="66"/>
      <c r="CE58" s="66"/>
      <c r="CF58" s="66"/>
      <c r="CG58" s="66"/>
      <c r="CH58" s="66"/>
      <c r="CI58" s="66"/>
      <c r="CJ58" s="66"/>
      <c r="CK58" s="66"/>
      <c r="CL58" s="66"/>
      <c r="CM58" s="66"/>
      <c r="CN58" s="66"/>
      <c r="CO58" s="66"/>
      <c r="CP58" s="66"/>
      <c r="CQ58" s="23"/>
    </row>
    <row r="59" spans="2:95" outlineLevel="1" x14ac:dyDescent="0.2">
      <c r="B59" s="358" t="s">
        <v>18</v>
      </c>
      <c r="D59" s="218"/>
      <c r="E59" s="218"/>
      <c r="F59" s="218"/>
      <c r="G59" s="218"/>
      <c r="H59" s="218"/>
      <c r="I59" s="66"/>
      <c r="J59" s="66"/>
      <c r="K59" s="66"/>
      <c r="L59" s="66"/>
      <c r="M59" s="66"/>
      <c r="N59" s="66"/>
      <c r="O59" s="66"/>
      <c r="P59" s="66"/>
      <c r="Q59" s="248"/>
      <c r="R59" s="248"/>
      <c r="S59" s="248"/>
      <c r="T59" s="248"/>
      <c r="U59" s="66"/>
      <c r="V59" s="66"/>
      <c r="W59" s="66"/>
      <c r="X59" s="66"/>
      <c r="Y59" s="66"/>
      <c r="Z59" s="66"/>
      <c r="AA59" s="66"/>
      <c r="AB59" s="66"/>
      <c r="AC59" s="66"/>
      <c r="AD59" s="66"/>
      <c r="AE59" s="66"/>
      <c r="AF59" s="66"/>
      <c r="AG59" s="66"/>
      <c r="AH59" s="66"/>
      <c r="AI59" s="66"/>
      <c r="AJ59" s="66"/>
      <c r="AK59" s="66"/>
      <c r="AL59" s="66"/>
      <c r="AM59" s="66"/>
      <c r="AN59" s="66"/>
      <c r="AO59" s="66"/>
      <c r="AP59" s="66"/>
      <c r="AQ59" s="66"/>
      <c r="AR59" s="66"/>
      <c r="AS59" s="66"/>
      <c r="AT59" s="66"/>
      <c r="AU59" s="66"/>
      <c r="AV59" s="66"/>
      <c r="AW59" s="66"/>
      <c r="AX59" s="66"/>
      <c r="AY59" s="66"/>
      <c r="AZ59" s="66"/>
      <c r="BA59" s="66"/>
      <c r="BB59" s="66"/>
      <c r="BC59" s="66"/>
      <c r="BD59" s="66"/>
      <c r="BE59" s="66"/>
      <c r="BF59" s="66"/>
      <c r="BG59" s="66"/>
      <c r="BH59" s="66"/>
      <c r="BI59" s="66"/>
      <c r="BJ59" s="66"/>
      <c r="BK59" s="66"/>
      <c r="BL59" s="66"/>
      <c r="BM59" s="66"/>
      <c r="BN59" s="66"/>
      <c r="BO59" s="66"/>
      <c r="BP59" s="66"/>
      <c r="BQ59" s="66"/>
      <c r="BR59" s="66"/>
      <c r="BS59" s="66"/>
      <c r="BT59" s="66"/>
      <c r="BU59" s="66"/>
      <c r="BV59" s="66"/>
      <c r="BW59" s="66"/>
      <c r="BX59" s="66"/>
      <c r="BY59" s="66"/>
      <c r="BZ59" s="66"/>
      <c r="CA59" s="66"/>
      <c r="CB59" s="66"/>
      <c r="CC59" s="66"/>
      <c r="CD59" s="66"/>
      <c r="CE59" s="66"/>
      <c r="CF59" s="66"/>
      <c r="CG59" s="66"/>
      <c r="CH59" s="66"/>
      <c r="CI59" s="66"/>
      <c r="CJ59" s="66"/>
      <c r="CK59" s="66"/>
      <c r="CL59" s="66"/>
      <c r="CM59" s="66"/>
      <c r="CN59" s="66"/>
      <c r="CO59" s="66"/>
      <c r="CP59" s="66"/>
      <c r="CQ59" s="23" t="s">
        <v>77</v>
      </c>
    </row>
    <row r="60" spans="2:95" outlineLevel="1" x14ac:dyDescent="0.2">
      <c r="B60" s="91" t="s">
        <v>355</v>
      </c>
      <c r="J60" s="250">
        <f t="shared" ref="J60:Q60" si="63">J23</f>
        <v>0</v>
      </c>
      <c r="K60" s="250" t="str">
        <f t="shared" si="63"/>
        <v>n.a.</v>
      </c>
      <c r="L60" s="250" t="str">
        <f t="shared" si="63"/>
        <v>n.a.</v>
      </c>
      <c r="M60" s="250">
        <f t="shared" si="63"/>
        <v>50.325000000000003</v>
      </c>
      <c r="N60" s="250">
        <f t="shared" si="63"/>
        <v>75.186999999999998</v>
      </c>
      <c r="O60" s="250">
        <f t="shared" si="63"/>
        <v>105.773</v>
      </c>
      <c r="P60" s="250">
        <f t="shared" si="63"/>
        <v>103.98699999999999</v>
      </c>
      <c r="Q60" s="250">
        <f t="shared" si="63"/>
        <v>114.26300000000001</v>
      </c>
      <c r="R60" s="250">
        <f t="shared" ref="R60:W61" si="64">R23</f>
        <v>121.54900000000001</v>
      </c>
      <c r="S60" s="250">
        <f t="shared" si="64"/>
        <v>124.014</v>
      </c>
      <c r="T60" s="250">
        <f t="shared" si="64"/>
        <v>127.616</v>
      </c>
      <c r="U60" s="250">
        <f t="shared" si="64"/>
        <v>130.16999999999999</v>
      </c>
      <c r="V60" s="250">
        <f t="shared" si="64"/>
        <v>120.8</v>
      </c>
      <c r="W60" s="250">
        <f t="shared" si="64"/>
        <v>123.008</v>
      </c>
      <c r="X60" s="157">
        <f t="shared" ref="X60:AH60" si="65">+W60+(X47-W47)*80%</f>
        <v>124.07234414499096</v>
      </c>
      <c r="Y60" s="157">
        <f t="shared" si="65"/>
        <v>124.67313123851154</v>
      </c>
      <c r="Z60" s="157">
        <f t="shared" si="65"/>
        <v>126.21348005286252</v>
      </c>
      <c r="AA60" s="157">
        <f t="shared" si="65"/>
        <v>128.18557173674168</v>
      </c>
      <c r="AB60" s="157">
        <f t="shared" si="65"/>
        <v>130.24206888077714</v>
      </c>
      <c r="AC60" s="157">
        <f t="shared" si="65"/>
        <v>130.75665747134545</v>
      </c>
      <c r="AD60" s="157">
        <f t="shared" si="65"/>
        <v>131.04669237498084</v>
      </c>
      <c r="AE60" s="157">
        <f t="shared" si="65"/>
        <v>134.56731394302673</v>
      </c>
      <c r="AF60" s="157">
        <f t="shared" si="65"/>
        <v>137.64206693314702</v>
      </c>
      <c r="AG60" s="157">
        <f t="shared" si="65"/>
        <v>138.40582102619652</v>
      </c>
      <c r="AH60" s="157">
        <f t="shared" si="65"/>
        <v>139.1857221372307</v>
      </c>
      <c r="AI60" s="157">
        <f t="shared" ref="AI60:BN60" si="66">+AH60+(AI47-AH47)*75%</f>
        <v>139.93276418372764</v>
      </c>
      <c r="AJ60" s="157">
        <f t="shared" si="66"/>
        <v>140.69569362619163</v>
      </c>
      <c r="AK60" s="157">
        <f t="shared" si="66"/>
        <v>141.47527491376167</v>
      </c>
      <c r="AL60" s="157">
        <f t="shared" si="66"/>
        <v>142.27153117682326</v>
      </c>
      <c r="AM60" s="157">
        <f t="shared" si="66"/>
        <v>143.08449362161906</v>
      </c>
      <c r="AN60" s="157">
        <f t="shared" si="66"/>
        <v>143.91570763953561</v>
      </c>
      <c r="AO60" s="157">
        <f t="shared" si="66"/>
        <v>144.76485050431953</v>
      </c>
      <c r="AP60" s="157">
        <f t="shared" si="66"/>
        <v>145.63198413873485</v>
      </c>
      <c r="AQ60" s="157">
        <f t="shared" si="66"/>
        <v>146.51830956460503</v>
      </c>
      <c r="AR60" s="157">
        <f t="shared" si="66"/>
        <v>147.4242879729471</v>
      </c>
      <c r="AS60" s="157">
        <f t="shared" si="66"/>
        <v>6.3096076335769453</v>
      </c>
      <c r="AT60" s="157">
        <f t="shared" si="66"/>
        <v>6.3096076335769453</v>
      </c>
      <c r="AU60" s="157">
        <f t="shared" si="66"/>
        <v>6.3096076335769453</v>
      </c>
      <c r="AV60" s="157">
        <f t="shared" si="66"/>
        <v>6.3096076335769453</v>
      </c>
      <c r="AW60" s="157">
        <f t="shared" si="66"/>
        <v>6.3096076335769453</v>
      </c>
      <c r="AX60" s="157">
        <f t="shared" si="66"/>
        <v>6.3096076335769453</v>
      </c>
      <c r="AY60" s="157">
        <f t="shared" si="66"/>
        <v>6.3096076335769453</v>
      </c>
      <c r="AZ60" s="157">
        <f t="shared" si="66"/>
        <v>6.3096076335769453</v>
      </c>
      <c r="BA60" s="157">
        <f t="shared" si="66"/>
        <v>6.3096076335769453</v>
      </c>
      <c r="BB60" s="157">
        <f t="shared" si="66"/>
        <v>6.3096076335769453</v>
      </c>
      <c r="BC60" s="157">
        <f t="shared" si="66"/>
        <v>6.3096076335769453</v>
      </c>
      <c r="BD60" s="157">
        <f t="shared" si="66"/>
        <v>6.3096076335769453</v>
      </c>
      <c r="BE60" s="157">
        <f t="shared" si="66"/>
        <v>6.3096076335769453</v>
      </c>
      <c r="BF60" s="157">
        <f t="shared" si="66"/>
        <v>6.3096076335769453</v>
      </c>
      <c r="BG60" s="157">
        <f t="shared" si="66"/>
        <v>6.3096076335769453</v>
      </c>
      <c r="BH60" s="157">
        <f t="shared" si="66"/>
        <v>6.3096076335769453</v>
      </c>
      <c r="BI60" s="157">
        <f t="shared" si="66"/>
        <v>6.3096076335769453</v>
      </c>
      <c r="BJ60" s="157">
        <f t="shared" si="66"/>
        <v>6.3096076335769453</v>
      </c>
      <c r="BK60" s="157">
        <f t="shared" si="66"/>
        <v>6.3096076335769453</v>
      </c>
      <c r="BL60" s="157">
        <f t="shared" si="66"/>
        <v>6.3096076335769453</v>
      </c>
      <c r="BM60" s="157">
        <f t="shared" si="66"/>
        <v>6.3096076335769453</v>
      </c>
      <c r="BN60" s="157">
        <f t="shared" si="66"/>
        <v>6.3096076335769453</v>
      </c>
      <c r="BO60" s="157">
        <f t="shared" ref="BO60:CP60" si="67">+BN60+(BO47-BN47)*75%</f>
        <v>6.3096076335769453</v>
      </c>
      <c r="BP60" s="157">
        <f t="shared" si="67"/>
        <v>6.3096076335769453</v>
      </c>
      <c r="BQ60" s="157">
        <f t="shared" si="67"/>
        <v>6.3096076335769453</v>
      </c>
      <c r="BR60" s="157">
        <f t="shared" si="67"/>
        <v>6.3096076335769453</v>
      </c>
      <c r="BS60" s="157">
        <f t="shared" si="67"/>
        <v>6.3096076335769453</v>
      </c>
      <c r="BT60" s="157">
        <f t="shared" si="67"/>
        <v>6.3096076335769453</v>
      </c>
      <c r="BU60" s="157">
        <f t="shared" si="67"/>
        <v>6.3096076335769453</v>
      </c>
      <c r="BV60" s="157">
        <f t="shared" si="67"/>
        <v>6.3096076335769453</v>
      </c>
      <c r="BW60" s="157">
        <f t="shared" si="67"/>
        <v>6.3096076335769453</v>
      </c>
      <c r="BX60" s="157">
        <f t="shared" si="67"/>
        <v>6.3096076335769453</v>
      </c>
      <c r="BY60" s="157">
        <f t="shared" si="67"/>
        <v>6.3096076335769453</v>
      </c>
      <c r="BZ60" s="157">
        <f t="shared" si="67"/>
        <v>6.3096076335769453</v>
      </c>
      <c r="CA60" s="157">
        <f t="shared" si="67"/>
        <v>6.3096076335769453</v>
      </c>
      <c r="CB60" s="157">
        <f t="shared" si="67"/>
        <v>6.3096076335769453</v>
      </c>
      <c r="CC60" s="157">
        <f t="shared" si="67"/>
        <v>6.3096076335769453</v>
      </c>
      <c r="CD60" s="157">
        <f t="shared" si="67"/>
        <v>6.3096076335769453</v>
      </c>
      <c r="CE60" s="157">
        <f t="shared" si="67"/>
        <v>6.3096076335769453</v>
      </c>
      <c r="CF60" s="157">
        <f t="shared" si="67"/>
        <v>6.3096076335769453</v>
      </c>
      <c r="CG60" s="157">
        <f t="shared" si="67"/>
        <v>6.3096076335769453</v>
      </c>
      <c r="CH60" s="157">
        <f t="shared" si="67"/>
        <v>6.3096076335769453</v>
      </c>
      <c r="CI60" s="157">
        <f t="shared" si="67"/>
        <v>6.3096076335769453</v>
      </c>
      <c r="CJ60" s="157">
        <f t="shared" si="67"/>
        <v>6.3096076335769453</v>
      </c>
      <c r="CK60" s="157">
        <f t="shared" si="67"/>
        <v>6.3096076335769453</v>
      </c>
      <c r="CL60" s="157">
        <f t="shared" si="67"/>
        <v>6.3096076335769453</v>
      </c>
      <c r="CM60" s="157">
        <f t="shared" si="67"/>
        <v>6.3096076335769453</v>
      </c>
      <c r="CN60" s="157">
        <f t="shared" si="67"/>
        <v>6.3096076335769453</v>
      </c>
      <c r="CO60" s="157">
        <f t="shared" si="67"/>
        <v>6.3096076335769453</v>
      </c>
      <c r="CP60" s="157">
        <f t="shared" si="67"/>
        <v>6.3096076335769453</v>
      </c>
      <c r="CQ60" s="23" t="s">
        <v>77</v>
      </c>
    </row>
    <row r="61" spans="2:95" outlineLevel="1" x14ac:dyDescent="0.2">
      <c r="B61" s="8" t="s">
        <v>356</v>
      </c>
      <c r="J61" s="250">
        <f t="shared" ref="J61:Q61" si="68">J24</f>
        <v>0</v>
      </c>
      <c r="K61" s="250" t="str">
        <f t="shared" si="68"/>
        <v>n.a.</v>
      </c>
      <c r="L61" s="250" t="str">
        <f t="shared" si="68"/>
        <v>n.a.</v>
      </c>
      <c r="M61" s="250">
        <f t="shared" si="68"/>
        <v>0</v>
      </c>
      <c r="N61" s="250">
        <f t="shared" si="68"/>
        <v>1.7</v>
      </c>
      <c r="O61" s="250">
        <f t="shared" si="68"/>
        <v>1.72</v>
      </c>
      <c r="P61" s="250">
        <f t="shared" si="68"/>
        <v>1.72</v>
      </c>
      <c r="Q61" s="250">
        <f t="shared" si="68"/>
        <v>1.6180000000000001</v>
      </c>
      <c r="R61" s="250">
        <f t="shared" si="64"/>
        <v>1.5209999999999999</v>
      </c>
      <c r="S61" s="250">
        <f t="shared" si="64"/>
        <v>1.732</v>
      </c>
      <c r="T61" s="250">
        <f t="shared" si="64"/>
        <v>2.38</v>
      </c>
      <c r="U61" s="250">
        <f t="shared" si="64"/>
        <v>1.94</v>
      </c>
      <c r="V61" s="250">
        <f t="shared" si="64"/>
        <v>2.2999999999999998</v>
      </c>
      <c r="W61" s="250">
        <f t="shared" si="64"/>
        <v>2.319</v>
      </c>
      <c r="X61" s="307">
        <f t="shared" ref="X61:BA61" si="69">X48+X55</f>
        <v>2.3769749999999998</v>
      </c>
      <c r="Y61" s="307">
        <f t="shared" si="69"/>
        <v>2.4363993749999997</v>
      </c>
      <c r="Z61" s="307">
        <f t="shared" si="69"/>
        <v>2.4973093593749995</v>
      </c>
      <c r="AA61" s="307">
        <f t="shared" si="69"/>
        <v>2.559742093359374</v>
      </c>
      <c r="AB61" s="307">
        <f t="shared" si="69"/>
        <v>2.6196542975302721</v>
      </c>
      <c r="AC61" s="307">
        <f t="shared" si="69"/>
        <v>2.6809673747865697</v>
      </c>
      <c r="AD61" s="307">
        <f t="shared" si="69"/>
        <v>2.7437140448199528</v>
      </c>
      <c r="AE61" s="307">
        <f t="shared" si="69"/>
        <v>1.5811481175372948</v>
      </c>
      <c r="AF61" s="307">
        <f t="shared" si="69"/>
        <v>1.6177271860144193</v>
      </c>
      <c r="AG61" s="307">
        <f t="shared" si="69"/>
        <v>1.6551506773850162</v>
      </c>
      <c r="AH61" s="307">
        <f t="shared" si="69"/>
        <v>1.6934380384432335</v>
      </c>
      <c r="AI61" s="307">
        <f t="shared" si="69"/>
        <v>1.7326091626383415</v>
      </c>
      <c r="AJ61" s="307">
        <f t="shared" si="69"/>
        <v>1.7726844003026354</v>
      </c>
      <c r="AK61" s="307">
        <f t="shared" si="69"/>
        <v>1.813684569112747</v>
      </c>
      <c r="AL61" s="307">
        <f t="shared" si="69"/>
        <v>1.8556309647896718</v>
      </c>
      <c r="AM61" s="307">
        <f t="shared" si="69"/>
        <v>1.8985453720429359</v>
      </c>
      <c r="AN61" s="307">
        <f t="shared" si="69"/>
        <v>1.9424500757644529</v>
      </c>
      <c r="AO61" s="307">
        <f t="shared" si="69"/>
        <v>1.9873678724777433</v>
      </c>
      <c r="AP61" s="307">
        <f t="shared" si="69"/>
        <v>2.0333220820483215</v>
      </c>
      <c r="AQ61" s="307">
        <f t="shared" si="69"/>
        <v>2.0803365596611818</v>
      </c>
      <c r="AR61" s="307">
        <f t="shared" si="69"/>
        <v>2.1284357080714527</v>
      </c>
      <c r="AS61" s="307">
        <f t="shared" si="69"/>
        <v>2.1776444901344258</v>
      </c>
      <c r="AT61" s="307">
        <f t="shared" si="69"/>
        <v>2.2279884416213012</v>
      </c>
      <c r="AU61" s="307">
        <f t="shared" si="69"/>
        <v>2.2794936843271447</v>
      </c>
      <c r="AV61" s="307">
        <f t="shared" si="69"/>
        <v>2.3321869394776851</v>
      </c>
      <c r="AW61" s="307">
        <f t="shared" si="69"/>
        <v>2.3860955414417453</v>
      </c>
      <c r="AX61" s="307">
        <f t="shared" si="69"/>
        <v>2.4412474517562384</v>
      </c>
      <c r="AY61" s="307">
        <f t="shared" si="69"/>
        <v>2.4976712734708322</v>
      </c>
      <c r="AZ61" s="307">
        <f t="shared" si="69"/>
        <v>2.5553962658195322</v>
      </c>
      <c r="BA61" s="307">
        <f t="shared" si="69"/>
        <v>2.6144523592266076</v>
      </c>
      <c r="BB61" s="307">
        <f t="shared" ref="BB61:CG61" si="70">BB48+BB55</f>
        <v>2.6748701706544473</v>
      </c>
      <c r="BC61" s="307">
        <f t="shared" si="70"/>
        <v>2.7366810193011042</v>
      </c>
      <c r="BD61" s="307">
        <f t="shared" si="70"/>
        <v>2.7999169426554591</v>
      </c>
      <c r="BE61" s="307">
        <f t="shared" si="70"/>
        <v>2.8646107129181289</v>
      </c>
      <c r="BF61" s="307">
        <f t="shared" si="70"/>
        <v>2.9307958537964023</v>
      </c>
      <c r="BG61" s="307">
        <f t="shared" si="70"/>
        <v>2.9985066576816966</v>
      </c>
      <c r="BH61" s="307">
        <f t="shared" si="70"/>
        <v>3.0677782032182064</v>
      </c>
      <c r="BI61" s="307">
        <f t="shared" si="70"/>
        <v>3.1386463732716239</v>
      </c>
      <c r="BJ61" s="307">
        <f t="shared" si="70"/>
        <v>3.211147873306984</v>
      </c>
      <c r="BK61" s="307">
        <f t="shared" si="70"/>
        <v>3.2853202501849381</v>
      </c>
      <c r="BL61" s="307">
        <f t="shared" si="70"/>
        <v>3.3612019113859164</v>
      </c>
      <c r="BM61" s="307">
        <f t="shared" si="70"/>
        <v>3.4388321446718946</v>
      </c>
      <c r="BN61" s="307">
        <f t="shared" si="70"/>
        <v>3.5182511381956796</v>
      </c>
      <c r="BO61" s="307">
        <f t="shared" si="70"/>
        <v>3.5995000010678493</v>
      </c>
      <c r="BP61" s="307">
        <f t="shared" si="70"/>
        <v>3.6826207843917347</v>
      </c>
      <c r="BQ61" s="307">
        <f t="shared" si="70"/>
        <v>3.7676565027770246</v>
      </c>
      <c r="BR61" s="307">
        <f t="shared" si="70"/>
        <v>3.8546511563428645</v>
      </c>
      <c r="BS61" s="307">
        <f t="shared" si="70"/>
        <v>3.9436497532215156</v>
      </c>
      <c r="BT61" s="307">
        <f t="shared" si="70"/>
        <v>4.0346983325739227</v>
      </c>
      <c r="BU61" s="307">
        <f t="shared" si="70"/>
        <v>4.1278439881287836</v>
      </c>
      <c r="BV61" s="307">
        <f t="shared" si="70"/>
        <v>4.2231348922569794</v>
      </c>
      <c r="BW61" s="307">
        <f t="shared" si="70"/>
        <v>4.3206203205934717</v>
      </c>
      <c r="BX61" s="307">
        <f t="shared" si="70"/>
        <v>4.4203506772190906</v>
      </c>
      <c r="BY61" s="307">
        <f t="shared" si="70"/>
        <v>4.5223775204148566</v>
      </c>
      <c r="BZ61" s="307">
        <f t="shared" si="70"/>
        <v>4.6267535890018179</v>
      </c>
      <c r="CA61" s="307">
        <f t="shared" si="70"/>
        <v>4.7335328292796461</v>
      </c>
      <c r="CB61" s="307">
        <f t="shared" si="70"/>
        <v>4.8427704225775496</v>
      </c>
      <c r="CC61" s="307">
        <f t="shared" si="70"/>
        <v>0</v>
      </c>
      <c r="CD61" s="307">
        <f t="shared" si="70"/>
        <v>0</v>
      </c>
      <c r="CE61" s="307">
        <f t="shared" si="70"/>
        <v>0</v>
      </c>
      <c r="CF61" s="307">
        <f t="shared" si="70"/>
        <v>0</v>
      </c>
      <c r="CG61" s="307">
        <f t="shared" si="70"/>
        <v>0</v>
      </c>
      <c r="CH61" s="307">
        <f t="shared" ref="CH61:CP61" si="71">CH48+CH55</f>
        <v>0</v>
      </c>
      <c r="CI61" s="307">
        <f t="shared" si="71"/>
        <v>0</v>
      </c>
      <c r="CJ61" s="307">
        <f t="shared" si="71"/>
        <v>0</v>
      </c>
      <c r="CK61" s="307">
        <f t="shared" si="71"/>
        <v>0</v>
      </c>
      <c r="CL61" s="307">
        <f t="shared" si="71"/>
        <v>0</v>
      </c>
      <c r="CM61" s="307">
        <f t="shared" si="71"/>
        <v>0</v>
      </c>
      <c r="CN61" s="307">
        <f t="shared" si="71"/>
        <v>0</v>
      </c>
      <c r="CO61" s="307">
        <f t="shared" si="71"/>
        <v>0</v>
      </c>
      <c r="CP61" s="307">
        <f t="shared" si="71"/>
        <v>0</v>
      </c>
      <c r="CQ61" s="23" t="s">
        <v>77</v>
      </c>
    </row>
    <row r="62" spans="2:95" outlineLevel="1" x14ac:dyDescent="0.2">
      <c r="B62" s="8" t="s">
        <v>570</v>
      </c>
      <c r="U62" s="250"/>
      <c r="V62" s="250"/>
      <c r="W62" s="250"/>
      <c r="X62" s="307"/>
      <c r="Y62" s="307"/>
      <c r="Z62" s="257">
        <f>250*0.09</f>
        <v>22.5</v>
      </c>
      <c r="AA62" s="157">
        <f t="shared" ref="AA62:BD62" si="72">AA49*$D$49</f>
        <v>23.0625</v>
      </c>
      <c r="AB62" s="157">
        <f t="shared" si="72"/>
        <v>23.610234374999997</v>
      </c>
      <c r="AC62" s="157">
        <f t="shared" si="72"/>
        <v>24.170977441406247</v>
      </c>
      <c r="AD62" s="157">
        <f t="shared" si="72"/>
        <v>24.745038155639644</v>
      </c>
      <c r="AE62" s="157">
        <f t="shared" si="72"/>
        <v>25.332732811836081</v>
      </c>
      <c r="AF62" s="157">
        <f t="shared" si="72"/>
        <v>25.934385216117189</v>
      </c>
      <c r="AG62" s="157">
        <f t="shared" si="72"/>
        <v>26.550326864999967</v>
      </c>
      <c r="AH62" s="157">
        <f t="shared" si="72"/>
        <v>27.180897128043711</v>
      </c>
      <c r="AI62" s="157">
        <f t="shared" si="72"/>
        <v>27.826443434834751</v>
      </c>
      <c r="AJ62" s="157">
        <f t="shared" si="72"/>
        <v>28.487321466412073</v>
      </c>
      <c r="AK62" s="157">
        <f t="shared" si="72"/>
        <v>29.163895351239361</v>
      </c>
      <c r="AL62" s="157">
        <f t="shared" si="72"/>
        <v>29.856537865831292</v>
      </c>
      <c r="AM62" s="157">
        <f t="shared" si="72"/>
        <v>30.565630640144782</v>
      </c>
      <c r="AN62" s="157">
        <f t="shared" si="72"/>
        <v>31.29156436784822</v>
      </c>
      <c r="AO62" s="157">
        <f t="shared" si="72"/>
        <v>32.034739021584613</v>
      </c>
      <c r="AP62" s="157">
        <f t="shared" si="72"/>
        <v>32.795564073347251</v>
      </c>
      <c r="AQ62" s="157">
        <f t="shared" si="72"/>
        <v>33.574458720089247</v>
      </c>
      <c r="AR62" s="157">
        <f t="shared" si="72"/>
        <v>34.371852114691364</v>
      </c>
      <c r="AS62" s="157">
        <f t="shared" si="72"/>
        <v>35.188183602415286</v>
      </c>
      <c r="AT62" s="157">
        <f t="shared" si="72"/>
        <v>0</v>
      </c>
      <c r="AU62" s="157">
        <f t="shared" si="72"/>
        <v>0</v>
      </c>
      <c r="AV62" s="157">
        <f t="shared" si="72"/>
        <v>0</v>
      </c>
      <c r="AW62" s="157">
        <f t="shared" si="72"/>
        <v>0</v>
      </c>
      <c r="AX62" s="157">
        <f t="shared" si="72"/>
        <v>0</v>
      </c>
      <c r="AY62" s="157">
        <f t="shared" si="72"/>
        <v>0</v>
      </c>
      <c r="AZ62" s="157">
        <f t="shared" si="72"/>
        <v>0</v>
      </c>
      <c r="BA62" s="157">
        <f t="shared" si="72"/>
        <v>0</v>
      </c>
      <c r="BB62" s="157">
        <f t="shared" si="72"/>
        <v>0</v>
      </c>
      <c r="BC62" s="157">
        <f t="shared" si="72"/>
        <v>0</v>
      </c>
      <c r="BD62" s="157">
        <f t="shared" si="72"/>
        <v>0</v>
      </c>
      <c r="BE62" s="157">
        <f t="shared" ref="BE62:CJ62" si="73">BE49*$D$49</f>
        <v>0</v>
      </c>
      <c r="BF62" s="157">
        <f t="shared" si="73"/>
        <v>0</v>
      </c>
      <c r="BG62" s="157">
        <f t="shared" si="73"/>
        <v>0</v>
      </c>
      <c r="BH62" s="157">
        <f t="shared" si="73"/>
        <v>0</v>
      </c>
      <c r="BI62" s="157">
        <f t="shared" si="73"/>
        <v>0</v>
      </c>
      <c r="BJ62" s="157">
        <f t="shared" si="73"/>
        <v>0</v>
      </c>
      <c r="BK62" s="157">
        <f t="shared" si="73"/>
        <v>0</v>
      </c>
      <c r="BL62" s="157">
        <f t="shared" si="73"/>
        <v>0</v>
      </c>
      <c r="BM62" s="157">
        <f t="shared" si="73"/>
        <v>0</v>
      </c>
      <c r="BN62" s="157">
        <f t="shared" si="73"/>
        <v>0</v>
      </c>
      <c r="BO62" s="157">
        <f t="shared" si="73"/>
        <v>0</v>
      </c>
      <c r="BP62" s="157">
        <f t="shared" si="73"/>
        <v>0</v>
      </c>
      <c r="BQ62" s="157">
        <f t="shared" si="73"/>
        <v>0</v>
      </c>
      <c r="BR62" s="157">
        <f t="shared" si="73"/>
        <v>0</v>
      </c>
      <c r="BS62" s="157">
        <f t="shared" si="73"/>
        <v>0</v>
      </c>
      <c r="BT62" s="157">
        <f t="shared" si="73"/>
        <v>0</v>
      </c>
      <c r="BU62" s="157">
        <f t="shared" si="73"/>
        <v>0</v>
      </c>
      <c r="BV62" s="157">
        <f t="shared" si="73"/>
        <v>0</v>
      </c>
      <c r="BW62" s="157">
        <f t="shared" si="73"/>
        <v>0</v>
      </c>
      <c r="BX62" s="157">
        <f t="shared" si="73"/>
        <v>0</v>
      </c>
      <c r="BY62" s="157">
        <f t="shared" si="73"/>
        <v>0</v>
      </c>
      <c r="BZ62" s="157">
        <f t="shared" si="73"/>
        <v>0</v>
      </c>
      <c r="CA62" s="157">
        <f t="shared" si="73"/>
        <v>0</v>
      </c>
      <c r="CB62" s="157">
        <f t="shared" si="73"/>
        <v>0</v>
      </c>
      <c r="CC62" s="157">
        <f t="shared" si="73"/>
        <v>0</v>
      </c>
      <c r="CD62" s="157">
        <f t="shared" si="73"/>
        <v>0</v>
      </c>
      <c r="CE62" s="157">
        <f t="shared" si="73"/>
        <v>0</v>
      </c>
      <c r="CF62" s="157">
        <f t="shared" si="73"/>
        <v>0</v>
      </c>
      <c r="CG62" s="157">
        <f t="shared" si="73"/>
        <v>0</v>
      </c>
      <c r="CH62" s="157">
        <f t="shared" si="73"/>
        <v>0</v>
      </c>
      <c r="CI62" s="157">
        <f t="shared" si="73"/>
        <v>0</v>
      </c>
      <c r="CJ62" s="157">
        <f t="shared" si="73"/>
        <v>0</v>
      </c>
      <c r="CK62" s="157">
        <f t="shared" ref="CK62:CP62" si="74">CK49*$D$49</f>
        <v>0</v>
      </c>
      <c r="CL62" s="157">
        <f t="shared" si="74"/>
        <v>0</v>
      </c>
      <c r="CM62" s="157">
        <f t="shared" si="74"/>
        <v>0</v>
      </c>
      <c r="CN62" s="157">
        <f t="shared" si="74"/>
        <v>0</v>
      </c>
      <c r="CO62" s="157">
        <f t="shared" si="74"/>
        <v>0</v>
      </c>
      <c r="CP62" s="157">
        <f t="shared" si="74"/>
        <v>0</v>
      </c>
      <c r="CQ62" s="23"/>
    </row>
    <row r="63" spans="2:95" outlineLevel="1" x14ac:dyDescent="0.2">
      <c r="B63" s="485" t="s">
        <v>299</v>
      </c>
      <c r="D63" s="485"/>
      <c r="E63" s="485"/>
      <c r="F63" s="485"/>
      <c r="G63" s="485"/>
      <c r="H63" s="485"/>
      <c r="I63" s="85">
        <f t="shared" ref="I63:U63" si="75">SUM(I60:I61)</f>
        <v>0</v>
      </c>
      <c r="J63" s="85">
        <f t="shared" si="75"/>
        <v>0</v>
      </c>
      <c r="K63" s="85">
        <f t="shared" si="75"/>
        <v>0</v>
      </c>
      <c r="L63" s="85">
        <f t="shared" si="75"/>
        <v>0</v>
      </c>
      <c r="M63" s="85">
        <f t="shared" si="75"/>
        <v>50.325000000000003</v>
      </c>
      <c r="N63" s="85">
        <f t="shared" si="75"/>
        <v>76.887</v>
      </c>
      <c r="O63" s="85">
        <f t="shared" si="75"/>
        <v>107.49299999999999</v>
      </c>
      <c r="P63" s="85">
        <f t="shared" si="75"/>
        <v>105.70699999999999</v>
      </c>
      <c r="Q63" s="85">
        <f t="shared" si="75"/>
        <v>115.881</v>
      </c>
      <c r="R63" s="85">
        <f t="shared" si="75"/>
        <v>123.07000000000001</v>
      </c>
      <c r="S63" s="85">
        <f t="shared" si="75"/>
        <v>125.746</v>
      </c>
      <c r="T63" s="85">
        <f t="shared" si="75"/>
        <v>129.99600000000001</v>
      </c>
      <c r="U63" s="85">
        <f t="shared" si="75"/>
        <v>132.10999999999999</v>
      </c>
      <c r="V63" s="85">
        <f>SUM(V60:V61)</f>
        <v>123.1</v>
      </c>
      <c r="W63" s="85">
        <f>SUM(W60:W61)</f>
        <v>125.327</v>
      </c>
      <c r="X63" s="85">
        <f t="shared" ref="X63:BA63" si="76">SUM(X60:X62)</f>
        <v>126.44931914499097</v>
      </c>
      <c r="Y63" s="85">
        <f t="shared" si="76"/>
        <v>127.10953061351154</v>
      </c>
      <c r="Z63" s="85">
        <f t="shared" si="76"/>
        <v>151.21078941223752</v>
      </c>
      <c r="AA63" s="85">
        <f t="shared" si="76"/>
        <v>153.80781383010105</v>
      </c>
      <c r="AB63" s="85">
        <f t="shared" si="76"/>
        <v>156.47195755330742</v>
      </c>
      <c r="AC63" s="85">
        <f t="shared" si="76"/>
        <v>157.60860228753828</v>
      </c>
      <c r="AD63" s="85">
        <f t="shared" si="76"/>
        <v>158.53544457544041</v>
      </c>
      <c r="AE63" s="85">
        <f t="shared" si="76"/>
        <v>161.4811948724001</v>
      </c>
      <c r="AF63" s="85">
        <f t="shared" si="76"/>
        <v>165.19417933527862</v>
      </c>
      <c r="AG63" s="85">
        <f t="shared" si="76"/>
        <v>166.6112985685815</v>
      </c>
      <c r="AH63" s="85">
        <f t="shared" si="76"/>
        <v>168.06005730371766</v>
      </c>
      <c r="AI63" s="85">
        <f t="shared" si="76"/>
        <v>169.49181678120073</v>
      </c>
      <c r="AJ63" s="85">
        <f t="shared" si="76"/>
        <v>170.95569949290635</v>
      </c>
      <c r="AK63" s="85">
        <f t="shared" si="76"/>
        <v>172.45285483411379</v>
      </c>
      <c r="AL63" s="85">
        <f t="shared" si="76"/>
        <v>173.98370000744421</v>
      </c>
      <c r="AM63" s="85">
        <f t="shared" si="76"/>
        <v>175.54866963380678</v>
      </c>
      <c r="AN63" s="85">
        <f t="shared" si="76"/>
        <v>177.14972208314828</v>
      </c>
      <c r="AO63" s="85">
        <f t="shared" si="76"/>
        <v>178.78695739838187</v>
      </c>
      <c r="AP63" s="85">
        <f t="shared" si="76"/>
        <v>180.46087029413042</v>
      </c>
      <c r="AQ63" s="85">
        <f t="shared" si="76"/>
        <v>182.17310484435546</v>
      </c>
      <c r="AR63" s="85">
        <f t="shared" si="76"/>
        <v>183.92457579570993</v>
      </c>
      <c r="AS63" s="85">
        <f t="shared" si="76"/>
        <v>43.675435726126658</v>
      </c>
      <c r="AT63" s="85">
        <f t="shared" si="76"/>
        <v>8.5375960751982465</v>
      </c>
      <c r="AU63" s="85">
        <f t="shared" si="76"/>
        <v>8.58910131790409</v>
      </c>
      <c r="AV63" s="85">
        <f t="shared" si="76"/>
        <v>8.6417945730546304</v>
      </c>
      <c r="AW63" s="85">
        <f t="shared" si="76"/>
        <v>8.6957031750186911</v>
      </c>
      <c r="AX63" s="85">
        <f t="shared" si="76"/>
        <v>8.7508550853331837</v>
      </c>
      <c r="AY63" s="85">
        <f t="shared" si="76"/>
        <v>8.8072789070477775</v>
      </c>
      <c r="AZ63" s="85">
        <f t="shared" si="76"/>
        <v>8.865003899396477</v>
      </c>
      <c r="BA63" s="85">
        <f t="shared" si="76"/>
        <v>8.9240599928035529</v>
      </c>
      <c r="BB63" s="85">
        <f t="shared" ref="BB63:CG63" si="77">SUM(BB60:BB62)</f>
        <v>8.9844778042313926</v>
      </c>
      <c r="BC63" s="85">
        <f t="shared" si="77"/>
        <v>9.0462886528780491</v>
      </c>
      <c r="BD63" s="85">
        <f t="shared" si="77"/>
        <v>9.1095245762324044</v>
      </c>
      <c r="BE63" s="85">
        <f t="shared" si="77"/>
        <v>9.1742183464950742</v>
      </c>
      <c r="BF63" s="85">
        <f t="shared" si="77"/>
        <v>9.2404034873733476</v>
      </c>
      <c r="BG63" s="85">
        <f t="shared" si="77"/>
        <v>9.3081142912586419</v>
      </c>
      <c r="BH63" s="85">
        <f t="shared" si="77"/>
        <v>9.3773858367951526</v>
      </c>
      <c r="BI63" s="85">
        <f t="shared" si="77"/>
        <v>9.4482540068485683</v>
      </c>
      <c r="BJ63" s="85">
        <f t="shared" si="77"/>
        <v>9.5207555068839298</v>
      </c>
      <c r="BK63" s="85">
        <f t="shared" si="77"/>
        <v>9.5949278837618834</v>
      </c>
      <c r="BL63" s="85">
        <f t="shared" si="77"/>
        <v>9.6708095449628608</v>
      </c>
      <c r="BM63" s="85">
        <f t="shared" si="77"/>
        <v>9.7484397782488408</v>
      </c>
      <c r="BN63" s="85">
        <f t="shared" si="77"/>
        <v>9.8278587717726253</v>
      </c>
      <c r="BO63" s="85">
        <f t="shared" si="77"/>
        <v>9.9091076346447942</v>
      </c>
      <c r="BP63" s="85">
        <f t="shared" si="77"/>
        <v>9.9922284179686791</v>
      </c>
      <c r="BQ63" s="85">
        <f t="shared" si="77"/>
        <v>10.077264136353969</v>
      </c>
      <c r="BR63" s="85">
        <f t="shared" si="77"/>
        <v>10.16425878991981</v>
      </c>
      <c r="BS63" s="85">
        <f t="shared" si="77"/>
        <v>10.253257386798461</v>
      </c>
      <c r="BT63" s="85">
        <f t="shared" si="77"/>
        <v>10.344305966150868</v>
      </c>
      <c r="BU63" s="85">
        <f t="shared" si="77"/>
        <v>10.43745162170573</v>
      </c>
      <c r="BV63" s="85">
        <f t="shared" si="77"/>
        <v>10.532742525833925</v>
      </c>
      <c r="BW63" s="85">
        <f t="shared" si="77"/>
        <v>10.630227954170417</v>
      </c>
      <c r="BX63" s="85">
        <f t="shared" si="77"/>
        <v>10.729958310796036</v>
      </c>
      <c r="BY63" s="85">
        <f t="shared" si="77"/>
        <v>10.831985153991802</v>
      </c>
      <c r="BZ63" s="85">
        <f t="shared" si="77"/>
        <v>10.936361222578764</v>
      </c>
      <c r="CA63" s="85">
        <f t="shared" si="77"/>
        <v>11.043140462856591</v>
      </c>
      <c r="CB63" s="85">
        <f t="shared" si="77"/>
        <v>11.152378056154495</v>
      </c>
      <c r="CC63" s="85">
        <f t="shared" si="77"/>
        <v>6.3096076335769453</v>
      </c>
      <c r="CD63" s="85">
        <f t="shared" si="77"/>
        <v>6.3096076335769453</v>
      </c>
      <c r="CE63" s="85">
        <f t="shared" si="77"/>
        <v>6.3096076335769453</v>
      </c>
      <c r="CF63" s="85">
        <f t="shared" si="77"/>
        <v>6.3096076335769453</v>
      </c>
      <c r="CG63" s="85">
        <f t="shared" si="77"/>
        <v>6.3096076335769453</v>
      </c>
      <c r="CH63" s="85">
        <f t="shared" ref="CH63:CP63" si="78">SUM(CH60:CH62)</f>
        <v>6.3096076335769453</v>
      </c>
      <c r="CI63" s="85">
        <f t="shared" si="78"/>
        <v>6.3096076335769453</v>
      </c>
      <c r="CJ63" s="85">
        <f t="shared" si="78"/>
        <v>6.3096076335769453</v>
      </c>
      <c r="CK63" s="85">
        <f t="shared" si="78"/>
        <v>6.3096076335769453</v>
      </c>
      <c r="CL63" s="85">
        <f t="shared" si="78"/>
        <v>6.3096076335769453</v>
      </c>
      <c r="CM63" s="85">
        <f t="shared" si="78"/>
        <v>6.3096076335769453</v>
      </c>
      <c r="CN63" s="85">
        <f t="shared" si="78"/>
        <v>6.3096076335769453</v>
      </c>
      <c r="CO63" s="85">
        <f t="shared" si="78"/>
        <v>6.3096076335769453</v>
      </c>
      <c r="CP63" s="85">
        <f t="shared" si="78"/>
        <v>6.3096076335769453</v>
      </c>
      <c r="CQ63" s="23" t="s">
        <v>77</v>
      </c>
    </row>
    <row r="64" spans="2:95" s="98" customFormat="1" outlineLevel="1" x14ac:dyDescent="0.2">
      <c r="B64" s="25" t="s">
        <v>300</v>
      </c>
      <c r="C64" s="24"/>
      <c r="I64" s="118">
        <f t="shared" ref="I64:AN64" si="79">+I25-I63</f>
        <v>0</v>
      </c>
      <c r="J64" s="118">
        <f t="shared" si="79"/>
        <v>0</v>
      </c>
      <c r="K64" s="118">
        <f t="shared" si="79"/>
        <v>0</v>
      </c>
      <c r="L64" s="118">
        <f t="shared" si="79"/>
        <v>0</v>
      </c>
      <c r="M64" s="118">
        <f t="shared" si="79"/>
        <v>0</v>
      </c>
      <c r="N64" s="118">
        <f t="shared" si="79"/>
        <v>0</v>
      </c>
      <c r="O64" s="118">
        <f t="shared" si="79"/>
        <v>0</v>
      </c>
      <c r="P64" s="118">
        <f t="shared" si="79"/>
        <v>0</v>
      </c>
      <c r="Q64" s="118">
        <f t="shared" si="79"/>
        <v>0</v>
      </c>
      <c r="R64" s="118">
        <f t="shared" si="79"/>
        <v>0</v>
      </c>
      <c r="S64" s="118">
        <f t="shared" si="79"/>
        <v>0</v>
      </c>
      <c r="T64" s="118">
        <f t="shared" si="79"/>
        <v>0</v>
      </c>
      <c r="U64" s="118">
        <f t="shared" si="79"/>
        <v>0</v>
      </c>
      <c r="V64" s="118">
        <f t="shared" si="79"/>
        <v>0</v>
      </c>
      <c r="W64" s="118">
        <f t="shared" si="79"/>
        <v>0</v>
      </c>
      <c r="X64" s="118">
        <f t="shared" si="79"/>
        <v>0</v>
      </c>
      <c r="Y64" s="118">
        <f t="shared" si="79"/>
        <v>0</v>
      </c>
      <c r="Z64" s="118">
        <f t="shared" si="79"/>
        <v>0</v>
      </c>
      <c r="AA64" s="118">
        <f t="shared" si="79"/>
        <v>0</v>
      </c>
      <c r="AB64" s="118">
        <f t="shared" si="79"/>
        <v>0</v>
      </c>
      <c r="AC64" s="118">
        <f t="shared" si="79"/>
        <v>0</v>
      </c>
      <c r="AD64" s="118">
        <f t="shared" si="79"/>
        <v>0</v>
      </c>
      <c r="AE64" s="118">
        <f t="shared" si="79"/>
        <v>0</v>
      </c>
      <c r="AF64" s="118">
        <f t="shared" si="79"/>
        <v>0</v>
      </c>
      <c r="AG64" s="118">
        <f t="shared" si="79"/>
        <v>0</v>
      </c>
      <c r="AH64" s="118">
        <f t="shared" si="79"/>
        <v>0</v>
      </c>
      <c r="AI64" s="118">
        <f t="shared" si="79"/>
        <v>0</v>
      </c>
      <c r="AJ64" s="118">
        <f t="shared" si="79"/>
        <v>0</v>
      </c>
      <c r="AK64" s="118">
        <f t="shared" si="79"/>
        <v>0</v>
      </c>
      <c r="AL64" s="118">
        <f t="shared" si="79"/>
        <v>0</v>
      </c>
      <c r="AM64" s="118">
        <f t="shared" si="79"/>
        <v>0</v>
      </c>
      <c r="AN64" s="118">
        <f t="shared" si="79"/>
        <v>0</v>
      </c>
      <c r="AO64" s="118">
        <f t="shared" ref="AO64:BT64" si="80">+AO25-AO63</f>
        <v>0</v>
      </c>
      <c r="AP64" s="118">
        <f t="shared" si="80"/>
        <v>0</v>
      </c>
      <c r="AQ64" s="118">
        <f t="shared" si="80"/>
        <v>0</v>
      </c>
      <c r="AR64" s="118">
        <f t="shared" si="80"/>
        <v>0</v>
      </c>
      <c r="AS64" s="118">
        <f t="shared" si="80"/>
        <v>0</v>
      </c>
      <c r="AT64" s="118">
        <f t="shared" si="80"/>
        <v>0</v>
      </c>
      <c r="AU64" s="118">
        <f t="shared" si="80"/>
        <v>0</v>
      </c>
      <c r="AV64" s="118">
        <f t="shared" si="80"/>
        <v>0</v>
      </c>
      <c r="AW64" s="118">
        <f t="shared" si="80"/>
        <v>0</v>
      </c>
      <c r="AX64" s="118">
        <f t="shared" si="80"/>
        <v>0</v>
      </c>
      <c r="AY64" s="118">
        <f t="shared" si="80"/>
        <v>0</v>
      </c>
      <c r="AZ64" s="118">
        <f t="shared" si="80"/>
        <v>0</v>
      </c>
      <c r="BA64" s="118">
        <f t="shared" si="80"/>
        <v>0</v>
      </c>
      <c r="BB64" s="118">
        <f t="shared" si="80"/>
        <v>0</v>
      </c>
      <c r="BC64" s="118">
        <f t="shared" si="80"/>
        <v>0</v>
      </c>
      <c r="BD64" s="118">
        <f t="shared" si="80"/>
        <v>0</v>
      </c>
      <c r="BE64" s="118">
        <f t="shared" si="80"/>
        <v>0</v>
      </c>
      <c r="BF64" s="118">
        <f t="shared" si="80"/>
        <v>0</v>
      </c>
      <c r="BG64" s="118">
        <f t="shared" si="80"/>
        <v>0</v>
      </c>
      <c r="BH64" s="118">
        <f t="shared" si="80"/>
        <v>0</v>
      </c>
      <c r="BI64" s="118">
        <f t="shared" si="80"/>
        <v>0</v>
      </c>
      <c r="BJ64" s="118">
        <f t="shared" si="80"/>
        <v>0</v>
      </c>
      <c r="BK64" s="118">
        <f t="shared" si="80"/>
        <v>0</v>
      </c>
      <c r="BL64" s="118">
        <f t="shared" si="80"/>
        <v>0</v>
      </c>
      <c r="BM64" s="118">
        <f t="shared" si="80"/>
        <v>0</v>
      </c>
      <c r="BN64" s="118">
        <f t="shared" si="80"/>
        <v>0</v>
      </c>
      <c r="BO64" s="118">
        <f t="shared" si="80"/>
        <v>0</v>
      </c>
      <c r="BP64" s="118">
        <f t="shared" si="80"/>
        <v>0</v>
      </c>
      <c r="BQ64" s="118">
        <f t="shared" si="80"/>
        <v>0</v>
      </c>
      <c r="BR64" s="118">
        <f t="shared" si="80"/>
        <v>0</v>
      </c>
      <c r="BS64" s="118">
        <f t="shared" si="80"/>
        <v>0</v>
      </c>
      <c r="BT64" s="118">
        <f t="shared" si="80"/>
        <v>0</v>
      </c>
      <c r="BU64" s="118">
        <f t="shared" ref="BU64:CP64" si="81">+BU25-BU63</f>
        <v>0</v>
      </c>
      <c r="BV64" s="118">
        <f t="shared" si="81"/>
        <v>0</v>
      </c>
      <c r="BW64" s="118">
        <f t="shared" si="81"/>
        <v>0</v>
      </c>
      <c r="BX64" s="118">
        <f t="shared" si="81"/>
        <v>0</v>
      </c>
      <c r="BY64" s="118">
        <f t="shared" si="81"/>
        <v>0</v>
      </c>
      <c r="BZ64" s="118">
        <f t="shared" si="81"/>
        <v>0</v>
      </c>
      <c r="CA64" s="118">
        <f t="shared" si="81"/>
        <v>0</v>
      </c>
      <c r="CB64" s="118">
        <f t="shared" si="81"/>
        <v>0</v>
      </c>
      <c r="CC64" s="118">
        <f t="shared" si="81"/>
        <v>0</v>
      </c>
      <c r="CD64" s="118">
        <f t="shared" si="81"/>
        <v>0</v>
      </c>
      <c r="CE64" s="118">
        <f t="shared" si="81"/>
        <v>0</v>
      </c>
      <c r="CF64" s="118">
        <f t="shared" si="81"/>
        <v>0</v>
      </c>
      <c r="CG64" s="118">
        <f t="shared" si="81"/>
        <v>0</v>
      </c>
      <c r="CH64" s="118">
        <f t="shared" si="81"/>
        <v>0</v>
      </c>
      <c r="CI64" s="118">
        <f t="shared" si="81"/>
        <v>0</v>
      </c>
      <c r="CJ64" s="118">
        <f t="shared" si="81"/>
        <v>0</v>
      </c>
      <c r="CK64" s="118">
        <f t="shared" si="81"/>
        <v>0</v>
      </c>
      <c r="CL64" s="118">
        <f t="shared" si="81"/>
        <v>0</v>
      </c>
      <c r="CM64" s="118">
        <f t="shared" si="81"/>
        <v>0</v>
      </c>
      <c r="CN64" s="118">
        <f t="shared" si="81"/>
        <v>0</v>
      </c>
      <c r="CO64" s="118">
        <f t="shared" si="81"/>
        <v>0</v>
      </c>
      <c r="CP64" s="118">
        <f t="shared" si="81"/>
        <v>0</v>
      </c>
      <c r="CQ64" s="23" t="s">
        <v>77</v>
      </c>
    </row>
    <row r="65" spans="1:95" s="98" customFormat="1" outlineLevel="1" x14ac:dyDescent="0.2">
      <c r="B65" s="25"/>
      <c r="C65" s="24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118"/>
      <c r="T65" s="118"/>
      <c r="U65" s="118"/>
      <c r="V65" s="118"/>
      <c r="W65" s="118"/>
      <c r="X65" s="118"/>
      <c r="Y65" s="118"/>
      <c r="Z65" s="118"/>
      <c r="AA65" s="118"/>
      <c r="AB65" s="118"/>
      <c r="AC65" s="118"/>
      <c r="AD65" s="118"/>
      <c r="AE65" s="118"/>
      <c r="AF65" s="118"/>
      <c r="AG65" s="118"/>
      <c r="AH65" s="118"/>
      <c r="AI65" s="118"/>
      <c r="AJ65" s="118"/>
      <c r="AK65" s="118"/>
      <c r="AL65" s="118"/>
      <c r="AM65" s="118"/>
      <c r="AN65" s="118"/>
      <c r="AO65" s="118"/>
      <c r="AP65" s="118"/>
      <c r="AQ65" s="118"/>
      <c r="AR65" s="118"/>
      <c r="AS65" s="118"/>
      <c r="AT65" s="118"/>
      <c r="AU65" s="118"/>
      <c r="AV65" s="118"/>
      <c r="AW65" s="118"/>
      <c r="AX65" s="118"/>
      <c r="AY65" s="118"/>
      <c r="AZ65" s="118"/>
      <c r="BA65" s="118"/>
      <c r="BB65" s="118"/>
      <c r="BC65" s="118"/>
      <c r="BD65" s="118"/>
      <c r="BE65" s="118"/>
      <c r="BF65" s="118"/>
      <c r="BG65" s="118"/>
      <c r="BH65" s="118"/>
      <c r="BI65" s="118"/>
      <c r="BJ65" s="118"/>
      <c r="BK65" s="118"/>
      <c r="BL65" s="118"/>
      <c r="BM65" s="118"/>
      <c r="BN65" s="118"/>
      <c r="BO65" s="118"/>
      <c r="BP65" s="118"/>
      <c r="BQ65" s="118"/>
      <c r="BR65" s="118"/>
      <c r="BS65" s="118"/>
      <c r="BT65" s="118"/>
      <c r="BU65" s="118"/>
      <c r="BV65" s="118"/>
      <c r="BW65" s="118"/>
      <c r="BX65" s="118"/>
      <c r="BY65" s="118"/>
      <c r="BZ65" s="118"/>
      <c r="CA65" s="118"/>
      <c r="CB65" s="118"/>
      <c r="CC65" s="118"/>
      <c r="CD65" s="118"/>
      <c r="CE65" s="118"/>
      <c r="CF65" s="118"/>
      <c r="CG65" s="118"/>
      <c r="CH65" s="118"/>
      <c r="CI65" s="118"/>
      <c r="CJ65" s="118"/>
      <c r="CK65" s="118"/>
      <c r="CL65" s="118"/>
      <c r="CM65" s="118"/>
      <c r="CN65" s="118"/>
      <c r="CO65" s="118"/>
      <c r="CP65" s="118"/>
      <c r="CQ65" s="23"/>
    </row>
    <row r="66" spans="1:95" outlineLevel="1" x14ac:dyDescent="0.2">
      <c r="B66" s="358" t="s">
        <v>314</v>
      </c>
      <c r="D66" s="218"/>
      <c r="E66" s="218"/>
      <c r="F66" s="218"/>
      <c r="G66" s="218"/>
      <c r="H66" s="218"/>
      <c r="I66" s="66"/>
      <c r="J66" s="66"/>
      <c r="K66" s="66"/>
      <c r="L66" s="66"/>
      <c r="M66" s="66"/>
      <c r="N66" s="66"/>
      <c r="O66" s="66"/>
      <c r="P66" s="66"/>
      <c r="Q66" s="66"/>
      <c r="R66" s="66"/>
      <c r="S66" s="66"/>
      <c r="T66" s="66"/>
      <c r="U66" s="66"/>
      <c r="V66" s="66"/>
      <c r="W66" s="66"/>
      <c r="X66" s="66"/>
      <c r="Y66" s="66"/>
      <c r="Z66" s="66"/>
      <c r="AA66" s="66"/>
      <c r="AB66" s="66"/>
      <c r="AC66" s="66"/>
      <c r="AD66" s="66"/>
      <c r="AE66" s="66"/>
      <c r="AF66" s="66"/>
      <c r="AG66" s="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  <c r="AZ66" s="66"/>
      <c r="BA66" s="66"/>
      <c r="BB66" s="66"/>
      <c r="BC66" s="66"/>
      <c r="BD66" s="66"/>
      <c r="BE66" s="66"/>
      <c r="BF66" s="66"/>
      <c r="BG66" s="66"/>
      <c r="BH66" s="66"/>
      <c r="BI66" s="66"/>
      <c r="BJ66" s="66"/>
      <c r="BK66" s="66"/>
      <c r="BL66" s="66"/>
      <c r="BM66" s="66"/>
      <c r="BN66" s="66"/>
      <c r="BO66" s="66"/>
      <c r="BP66" s="66"/>
      <c r="BQ66" s="66"/>
      <c r="BR66" s="66"/>
      <c r="BS66" s="66"/>
      <c r="BT66" s="66"/>
      <c r="BU66" s="66"/>
      <c r="BV66" s="66"/>
      <c r="BW66" s="66"/>
      <c r="BX66" s="66"/>
      <c r="BY66" s="66"/>
      <c r="BZ66" s="66"/>
      <c r="CA66" s="66"/>
      <c r="CB66" s="66"/>
      <c r="CC66" s="66"/>
      <c r="CD66" s="66"/>
      <c r="CE66" s="66"/>
      <c r="CF66" s="66"/>
      <c r="CG66" s="66"/>
      <c r="CH66" s="66"/>
      <c r="CI66" s="66"/>
      <c r="CJ66" s="66"/>
      <c r="CK66" s="66"/>
      <c r="CL66" s="66"/>
      <c r="CM66" s="66"/>
      <c r="CN66" s="66"/>
      <c r="CO66" s="66"/>
      <c r="CP66" s="66"/>
      <c r="CQ66" s="23" t="s">
        <v>77</v>
      </c>
    </row>
    <row r="67" spans="1:95" outlineLevel="1" x14ac:dyDescent="0.2">
      <c r="B67" s="91" t="s">
        <v>355</v>
      </c>
      <c r="I67" s="93" t="str">
        <f t="shared" ref="I67:AN67" si="82">IF(ISERROR(+I60/H60-1),"n.a.",+I60/H60-1)</f>
        <v>n.a.</v>
      </c>
      <c r="J67" s="93" t="str">
        <f t="shared" si="82"/>
        <v>n.a.</v>
      </c>
      <c r="K67" s="93" t="str">
        <f t="shared" si="82"/>
        <v>n.a.</v>
      </c>
      <c r="L67" s="93" t="str">
        <f t="shared" si="82"/>
        <v>n.a.</v>
      </c>
      <c r="M67" s="93" t="str">
        <f t="shared" si="82"/>
        <v>n.a.</v>
      </c>
      <c r="N67" s="93">
        <f t="shared" si="82"/>
        <v>0.49402881271733712</v>
      </c>
      <c r="O67" s="93">
        <f t="shared" si="82"/>
        <v>0.40679904770771547</v>
      </c>
      <c r="P67" s="93">
        <f t="shared" si="82"/>
        <v>-1.6885216454104568E-2</v>
      </c>
      <c r="Q67" s="93">
        <f t="shared" si="82"/>
        <v>9.8820044813294095E-2</v>
      </c>
      <c r="R67" s="92">
        <f t="shared" si="82"/>
        <v>6.3765173328198976E-2</v>
      </c>
      <c r="S67" s="92">
        <f t="shared" si="82"/>
        <v>2.0279887123711315E-2</v>
      </c>
      <c r="T67" s="92">
        <f t="shared" si="82"/>
        <v>2.9045107810408588E-2</v>
      </c>
      <c r="U67" s="92">
        <f t="shared" si="82"/>
        <v>2.0013164493480451E-2</v>
      </c>
      <c r="V67" s="92">
        <f>IF(ISERROR(+V60/U60-1),"n.a.",+V60/U60-1)</f>
        <v>-7.1982791733886442E-2</v>
      </c>
      <c r="W67" s="92">
        <f>IF(ISERROR(+W60/V60-1),"n.a.",+W60/V60-1)</f>
        <v>1.8278145695364234E-2</v>
      </c>
      <c r="X67" s="92">
        <f t="shared" si="82"/>
        <v>8.6526416573797782E-3</v>
      </c>
      <c r="Y67" s="92">
        <f t="shared" si="82"/>
        <v>4.8422321481933484E-3</v>
      </c>
      <c r="Z67" s="92">
        <f t="shared" si="82"/>
        <v>1.2355098480715476E-2</v>
      </c>
      <c r="AA67" s="92">
        <f t="shared" si="82"/>
        <v>1.5625047998464092E-2</v>
      </c>
      <c r="AB67" s="92">
        <f t="shared" si="82"/>
        <v>1.6043124949030485E-2</v>
      </c>
      <c r="AC67" s="92">
        <f t="shared" si="82"/>
        <v>3.9510167105787364E-3</v>
      </c>
      <c r="AD67" s="92">
        <f t="shared" si="82"/>
        <v>2.2181272391346152E-3</v>
      </c>
      <c r="AE67" s="92">
        <f t="shared" si="82"/>
        <v>2.6865398158786746E-2</v>
      </c>
      <c r="AF67" s="92">
        <f t="shared" si="82"/>
        <v>2.2849181573335819E-2</v>
      </c>
      <c r="AG67" s="92">
        <f t="shared" si="82"/>
        <v>5.5488420805280825E-3</v>
      </c>
      <c r="AH67" s="92">
        <f t="shared" si="82"/>
        <v>5.6348866344759774E-3</v>
      </c>
      <c r="AI67" s="92">
        <f t="shared" si="82"/>
        <v>5.3672318900670479E-3</v>
      </c>
      <c r="AJ67" s="92">
        <f t="shared" si="82"/>
        <v>5.4521144273422806E-3</v>
      </c>
      <c r="AK67" s="92">
        <f t="shared" si="82"/>
        <v>5.540903687082821E-3</v>
      </c>
      <c r="AL67" s="92">
        <f t="shared" si="82"/>
        <v>5.6282361956672133E-3</v>
      </c>
      <c r="AM67" s="92">
        <f t="shared" si="82"/>
        <v>5.7141610698305811E-3</v>
      </c>
      <c r="AN67" s="92">
        <f t="shared" si="82"/>
        <v>5.8092529587074893E-3</v>
      </c>
      <c r="AO67" s="92">
        <f t="shared" ref="AO67:BT67" si="83">IF(ISERROR(+AO60/AN60-1),"n.a.",+AO60/AN60-1)</f>
        <v>5.9002792586806407E-3</v>
      </c>
      <c r="AP67" s="92">
        <f t="shared" si="83"/>
        <v>5.9899459806331823E-3</v>
      </c>
      <c r="AQ67" s="92">
        <f t="shared" si="83"/>
        <v>6.086062969696604E-3</v>
      </c>
      <c r="AR67" s="92">
        <f t="shared" si="83"/>
        <v>6.1833801593416116E-3</v>
      </c>
      <c r="AS67" s="92">
        <f t="shared" si="83"/>
        <v>-0.95720103030285764</v>
      </c>
      <c r="AT67" s="92">
        <f t="shared" si="83"/>
        <v>0</v>
      </c>
      <c r="AU67" s="92">
        <f t="shared" si="83"/>
        <v>0</v>
      </c>
      <c r="AV67" s="92">
        <f t="shared" si="83"/>
        <v>0</v>
      </c>
      <c r="AW67" s="92">
        <f t="shared" si="83"/>
        <v>0</v>
      </c>
      <c r="AX67" s="92">
        <f t="shared" si="83"/>
        <v>0</v>
      </c>
      <c r="AY67" s="92">
        <f t="shared" si="83"/>
        <v>0</v>
      </c>
      <c r="AZ67" s="92">
        <f t="shared" si="83"/>
        <v>0</v>
      </c>
      <c r="BA67" s="92">
        <f t="shared" si="83"/>
        <v>0</v>
      </c>
      <c r="BB67" s="92">
        <f t="shared" si="83"/>
        <v>0</v>
      </c>
      <c r="BC67" s="92">
        <f t="shared" si="83"/>
        <v>0</v>
      </c>
      <c r="BD67" s="92">
        <f t="shared" si="83"/>
        <v>0</v>
      </c>
      <c r="BE67" s="92">
        <f t="shared" si="83"/>
        <v>0</v>
      </c>
      <c r="BF67" s="92">
        <f t="shared" si="83"/>
        <v>0</v>
      </c>
      <c r="BG67" s="92">
        <f t="shared" si="83"/>
        <v>0</v>
      </c>
      <c r="BH67" s="92">
        <f t="shared" si="83"/>
        <v>0</v>
      </c>
      <c r="BI67" s="92">
        <f t="shared" si="83"/>
        <v>0</v>
      </c>
      <c r="BJ67" s="92">
        <f t="shared" si="83"/>
        <v>0</v>
      </c>
      <c r="BK67" s="92">
        <f t="shared" si="83"/>
        <v>0</v>
      </c>
      <c r="BL67" s="92">
        <f t="shared" si="83"/>
        <v>0</v>
      </c>
      <c r="BM67" s="92">
        <f t="shared" si="83"/>
        <v>0</v>
      </c>
      <c r="BN67" s="92">
        <f t="shared" si="83"/>
        <v>0</v>
      </c>
      <c r="BO67" s="92">
        <f t="shared" si="83"/>
        <v>0</v>
      </c>
      <c r="BP67" s="92">
        <f t="shared" si="83"/>
        <v>0</v>
      </c>
      <c r="BQ67" s="92">
        <f t="shared" si="83"/>
        <v>0</v>
      </c>
      <c r="BR67" s="92">
        <f t="shared" si="83"/>
        <v>0</v>
      </c>
      <c r="BS67" s="92">
        <f t="shared" si="83"/>
        <v>0</v>
      </c>
      <c r="BT67" s="92">
        <f t="shared" si="83"/>
        <v>0</v>
      </c>
      <c r="BU67" s="92">
        <f t="shared" ref="BU67:CP67" si="84">IF(ISERROR(+BU60/BT60-1),"n.a.",+BU60/BT60-1)</f>
        <v>0</v>
      </c>
      <c r="BV67" s="92">
        <f t="shared" si="84"/>
        <v>0</v>
      </c>
      <c r="BW67" s="92">
        <f t="shared" si="84"/>
        <v>0</v>
      </c>
      <c r="BX67" s="92">
        <f t="shared" si="84"/>
        <v>0</v>
      </c>
      <c r="BY67" s="92">
        <f t="shared" si="84"/>
        <v>0</v>
      </c>
      <c r="BZ67" s="92">
        <f t="shared" si="84"/>
        <v>0</v>
      </c>
      <c r="CA67" s="92">
        <f t="shared" si="84"/>
        <v>0</v>
      </c>
      <c r="CB67" s="92">
        <f t="shared" si="84"/>
        <v>0</v>
      </c>
      <c r="CC67" s="92">
        <f t="shared" si="84"/>
        <v>0</v>
      </c>
      <c r="CD67" s="92">
        <f t="shared" si="84"/>
        <v>0</v>
      </c>
      <c r="CE67" s="92">
        <f t="shared" si="84"/>
        <v>0</v>
      </c>
      <c r="CF67" s="92">
        <f t="shared" si="84"/>
        <v>0</v>
      </c>
      <c r="CG67" s="92">
        <f t="shared" si="84"/>
        <v>0</v>
      </c>
      <c r="CH67" s="92">
        <f t="shared" si="84"/>
        <v>0</v>
      </c>
      <c r="CI67" s="92">
        <f t="shared" si="84"/>
        <v>0</v>
      </c>
      <c r="CJ67" s="92">
        <f t="shared" si="84"/>
        <v>0</v>
      </c>
      <c r="CK67" s="92">
        <f t="shared" si="84"/>
        <v>0</v>
      </c>
      <c r="CL67" s="92">
        <f t="shared" si="84"/>
        <v>0</v>
      </c>
      <c r="CM67" s="92">
        <f t="shared" si="84"/>
        <v>0</v>
      </c>
      <c r="CN67" s="92">
        <f t="shared" si="84"/>
        <v>0</v>
      </c>
      <c r="CO67" s="92">
        <f t="shared" si="84"/>
        <v>0</v>
      </c>
      <c r="CP67" s="92">
        <f t="shared" si="84"/>
        <v>0</v>
      </c>
      <c r="CQ67" s="23" t="s">
        <v>77</v>
      </c>
    </row>
    <row r="68" spans="1:95" outlineLevel="1" x14ac:dyDescent="0.2">
      <c r="B68" s="8" t="s">
        <v>356</v>
      </c>
      <c r="I68" s="93" t="str">
        <f t="shared" ref="I68:AN68" si="85">IF(ISERROR(+I61/H61-1),"n.a.",+I61/H61-1)</f>
        <v>n.a.</v>
      </c>
      <c r="J68" s="93" t="str">
        <f t="shared" si="85"/>
        <v>n.a.</v>
      </c>
      <c r="K68" s="93" t="str">
        <f t="shared" si="85"/>
        <v>n.a.</v>
      </c>
      <c r="L68" s="93" t="str">
        <f t="shared" si="85"/>
        <v>n.a.</v>
      </c>
      <c r="M68" s="93" t="str">
        <f t="shared" si="85"/>
        <v>n.a.</v>
      </c>
      <c r="N68" s="93" t="str">
        <f t="shared" si="85"/>
        <v>n.a.</v>
      </c>
      <c r="O68" s="93">
        <f t="shared" si="85"/>
        <v>1.1764705882352899E-2</v>
      </c>
      <c r="P68" s="93">
        <f t="shared" si="85"/>
        <v>0</v>
      </c>
      <c r="Q68" s="93">
        <f t="shared" si="85"/>
        <v>-5.9302325581395254E-2</v>
      </c>
      <c r="R68" s="92">
        <f t="shared" si="85"/>
        <v>-5.9950556242274522E-2</v>
      </c>
      <c r="S68" s="92">
        <f t="shared" si="85"/>
        <v>0.13872452333990792</v>
      </c>
      <c r="T68" s="92">
        <f t="shared" si="85"/>
        <v>0.37413394919168597</v>
      </c>
      <c r="U68" s="92">
        <f t="shared" si="85"/>
        <v>-0.18487394957983194</v>
      </c>
      <c r="V68" s="92">
        <f>IF(ISERROR(+V61/U61-1),"n.a.",+V61/U61-1)</f>
        <v>0.18556701030927836</v>
      </c>
      <c r="W68" s="92">
        <f>IF(ISERROR(+W61/V61-1),"n.a.",+W61/V61-1)</f>
        <v>8.2608695652175435E-3</v>
      </c>
      <c r="X68" s="92">
        <f t="shared" si="85"/>
        <v>2.4999999999999911E-2</v>
      </c>
      <c r="Y68" s="92">
        <f t="shared" si="85"/>
        <v>2.4999999999999911E-2</v>
      </c>
      <c r="Z68" s="92">
        <f t="shared" si="85"/>
        <v>2.4999999999999911E-2</v>
      </c>
      <c r="AA68" s="92">
        <f t="shared" si="85"/>
        <v>2.4999999999999689E-2</v>
      </c>
      <c r="AB68" s="92">
        <f t="shared" si="85"/>
        <v>2.3405562742561337E-2</v>
      </c>
      <c r="AC68" s="92">
        <f t="shared" si="85"/>
        <v>2.3405026118943129E-2</v>
      </c>
      <c r="AD68" s="92">
        <f t="shared" si="85"/>
        <v>2.340448847811083E-2</v>
      </c>
      <c r="AE68" s="92">
        <f t="shared" si="85"/>
        <v>-0.42371978576905511</v>
      </c>
      <c r="AF68" s="92">
        <f t="shared" si="85"/>
        <v>2.313449832524106E-2</v>
      </c>
      <c r="AG68" s="92">
        <f t="shared" si="85"/>
        <v>2.3133376068678713E-2</v>
      </c>
      <c r="AH68" s="92">
        <f t="shared" si="85"/>
        <v>2.3132251088286315E-2</v>
      </c>
      <c r="AI68" s="92">
        <f t="shared" si="85"/>
        <v>2.3131123374976248E-2</v>
      </c>
      <c r="AJ68" s="92">
        <f t="shared" si="85"/>
        <v>2.3129992919620257E-2</v>
      </c>
      <c r="AK68" s="92">
        <f t="shared" si="85"/>
        <v>2.3128859713049899E-2</v>
      </c>
      <c r="AL68" s="92">
        <f t="shared" si="85"/>
        <v>2.3127723746056317E-2</v>
      </c>
      <c r="AM68" s="92">
        <f t="shared" si="85"/>
        <v>2.3126585009389578E-2</v>
      </c>
      <c r="AN68" s="92">
        <f t="shared" si="85"/>
        <v>2.3125443493759335E-2</v>
      </c>
      <c r="AO68" s="92">
        <f t="shared" ref="AO68:BT68" si="86">IF(ISERROR(+AO61/AN61-1),"n.a.",+AO61/AN61-1)</f>
        <v>2.3124299189832609E-2</v>
      </c>
      <c r="AP68" s="92">
        <f t="shared" si="86"/>
        <v>2.3123152088236676E-2</v>
      </c>
      <c r="AQ68" s="92">
        <f t="shared" si="86"/>
        <v>2.3122002179555734E-2</v>
      </c>
      <c r="AR68" s="92">
        <f t="shared" si="86"/>
        <v>2.3120849454332904E-2</v>
      </c>
      <c r="AS68" s="92">
        <f t="shared" si="86"/>
        <v>2.3119693903068672E-2</v>
      </c>
      <c r="AT68" s="92">
        <f t="shared" si="86"/>
        <v>2.3118535516220895E-2</v>
      </c>
      <c r="AU68" s="92">
        <f t="shared" si="86"/>
        <v>2.3117374284205683E-2</v>
      </c>
      <c r="AV68" s="92">
        <f t="shared" si="86"/>
        <v>2.311621019739496E-2</v>
      </c>
      <c r="AW68" s="92">
        <f t="shared" si="86"/>
        <v>2.3115043246118905E-2</v>
      </c>
      <c r="AX68" s="92">
        <f t="shared" si="86"/>
        <v>2.3113873420663067E-2</v>
      </c>
      <c r="AY68" s="92">
        <f t="shared" si="86"/>
        <v>2.3112700711270584E-2</v>
      </c>
      <c r="AZ68" s="92">
        <f t="shared" si="86"/>
        <v>2.3111525108139519E-2</v>
      </c>
      <c r="BA68" s="92">
        <f t="shared" si="86"/>
        <v>2.3110346601424636E-2</v>
      </c>
      <c r="BB68" s="92">
        <f t="shared" si="86"/>
        <v>2.3109165181236069E-2</v>
      </c>
      <c r="BC68" s="92">
        <f t="shared" si="86"/>
        <v>2.3107980837639541E-2</v>
      </c>
      <c r="BD68" s="92">
        <f t="shared" si="86"/>
        <v>2.3106793560655481E-2</v>
      </c>
      <c r="BE68" s="92">
        <f t="shared" si="86"/>
        <v>2.3105603340259684E-2</v>
      </c>
      <c r="BF68" s="92">
        <f t="shared" si="86"/>
        <v>2.3104410166382428E-2</v>
      </c>
      <c r="BG68" s="92">
        <f t="shared" si="86"/>
        <v>2.3103214028908026E-2</v>
      </c>
      <c r="BH68" s="92">
        <f t="shared" si="86"/>
        <v>2.3102014917674829E-2</v>
      </c>
      <c r="BI68" s="92">
        <f t="shared" si="86"/>
        <v>2.3100812822476557E-2</v>
      </c>
      <c r="BJ68" s="92">
        <f t="shared" si="86"/>
        <v>2.3099607733058081E-2</v>
      </c>
      <c r="BK68" s="92">
        <f t="shared" si="86"/>
        <v>2.3098399639119638E-2</v>
      </c>
      <c r="BL68" s="92">
        <f t="shared" si="86"/>
        <v>2.3097188530313506E-2</v>
      </c>
      <c r="BM68" s="92">
        <f t="shared" si="86"/>
        <v>2.3095974396244889E-2</v>
      </c>
      <c r="BN68" s="92">
        <f t="shared" si="86"/>
        <v>2.3094757226471918E-2</v>
      </c>
      <c r="BO68" s="92">
        <f t="shared" si="86"/>
        <v>2.3093537010504095E-2</v>
      </c>
      <c r="BP68" s="92">
        <f t="shared" si="86"/>
        <v>2.3092313737804293E-2</v>
      </c>
      <c r="BQ68" s="92">
        <f t="shared" si="86"/>
        <v>2.3091087397785204E-2</v>
      </c>
      <c r="BR68" s="92">
        <f t="shared" si="86"/>
        <v>2.3089857979812889E-2</v>
      </c>
      <c r="BS68" s="92">
        <f t="shared" si="86"/>
        <v>2.308862547320345E-2</v>
      </c>
      <c r="BT68" s="92">
        <f t="shared" si="86"/>
        <v>2.308738986722414E-2</v>
      </c>
      <c r="BU68" s="92">
        <f t="shared" ref="BU68:CP68" si="87">IF(ISERROR(+BU61/BT61-1),"n.a.",+BU61/BT61-1)</f>
        <v>2.3086151151092027E-2</v>
      </c>
      <c r="BV68" s="92">
        <f t="shared" si="87"/>
        <v>2.3084909313976443E-2</v>
      </c>
      <c r="BW68" s="92">
        <f t="shared" si="87"/>
        <v>2.3083664344993871E-2</v>
      </c>
      <c r="BX68" s="92">
        <f t="shared" si="87"/>
        <v>2.3082416233213499E-2</v>
      </c>
      <c r="BY68" s="92">
        <f t="shared" si="87"/>
        <v>2.308116496765189E-2</v>
      </c>
      <c r="BZ68" s="92">
        <f t="shared" si="87"/>
        <v>2.307991053727565E-2</v>
      </c>
      <c r="CA68" s="92">
        <f t="shared" si="87"/>
        <v>2.3078652930999199E-2</v>
      </c>
      <c r="CB68" s="92">
        <f t="shared" si="87"/>
        <v>2.3077392137687447E-2</v>
      </c>
      <c r="CC68" s="92">
        <f t="shared" si="87"/>
        <v>-1</v>
      </c>
      <c r="CD68" s="92" t="str">
        <f t="shared" si="87"/>
        <v>n.a.</v>
      </c>
      <c r="CE68" s="92" t="str">
        <f t="shared" si="87"/>
        <v>n.a.</v>
      </c>
      <c r="CF68" s="92" t="str">
        <f t="shared" si="87"/>
        <v>n.a.</v>
      </c>
      <c r="CG68" s="92" t="str">
        <f t="shared" si="87"/>
        <v>n.a.</v>
      </c>
      <c r="CH68" s="92" t="str">
        <f t="shared" si="87"/>
        <v>n.a.</v>
      </c>
      <c r="CI68" s="92" t="str">
        <f t="shared" si="87"/>
        <v>n.a.</v>
      </c>
      <c r="CJ68" s="92" t="str">
        <f t="shared" si="87"/>
        <v>n.a.</v>
      </c>
      <c r="CK68" s="92" t="str">
        <f t="shared" si="87"/>
        <v>n.a.</v>
      </c>
      <c r="CL68" s="92" t="str">
        <f t="shared" si="87"/>
        <v>n.a.</v>
      </c>
      <c r="CM68" s="92" t="str">
        <f t="shared" si="87"/>
        <v>n.a.</v>
      </c>
      <c r="CN68" s="92" t="str">
        <f t="shared" si="87"/>
        <v>n.a.</v>
      </c>
      <c r="CO68" s="92" t="str">
        <f t="shared" si="87"/>
        <v>n.a.</v>
      </c>
      <c r="CP68" s="92" t="str">
        <f t="shared" si="87"/>
        <v>n.a.</v>
      </c>
      <c r="CQ68" s="23" t="s">
        <v>77</v>
      </c>
    </row>
    <row r="69" spans="1:95" outlineLevel="1" x14ac:dyDescent="0.2">
      <c r="B69" s="12" t="s">
        <v>570</v>
      </c>
      <c r="I69" s="93"/>
      <c r="J69" s="93"/>
      <c r="K69" s="93"/>
      <c r="L69" s="93"/>
      <c r="M69" s="93"/>
      <c r="N69" s="93"/>
      <c r="O69" s="93"/>
      <c r="P69" s="93"/>
      <c r="Q69" s="93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92"/>
      <c r="AJ69" s="92"/>
      <c r="AK69" s="92"/>
      <c r="AL69" s="92"/>
      <c r="AM69" s="92"/>
      <c r="AN69" s="92"/>
      <c r="AO69" s="92"/>
      <c r="AP69" s="92"/>
      <c r="AQ69" s="92"/>
      <c r="AR69" s="92"/>
      <c r="AS69" s="92"/>
      <c r="AT69" s="92"/>
      <c r="AU69" s="92"/>
      <c r="AV69" s="92"/>
      <c r="AW69" s="92"/>
      <c r="AX69" s="92"/>
      <c r="AY69" s="92"/>
      <c r="AZ69" s="92"/>
      <c r="BA69" s="92"/>
      <c r="BB69" s="92"/>
      <c r="BC69" s="92"/>
      <c r="BD69" s="92"/>
      <c r="BE69" s="92"/>
      <c r="BF69" s="92"/>
      <c r="BG69" s="92"/>
      <c r="BH69" s="92"/>
      <c r="BI69" s="92"/>
      <c r="BJ69" s="92"/>
      <c r="BK69" s="92"/>
      <c r="BL69" s="92"/>
      <c r="BM69" s="92"/>
      <c r="BN69" s="92"/>
      <c r="BO69" s="92"/>
      <c r="BP69" s="92"/>
      <c r="BQ69" s="92"/>
      <c r="BR69" s="92"/>
      <c r="BS69" s="92"/>
      <c r="BT69" s="92"/>
      <c r="BU69" s="92"/>
      <c r="BV69" s="92"/>
      <c r="BW69" s="92"/>
      <c r="BX69" s="92"/>
      <c r="BY69" s="92"/>
      <c r="BZ69" s="92"/>
      <c r="CA69" s="92"/>
      <c r="CB69" s="92"/>
      <c r="CC69" s="92"/>
      <c r="CD69" s="92"/>
      <c r="CE69" s="92"/>
      <c r="CF69" s="92"/>
      <c r="CG69" s="92"/>
      <c r="CH69" s="92"/>
      <c r="CI69" s="92"/>
      <c r="CJ69" s="92"/>
      <c r="CK69" s="92"/>
      <c r="CL69" s="92"/>
      <c r="CM69" s="92"/>
      <c r="CN69" s="92"/>
      <c r="CO69" s="92"/>
      <c r="CP69" s="92"/>
      <c r="CQ69" s="23"/>
    </row>
    <row r="70" spans="1:95" outlineLevel="1" x14ac:dyDescent="0.2">
      <c r="B70" s="485" t="s">
        <v>299</v>
      </c>
      <c r="D70" s="485"/>
      <c r="E70" s="485"/>
      <c r="F70" s="485"/>
      <c r="G70" s="485"/>
      <c r="H70" s="485"/>
      <c r="I70" s="94" t="str">
        <f t="shared" ref="I70:AN70" si="88">IF(ISERROR(+I63/H63-1),"n.a.",+I63/H63-1)</f>
        <v>n.a.</v>
      </c>
      <c r="J70" s="94" t="str">
        <f t="shared" si="88"/>
        <v>n.a.</v>
      </c>
      <c r="K70" s="94" t="str">
        <f t="shared" si="88"/>
        <v>n.a.</v>
      </c>
      <c r="L70" s="94" t="str">
        <f t="shared" si="88"/>
        <v>n.a.</v>
      </c>
      <c r="M70" s="94" t="str">
        <f t="shared" si="88"/>
        <v>n.a.</v>
      </c>
      <c r="N70" s="94">
        <f t="shared" si="88"/>
        <v>0.52780923994038731</v>
      </c>
      <c r="O70" s="94">
        <f t="shared" si="88"/>
        <v>0.39806469234070763</v>
      </c>
      <c r="P70" s="94">
        <f t="shared" si="88"/>
        <v>-1.6615035397653855E-2</v>
      </c>
      <c r="Q70" s="94">
        <f t="shared" si="88"/>
        <v>9.6247173791707441E-2</v>
      </c>
      <c r="R70" s="94">
        <f t="shared" si="88"/>
        <v>6.2037780136519505E-2</v>
      </c>
      <c r="S70" s="94">
        <f t="shared" si="88"/>
        <v>2.1743723084423294E-2</v>
      </c>
      <c r="T70" s="94">
        <f t="shared" si="88"/>
        <v>3.3798291794570057E-2</v>
      </c>
      <c r="U70" s="94">
        <f t="shared" si="88"/>
        <v>1.6262038831963865E-2</v>
      </c>
      <c r="V70" s="94">
        <f>IF(ISERROR(+V63/U63-1),"n.a.",+V63/U63-1)</f>
        <v>-6.8200741806070608E-2</v>
      </c>
      <c r="W70" s="94">
        <f>IF(ISERROR(+W63/V63-1),"n.a.",+W63/V63-1)</f>
        <v>1.8090982940698552E-2</v>
      </c>
      <c r="X70" s="94">
        <f t="shared" si="88"/>
        <v>8.9551265488758691E-3</v>
      </c>
      <c r="Y70" s="94">
        <f t="shared" si="88"/>
        <v>5.2211547913796341E-3</v>
      </c>
      <c r="Z70" s="94">
        <f t="shared" si="88"/>
        <v>0.18961016284457943</v>
      </c>
      <c r="AA70" s="94">
        <f t="shared" si="88"/>
        <v>1.7174861846553924E-2</v>
      </c>
      <c r="AB70" s="94">
        <f t="shared" si="88"/>
        <v>1.7321250831568547E-2</v>
      </c>
      <c r="AC70" s="94">
        <f t="shared" si="88"/>
        <v>7.2642072867505902E-3</v>
      </c>
      <c r="AD70" s="94">
        <f t="shared" si="88"/>
        <v>5.8806579999435282E-3</v>
      </c>
      <c r="AE70" s="94">
        <f t="shared" si="88"/>
        <v>1.8581020192982356E-2</v>
      </c>
      <c r="AF70" s="94">
        <f t="shared" si="88"/>
        <v>2.2993293217903554E-2</v>
      </c>
      <c r="AG70" s="94">
        <f t="shared" si="88"/>
        <v>8.5785058469081132E-3</v>
      </c>
      <c r="AH70" s="94">
        <f t="shared" si="88"/>
        <v>8.6954411110349294E-3</v>
      </c>
      <c r="AI70" s="94">
        <f t="shared" si="88"/>
        <v>8.5193323175869473E-3</v>
      </c>
      <c r="AJ70" s="94">
        <f t="shared" si="88"/>
        <v>8.6368931521654257E-3</v>
      </c>
      <c r="AK70" s="94">
        <f t="shared" si="88"/>
        <v>8.757563191214679E-3</v>
      </c>
      <c r="AL70" s="94">
        <f t="shared" si="88"/>
        <v>8.8768908743377395E-3</v>
      </c>
      <c r="AM70" s="94">
        <f t="shared" si="88"/>
        <v>8.9949209396948948E-3</v>
      </c>
      <c r="AN70" s="94">
        <f t="shared" si="88"/>
        <v>9.1202767453679723E-3</v>
      </c>
      <c r="AO70" s="94">
        <f t="shared" ref="AO70:BT70" si="89">IF(ISERROR(+AO63/AN63-1),"n.a.",+AO63/AN63-1)</f>
        <v>9.2420992592081586E-3</v>
      </c>
      <c r="AP70" s="94">
        <f t="shared" si="89"/>
        <v>9.3626119047300893E-3</v>
      </c>
      <c r="AQ70" s="94">
        <f t="shared" si="89"/>
        <v>9.4881208731527611E-3</v>
      </c>
      <c r="AR70" s="94">
        <f t="shared" si="89"/>
        <v>9.6143223383653442E-3</v>
      </c>
      <c r="AS70" s="94">
        <f t="shared" si="89"/>
        <v>-0.76253616170011906</v>
      </c>
      <c r="AT70" s="94">
        <f t="shared" si="89"/>
        <v>-0.80452178820299547</v>
      </c>
      <c r="AU70" s="94">
        <f t="shared" si="89"/>
        <v>6.0327570257705521E-3</v>
      </c>
      <c r="AV70" s="94">
        <f t="shared" si="89"/>
        <v>6.1348973775290361E-3</v>
      </c>
      <c r="AW70" s="94">
        <f t="shared" si="89"/>
        <v>6.2381258323531696E-3</v>
      </c>
      <c r="AX70" s="94">
        <f t="shared" si="89"/>
        <v>6.3424324869936211E-3</v>
      </c>
      <c r="AY70" s="94">
        <f t="shared" si="89"/>
        <v>6.4478066616784346E-3</v>
      </c>
      <c r="AZ70" s="94">
        <f t="shared" si="89"/>
        <v>6.5542368940429974E-3</v>
      </c>
      <c r="BA70" s="94">
        <f t="shared" si="89"/>
        <v>6.661710934057874E-3</v>
      </c>
      <c r="BB70" s="94">
        <f t="shared" si="89"/>
        <v>6.7702157399840424E-3</v>
      </c>
      <c r="BC70" s="94">
        <f t="shared" si="89"/>
        <v>6.8797374753983842E-3</v>
      </c>
      <c r="BD70" s="94">
        <f t="shared" si="89"/>
        <v>6.9902615073240693E-3</v>
      </c>
      <c r="BE70" s="94">
        <f t="shared" si="89"/>
        <v>7.1017724054953657E-3</v>
      </c>
      <c r="BF70" s="94">
        <f t="shared" si="89"/>
        <v>7.2142539427959562E-3</v>
      </c>
      <c r="BG70" s="94">
        <f t="shared" si="89"/>
        <v>7.3276890968905217E-3</v>
      </c>
      <c r="BH70" s="94">
        <f t="shared" si="89"/>
        <v>7.4420600530833436E-3</v>
      </c>
      <c r="BI70" s="94">
        <f t="shared" si="89"/>
        <v>7.5573482084252408E-3</v>
      </c>
      <c r="BJ70" s="94">
        <f t="shared" si="89"/>
        <v>7.6735341770879373E-3</v>
      </c>
      <c r="BK70" s="94">
        <f t="shared" si="89"/>
        <v>7.7905977970260665E-3</v>
      </c>
      <c r="BL70" s="94">
        <f t="shared" si="89"/>
        <v>7.9085181379421332E-3</v>
      </c>
      <c r="BM70" s="94">
        <f t="shared" si="89"/>
        <v>8.0272735105628712E-3</v>
      </c>
      <c r="BN70" s="94">
        <f t="shared" si="89"/>
        <v>8.1468414772369879E-3</v>
      </c>
      <c r="BO70" s="94">
        <f t="shared" si="89"/>
        <v>8.2671988638594041E-3</v>
      </c>
      <c r="BP70" s="94">
        <f t="shared" si="89"/>
        <v>8.3883217731204329E-3</v>
      </c>
      <c r="BQ70" s="94">
        <f t="shared" si="89"/>
        <v>8.5101855990774578E-3</v>
      </c>
      <c r="BR70" s="94">
        <f t="shared" si="89"/>
        <v>8.6327650430442215E-3</v>
      </c>
      <c r="BS70" s="94">
        <f t="shared" si="89"/>
        <v>8.7560341307832967E-3</v>
      </c>
      <c r="BT70" s="94">
        <f t="shared" si="89"/>
        <v>8.8799662309888561E-3</v>
      </c>
      <c r="BU70" s="94">
        <f t="shared" ref="BU70:CP70" si="90">IF(ISERROR(+BU63/BT63-1),"n.a.",+BU63/BT63-1)</f>
        <v>9.004534075041537E-3</v>
      </c>
      <c r="BV70" s="94">
        <f t="shared" si="90"/>
        <v>9.1297097780100867E-3</v>
      </c>
      <c r="BW70" s="94">
        <f t="shared" si="90"/>
        <v>9.2554648608742518E-3</v>
      </c>
      <c r="BX70" s="94">
        <f t="shared" si="90"/>
        <v>9.3817702739378284E-3</v>
      </c>
      <c r="BY70" s="94">
        <f t="shared" si="90"/>
        <v>9.5085964213963425E-3</v>
      </c>
      <c r="BZ70" s="94">
        <f t="shared" si="90"/>
        <v>9.6359131870207282E-3</v>
      </c>
      <c r="CA70" s="94">
        <f t="shared" si="90"/>
        <v>9.76368996091459E-3</v>
      </c>
      <c r="CB70" s="94">
        <f t="shared" si="90"/>
        <v>9.8918956672988667E-3</v>
      </c>
      <c r="CC70" s="94">
        <f t="shared" si="90"/>
        <v>-0.43423657252230996</v>
      </c>
      <c r="CD70" s="94">
        <f t="shared" si="90"/>
        <v>0</v>
      </c>
      <c r="CE70" s="94">
        <f t="shared" si="90"/>
        <v>0</v>
      </c>
      <c r="CF70" s="94">
        <f t="shared" si="90"/>
        <v>0</v>
      </c>
      <c r="CG70" s="94">
        <f t="shared" si="90"/>
        <v>0</v>
      </c>
      <c r="CH70" s="94">
        <f t="shared" si="90"/>
        <v>0</v>
      </c>
      <c r="CI70" s="94">
        <f t="shared" si="90"/>
        <v>0</v>
      </c>
      <c r="CJ70" s="94">
        <f t="shared" si="90"/>
        <v>0</v>
      </c>
      <c r="CK70" s="94">
        <f t="shared" si="90"/>
        <v>0</v>
      </c>
      <c r="CL70" s="94">
        <f t="shared" si="90"/>
        <v>0</v>
      </c>
      <c r="CM70" s="94">
        <f t="shared" si="90"/>
        <v>0</v>
      </c>
      <c r="CN70" s="94">
        <f t="shared" si="90"/>
        <v>0</v>
      </c>
      <c r="CO70" s="94">
        <f t="shared" si="90"/>
        <v>0</v>
      </c>
      <c r="CP70" s="94">
        <f t="shared" si="90"/>
        <v>0</v>
      </c>
      <c r="CQ70" s="23" t="s">
        <v>77</v>
      </c>
    </row>
    <row r="71" spans="1:95" x14ac:dyDescent="0.2">
      <c r="CQ71" s="23" t="s">
        <v>77</v>
      </c>
    </row>
    <row r="72" spans="1:95" s="233" customFormat="1" x14ac:dyDescent="0.2">
      <c r="B72" s="728" t="s">
        <v>355</v>
      </c>
      <c r="C72" s="312"/>
      <c r="D72" s="312"/>
      <c r="E72" s="312"/>
      <c r="F72" s="312">
        <f>Fiscal_Year</f>
        <v>36707</v>
      </c>
      <c r="G72" s="312">
        <f>Fiscal_Year</f>
        <v>37072</v>
      </c>
      <c r="H72" s="312">
        <f>Fiscal_Year</f>
        <v>37437</v>
      </c>
      <c r="I72" s="312">
        <f t="shared" ref="I72:BT72" si="91">Calendar_Year</f>
        <v>37986</v>
      </c>
      <c r="J72" s="312">
        <f t="shared" si="91"/>
        <v>38352</v>
      </c>
      <c r="K72" s="312">
        <f t="shared" si="91"/>
        <v>38717</v>
      </c>
      <c r="L72" s="312">
        <f t="shared" si="91"/>
        <v>39082</v>
      </c>
      <c r="M72" s="312">
        <f t="shared" si="91"/>
        <v>39447</v>
      </c>
      <c r="N72" s="312">
        <f t="shared" si="91"/>
        <v>39813</v>
      </c>
      <c r="O72" s="312">
        <f t="shared" si="91"/>
        <v>40178</v>
      </c>
      <c r="P72" s="312">
        <f t="shared" si="91"/>
        <v>40543</v>
      </c>
      <c r="Q72" s="312">
        <f t="shared" si="91"/>
        <v>40908</v>
      </c>
      <c r="R72" s="312">
        <f t="shared" si="91"/>
        <v>41274</v>
      </c>
      <c r="S72" s="312">
        <f t="shared" si="91"/>
        <v>41639</v>
      </c>
      <c r="T72" s="312">
        <f t="shared" si="91"/>
        <v>42004</v>
      </c>
      <c r="U72" s="312">
        <f t="shared" si="91"/>
        <v>42369</v>
      </c>
      <c r="V72" s="312">
        <f t="shared" si="91"/>
        <v>42735</v>
      </c>
      <c r="W72" s="312">
        <f t="shared" si="91"/>
        <v>43100</v>
      </c>
      <c r="X72" s="312">
        <f t="shared" si="91"/>
        <v>43465</v>
      </c>
      <c r="Y72" s="312">
        <f t="shared" si="91"/>
        <v>43830</v>
      </c>
      <c r="Z72" s="312">
        <f t="shared" si="91"/>
        <v>44196</v>
      </c>
      <c r="AA72" s="312">
        <f t="shared" si="91"/>
        <v>44561</v>
      </c>
      <c r="AB72" s="312">
        <f t="shared" si="91"/>
        <v>44926</v>
      </c>
      <c r="AC72" s="312">
        <f t="shared" si="91"/>
        <v>45291</v>
      </c>
      <c r="AD72" s="312">
        <f t="shared" si="91"/>
        <v>45657</v>
      </c>
      <c r="AE72" s="312">
        <f t="shared" si="91"/>
        <v>46022</v>
      </c>
      <c r="AF72" s="312">
        <f t="shared" si="91"/>
        <v>46387</v>
      </c>
      <c r="AG72" s="312">
        <f t="shared" si="91"/>
        <v>46752</v>
      </c>
      <c r="AH72" s="312">
        <f t="shared" si="91"/>
        <v>47118</v>
      </c>
      <c r="AI72" s="312">
        <f t="shared" si="91"/>
        <v>47483</v>
      </c>
      <c r="AJ72" s="312">
        <f t="shared" si="91"/>
        <v>47848</v>
      </c>
      <c r="AK72" s="312">
        <f t="shared" si="91"/>
        <v>48213</v>
      </c>
      <c r="AL72" s="312">
        <f t="shared" si="91"/>
        <v>48579</v>
      </c>
      <c r="AM72" s="312">
        <f t="shared" si="91"/>
        <v>48944</v>
      </c>
      <c r="AN72" s="312">
        <f t="shared" si="91"/>
        <v>49309</v>
      </c>
      <c r="AO72" s="312">
        <f t="shared" si="91"/>
        <v>49674</v>
      </c>
      <c r="AP72" s="312">
        <f t="shared" si="91"/>
        <v>50040</v>
      </c>
      <c r="AQ72" s="312">
        <f t="shared" si="91"/>
        <v>50405</v>
      </c>
      <c r="AR72" s="312">
        <f t="shared" si="91"/>
        <v>50770</v>
      </c>
      <c r="AS72" s="312">
        <f t="shared" si="91"/>
        <v>51135</v>
      </c>
      <c r="AT72" s="312">
        <f t="shared" si="91"/>
        <v>51501</v>
      </c>
      <c r="AU72" s="312">
        <f t="shared" si="91"/>
        <v>51866</v>
      </c>
      <c r="AV72" s="312">
        <f t="shared" si="91"/>
        <v>52231</v>
      </c>
      <c r="AW72" s="312">
        <f t="shared" si="91"/>
        <v>52596</v>
      </c>
      <c r="AX72" s="312">
        <f t="shared" si="91"/>
        <v>52962</v>
      </c>
      <c r="AY72" s="312">
        <f t="shared" si="91"/>
        <v>53327</v>
      </c>
      <c r="AZ72" s="312">
        <f t="shared" si="91"/>
        <v>53692</v>
      </c>
      <c r="BA72" s="312">
        <f t="shared" si="91"/>
        <v>54057</v>
      </c>
      <c r="BB72" s="312">
        <f t="shared" si="91"/>
        <v>54423</v>
      </c>
      <c r="BC72" s="312">
        <f t="shared" si="91"/>
        <v>54788</v>
      </c>
      <c r="BD72" s="312">
        <f t="shared" si="91"/>
        <v>55153</v>
      </c>
      <c r="BE72" s="312">
        <f t="shared" si="91"/>
        <v>55518</v>
      </c>
      <c r="BF72" s="312">
        <f t="shared" si="91"/>
        <v>55884</v>
      </c>
      <c r="BG72" s="312">
        <f t="shared" si="91"/>
        <v>56249</v>
      </c>
      <c r="BH72" s="312">
        <f t="shared" si="91"/>
        <v>56614</v>
      </c>
      <c r="BI72" s="312">
        <f t="shared" si="91"/>
        <v>56979</v>
      </c>
      <c r="BJ72" s="312">
        <f t="shared" si="91"/>
        <v>57345</v>
      </c>
      <c r="BK72" s="312">
        <f t="shared" si="91"/>
        <v>57710</v>
      </c>
      <c r="BL72" s="312">
        <f t="shared" si="91"/>
        <v>58075</v>
      </c>
      <c r="BM72" s="312">
        <f t="shared" si="91"/>
        <v>58440</v>
      </c>
      <c r="BN72" s="312">
        <f t="shared" si="91"/>
        <v>58806</v>
      </c>
      <c r="BO72" s="312">
        <f t="shared" si="91"/>
        <v>59171</v>
      </c>
      <c r="BP72" s="312">
        <f t="shared" si="91"/>
        <v>59536</v>
      </c>
      <c r="BQ72" s="312">
        <f t="shared" si="91"/>
        <v>59901</v>
      </c>
      <c r="BR72" s="312">
        <f t="shared" si="91"/>
        <v>60267</v>
      </c>
      <c r="BS72" s="312">
        <f t="shared" si="91"/>
        <v>60632</v>
      </c>
      <c r="BT72" s="312">
        <f t="shared" si="91"/>
        <v>60997</v>
      </c>
      <c r="BU72" s="312">
        <f t="shared" ref="BU72:CP72" si="92">Calendar_Year</f>
        <v>61362</v>
      </c>
      <c r="BV72" s="312">
        <f t="shared" si="92"/>
        <v>61728</v>
      </c>
      <c r="BW72" s="312">
        <f t="shared" si="92"/>
        <v>62093</v>
      </c>
      <c r="BX72" s="312">
        <f t="shared" si="92"/>
        <v>62458</v>
      </c>
      <c r="BY72" s="312">
        <f t="shared" si="92"/>
        <v>62823</v>
      </c>
      <c r="BZ72" s="312">
        <f t="shared" si="92"/>
        <v>63189</v>
      </c>
      <c r="CA72" s="312">
        <f t="shared" si="92"/>
        <v>63554</v>
      </c>
      <c r="CB72" s="312">
        <f t="shared" si="92"/>
        <v>63919</v>
      </c>
      <c r="CC72" s="312">
        <f t="shared" si="92"/>
        <v>64284</v>
      </c>
      <c r="CD72" s="312">
        <f t="shared" si="92"/>
        <v>64650</v>
      </c>
      <c r="CE72" s="312">
        <f t="shared" si="92"/>
        <v>65015</v>
      </c>
      <c r="CF72" s="312">
        <f t="shared" si="92"/>
        <v>65380</v>
      </c>
      <c r="CG72" s="312">
        <f t="shared" si="92"/>
        <v>65745</v>
      </c>
      <c r="CH72" s="312">
        <f t="shared" si="92"/>
        <v>66111</v>
      </c>
      <c r="CI72" s="312">
        <f t="shared" si="92"/>
        <v>66476</v>
      </c>
      <c r="CJ72" s="312">
        <f t="shared" si="92"/>
        <v>66841</v>
      </c>
      <c r="CK72" s="312">
        <f t="shared" si="92"/>
        <v>67206</v>
      </c>
      <c r="CL72" s="312">
        <f t="shared" si="92"/>
        <v>67572</v>
      </c>
      <c r="CM72" s="312">
        <f t="shared" si="92"/>
        <v>67937</v>
      </c>
      <c r="CN72" s="312">
        <f t="shared" si="92"/>
        <v>68302</v>
      </c>
      <c r="CO72" s="312">
        <f t="shared" si="92"/>
        <v>68667</v>
      </c>
      <c r="CP72" s="312">
        <f t="shared" si="92"/>
        <v>69033</v>
      </c>
      <c r="CQ72" s="23" t="s">
        <v>77</v>
      </c>
    </row>
    <row r="73" spans="1:95" ht="5.0999999999999996" customHeight="1" x14ac:dyDescent="0.2">
      <c r="B73" s="107"/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  <c r="AZ73" s="108"/>
      <c r="BA73" s="108"/>
      <c r="BB73" s="108"/>
      <c r="BC73" s="108"/>
      <c r="BD73" s="108"/>
      <c r="BE73" s="108"/>
      <c r="BF73" s="108"/>
      <c r="BG73" s="108"/>
      <c r="BH73" s="108"/>
      <c r="BI73" s="108"/>
      <c r="BJ73" s="108"/>
      <c r="BK73" s="108"/>
      <c r="BL73" s="108"/>
      <c r="BM73" s="108"/>
      <c r="BN73" s="108"/>
      <c r="BO73" s="108"/>
      <c r="BP73" s="108"/>
      <c r="BQ73" s="108"/>
      <c r="BR73" s="108"/>
      <c r="BS73" s="108"/>
      <c r="BT73" s="108"/>
      <c r="BU73" s="108"/>
      <c r="BV73" s="108"/>
      <c r="BW73" s="108"/>
      <c r="BX73" s="108"/>
      <c r="BY73" s="108"/>
      <c r="BZ73" s="108"/>
      <c r="CA73" s="108"/>
      <c r="CB73" s="108"/>
      <c r="CC73" s="108"/>
      <c r="CD73" s="108"/>
      <c r="CE73" s="108"/>
      <c r="CF73" s="108"/>
      <c r="CG73" s="108"/>
      <c r="CH73" s="108"/>
      <c r="CI73" s="108"/>
      <c r="CJ73" s="108"/>
      <c r="CK73" s="108"/>
      <c r="CL73" s="108"/>
      <c r="CM73" s="108"/>
      <c r="CN73" s="108"/>
      <c r="CO73" s="108"/>
      <c r="CP73" s="108"/>
      <c r="CQ73" s="23" t="s">
        <v>77</v>
      </c>
    </row>
    <row r="74" spans="1:95" outlineLevel="1" x14ac:dyDescent="0.2">
      <c r="B74" s="1" t="s">
        <v>317</v>
      </c>
      <c r="D74" s="3"/>
      <c r="E74" s="3"/>
      <c r="F74" s="3"/>
      <c r="G74" s="3"/>
      <c r="H74" s="3"/>
      <c r="I74" s="3">
        <f>+I81+I89</f>
        <v>0</v>
      </c>
      <c r="J74" s="3">
        <f t="shared" ref="J74:P74" si="93">+I79</f>
        <v>0</v>
      </c>
      <c r="K74" s="3">
        <f t="shared" si="93"/>
        <v>0</v>
      </c>
      <c r="L74" s="4">
        <v>558.78</v>
      </c>
      <c r="M74" s="3">
        <f t="shared" si="93"/>
        <v>573.50799999999992</v>
      </c>
      <c r="N74" s="3">
        <f t="shared" si="93"/>
        <v>586.99599999999987</v>
      </c>
      <c r="O74" s="3">
        <f t="shared" si="93"/>
        <v>600.17399999999986</v>
      </c>
      <c r="P74" s="3">
        <f t="shared" si="93"/>
        <v>613.52199999999982</v>
      </c>
      <c r="Q74" s="33">
        <v>617.6</v>
      </c>
      <c r="R74" s="33">
        <f t="shared" ref="R74:BB74" si="94">+Q79</f>
        <v>640.29999999999995</v>
      </c>
      <c r="S74" s="33">
        <f t="shared" si="94"/>
        <v>732.99999999999989</v>
      </c>
      <c r="T74" s="33">
        <f t="shared" si="94"/>
        <v>747.0999999999998</v>
      </c>
      <c r="U74" s="230">
        <v>931.7</v>
      </c>
      <c r="V74" s="33">
        <f t="shared" si="94"/>
        <v>985.50000000000011</v>
      </c>
      <c r="W74" s="33">
        <f t="shared" si="94"/>
        <v>1037.5999999999999</v>
      </c>
      <c r="X74" s="230">
        <v>971.11328750821076</v>
      </c>
      <c r="Y74" s="33">
        <f t="shared" si="94"/>
        <v>1022.8084819463375</v>
      </c>
      <c r="Z74" s="33">
        <f t="shared" si="94"/>
        <v>1085.6207029303489</v>
      </c>
      <c r="AA74" s="33">
        <f t="shared" si="94"/>
        <v>1145.0620652070911</v>
      </c>
      <c r="AB74" s="33">
        <f t="shared" si="94"/>
        <v>1141.8598269940317</v>
      </c>
      <c r="AC74" s="33">
        <f t="shared" si="94"/>
        <v>1143.5114461756539</v>
      </c>
      <c r="AD74" s="33">
        <f t="shared" si="94"/>
        <v>1145.1654543071772</v>
      </c>
      <c r="AE74" s="33">
        <f t="shared" si="94"/>
        <v>1146.8218548440486</v>
      </c>
      <c r="AF74" s="33">
        <f t="shared" si="94"/>
        <v>1148.4806512467121</v>
      </c>
      <c r="AG74" s="33">
        <f t="shared" si="94"/>
        <v>1150.1418469806179</v>
      </c>
      <c r="AH74" s="33">
        <f t="shared" si="94"/>
        <v>1151.805445516228</v>
      </c>
      <c r="AI74" s="33">
        <f t="shared" si="94"/>
        <v>1153.4714503290249</v>
      </c>
      <c r="AJ74" s="33">
        <f t="shared" si="94"/>
        <v>1155.1398648995173</v>
      </c>
      <c r="AK74" s="33">
        <f t="shared" si="94"/>
        <v>1156.8106927132487</v>
      </c>
      <c r="AL74" s="33">
        <f t="shared" si="94"/>
        <v>1158.4839372608042</v>
      </c>
      <c r="AM74" s="33">
        <f t="shared" si="94"/>
        <v>1160.1596020378179</v>
      </c>
      <c r="AN74" s="33">
        <f t="shared" si="94"/>
        <v>1161.8376905449798</v>
      </c>
      <c r="AO74" s="33">
        <f t="shared" si="94"/>
        <v>1163.5182062880435</v>
      </c>
      <c r="AP74" s="33">
        <f t="shared" si="94"/>
        <v>1165.2011527778334</v>
      </c>
      <c r="AQ74" s="33">
        <f t="shared" si="94"/>
        <v>1166.8865335302521</v>
      </c>
      <c r="AR74" s="33">
        <f t="shared" si="94"/>
        <v>1168.5743520662879</v>
      </c>
      <c r="AS74" s="33">
        <f t="shared" si="94"/>
        <v>1170.2646119120216</v>
      </c>
      <c r="AT74" s="33">
        <f t="shared" si="94"/>
        <v>1171.957316598634</v>
      </c>
      <c r="AU74" s="33">
        <f t="shared" si="94"/>
        <v>1173.6524696624144</v>
      </c>
      <c r="AV74" s="33">
        <f t="shared" si="94"/>
        <v>1175.3500746447662</v>
      </c>
      <c r="AW74" s="33">
        <f t="shared" si="94"/>
        <v>1177.0501350922159</v>
      </c>
      <c r="AX74" s="33">
        <f t="shared" si="94"/>
        <v>1178.752654556419</v>
      </c>
      <c r="AY74" s="33">
        <f t="shared" si="94"/>
        <v>1180.4576365941689</v>
      </c>
      <c r="AZ74" s="33">
        <f t="shared" si="94"/>
        <v>1182.1650847674036</v>
      </c>
      <c r="BA74" s="33">
        <f t="shared" si="94"/>
        <v>1183.8750026432131</v>
      </c>
      <c r="BB74" s="33">
        <f t="shared" si="94"/>
        <v>1185.5873937938463</v>
      </c>
      <c r="BC74" s="33">
        <f t="shared" ref="BC74:CP74" si="95">+BB79</f>
        <v>1187.3022617967204</v>
      </c>
      <c r="BD74" s="33">
        <f t="shared" si="95"/>
        <v>1189.0196102344257</v>
      </c>
      <c r="BE74" s="33">
        <f t="shared" si="95"/>
        <v>1190.7394426947355</v>
      </c>
      <c r="BF74" s="33">
        <f t="shared" si="95"/>
        <v>1192.4617627706118</v>
      </c>
      <c r="BG74" s="33">
        <f t="shared" si="95"/>
        <v>1194.1865740602143</v>
      </c>
      <c r="BH74" s="33">
        <f t="shared" si="95"/>
        <v>1195.9138801669067</v>
      </c>
      <c r="BI74" s="33">
        <f t="shared" si="95"/>
        <v>1197.6436846992647</v>
      </c>
      <c r="BJ74" s="33">
        <f t="shared" si="95"/>
        <v>1199.3759912710836</v>
      </c>
      <c r="BK74" s="33">
        <f t="shared" si="95"/>
        <v>1201.1108035013863</v>
      </c>
      <c r="BL74" s="33">
        <f t="shared" si="95"/>
        <v>1202.8481250144296</v>
      </c>
      <c r="BM74" s="33">
        <f t="shared" si="95"/>
        <v>1204.5879594397127</v>
      </c>
      <c r="BN74" s="33">
        <f t="shared" si="95"/>
        <v>1206.3303104119848</v>
      </c>
      <c r="BO74" s="33">
        <f t="shared" si="95"/>
        <v>1208.0751815712526</v>
      </c>
      <c r="BP74" s="33">
        <f t="shared" si="95"/>
        <v>1209.8225765627878</v>
      </c>
      <c r="BQ74" s="33">
        <f t="shared" si="95"/>
        <v>1211.5724990371345</v>
      </c>
      <c r="BR74" s="33">
        <f t="shared" si="95"/>
        <v>1213.3249526501172</v>
      </c>
      <c r="BS74" s="33">
        <f t="shared" si="95"/>
        <v>1215.0799410628481</v>
      </c>
      <c r="BT74" s="33">
        <f t="shared" si="95"/>
        <v>1216.8374679417354</v>
      </c>
      <c r="BU74" s="33">
        <f t="shared" si="95"/>
        <v>1218.5975369584901</v>
      </c>
      <c r="BV74" s="33">
        <f t="shared" si="95"/>
        <v>1220.3601517901341</v>
      </c>
      <c r="BW74" s="33">
        <f t="shared" si="95"/>
        <v>1222.1253161190079</v>
      </c>
      <c r="BX74" s="33">
        <f t="shared" si="95"/>
        <v>1223.8930336327783</v>
      </c>
      <c r="BY74" s="33">
        <f t="shared" si="95"/>
        <v>1225.6633080244458</v>
      </c>
      <c r="BZ74" s="33">
        <f t="shared" si="95"/>
        <v>1227.4361429923531</v>
      </c>
      <c r="CA74" s="33">
        <f t="shared" si="95"/>
        <v>1229.2115422401919</v>
      </c>
      <c r="CB74" s="33">
        <f t="shared" si="95"/>
        <v>1230.9895094770109</v>
      </c>
      <c r="CC74" s="33">
        <f t="shared" si="95"/>
        <v>1232.770048417224</v>
      </c>
      <c r="CD74" s="33">
        <f t="shared" si="95"/>
        <v>1234.5531627806174</v>
      </c>
      <c r="CE74" s="33">
        <f t="shared" si="95"/>
        <v>1236.3388562923581</v>
      </c>
      <c r="CF74" s="33">
        <f t="shared" si="95"/>
        <v>1238.127132683001</v>
      </c>
      <c r="CG74" s="33">
        <f t="shared" si="95"/>
        <v>1239.9179956884975</v>
      </c>
      <c r="CH74" s="33">
        <f t="shared" si="95"/>
        <v>1241.7114490502017</v>
      </c>
      <c r="CI74" s="33">
        <f t="shared" si="95"/>
        <v>1243.5074965148804</v>
      </c>
      <c r="CJ74" s="33">
        <f t="shared" si="95"/>
        <v>1245.3061418347193</v>
      </c>
      <c r="CK74" s="33">
        <f t="shared" si="95"/>
        <v>1247.1073887673313</v>
      </c>
      <c r="CL74" s="33">
        <f t="shared" si="95"/>
        <v>1248.9112410757648</v>
      </c>
      <c r="CM74" s="33">
        <f t="shared" si="95"/>
        <v>1250.7177025285109</v>
      </c>
      <c r="CN74" s="33">
        <f t="shared" si="95"/>
        <v>1252.5267768995118</v>
      </c>
      <c r="CO74" s="33">
        <f t="shared" si="95"/>
        <v>1254.3384679681681</v>
      </c>
      <c r="CP74" s="33">
        <f t="shared" si="95"/>
        <v>1256.1527795193472</v>
      </c>
      <c r="CQ74" s="23" t="s">
        <v>77</v>
      </c>
    </row>
    <row r="75" spans="1:95" outlineLevel="1" x14ac:dyDescent="0.2">
      <c r="A75" s="98"/>
      <c r="B75" s="7" t="s">
        <v>318</v>
      </c>
      <c r="D75" s="9"/>
      <c r="E75" s="9"/>
      <c r="F75" s="9"/>
      <c r="G75" s="9"/>
      <c r="H75" s="9"/>
      <c r="L75" s="198">
        <f>187.19/5</f>
        <v>37.438000000000002</v>
      </c>
      <c r="M75" s="198">
        <f>187.19/5</f>
        <v>37.438000000000002</v>
      </c>
      <c r="N75" s="198">
        <f>187.19/5</f>
        <v>37.438000000000002</v>
      </c>
      <c r="O75" s="198">
        <f>187.19/5</f>
        <v>37.438000000000002</v>
      </c>
      <c r="P75" s="198">
        <f>187.19/5</f>
        <v>37.438000000000002</v>
      </c>
      <c r="Q75" s="198">
        <v>32</v>
      </c>
      <c r="R75" s="198">
        <v>102.9</v>
      </c>
      <c r="S75" s="198">
        <v>26</v>
      </c>
      <c r="T75" s="249">
        <v>14.7</v>
      </c>
      <c r="U75" s="26">
        <v>65</v>
      </c>
      <c r="V75" s="225">
        <v>63.6</v>
      </c>
      <c r="W75" s="157">
        <v>60.7</v>
      </c>
      <c r="X75" s="989">
        <v>64.62797565810024</v>
      </c>
      <c r="Y75" s="989">
        <v>78.540479831570977</v>
      </c>
      <c r="Z75" s="989">
        <v>77.249554221002143</v>
      </c>
      <c r="AA75" s="989">
        <v>18.203928905967413</v>
      </c>
      <c r="AB75" s="989">
        <v>18.697751640033133</v>
      </c>
      <c r="AC75" s="272">
        <f t="shared" ref="AC75:BB75" si="96">+AB75/AB74*AC74</f>
        <v>18.724796610468061</v>
      </c>
      <c r="AD75" s="272">
        <f t="shared" si="96"/>
        <v>18.751880699532858</v>
      </c>
      <c r="AE75" s="272">
        <f t="shared" si="96"/>
        <v>18.779003963809849</v>
      </c>
      <c r="AF75" s="272">
        <f t="shared" si="96"/>
        <v>18.80616645996319</v>
      </c>
      <c r="AG75" s="272">
        <f t="shared" si="96"/>
        <v>18.833368244739017</v>
      </c>
      <c r="AH75" s="272">
        <f t="shared" si="96"/>
        <v>18.860609374965524</v>
      </c>
      <c r="AI75" s="272">
        <f t="shared" si="96"/>
        <v>18.88788990755312</v>
      </c>
      <c r="AJ75" s="272">
        <f t="shared" si="96"/>
        <v>18.915209899494513</v>
      </c>
      <c r="AK75" s="272">
        <f t="shared" si="96"/>
        <v>18.942569407864863</v>
      </c>
      <c r="AL75" s="272">
        <f t="shared" si="96"/>
        <v>18.969968489821877</v>
      </c>
      <c r="AM75" s="272">
        <f t="shared" si="96"/>
        <v>18.997407202605945</v>
      </c>
      <c r="AN75" s="272">
        <f t="shared" si="96"/>
        <v>19.024885603540241</v>
      </c>
      <c r="AO75" s="272">
        <f t="shared" si="96"/>
        <v>19.052403750030855</v>
      </c>
      <c r="AP75" s="272">
        <f t="shared" si="96"/>
        <v>19.079961699566919</v>
      </c>
      <c r="AQ75" s="272">
        <f t="shared" si="96"/>
        <v>19.107559509720705</v>
      </c>
      <c r="AR75" s="272">
        <f t="shared" si="96"/>
        <v>19.135197238147775</v>
      </c>
      <c r="AS75" s="272">
        <f t="shared" si="96"/>
        <v>19.162874942587074</v>
      </c>
      <c r="AT75" s="272">
        <f t="shared" si="96"/>
        <v>19.190592680861059</v>
      </c>
      <c r="AU75" s="272">
        <f t="shared" si="96"/>
        <v>19.21835051087584</v>
      </c>
      <c r="AV75" s="272">
        <f t="shared" si="96"/>
        <v>19.246148490621266</v>
      </c>
      <c r="AW75" s="272">
        <f t="shared" si="96"/>
        <v>19.273986678171081</v>
      </c>
      <c r="AX75" s="272">
        <f t="shared" si="96"/>
        <v>19.301865131683009</v>
      </c>
      <c r="AY75" s="272">
        <f t="shared" si="96"/>
        <v>19.329783909398909</v>
      </c>
      <c r="AZ75" s="272">
        <f t="shared" si="96"/>
        <v>19.35774306964489</v>
      </c>
      <c r="BA75" s="272">
        <f t="shared" si="96"/>
        <v>19.385742670831405</v>
      </c>
      <c r="BB75" s="272">
        <f t="shared" si="96"/>
        <v>19.413782771453405</v>
      </c>
      <c r="BC75" s="272">
        <f t="shared" ref="BC75:CP75" si="97">+BB75/BB74*BC74</f>
        <v>19.441863430090454</v>
      </c>
      <c r="BD75" s="272">
        <f t="shared" si="97"/>
        <v>19.469984705406834</v>
      </c>
      <c r="BE75" s="272">
        <f t="shared" si="97"/>
        <v>19.498146656151693</v>
      </c>
      <c r="BF75" s="272">
        <f t="shared" si="97"/>
        <v>19.526349341159147</v>
      </c>
      <c r="BG75" s="272">
        <f t="shared" si="97"/>
        <v>19.554592819348418</v>
      </c>
      <c r="BH75" s="272">
        <f t="shared" si="97"/>
        <v>19.582877149723952</v>
      </c>
      <c r="BI75" s="272">
        <f t="shared" si="97"/>
        <v>19.611202391375528</v>
      </c>
      <c r="BJ75" s="272">
        <f t="shared" si="97"/>
        <v>19.639568603478406</v>
      </c>
      <c r="BK75" s="272">
        <f t="shared" si="97"/>
        <v>19.667975845293437</v>
      </c>
      <c r="BL75" s="272">
        <f t="shared" si="97"/>
        <v>19.696424176167188</v>
      </c>
      <c r="BM75" s="272">
        <f t="shared" si="97"/>
        <v>19.72491365553206</v>
      </c>
      <c r="BN75" s="272">
        <f t="shared" si="97"/>
        <v>19.753444342906427</v>
      </c>
      <c r="BO75" s="272">
        <f t="shared" si="97"/>
        <v>19.782016297894749</v>
      </c>
      <c r="BP75" s="272">
        <f t="shared" si="97"/>
        <v>19.810629580187701</v>
      </c>
      <c r="BQ75" s="272">
        <f t="shared" si="97"/>
        <v>19.839284249562297</v>
      </c>
      <c r="BR75" s="272">
        <f t="shared" si="97"/>
        <v>19.867980365882012</v>
      </c>
      <c r="BS75" s="272">
        <f t="shared" si="97"/>
        <v>19.896717989096906</v>
      </c>
      <c r="BT75" s="272">
        <f t="shared" si="97"/>
        <v>19.925497179243763</v>
      </c>
      <c r="BU75" s="272">
        <f t="shared" si="97"/>
        <v>19.954317996446193</v>
      </c>
      <c r="BV75" s="272">
        <f t="shared" si="97"/>
        <v>19.983180500914784</v>
      </c>
      <c r="BW75" s="272">
        <f t="shared" si="97"/>
        <v>20.012084752947203</v>
      </c>
      <c r="BX75" s="272">
        <f t="shared" si="97"/>
        <v>20.041030812928334</v>
      </c>
      <c r="BY75" s="272">
        <f t="shared" si="97"/>
        <v>20.070018741330411</v>
      </c>
      <c r="BZ75" s="272">
        <f t="shared" si="97"/>
        <v>20.099048598713132</v>
      </c>
      <c r="CA75" s="272">
        <f t="shared" si="97"/>
        <v>20.128120445723795</v>
      </c>
      <c r="CB75" s="272">
        <f t="shared" si="97"/>
        <v>20.157234343097411</v>
      </c>
      <c r="CC75" s="272">
        <f t="shared" si="97"/>
        <v>20.186390351656843</v>
      </c>
      <c r="CD75" s="272">
        <f t="shared" si="97"/>
        <v>20.215588532312935</v>
      </c>
      <c r="CE75" s="272">
        <f t="shared" si="97"/>
        <v>20.244828946064633</v>
      </c>
      <c r="CF75" s="272">
        <f t="shared" si="97"/>
        <v>20.274111653999107</v>
      </c>
      <c r="CG75" s="272">
        <f t="shared" si="97"/>
        <v>20.303436717291898</v>
      </c>
      <c r="CH75" s="272">
        <f t="shared" si="97"/>
        <v>20.332804197207018</v>
      </c>
      <c r="CI75" s="272">
        <f t="shared" si="97"/>
        <v>20.362214155097103</v>
      </c>
      <c r="CJ75" s="272">
        <f t="shared" si="97"/>
        <v>20.391666652403526</v>
      </c>
      <c r="CK75" s="272">
        <f t="shared" si="97"/>
        <v>20.421161750656534</v>
      </c>
      <c r="CL75" s="272">
        <f t="shared" si="97"/>
        <v>20.450699511475371</v>
      </c>
      <c r="CM75" s="272">
        <f t="shared" si="97"/>
        <v>20.480279996568413</v>
      </c>
      <c r="CN75" s="272">
        <f t="shared" si="97"/>
        <v>20.509903267733289</v>
      </c>
      <c r="CO75" s="272">
        <f t="shared" si="97"/>
        <v>20.539569386857014</v>
      </c>
      <c r="CP75" s="272">
        <f t="shared" si="97"/>
        <v>20.56927841591612</v>
      </c>
      <c r="CQ75" s="23" t="s">
        <v>77</v>
      </c>
    </row>
    <row r="76" spans="1:95" outlineLevel="1" x14ac:dyDescent="0.2">
      <c r="B76" s="7" t="s">
        <v>328</v>
      </c>
      <c r="D76" s="9"/>
      <c r="E76" s="9"/>
      <c r="F76" s="9"/>
      <c r="G76" s="9"/>
      <c r="H76" s="9"/>
      <c r="L76" s="198">
        <v>0</v>
      </c>
      <c r="M76" s="198">
        <v>0</v>
      </c>
      <c r="N76" s="198">
        <v>0</v>
      </c>
      <c r="O76" s="198">
        <v>0</v>
      </c>
      <c r="P76" s="198">
        <v>0</v>
      </c>
      <c r="Q76" s="198">
        <v>15.4</v>
      </c>
      <c r="R76" s="198">
        <v>16</v>
      </c>
      <c r="S76" s="198">
        <v>18.3</v>
      </c>
      <c r="T76" s="198">
        <v>18.7</v>
      </c>
      <c r="U76" s="26">
        <v>18.600000000000001</v>
      </c>
      <c r="V76" s="157">
        <v>24.1</v>
      </c>
      <c r="W76" s="157">
        <v>25.4</v>
      </c>
      <c r="X76" s="989">
        <v>23.791801135726892</v>
      </c>
      <c r="Y76" s="989">
        <v>25.058308145326681</v>
      </c>
      <c r="Z76" s="989">
        <v>26.597176874411289</v>
      </c>
      <c r="AA76" s="989">
        <v>28.05346121189956</v>
      </c>
      <c r="AB76" s="989">
        <v>27.975007940036893</v>
      </c>
      <c r="AC76" s="272">
        <f t="shared" ref="AC76:BB76" si="98">+AC74*AC83</f>
        <v>28.015471803137689</v>
      </c>
      <c r="AD76" s="272">
        <f t="shared" si="98"/>
        <v>28.055994194344024</v>
      </c>
      <c r="AE76" s="272">
        <f t="shared" si="98"/>
        <v>28.096575198312649</v>
      </c>
      <c r="AF76" s="272">
        <f t="shared" si="98"/>
        <v>28.137214899822752</v>
      </c>
      <c r="AG76" s="272">
        <f t="shared" si="98"/>
        <v>28.177913383776172</v>
      </c>
      <c r="AH76" s="272">
        <f t="shared" si="98"/>
        <v>28.218670735197531</v>
      </c>
      <c r="AI76" s="272">
        <f t="shared" si="98"/>
        <v>28.25948703923445</v>
      </c>
      <c r="AJ76" s="272">
        <f t="shared" si="98"/>
        <v>28.300362381157694</v>
      </c>
      <c r="AK76" s="272">
        <f t="shared" si="98"/>
        <v>28.341296846361377</v>
      </c>
      <c r="AL76" s="272">
        <f t="shared" si="98"/>
        <v>28.382290520363124</v>
      </c>
      <c r="AM76" s="272">
        <f t="shared" si="98"/>
        <v>28.423343488804271</v>
      </c>
      <c r="AN76" s="272">
        <f t="shared" si="98"/>
        <v>28.464455837450007</v>
      </c>
      <c r="AO76" s="272">
        <f t="shared" si="98"/>
        <v>28.505627652189588</v>
      </c>
      <c r="AP76" s="272">
        <f t="shared" si="98"/>
        <v>28.546859019036486</v>
      </c>
      <c r="AQ76" s="272">
        <f t="shared" si="98"/>
        <v>28.588150024128609</v>
      </c>
      <c r="AR76" s="272">
        <f t="shared" si="98"/>
        <v>28.629500753728443</v>
      </c>
      <c r="AS76" s="272">
        <f t="shared" si="98"/>
        <v>28.670911294223245</v>
      </c>
      <c r="AT76" s="272">
        <f t="shared" si="98"/>
        <v>28.712381732125223</v>
      </c>
      <c r="AU76" s="272">
        <f t="shared" si="98"/>
        <v>28.753912154071738</v>
      </c>
      <c r="AV76" s="272">
        <f t="shared" si="98"/>
        <v>28.795502646825437</v>
      </c>
      <c r="AW76" s="272">
        <f t="shared" si="98"/>
        <v>28.837153297274494</v>
      </c>
      <c r="AX76" s="272">
        <f t="shared" si="98"/>
        <v>28.878864192432729</v>
      </c>
      <c r="AY76" s="272">
        <f t="shared" si="98"/>
        <v>28.920635419439844</v>
      </c>
      <c r="AZ76" s="272">
        <f t="shared" si="98"/>
        <v>28.962467065561583</v>
      </c>
      <c r="BA76" s="272">
        <f t="shared" si="98"/>
        <v>29.004359218189901</v>
      </c>
      <c r="BB76" s="272">
        <f t="shared" si="98"/>
        <v>29.046311964843159</v>
      </c>
      <c r="BC76" s="272">
        <f t="shared" ref="BC76:CP76" si="99">+BC74*BC83</f>
        <v>29.088325393166325</v>
      </c>
      <c r="BD76" s="272">
        <f t="shared" si="99"/>
        <v>29.130399590931116</v>
      </c>
      <c r="BE76" s="272">
        <f t="shared" si="99"/>
        <v>29.172534646036222</v>
      </c>
      <c r="BF76" s="272">
        <f t="shared" si="99"/>
        <v>29.214730646507459</v>
      </c>
      <c r="BG76" s="272">
        <f t="shared" si="99"/>
        <v>29.256987680497978</v>
      </c>
      <c r="BH76" s="272">
        <f t="shared" si="99"/>
        <v>29.299305836288429</v>
      </c>
      <c r="BI76" s="272">
        <f t="shared" si="99"/>
        <v>29.341685202287159</v>
      </c>
      <c r="BJ76" s="272">
        <f t="shared" si="99"/>
        <v>29.384125867030388</v>
      </c>
      <c r="BK76" s="272">
        <f t="shared" si="99"/>
        <v>29.426627919182401</v>
      </c>
      <c r="BL76" s="272">
        <f t="shared" si="99"/>
        <v>29.469191447535724</v>
      </c>
      <c r="BM76" s="272">
        <f t="shared" si="99"/>
        <v>29.511816541011317</v>
      </c>
      <c r="BN76" s="272">
        <f t="shared" si="99"/>
        <v>29.554503288658758</v>
      </c>
      <c r="BO76" s="272">
        <f t="shared" si="99"/>
        <v>29.597251779656432</v>
      </c>
      <c r="BP76" s="272">
        <f t="shared" si="99"/>
        <v>29.640062103311713</v>
      </c>
      <c r="BQ76" s="272">
        <f t="shared" si="99"/>
        <v>29.682934349061149</v>
      </c>
      <c r="BR76" s="272">
        <f t="shared" si="99"/>
        <v>29.725868606470655</v>
      </c>
      <c r="BS76" s="272">
        <f t="shared" si="99"/>
        <v>29.768864965235693</v>
      </c>
      <c r="BT76" s="272">
        <f t="shared" si="99"/>
        <v>29.811923515181473</v>
      </c>
      <c r="BU76" s="272">
        <f t="shared" si="99"/>
        <v>29.855044346263117</v>
      </c>
      <c r="BV76" s="272">
        <f t="shared" si="99"/>
        <v>29.898227548565867</v>
      </c>
      <c r="BW76" s="272">
        <f t="shared" si="99"/>
        <v>29.941473212305272</v>
      </c>
      <c r="BX76" s="272">
        <f t="shared" si="99"/>
        <v>29.984781427827354</v>
      </c>
      <c r="BY76" s="272">
        <f t="shared" si="99"/>
        <v>30.028152285608833</v>
      </c>
      <c r="BZ76" s="272">
        <f t="shared" si="99"/>
        <v>30.071585876257295</v>
      </c>
      <c r="CA76" s="272">
        <f t="shared" si="99"/>
        <v>30.115082290511378</v>
      </c>
      <c r="CB76" s="272">
        <f t="shared" si="99"/>
        <v>30.15864161924096</v>
      </c>
      <c r="CC76" s="272">
        <f t="shared" si="99"/>
        <v>30.202263953447368</v>
      </c>
      <c r="CD76" s="272">
        <f t="shared" si="99"/>
        <v>30.24594938426355</v>
      </c>
      <c r="CE76" s="272">
        <f t="shared" si="99"/>
        <v>30.289698002954275</v>
      </c>
      <c r="CF76" s="272">
        <f t="shared" si="99"/>
        <v>30.333509900916315</v>
      </c>
      <c r="CG76" s="272">
        <f t="shared" si="99"/>
        <v>30.377385169678657</v>
      </c>
      <c r="CH76" s="272">
        <f t="shared" si="99"/>
        <v>30.421323900902646</v>
      </c>
      <c r="CI76" s="272">
        <f t="shared" si="99"/>
        <v>30.465326186382235</v>
      </c>
      <c r="CJ76" s="272">
        <f t="shared" si="99"/>
        <v>30.509392118044151</v>
      </c>
      <c r="CK76" s="272">
        <f t="shared" si="99"/>
        <v>30.553521787948064</v>
      </c>
      <c r="CL76" s="272">
        <f t="shared" si="99"/>
        <v>30.597715288286828</v>
      </c>
      <c r="CM76" s="272">
        <f t="shared" si="99"/>
        <v>30.641972711386632</v>
      </c>
      <c r="CN76" s="272">
        <f t="shared" si="99"/>
        <v>30.686294149707212</v>
      </c>
      <c r="CO76" s="272">
        <f t="shared" si="99"/>
        <v>30.730679695842046</v>
      </c>
      <c r="CP76" s="272">
        <f t="shared" si="99"/>
        <v>30.775129442518526</v>
      </c>
      <c r="CQ76" s="23"/>
    </row>
    <row r="77" spans="1:95" outlineLevel="1" x14ac:dyDescent="0.2">
      <c r="B77" s="7" t="s">
        <v>14</v>
      </c>
      <c r="D77" s="9"/>
      <c r="E77" s="9"/>
      <c r="F77" s="9"/>
      <c r="G77" s="9"/>
      <c r="H77" s="9"/>
      <c r="L77" s="198">
        <v>-22.71</v>
      </c>
      <c r="M77" s="198">
        <v>-23.95</v>
      </c>
      <c r="N77" s="198">
        <v>-24.26</v>
      </c>
      <c r="O77" s="198">
        <v>-24.09</v>
      </c>
      <c r="P77" s="198">
        <v>-24.18</v>
      </c>
      <c r="Q77" s="198">
        <v>-24.7</v>
      </c>
      <c r="R77" s="198">
        <v>-26.2</v>
      </c>
      <c r="S77" s="198">
        <v>-30.2</v>
      </c>
      <c r="T77" s="198">
        <v>-31.9</v>
      </c>
      <c r="U77" s="26">
        <v>-29.8</v>
      </c>
      <c r="V77" s="157">
        <v>-35.700000000000003</v>
      </c>
      <c r="W77" s="157">
        <v>-39.6</v>
      </c>
      <c r="X77" s="989">
        <v>-36.724582355700477</v>
      </c>
      <c r="Y77" s="989">
        <v>-40.786566992886186</v>
      </c>
      <c r="Z77" s="989">
        <v>-44.405368818671334</v>
      </c>
      <c r="AA77" s="989">
        <v>-49.459628330926392</v>
      </c>
      <c r="AB77" s="989">
        <v>-45.021140398447969</v>
      </c>
      <c r="AC77" s="272">
        <f t="shared" ref="AC77:BB77" si="100">+AB77/AB74*AC74</f>
        <v>-45.086260282082314</v>
      </c>
      <c r="AD77" s="272">
        <f t="shared" si="100"/>
        <v>-45.151474357005604</v>
      </c>
      <c r="AE77" s="272">
        <f t="shared" si="100"/>
        <v>-45.21678275945888</v>
      </c>
      <c r="AF77" s="272">
        <f t="shared" si="100"/>
        <v>-45.282185625880189</v>
      </c>
      <c r="AG77" s="272">
        <f t="shared" si="100"/>
        <v>-45.34768309290498</v>
      </c>
      <c r="AH77" s="272">
        <f t="shared" si="100"/>
        <v>-45.413275297366297</v>
      </c>
      <c r="AI77" s="272">
        <f t="shared" si="100"/>
        <v>-45.478962376295129</v>
      </c>
      <c r="AJ77" s="272">
        <f t="shared" si="100"/>
        <v>-45.544744466920648</v>
      </c>
      <c r="AK77" s="272">
        <f t="shared" si="100"/>
        <v>-45.610621706670514</v>
      </c>
      <c r="AL77" s="272">
        <f t="shared" si="100"/>
        <v>-45.676594233171201</v>
      </c>
      <c r="AM77" s="272">
        <f t="shared" si="100"/>
        <v>-45.742662184248232</v>
      </c>
      <c r="AN77" s="272">
        <f t="shared" si="100"/>
        <v>-45.808825697926473</v>
      </c>
      <c r="AO77" s="272">
        <f t="shared" si="100"/>
        <v>-45.875084912430459</v>
      </c>
      <c r="AP77" s="272">
        <f t="shared" si="100"/>
        <v>-45.941439966184618</v>
      </c>
      <c r="AQ77" s="272">
        <f t="shared" si="100"/>
        <v>-46.007890997813632</v>
      </c>
      <c r="AR77" s="272">
        <f t="shared" si="100"/>
        <v>-46.074438146142697</v>
      </c>
      <c r="AS77" s="272">
        <f t="shared" si="100"/>
        <v>-46.141081550197782</v>
      </c>
      <c r="AT77" s="272">
        <f t="shared" si="100"/>
        <v>-46.207821349205958</v>
      </c>
      <c r="AU77" s="272">
        <f t="shared" si="100"/>
        <v>-46.274657682595695</v>
      </c>
      <c r="AV77" s="272">
        <f t="shared" si="100"/>
        <v>-46.341590689997105</v>
      </c>
      <c r="AW77" s="272">
        <f t="shared" si="100"/>
        <v>-46.408620511242297</v>
      </c>
      <c r="AX77" s="272">
        <f t="shared" si="100"/>
        <v>-46.475747286365618</v>
      </c>
      <c r="AY77" s="272">
        <f t="shared" si="100"/>
        <v>-46.542971155603965</v>
      </c>
      <c r="AZ77" s="272">
        <f t="shared" si="100"/>
        <v>-46.610292259397099</v>
      </c>
      <c r="BA77" s="272">
        <f t="shared" si="100"/>
        <v>-46.677710738387894</v>
      </c>
      <c r="BB77" s="272">
        <f t="shared" si="100"/>
        <v>-46.745226733422655</v>
      </c>
      <c r="BC77" s="272">
        <f t="shared" ref="BC77:CP77" si="101">+BB77/BB74*BC74</f>
        <v>-46.812840385551432</v>
      </c>
      <c r="BD77" s="272">
        <f t="shared" si="101"/>
        <v>-46.88055183602826</v>
      </c>
      <c r="BE77" s="272">
        <f t="shared" si="101"/>
        <v>-46.948361226311519</v>
      </c>
      <c r="BF77" s="272">
        <f t="shared" si="101"/>
        <v>-47.016268698064181</v>
      </c>
      <c r="BG77" s="272">
        <f t="shared" si="101"/>
        <v>-47.084274393154132</v>
      </c>
      <c r="BH77" s="272">
        <f t="shared" si="101"/>
        <v>-47.152378453654457</v>
      </c>
      <c r="BI77" s="272">
        <f t="shared" si="101"/>
        <v>-47.220581021843735</v>
      </c>
      <c r="BJ77" s="272">
        <f t="shared" si="101"/>
        <v>-47.288882240206355</v>
      </c>
      <c r="BK77" s="272">
        <f t="shared" si="101"/>
        <v>-47.357282251432778</v>
      </c>
      <c r="BL77" s="272">
        <f t="shared" si="101"/>
        <v>-47.425781198419884</v>
      </c>
      <c r="BM77" s="272">
        <f t="shared" si="101"/>
        <v>-47.494379224271206</v>
      </c>
      <c r="BN77" s="272">
        <f t="shared" si="101"/>
        <v>-47.563076472297297</v>
      </c>
      <c r="BO77" s="272">
        <f t="shared" si="101"/>
        <v>-47.631873086015986</v>
      </c>
      <c r="BP77" s="272">
        <f t="shared" si="101"/>
        <v>-47.700769209152703</v>
      </c>
      <c r="BQ77" s="272">
        <f t="shared" si="101"/>
        <v>-47.769764985640755</v>
      </c>
      <c r="BR77" s="272">
        <f t="shared" si="101"/>
        <v>-47.838860559621629</v>
      </c>
      <c r="BS77" s="272">
        <f t="shared" si="101"/>
        <v>-47.908056075445323</v>
      </c>
      <c r="BT77" s="272">
        <f t="shared" si="101"/>
        <v>-47.977351677670633</v>
      </c>
      <c r="BU77" s="272">
        <f t="shared" si="101"/>
        <v>-48.046747511065412</v>
      </c>
      <c r="BV77" s="272">
        <f t="shared" si="101"/>
        <v>-48.116243720606938</v>
      </c>
      <c r="BW77" s="272">
        <f t="shared" si="101"/>
        <v>-48.185840451482186</v>
      </c>
      <c r="BX77" s="272">
        <f t="shared" si="101"/>
        <v>-48.255537849088121</v>
      </c>
      <c r="BY77" s="272">
        <f t="shared" si="101"/>
        <v>-48.325336059032026</v>
      </c>
      <c r="BZ77" s="272">
        <f t="shared" si="101"/>
        <v>-48.395235227131799</v>
      </c>
      <c r="CA77" s="272">
        <f t="shared" si="101"/>
        <v>-48.465235499416245</v>
      </c>
      <c r="CB77" s="272">
        <f t="shared" si="101"/>
        <v>-48.535337022125375</v>
      </c>
      <c r="CC77" s="272">
        <f t="shared" si="101"/>
        <v>-48.605539941710759</v>
      </c>
      <c r="CD77" s="272">
        <f t="shared" si="101"/>
        <v>-48.675844404835757</v>
      </c>
      <c r="CE77" s="272">
        <f t="shared" si="101"/>
        <v>-48.746250558375912</v>
      </c>
      <c r="CF77" s="272">
        <f t="shared" si="101"/>
        <v>-48.816758549419184</v>
      </c>
      <c r="CG77" s="272">
        <f t="shared" si="101"/>
        <v>-48.887368525266304</v>
      </c>
      <c r="CH77" s="272">
        <f t="shared" si="101"/>
        <v>-48.958080633431024</v>
      </c>
      <c r="CI77" s="272">
        <f t="shared" si="101"/>
        <v>-49.028895021640515</v>
      </c>
      <c r="CJ77" s="272">
        <f t="shared" si="101"/>
        <v>-49.099811837835588</v>
      </c>
      <c r="CK77" s="272">
        <f t="shared" si="101"/>
        <v>-49.170831230171061</v>
      </c>
      <c r="CL77" s="272">
        <f t="shared" si="101"/>
        <v>-49.241953347016029</v>
      </c>
      <c r="CM77" s="272">
        <f t="shared" si="101"/>
        <v>-49.313178336954216</v>
      </c>
      <c r="CN77" s="272">
        <f t="shared" si="101"/>
        <v>-49.384506348784242</v>
      </c>
      <c r="CO77" s="272">
        <f t="shared" si="101"/>
        <v>-49.455937531519965</v>
      </c>
      <c r="CP77" s="272">
        <f t="shared" si="101"/>
        <v>-49.527472034390769</v>
      </c>
      <c r="CQ77" s="23" t="s">
        <v>77</v>
      </c>
    </row>
    <row r="78" spans="1:95" outlineLevel="1" x14ac:dyDescent="0.2">
      <c r="B78" s="7" t="s">
        <v>319</v>
      </c>
      <c r="D78" s="9"/>
      <c r="E78" s="9"/>
      <c r="F78" s="9"/>
      <c r="G78" s="9"/>
      <c r="H78" s="9"/>
      <c r="L78" s="198">
        <v>0</v>
      </c>
      <c r="M78" s="198">
        <v>0</v>
      </c>
      <c r="N78" s="198">
        <v>0</v>
      </c>
      <c r="O78" s="198">
        <v>0</v>
      </c>
      <c r="P78" s="198">
        <v>0</v>
      </c>
      <c r="Q78" s="198">
        <v>0</v>
      </c>
      <c r="R78" s="198">
        <v>0</v>
      </c>
      <c r="S78" s="198">
        <v>0</v>
      </c>
      <c r="T78" s="198">
        <v>0</v>
      </c>
      <c r="U78" s="26">
        <v>0</v>
      </c>
      <c r="V78" s="157">
        <v>0.1</v>
      </c>
      <c r="W78" s="157">
        <v>0</v>
      </c>
      <c r="X78" s="989">
        <v>0</v>
      </c>
      <c r="Y78" s="989">
        <v>0</v>
      </c>
      <c r="Z78" s="989">
        <v>0</v>
      </c>
      <c r="AA78" s="989">
        <v>0</v>
      </c>
      <c r="AB78" s="989">
        <v>0</v>
      </c>
      <c r="AC78" s="157">
        <v>0</v>
      </c>
      <c r="AD78" s="157">
        <v>0</v>
      </c>
      <c r="AE78" s="157">
        <v>0</v>
      </c>
      <c r="AF78" s="157">
        <v>0</v>
      </c>
      <c r="AG78" s="157">
        <v>0</v>
      </c>
      <c r="AH78" s="157">
        <v>0</v>
      </c>
      <c r="AI78" s="157">
        <v>0</v>
      </c>
      <c r="AJ78" s="157">
        <v>0</v>
      </c>
      <c r="AK78" s="157">
        <v>0</v>
      </c>
      <c r="AL78" s="157">
        <v>0</v>
      </c>
      <c r="AM78" s="157">
        <v>0</v>
      </c>
      <c r="AN78" s="157">
        <v>0</v>
      </c>
      <c r="AO78" s="157">
        <v>0</v>
      </c>
      <c r="AP78" s="157">
        <v>0</v>
      </c>
      <c r="AQ78" s="157">
        <v>0</v>
      </c>
      <c r="AR78" s="157">
        <v>0</v>
      </c>
      <c r="AS78" s="157">
        <v>0</v>
      </c>
      <c r="AT78" s="157">
        <v>0</v>
      </c>
      <c r="AU78" s="157">
        <v>0</v>
      </c>
      <c r="AV78" s="157">
        <v>0</v>
      </c>
      <c r="AW78" s="157">
        <v>0</v>
      </c>
      <c r="AX78" s="157">
        <v>0</v>
      </c>
      <c r="AY78" s="157">
        <v>0</v>
      </c>
      <c r="AZ78" s="157">
        <v>0</v>
      </c>
      <c r="BA78" s="157">
        <v>0</v>
      </c>
      <c r="BB78" s="157">
        <v>0</v>
      </c>
      <c r="BC78" s="157">
        <v>0</v>
      </c>
      <c r="BD78" s="157">
        <v>0</v>
      </c>
      <c r="BE78" s="157">
        <v>0</v>
      </c>
      <c r="BF78" s="157">
        <v>0</v>
      </c>
      <c r="BG78" s="157">
        <v>0</v>
      </c>
      <c r="BH78" s="157">
        <v>0</v>
      </c>
      <c r="BI78" s="157">
        <v>0</v>
      </c>
      <c r="BJ78" s="157">
        <v>0</v>
      </c>
      <c r="BK78" s="157">
        <v>0</v>
      </c>
      <c r="BL78" s="157">
        <v>0</v>
      </c>
      <c r="BM78" s="157">
        <v>0</v>
      </c>
      <c r="BN78" s="157">
        <v>0</v>
      </c>
      <c r="BO78" s="157">
        <v>0</v>
      </c>
      <c r="BP78" s="157">
        <v>0</v>
      </c>
      <c r="BQ78" s="157">
        <v>0</v>
      </c>
      <c r="BR78" s="157">
        <v>0</v>
      </c>
      <c r="BS78" s="157">
        <v>0</v>
      </c>
      <c r="BT78" s="157">
        <v>0</v>
      </c>
      <c r="BU78" s="157">
        <v>0</v>
      </c>
      <c r="BV78" s="157">
        <v>0</v>
      </c>
      <c r="BW78" s="157">
        <v>0</v>
      </c>
      <c r="BX78" s="157">
        <v>0</v>
      </c>
      <c r="BY78" s="157">
        <v>0</v>
      </c>
      <c r="BZ78" s="157">
        <v>0</v>
      </c>
      <c r="CA78" s="157">
        <v>0</v>
      </c>
      <c r="CB78" s="157">
        <v>0</v>
      </c>
      <c r="CC78" s="157">
        <v>0</v>
      </c>
      <c r="CD78" s="157">
        <v>0</v>
      </c>
      <c r="CE78" s="157">
        <v>0</v>
      </c>
      <c r="CF78" s="157">
        <v>0</v>
      </c>
      <c r="CG78" s="157">
        <v>0</v>
      </c>
      <c r="CH78" s="157">
        <v>0</v>
      </c>
      <c r="CI78" s="157">
        <v>0</v>
      </c>
      <c r="CJ78" s="157">
        <v>0</v>
      </c>
      <c r="CK78" s="157">
        <v>0</v>
      </c>
      <c r="CL78" s="157">
        <v>0</v>
      </c>
      <c r="CM78" s="157">
        <v>0</v>
      </c>
      <c r="CN78" s="157">
        <v>0</v>
      </c>
      <c r="CO78" s="157">
        <v>0</v>
      </c>
      <c r="CP78" s="157">
        <v>0</v>
      </c>
      <c r="CQ78" s="23" t="s">
        <v>77</v>
      </c>
    </row>
    <row r="79" spans="1:95" outlineLevel="1" x14ac:dyDescent="0.2">
      <c r="A79" s="233"/>
      <c r="B79" s="1" t="s">
        <v>320</v>
      </c>
      <c r="D79" s="3"/>
      <c r="E79" s="3">
        <f t="shared" ref="E79:BB79" si="102">SUM(E74:E78)</f>
        <v>0</v>
      </c>
      <c r="F79" s="3">
        <f t="shared" si="102"/>
        <v>0</v>
      </c>
      <c r="G79" s="3">
        <f t="shared" si="102"/>
        <v>0</v>
      </c>
      <c r="H79" s="3">
        <f t="shared" si="102"/>
        <v>0</v>
      </c>
      <c r="I79" s="3">
        <f t="shared" si="102"/>
        <v>0</v>
      </c>
      <c r="J79" s="3">
        <f t="shared" si="102"/>
        <v>0</v>
      </c>
      <c r="K79" s="3">
        <f t="shared" si="102"/>
        <v>0</v>
      </c>
      <c r="L79" s="3">
        <f t="shared" si="102"/>
        <v>573.50799999999992</v>
      </c>
      <c r="M79" s="3">
        <f t="shared" si="102"/>
        <v>586.99599999999987</v>
      </c>
      <c r="N79" s="3">
        <f t="shared" si="102"/>
        <v>600.17399999999986</v>
      </c>
      <c r="O79" s="3">
        <f t="shared" si="102"/>
        <v>613.52199999999982</v>
      </c>
      <c r="P79" s="3">
        <f t="shared" si="102"/>
        <v>626.77999999999986</v>
      </c>
      <c r="Q79" s="33">
        <f t="shared" si="102"/>
        <v>640.29999999999995</v>
      </c>
      <c r="R79" s="33">
        <f t="shared" si="102"/>
        <v>732.99999999999989</v>
      </c>
      <c r="S79" s="33">
        <f t="shared" si="102"/>
        <v>747.0999999999998</v>
      </c>
      <c r="T79" s="33">
        <f t="shared" si="102"/>
        <v>748.59999999999991</v>
      </c>
      <c r="U79" s="33">
        <f t="shared" si="102"/>
        <v>985.50000000000011</v>
      </c>
      <c r="V79" s="33">
        <f t="shared" si="102"/>
        <v>1037.5999999999999</v>
      </c>
      <c r="W79" s="33">
        <f t="shared" si="102"/>
        <v>1084.1000000000001</v>
      </c>
      <c r="X79" s="33">
        <f t="shared" si="102"/>
        <v>1022.8084819463375</v>
      </c>
      <c r="Y79" s="33">
        <f t="shared" si="102"/>
        <v>1085.6207029303489</v>
      </c>
      <c r="Z79" s="33">
        <f t="shared" si="102"/>
        <v>1145.0620652070911</v>
      </c>
      <c r="AA79" s="33">
        <f t="shared" si="102"/>
        <v>1141.8598269940317</v>
      </c>
      <c r="AB79" s="33">
        <f t="shared" si="102"/>
        <v>1143.5114461756539</v>
      </c>
      <c r="AC79" s="33">
        <f t="shared" si="102"/>
        <v>1145.1654543071772</v>
      </c>
      <c r="AD79" s="33">
        <f t="shared" si="102"/>
        <v>1146.8218548440486</v>
      </c>
      <c r="AE79" s="33">
        <f t="shared" si="102"/>
        <v>1148.4806512467121</v>
      </c>
      <c r="AF79" s="33">
        <f t="shared" si="102"/>
        <v>1150.1418469806179</v>
      </c>
      <c r="AG79" s="33">
        <f t="shared" si="102"/>
        <v>1151.805445516228</v>
      </c>
      <c r="AH79" s="33">
        <f t="shared" si="102"/>
        <v>1153.4714503290249</v>
      </c>
      <c r="AI79" s="33">
        <f t="shared" si="102"/>
        <v>1155.1398648995173</v>
      </c>
      <c r="AJ79" s="33">
        <f t="shared" si="102"/>
        <v>1156.8106927132487</v>
      </c>
      <c r="AK79" s="33">
        <f t="shared" si="102"/>
        <v>1158.4839372608042</v>
      </c>
      <c r="AL79" s="33">
        <f t="shared" si="102"/>
        <v>1160.1596020378179</v>
      </c>
      <c r="AM79" s="33">
        <f t="shared" si="102"/>
        <v>1161.8376905449798</v>
      </c>
      <c r="AN79" s="33">
        <f t="shared" si="102"/>
        <v>1163.5182062880435</v>
      </c>
      <c r="AO79" s="33">
        <f t="shared" si="102"/>
        <v>1165.2011527778334</v>
      </c>
      <c r="AP79" s="33">
        <f t="shared" si="102"/>
        <v>1166.8865335302521</v>
      </c>
      <c r="AQ79" s="33">
        <f t="shared" si="102"/>
        <v>1168.5743520662879</v>
      </c>
      <c r="AR79" s="33">
        <f t="shared" si="102"/>
        <v>1170.2646119120216</v>
      </c>
      <c r="AS79" s="33">
        <f t="shared" si="102"/>
        <v>1171.957316598634</v>
      </c>
      <c r="AT79" s="33">
        <f t="shared" si="102"/>
        <v>1173.6524696624144</v>
      </c>
      <c r="AU79" s="33">
        <f t="shared" si="102"/>
        <v>1175.3500746447662</v>
      </c>
      <c r="AV79" s="33">
        <f t="shared" si="102"/>
        <v>1177.0501350922159</v>
      </c>
      <c r="AW79" s="33">
        <f t="shared" si="102"/>
        <v>1178.752654556419</v>
      </c>
      <c r="AX79" s="33">
        <f t="shared" si="102"/>
        <v>1180.4576365941689</v>
      </c>
      <c r="AY79" s="33">
        <f t="shared" si="102"/>
        <v>1182.1650847674036</v>
      </c>
      <c r="AZ79" s="33">
        <f t="shared" si="102"/>
        <v>1183.8750026432131</v>
      </c>
      <c r="BA79" s="33">
        <f t="shared" si="102"/>
        <v>1185.5873937938463</v>
      </c>
      <c r="BB79" s="33">
        <f t="shared" si="102"/>
        <v>1187.3022617967204</v>
      </c>
      <c r="BC79" s="33">
        <f t="shared" ref="BC79:CP79" si="103">SUM(BC74:BC78)</f>
        <v>1189.0196102344257</v>
      </c>
      <c r="BD79" s="33">
        <f t="shared" si="103"/>
        <v>1190.7394426947355</v>
      </c>
      <c r="BE79" s="33">
        <f t="shared" si="103"/>
        <v>1192.4617627706118</v>
      </c>
      <c r="BF79" s="33">
        <f t="shared" si="103"/>
        <v>1194.1865740602143</v>
      </c>
      <c r="BG79" s="33">
        <f t="shared" si="103"/>
        <v>1195.9138801669067</v>
      </c>
      <c r="BH79" s="33">
        <f t="shared" si="103"/>
        <v>1197.6436846992647</v>
      </c>
      <c r="BI79" s="33">
        <f t="shared" si="103"/>
        <v>1199.3759912710836</v>
      </c>
      <c r="BJ79" s="33">
        <f t="shared" si="103"/>
        <v>1201.1108035013863</v>
      </c>
      <c r="BK79" s="33">
        <f t="shared" si="103"/>
        <v>1202.8481250144296</v>
      </c>
      <c r="BL79" s="33">
        <f t="shared" si="103"/>
        <v>1204.5879594397127</v>
      </c>
      <c r="BM79" s="33">
        <f t="shared" si="103"/>
        <v>1206.3303104119848</v>
      </c>
      <c r="BN79" s="33">
        <f t="shared" si="103"/>
        <v>1208.0751815712526</v>
      </c>
      <c r="BO79" s="33">
        <f t="shared" si="103"/>
        <v>1209.8225765627878</v>
      </c>
      <c r="BP79" s="33">
        <f t="shared" si="103"/>
        <v>1211.5724990371345</v>
      </c>
      <c r="BQ79" s="33">
        <f t="shared" si="103"/>
        <v>1213.3249526501172</v>
      </c>
      <c r="BR79" s="33">
        <f t="shared" si="103"/>
        <v>1215.0799410628481</v>
      </c>
      <c r="BS79" s="33">
        <f t="shared" si="103"/>
        <v>1216.8374679417354</v>
      </c>
      <c r="BT79" s="33">
        <f t="shared" si="103"/>
        <v>1218.5975369584901</v>
      </c>
      <c r="BU79" s="33">
        <f t="shared" si="103"/>
        <v>1220.3601517901341</v>
      </c>
      <c r="BV79" s="33">
        <f t="shared" si="103"/>
        <v>1222.1253161190079</v>
      </c>
      <c r="BW79" s="33">
        <f t="shared" si="103"/>
        <v>1223.8930336327783</v>
      </c>
      <c r="BX79" s="33">
        <f t="shared" si="103"/>
        <v>1225.6633080244458</v>
      </c>
      <c r="BY79" s="33">
        <f t="shared" si="103"/>
        <v>1227.4361429923531</v>
      </c>
      <c r="BZ79" s="33">
        <f t="shared" si="103"/>
        <v>1229.2115422401919</v>
      </c>
      <c r="CA79" s="33">
        <f t="shared" si="103"/>
        <v>1230.9895094770109</v>
      </c>
      <c r="CB79" s="33">
        <f t="shared" si="103"/>
        <v>1232.770048417224</v>
      </c>
      <c r="CC79" s="33">
        <f t="shared" si="103"/>
        <v>1234.5531627806174</v>
      </c>
      <c r="CD79" s="33">
        <f t="shared" si="103"/>
        <v>1236.3388562923581</v>
      </c>
      <c r="CE79" s="33">
        <f t="shared" si="103"/>
        <v>1238.127132683001</v>
      </c>
      <c r="CF79" s="33">
        <f t="shared" si="103"/>
        <v>1239.9179956884975</v>
      </c>
      <c r="CG79" s="33">
        <f t="shared" si="103"/>
        <v>1241.7114490502017</v>
      </c>
      <c r="CH79" s="33">
        <f t="shared" si="103"/>
        <v>1243.5074965148804</v>
      </c>
      <c r="CI79" s="33">
        <f t="shared" si="103"/>
        <v>1245.3061418347193</v>
      </c>
      <c r="CJ79" s="33">
        <f t="shared" si="103"/>
        <v>1247.1073887673313</v>
      </c>
      <c r="CK79" s="33">
        <f t="shared" si="103"/>
        <v>1248.9112410757648</v>
      </c>
      <c r="CL79" s="33">
        <f t="shared" si="103"/>
        <v>1250.7177025285109</v>
      </c>
      <c r="CM79" s="33">
        <f t="shared" si="103"/>
        <v>1252.5267768995118</v>
      </c>
      <c r="CN79" s="33">
        <f t="shared" si="103"/>
        <v>1254.3384679681681</v>
      </c>
      <c r="CO79" s="33">
        <f t="shared" si="103"/>
        <v>1256.1527795193472</v>
      </c>
      <c r="CP79" s="33">
        <f t="shared" si="103"/>
        <v>1257.9697153433913</v>
      </c>
      <c r="CQ79" s="23" t="s">
        <v>77</v>
      </c>
    </row>
    <row r="80" spans="1:95" ht="5.0999999999999996" customHeight="1" outlineLevel="1" x14ac:dyDescent="0.2">
      <c r="CQ80" s="23" t="s">
        <v>77</v>
      </c>
    </row>
    <row r="81" spans="1:96" outlineLevel="1" x14ac:dyDescent="0.2">
      <c r="A81" s="233"/>
      <c r="B81" s="358" t="s">
        <v>323</v>
      </c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  <c r="S81" s="66"/>
      <c r="T81" s="66"/>
      <c r="U81" s="66"/>
      <c r="V81" s="66"/>
      <c r="W81" s="66"/>
      <c r="X81" s="66"/>
      <c r="Y81" s="66"/>
      <c r="Z81" s="66"/>
      <c r="AA81" s="236"/>
      <c r="AB81" s="66"/>
      <c r="AC81" s="66"/>
      <c r="AD81" s="66"/>
      <c r="AE81" s="66"/>
      <c r="AF81" s="66"/>
      <c r="AG81" s="66"/>
      <c r="AH81" s="66"/>
      <c r="AI81" s="66"/>
      <c r="AJ81" s="66"/>
      <c r="AK81" s="66"/>
      <c r="AL81" s="66"/>
      <c r="AM81" s="66"/>
      <c r="AN81" s="66"/>
      <c r="AO81" s="66"/>
      <c r="AP81" s="66"/>
      <c r="AQ81" s="66"/>
      <c r="AR81" s="66"/>
      <c r="AS81" s="66"/>
      <c r="AT81" s="66"/>
      <c r="AU81" s="66"/>
      <c r="AV81" s="66"/>
      <c r="AW81" s="66"/>
      <c r="AX81" s="66"/>
      <c r="AY81" s="66"/>
      <c r="AZ81" s="66"/>
      <c r="BA81" s="66"/>
      <c r="BB81" s="66"/>
      <c r="BC81" s="66"/>
      <c r="BD81" s="66"/>
      <c r="BE81" s="66"/>
      <c r="BF81" s="66"/>
      <c r="BG81" s="66"/>
      <c r="BH81" s="66"/>
      <c r="BI81" s="66"/>
      <c r="BJ81" s="66"/>
      <c r="BK81" s="66"/>
      <c r="BL81" s="66"/>
      <c r="BM81" s="66"/>
      <c r="BN81" s="66"/>
      <c r="BO81" s="66"/>
      <c r="BP81" s="66"/>
      <c r="BQ81" s="66"/>
      <c r="BR81" s="66"/>
      <c r="BS81" s="66"/>
      <c r="BT81" s="66"/>
      <c r="BU81" s="66"/>
      <c r="BV81" s="66"/>
      <c r="BW81" s="66"/>
      <c r="BX81" s="66"/>
      <c r="BY81" s="66"/>
      <c r="BZ81" s="66"/>
      <c r="CA81" s="66"/>
      <c r="CB81" s="66"/>
      <c r="CC81" s="66"/>
      <c r="CD81" s="66"/>
      <c r="CE81" s="66"/>
      <c r="CF81" s="66"/>
      <c r="CG81" s="66"/>
      <c r="CH81" s="66"/>
      <c r="CI81" s="66"/>
      <c r="CJ81" s="66"/>
      <c r="CK81" s="66"/>
      <c r="CL81" s="66"/>
      <c r="CM81" s="66"/>
      <c r="CN81" s="66"/>
      <c r="CO81" s="66"/>
      <c r="CP81" s="66"/>
      <c r="CQ81" s="23" t="s">
        <v>77</v>
      </c>
      <c r="CR81" s="233"/>
    </row>
    <row r="82" spans="1:96" outlineLevel="1" x14ac:dyDescent="0.2">
      <c r="B82" s="8" t="s">
        <v>51</v>
      </c>
      <c r="D82" s="75"/>
      <c r="E82" s="72"/>
      <c r="F82" s="72"/>
      <c r="G82" s="72"/>
      <c r="H82" s="72"/>
      <c r="I82" s="72"/>
      <c r="J82" s="72"/>
      <c r="K82" s="72"/>
      <c r="L82" s="125">
        <v>6.2899999999999998E-2</v>
      </c>
      <c r="M82" s="72">
        <f t="shared" ref="M82:O91" si="104">+L82</f>
        <v>6.2899999999999998E-2</v>
      </c>
      <c r="N82" s="72">
        <f t="shared" si="104"/>
        <v>6.2899999999999998E-2</v>
      </c>
      <c r="O82" s="72">
        <f t="shared" si="104"/>
        <v>6.2899999999999998E-2</v>
      </c>
      <c r="P82" s="72">
        <f t="shared" ref="P82:P91" si="105">+O82</f>
        <v>6.2899999999999998E-2</v>
      </c>
      <c r="Q82" s="125">
        <v>3.2199999999999999E-2</v>
      </c>
      <c r="R82" s="72">
        <f t="shared" ref="R82:S91" si="106">+Q82</f>
        <v>3.2199999999999999E-2</v>
      </c>
      <c r="S82" s="72">
        <f t="shared" si="106"/>
        <v>3.2199999999999999E-2</v>
      </c>
      <c r="T82" s="72">
        <f t="shared" ref="T82:T91" si="107">+S82</f>
        <v>3.2199999999999999E-2</v>
      </c>
      <c r="U82" s="976">
        <f t="shared" ref="U82:U91" si="108">+T82</f>
        <v>3.2199999999999999E-2</v>
      </c>
      <c r="V82" s="219">
        <v>2.5999999999999999E-2</v>
      </c>
      <c r="W82" s="288">
        <f>V82</f>
        <v>2.5999999999999999E-2</v>
      </c>
      <c r="X82" s="219">
        <v>2.7300000000000001E-2</v>
      </c>
      <c r="Y82" s="977">
        <f>X82</f>
        <v>2.7300000000000001E-2</v>
      </c>
      <c r="Z82" s="977">
        <f>Y82</f>
        <v>2.7300000000000001E-2</v>
      </c>
      <c r="AA82" s="978">
        <f t="shared" ref="AA82:AB82" si="109">Z82</f>
        <v>2.7300000000000001E-2</v>
      </c>
      <c r="AB82" s="977">
        <f t="shared" si="109"/>
        <v>2.7300000000000001E-2</v>
      </c>
      <c r="AC82" s="224">
        <f>+($AE$82-$X$82)/7+AB82</f>
        <v>2.982857142857143E-2</v>
      </c>
      <c r="AD82" s="224">
        <f>+($AE$82-$X$82)/7+AC82</f>
        <v>3.2357142857142855E-2</v>
      </c>
      <c r="AE82" s="219">
        <v>4.4999999999999998E-2</v>
      </c>
      <c r="AF82" s="163">
        <f t="shared" ref="AF82:BB82" si="110">+AE82</f>
        <v>4.4999999999999998E-2</v>
      </c>
      <c r="AG82" s="163">
        <f t="shared" si="110"/>
        <v>4.4999999999999998E-2</v>
      </c>
      <c r="AH82" s="163">
        <f t="shared" si="110"/>
        <v>4.4999999999999998E-2</v>
      </c>
      <c r="AI82" s="163">
        <f t="shared" si="110"/>
        <v>4.4999999999999998E-2</v>
      </c>
      <c r="AJ82" s="163">
        <f t="shared" si="110"/>
        <v>4.4999999999999998E-2</v>
      </c>
      <c r="AK82" s="163">
        <f t="shared" si="110"/>
        <v>4.4999999999999998E-2</v>
      </c>
      <c r="AL82" s="163">
        <f t="shared" si="110"/>
        <v>4.4999999999999998E-2</v>
      </c>
      <c r="AM82" s="163">
        <f t="shared" si="110"/>
        <v>4.4999999999999998E-2</v>
      </c>
      <c r="AN82" s="163">
        <f t="shared" si="110"/>
        <v>4.4999999999999998E-2</v>
      </c>
      <c r="AO82" s="163">
        <f t="shared" si="110"/>
        <v>4.4999999999999998E-2</v>
      </c>
      <c r="AP82" s="163">
        <f t="shared" si="110"/>
        <v>4.4999999999999998E-2</v>
      </c>
      <c r="AQ82" s="163">
        <f t="shared" si="110"/>
        <v>4.4999999999999998E-2</v>
      </c>
      <c r="AR82" s="163">
        <f t="shared" si="110"/>
        <v>4.4999999999999998E-2</v>
      </c>
      <c r="AS82" s="163">
        <f t="shared" si="110"/>
        <v>4.4999999999999998E-2</v>
      </c>
      <c r="AT82" s="163">
        <f t="shared" si="110"/>
        <v>4.4999999999999998E-2</v>
      </c>
      <c r="AU82" s="163">
        <f t="shared" si="110"/>
        <v>4.4999999999999998E-2</v>
      </c>
      <c r="AV82" s="163">
        <f t="shared" si="110"/>
        <v>4.4999999999999998E-2</v>
      </c>
      <c r="AW82" s="163">
        <f t="shared" si="110"/>
        <v>4.4999999999999998E-2</v>
      </c>
      <c r="AX82" s="163">
        <f t="shared" si="110"/>
        <v>4.4999999999999998E-2</v>
      </c>
      <c r="AY82" s="163">
        <f t="shared" si="110"/>
        <v>4.4999999999999998E-2</v>
      </c>
      <c r="AZ82" s="163">
        <f t="shared" si="110"/>
        <v>4.4999999999999998E-2</v>
      </c>
      <c r="BA82" s="163">
        <f t="shared" si="110"/>
        <v>4.4999999999999998E-2</v>
      </c>
      <c r="BB82" s="163">
        <f t="shared" si="110"/>
        <v>4.4999999999999998E-2</v>
      </c>
      <c r="BC82" s="163">
        <f t="shared" ref="BC82:CP82" si="111">+BB82</f>
        <v>4.4999999999999998E-2</v>
      </c>
      <c r="BD82" s="163">
        <f t="shared" si="111"/>
        <v>4.4999999999999998E-2</v>
      </c>
      <c r="BE82" s="163">
        <f t="shared" si="111"/>
        <v>4.4999999999999998E-2</v>
      </c>
      <c r="BF82" s="163">
        <f t="shared" si="111"/>
        <v>4.4999999999999998E-2</v>
      </c>
      <c r="BG82" s="163">
        <f t="shared" si="111"/>
        <v>4.4999999999999998E-2</v>
      </c>
      <c r="BH82" s="163">
        <f t="shared" si="111"/>
        <v>4.4999999999999998E-2</v>
      </c>
      <c r="BI82" s="163">
        <f t="shared" si="111"/>
        <v>4.4999999999999998E-2</v>
      </c>
      <c r="BJ82" s="163">
        <f t="shared" si="111"/>
        <v>4.4999999999999998E-2</v>
      </c>
      <c r="BK82" s="163">
        <f t="shared" si="111"/>
        <v>4.4999999999999998E-2</v>
      </c>
      <c r="BL82" s="163">
        <f t="shared" si="111"/>
        <v>4.4999999999999998E-2</v>
      </c>
      <c r="BM82" s="163">
        <f t="shared" si="111"/>
        <v>4.4999999999999998E-2</v>
      </c>
      <c r="BN82" s="163">
        <f t="shared" si="111"/>
        <v>4.4999999999999998E-2</v>
      </c>
      <c r="BO82" s="163">
        <f t="shared" si="111"/>
        <v>4.4999999999999998E-2</v>
      </c>
      <c r="BP82" s="163">
        <f t="shared" si="111"/>
        <v>4.4999999999999998E-2</v>
      </c>
      <c r="BQ82" s="163">
        <f t="shared" si="111"/>
        <v>4.4999999999999998E-2</v>
      </c>
      <c r="BR82" s="163">
        <f t="shared" si="111"/>
        <v>4.4999999999999998E-2</v>
      </c>
      <c r="BS82" s="163">
        <f t="shared" si="111"/>
        <v>4.4999999999999998E-2</v>
      </c>
      <c r="BT82" s="163">
        <f t="shared" si="111"/>
        <v>4.4999999999999998E-2</v>
      </c>
      <c r="BU82" s="163">
        <f t="shared" si="111"/>
        <v>4.4999999999999998E-2</v>
      </c>
      <c r="BV82" s="163">
        <f t="shared" si="111"/>
        <v>4.4999999999999998E-2</v>
      </c>
      <c r="BW82" s="163">
        <f t="shared" si="111"/>
        <v>4.4999999999999998E-2</v>
      </c>
      <c r="BX82" s="163">
        <f t="shared" si="111"/>
        <v>4.4999999999999998E-2</v>
      </c>
      <c r="BY82" s="163">
        <f t="shared" si="111"/>
        <v>4.4999999999999998E-2</v>
      </c>
      <c r="BZ82" s="163">
        <f t="shared" si="111"/>
        <v>4.4999999999999998E-2</v>
      </c>
      <c r="CA82" s="163">
        <f t="shared" si="111"/>
        <v>4.4999999999999998E-2</v>
      </c>
      <c r="CB82" s="163">
        <f t="shared" si="111"/>
        <v>4.4999999999999998E-2</v>
      </c>
      <c r="CC82" s="163">
        <f t="shared" si="111"/>
        <v>4.4999999999999998E-2</v>
      </c>
      <c r="CD82" s="163">
        <f t="shared" si="111"/>
        <v>4.4999999999999998E-2</v>
      </c>
      <c r="CE82" s="163">
        <f t="shared" si="111"/>
        <v>4.4999999999999998E-2</v>
      </c>
      <c r="CF82" s="163">
        <f t="shared" si="111"/>
        <v>4.4999999999999998E-2</v>
      </c>
      <c r="CG82" s="163">
        <f t="shared" si="111"/>
        <v>4.4999999999999998E-2</v>
      </c>
      <c r="CH82" s="163">
        <f t="shared" si="111"/>
        <v>4.4999999999999998E-2</v>
      </c>
      <c r="CI82" s="163">
        <f t="shared" si="111"/>
        <v>4.4999999999999998E-2</v>
      </c>
      <c r="CJ82" s="163">
        <f t="shared" si="111"/>
        <v>4.4999999999999998E-2</v>
      </c>
      <c r="CK82" s="163">
        <f t="shared" si="111"/>
        <v>4.4999999999999998E-2</v>
      </c>
      <c r="CL82" s="163">
        <f t="shared" si="111"/>
        <v>4.4999999999999998E-2</v>
      </c>
      <c r="CM82" s="163">
        <f t="shared" si="111"/>
        <v>4.4999999999999998E-2</v>
      </c>
      <c r="CN82" s="163">
        <f t="shared" si="111"/>
        <v>4.4999999999999998E-2</v>
      </c>
      <c r="CO82" s="163">
        <f t="shared" si="111"/>
        <v>4.4999999999999998E-2</v>
      </c>
      <c r="CP82" s="163">
        <f t="shared" si="111"/>
        <v>4.4999999999999998E-2</v>
      </c>
      <c r="CQ82" s="23" t="s">
        <v>77</v>
      </c>
    </row>
    <row r="83" spans="1:96" outlineLevel="1" x14ac:dyDescent="0.2">
      <c r="B83" s="8" t="s">
        <v>53</v>
      </c>
      <c r="D83" s="72"/>
      <c r="E83" s="72"/>
      <c r="F83" s="72"/>
      <c r="G83" s="72"/>
      <c r="H83" s="72"/>
      <c r="I83" s="72"/>
      <c r="J83" s="72"/>
      <c r="K83" s="72"/>
      <c r="L83" s="125">
        <v>2.6800000000000001E-2</v>
      </c>
      <c r="M83" s="72">
        <f t="shared" si="104"/>
        <v>2.6800000000000001E-2</v>
      </c>
      <c r="N83" s="72">
        <f t="shared" si="104"/>
        <v>2.6800000000000001E-2</v>
      </c>
      <c r="O83" s="72">
        <f t="shared" si="104"/>
        <v>2.6800000000000001E-2</v>
      </c>
      <c r="P83" s="72">
        <f t="shared" si="105"/>
        <v>2.6800000000000001E-2</v>
      </c>
      <c r="Q83" s="125">
        <v>2.5000000000000001E-2</v>
      </c>
      <c r="R83" s="72">
        <f t="shared" si="106"/>
        <v>2.5000000000000001E-2</v>
      </c>
      <c r="S83" s="72">
        <f t="shared" si="106"/>
        <v>2.5000000000000001E-2</v>
      </c>
      <c r="T83" s="72">
        <f t="shared" si="107"/>
        <v>2.5000000000000001E-2</v>
      </c>
      <c r="U83" s="27">
        <f t="shared" si="108"/>
        <v>2.5000000000000001E-2</v>
      </c>
      <c r="V83" s="220">
        <v>2.4500000000000001E-2</v>
      </c>
      <c r="W83" s="288">
        <f t="shared" ref="W83:BB83" si="112">+V83</f>
        <v>2.4500000000000001E-2</v>
      </c>
      <c r="X83" s="220">
        <v>2.44995114800401E-2</v>
      </c>
      <c r="Y83" s="977">
        <f t="shared" si="112"/>
        <v>2.44995114800401E-2</v>
      </c>
      <c r="Z83" s="977">
        <f t="shared" si="112"/>
        <v>2.44995114800401E-2</v>
      </c>
      <c r="AA83" s="979">
        <f t="shared" si="112"/>
        <v>2.44995114800401E-2</v>
      </c>
      <c r="AB83" s="977">
        <f t="shared" si="112"/>
        <v>2.44995114800401E-2</v>
      </c>
      <c r="AC83" s="288">
        <f t="shared" si="112"/>
        <v>2.44995114800401E-2</v>
      </c>
      <c r="AD83" s="288">
        <f t="shared" si="112"/>
        <v>2.44995114800401E-2</v>
      </c>
      <c r="AE83" s="292">
        <f t="shared" si="112"/>
        <v>2.44995114800401E-2</v>
      </c>
      <c r="AF83" s="288">
        <f t="shared" si="112"/>
        <v>2.44995114800401E-2</v>
      </c>
      <c r="AG83" s="288">
        <f t="shared" si="112"/>
        <v>2.44995114800401E-2</v>
      </c>
      <c r="AH83" s="288">
        <f t="shared" si="112"/>
        <v>2.44995114800401E-2</v>
      </c>
      <c r="AI83" s="288">
        <f t="shared" si="112"/>
        <v>2.44995114800401E-2</v>
      </c>
      <c r="AJ83" s="288">
        <f t="shared" si="112"/>
        <v>2.44995114800401E-2</v>
      </c>
      <c r="AK83" s="288">
        <f t="shared" si="112"/>
        <v>2.44995114800401E-2</v>
      </c>
      <c r="AL83" s="288">
        <f t="shared" si="112"/>
        <v>2.44995114800401E-2</v>
      </c>
      <c r="AM83" s="288">
        <f t="shared" si="112"/>
        <v>2.44995114800401E-2</v>
      </c>
      <c r="AN83" s="288">
        <f t="shared" si="112"/>
        <v>2.44995114800401E-2</v>
      </c>
      <c r="AO83" s="288">
        <f t="shared" si="112"/>
        <v>2.44995114800401E-2</v>
      </c>
      <c r="AP83" s="288">
        <f t="shared" si="112"/>
        <v>2.44995114800401E-2</v>
      </c>
      <c r="AQ83" s="288">
        <f t="shared" si="112"/>
        <v>2.44995114800401E-2</v>
      </c>
      <c r="AR83" s="288">
        <f t="shared" si="112"/>
        <v>2.44995114800401E-2</v>
      </c>
      <c r="AS83" s="288">
        <f t="shared" si="112"/>
        <v>2.44995114800401E-2</v>
      </c>
      <c r="AT83" s="288">
        <f t="shared" si="112"/>
        <v>2.44995114800401E-2</v>
      </c>
      <c r="AU83" s="288">
        <f t="shared" si="112"/>
        <v>2.44995114800401E-2</v>
      </c>
      <c r="AV83" s="288">
        <f t="shared" si="112"/>
        <v>2.44995114800401E-2</v>
      </c>
      <c r="AW83" s="288">
        <f t="shared" si="112"/>
        <v>2.44995114800401E-2</v>
      </c>
      <c r="AX83" s="288">
        <f t="shared" si="112"/>
        <v>2.44995114800401E-2</v>
      </c>
      <c r="AY83" s="288">
        <f t="shared" si="112"/>
        <v>2.44995114800401E-2</v>
      </c>
      <c r="AZ83" s="288">
        <f t="shared" si="112"/>
        <v>2.44995114800401E-2</v>
      </c>
      <c r="BA83" s="288">
        <f t="shared" si="112"/>
        <v>2.44995114800401E-2</v>
      </c>
      <c r="BB83" s="288">
        <f t="shared" si="112"/>
        <v>2.44995114800401E-2</v>
      </c>
      <c r="BC83" s="288">
        <f t="shared" ref="BC83:CP83" si="113">+BB83</f>
        <v>2.44995114800401E-2</v>
      </c>
      <c r="BD83" s="288">
        <f t="shared" si="113"/>
        <v>2.44995114800401E-2</v>
      </c>
      <c r="BE83" s="288">
        <f t="shared" si="113"/>
        <v>2.44995114800401E-2</v>
      </c>
      <c r="BF83" s="288">
        <f t="shared" si="113"/>
        <v>2.44995114800401E-2</v>
      </c>
      <c r="BG83" s="288">
        <f t="shared" si="113"/>
        <v>2.44995114800401E-2</v>
      </c>
      <c r="BH83" s="288">
        <f t="shared" si="113"/>
        <v>2.44995114800401E-2</v>
      </c>
      <c r="BI83" s="288">
        <f t="shared" si="113"/>
        <v>2.44995114800401E-2</v>
      </c>
      <c r="BJ83" s="288">
        <f t="shared" si="113"/>
        <v>2.44995114800401E-2</v>
      </c>
      <c r="BK83" s="288">
        <f t="shared" si="113"/>
        <v>2.44995114800401E-2</v>
      </c>
      <c r="BL83" s="288">
        <f t="shared" si="113"/>
        <v>2.44995114800401E-2</v>
      </c>
      <c r="BM83" s="288">
        <f t="shared" si="113"/>
        <v>2.44995114800401E-2</v>
      </c>
      <c r="BN83" s="288">
        <f t="shared" si="113"/>
        <v>2.44995114800401E-2</v>
      </c>
      <c r="BO83" s="288">
        <f t="shared" si="113"/>
        <v>2.44995114800401E-2</v>
      </c>
      <c r="BP83" s="288">
        <f t="shared" si="113"/>
        <v>2.44995114800401E-2</v>
      </c>
      <c r="BQ83" s="288">
        <f t="shared" si="113"/>
        <v>2.44995114800401E-2</v>
      </c>
      <c r="BR83" s="288">
        <f t="shared" si="113"/>
        <v>2.44995114800401E-2</v>
      </c>
      <c r="BS83" s="288">
        <f t="shared" si="113"/>
        <v>2.44995114800401E-2</v>
      </c>
      <c r="BT83" s="288">
        <f t="shared" si="113"/>
        <v>2.44995114800401E-2</v>
      </c>
      <c r="BU83" s="288">
        <f t="shared" si="113"/>
        <v>2.44995114800401E-2</v>
      </c>
      <c r="BV83" s="288">
        <f t="shared" si="113"/>
        <v>2.44995114800401E-2</v>
      </c>
      <c r="BW83" s="288">
        <f t="shared" si="113"/>
        <v>2.44995114800401E-2</v>
      </c>
      <c r="BX83" s="288">
        <f t="shared" si="113"/>
        <v>2.44995114800401E-2</v>
      </c>
      <c r="BY83" s="288">
        <f t="shared" si="113"/>
        <v>2.44995114800401E-2</v>
      </c>
      <c r="BZ83" s="288">
        <f t="shared" si="113"/>
        <v>2.44995114800401E-2</v>
      </c>
      <c r="CA83" s="288">
        <f t="shared" si="113"/>
        <v>2.44995114800401E-2</v>
      </c>
      <c r="CB83" s="288">
        <f t="shared" si="113"/>
        <v>2.44995114800401E-2</v>
      </c>
      <c r="CC83" s="288">
        <f t="shared" si="113"/>
        <v>2.44995114800401E-2</v>
      </c>
      <c r="CD83" s="288">
        <f t="shared" si="113"/>
        <v>2.44995114800401E-2</v>
      </c>
      <c r="CE83" s="288">
        <f t="shared" si="113"/>
        <v>2.44995114800401E-2</v>
      </c>
      <c r="CF83" s="288">
        <f t="shared" si="113"/>
        <v>2.44995114800401E-2</v>
      </c>
      <c r="CG83" s="288">
        <f t="shared" si="113"/>
        <v>2.44995114800401E-2</v>
      </c>
      <c r="CH83" s="288">
        <f t="shared" si="113"/>
        <v>2.44995114800401E-2</v>
      </c>
      <c r="CI83" s="288">
        <f t="shared" si="113"/>
        <v>2.44995114800401E-2</v>
      </c>
      <c r="CJ83" s="288">
        <f t="shared" si="113"/>
        <v>2.44995114800401E-2</v>
      </c>
      <c r="CK83" s="288">
        <f t="shared" si="113"/>
        <v>2.44995114800401E-2</v>
      </c>
      <c r="CL83" s="288">
        <f t="shared" si="113"/>
        <v>2.44995114800401E-2</v>
      </c>
      <c r="CM83" s="288">
        <f t="shared" si="113"/>
        <v>2.44995114800401E-2</v>
      </c>
      <c r="CN83" s="288">
        <f t="shared" si="113"/>
        <v>2.44995114800401E-2</v>
      </c>
      <c r="CO83" s="288">
        <f t="shared" si="113"/>
        <v>2.44995114800401E-2</v>
      </c>
      <c r="CP83" s="288">
        <f t="shared" si="113"/>
        <v>2.44995114800401E-2</v>
      </c>
      <c r="CQ83" s="362" t="s">
        <v>77</v>
      </c>
    </row>
    <row r="84" spans="1:96" outlineLevel="1" x14ac:dyDescent="0.2">
      <c r="B84" s="8" t="s">
        <v>52</v>
      </c>
      <c r="D84" s="72"/>
      <c r="E84" s="72"/>
      <c r="F84" s="72"/>
      <c r="G84" s="72"/>
      <c r="H84" s="72"/>
      <c r="I84" s="72"/>
      <c r="J84" s="72"/>
      <c r="K84" s="72"/>
      <c r="L84" s="79">
        <f>(1+L82)/(1+L83)-1</f>
        <v>3.5157771717958752E-2</v>
      </c>
      <c r="M84" s="72">
        <f t="shared" si="104"/>
        <v>3.5157771717958752E-2</v>
      </c>
      <c r="N84" s="72">
        <f t="shared" si="104"/>
        <v>3.5157771717958752E-2</v>
      </c>
      <c r="O84" s="72">
        <f t="shared" si="104"/>
        <v>3.5157771717958752E-2</v>
      </c>
      <c r="P84" s="72">
        <f t="shared" si="105"/>
        <v>3.5157771717958752E-2</v>
      </c>
      <c r="Q84" s="79">
        <f>(1+Q82)/(1+Q83)-1</f>
        <v>7.0243902439024453E-3</v>
      </c>
      <c r="R84" s="72">
        <f t="shared" si="106"/>
        <v>7.0243902439024453E-3</v>
      </c>
      <c r="S84" s="72">
        <f t="shared" si="106"/>
        <v>7.0243902439024453E-3</v>
      </c>
      <c r="T84" s="72">
        <f t="shared" si="107"/>
        <v>7.0243902439024453E-3</v>
      </c>
      <c r="U84" s="27">
        <f t="shared" si="108"/>
        <v>7.0243902439024453E-3</v>
      </c>
      <c r="V84" s="79">
        <f>(1+V82)/(1+V83)-1</f>
        <v>1.4641288433383526E-3</v>
      </c>
      <c r="W84" s="72">
        <f t="shared" ref="W84:BB84" si="114">(1+W82)/(1+W83)-1</f>
        <v>1.4641288433383526E-3</v>
      </c>
      <c r="X84" s="79">
        <f t="shared" si="114"/>
        <v>2.733518648451394E-3</v>
      </c>
      <c r="Y84" s="976">
        <f t="shared" si="114"/>
        <v>2.733518648451394E-3</v>
      </c>
      <c r="Z84" s="976">
        <f t="shared" si="114"/>
        <v>2.733518648451394E-3</v>
      </c>
      <c r="AA84" s="980">
        <f t="shared" si="114"/>
        <v>2.733518648451394E-3</v>
      </c>
      <c r="AB84" s="976">
        <f t="shared" si="114"/>
        <v>2.733518648451394E-3</v>
      </c>
      <c r="AC84" s="72">
        <f t="shared" si="114"/>
        <v>5.2016227326772135E-3</v>
      </c>
      <c r="AD84" s="72">
        <f t="shared" si="114"/>
        <v>7.669726816903033E-3</v>
      </c>
      <c r="AE84" s="79">
        <f t="shared" si="114"/>
        <v>2.0010247238033241E-2</v>
      </c>
      <c r="AF84" s="72">
        <f t="shared" si="114"/>
        <v>2.0010247238033241E-2</v>
      </c>
      <c r="AG84" s="72">
        <f t="shared" si="114"/>
        <v>2.0010247238033241E-2</v>
      </c>
      <c r="AH84" s="72">
        <f t="shared" si="114"/>
        <v>2.0010247238033241E-2</v>
      </c>
      <c r="AI84" s="72">
        <f t="shared" si="114"/>
        <v>2.0010247238033241E-2</v>
      </c>
      <c r="AJ84" s="72">
        <f t="shared" si="114"/>
        <v>2.0010247238033241E-2</v>
      </c>
      <c r="AK84" s="72">
        <f t="shared" si="114"/>
        <v>2.0010247238033241E-2</v>
      </c>
      <c r="AL84" s="72">
        <f t="shared" si="114"/>
        <v>2.0010247238033241E-2</v>
      </c>
      <c r="AM84" s="72">
        <f t="shared" si="114"/>
        <v>2.0010247238033241E-2</v>
      </c>
      <c r="AN84" s="72">
        <f t="shared" si="114"/>
        <v>2.0010247238033241E-2</v>
      </c>
      <c r="AO84" s="72">
        <f t="shared" si="114"/>
        <v>2.0010247238033241E-2</v>
      </c>
      <c r="AP84" s="72">
        <f t="shared" si="114"/>
        <v>2.0010247238033241E-2</v>
      </c>
      <c r="AQ84" s="72">
        <f t="shared" si="114"/>
        <v>2.0010247238033241E-2</v>
      </c>
      <c r="AR84" s="72">
        <f t="shared" si="114"/>
        <v>2.0010247238033241E-2</v>
      </c>
      <c r="AS84" s="72">
        <f t="shared" si="114"/>
        <v>2.0010247238033241E-2</v>
      </c>
      <c r="AT84" s="72">
        <f t="shared" si="114"/>
        <v>2.0010247238033241E-2</v>
      </c>
      <c r="AU84" s="72">
        <f t="shared" si="114"/>
        <v>2.0010247238033241E-2</v>
      </c>
      <c r="AV84" s="72">
        <f t="shared" si="114"/>
        <v>2.0010247238033241E-2</v>
      </c>
      <c r="AW84" s="72">
        <f t="shared" si="114"/>
        <v>2.0010247238033241E-2</v>
      </c>
      <c r="AX84" s="72">
        <f t="shared" si="114"/>
        <v>2.0010247238033241E-2</v>
      </c>
      <c r="AY84" s="72">
        <f t="shared" si="114"/>
        <v>2.0010247238033241E-2</v>
      </c>
      <c r="AZ84" s="72">
        <f t="shared" si="114"/>
        <v>2.0010247238033241E-2</v>
      </c>
      <c r="BA84" s="72">
        <f t="shared" si="114"/>
        <v>2.0010247238033241E-2</v>
      </c>
      <c r="BB84" s="72">
        <f t="shared" si="114"/>
        <v>2.0010247238033241E-2</v>
      </c>
      <c r="BC84" s="72">
        <f t="shared" ref="BC84:CP84" si="115">(1+BC82)/(1+BC83)-1</f>
        <v>2.0010247238033241E-2</v>
      </c>
      <c r="BD84" s="72">
        <f t="shared" si="115"/>
        <v>2.0010247238033241E-2</v>
      </c>
      <c r="BE84" s="72">
        <f t="shared" si="115"/>
        <v>2.0010247238033241E-2</v>
      </c>
      <c r="BF84" s="72">
        <f t="shared" si="115"/>
        <v>2.0010247238033241E-2</v>
      </c>
      <c r="BG84" s="72">
        <f t="shared" si="115"/>
        <v>2.0010247238033241E-2</v>
      </c>
      <c r="BH84" s="72">
        <f t="shared" si="115"/>
        <v>2.0010247238033241E-2</v>
      </c>
      <c r="BI84" s="72">
        <f t="shared" si="115"/>
        <v>2.0010247238033241E-2</v>
      </c>
      <c r="BJ84" s="72">
        <f t="shared" si="115"/>
        <v>2.0010247238033241E-2</v>
      </c>
      <c r="BK84" s="72">
        <f t="shared" si="115"/>
        <v>2.0010247238033241E-2</v>
      </c>
      <c r="BL84" s="72">
        <f t="shared" si="115"/>
        <v>2.0010247238033241E-2</v>
      </c>
      <c r="BM84" s="72">
        <f t="shared" si="115"/>
        <v>2.0010247238033241E-2</v>
      </c>
      <c r="BN84" s="72">
        <f t="shared" si="115"/>
        <v>2.0010247238033241E-2</v>
      </c>
      <c r="BO84" s="72">
        <f t="shared" si="115"/>
        <v>2.0010247238033241E-2</v>
      </c>
      <c r="BP84" s="72">
        <f t="shared" si="115"/>
        <v>2.0010247238033241E-2</v>
      </c>
      <c r="BQ84" s="72">
        <f t="shared" si="115"/>
        <v>2.0010247238033241E-2</v>
      </c>
      <c r="BR84" s="72">
        <f t="shared" si="115"/>
        <v>2.0010247238033241E-2</v>
      </c>
      <c r="BS84" s="72">
        <f t="shared" si="115"/>
        <v>2.0010247238033241E-2</v>
      </c>
      <c r="BT84" s="72">
        <f t="shared" si="115"/>
        <v>2.0010247238033241E-2</v>
      </c>
      <c r="BU84" s="72">
        <f t="shared" si="115"/>
        <v>2.0010247238033241E-2</v>
      </c>
      <c r="BV84" s="72">
        <f t="shared" si="115"/>
        <v>2.0010247238033241E-2</v>
      </c>
      <c r="BW84" s="72">
        <f t="shared" si="115"/>
        <v>2.0010247238033241E-2</v>
      </c>
      <c r="BX84" s="72">
        <f t="shared" si="115"/>
        <v>2.0010247238033241E-2</v>
      </c>
      <c r="BY84" s="72">
        <f t="shared" si="115"/>
        <v>2.0010247238033241E-2</v>
      </c>
      <c r="BZ84" s="72">
        <f t="shared" si="115"/>
        <v>2.0010247238033241E-2</v>
      </c>
      <c r="CA84" s="72">
        <f t="shared" si="115"/>
        <v>2.0010247238033241E-2</v>
      </c>
      <c r="CB84" s="72">
        <f t="shared" si="115"/>
        <v>2.0010247238033241E-2</v>
      </c>
      <c r="CC84" s="72">
        <f t="shared" si="115"/>
        <v>2.0010247238033241E-2</v>
      </c>
      <c r="CD84" s="72">
        <f t="shared" si="115"/>
        <v>2.0010247238033241E-2</v>
      </c>
      <c r="CE84" s="72">
        <f t="shared" si="115"/>
        <v>2.0010247238033241E-2</v>
      </c>
      <c r="CF84" s="72">
        <f t="shared" si="115"/>
        <v>2.0010247238033241E-2</v>
      </c>
      <c r="CG84" s="72">
        <f t="shared" si="115"/>
        <v>2.0010247238033241E-2</v>
      </c>
      <c r="CH84" s="72">
        <f t="shared" si="115"/>
        <v>2.0010247238033241E-2</v>
      </c>
      <c r="CI84" s="72">
        <f t="shared" si="115"/>
        <v>2.0010247238033241E-2</v>
      </c>
      <c r="CJ84" s="72">
        <f t="shared" si="115"/>
        <v>2.0010247238033241E-2</v>
      </c>
      <c r="CK84" s="72">
        <f t="shared" si="115"/>
        <v>2.0010247238033241E-2</v>
      </c>
      <c r="CL84" s="72">
        <f t="shared" si="115"/>
        <v>2.0010247238033241E-2</v>
      </c>
      <c r="CM84" s="72">
        <f t="shared" si="115"/>
        <v>2.0010247238033241E-2</v>
      </c>
      <c r="CN84" s="72">
        <f t="shared" si="115"/>
        <v>2.0010247238033241E-2</v>
      </c>
      <c r="CO84" s="72">
        <f t="shared" si="115"/>
        <v>2.0010247238033241E-2</v>
      </c>
      <c r="CP84" s="72">
        <f t="shared" si="115"/>
        <v>2.0010247238033241E-2</v>
      </c>
      <c r="CQ84" s="23" t="s">
        <v>77</v>
      </c>
    </row>
    <row r="85" spans="1:96" outlineLevel="1" x14ac:dyDescent="0.2">
      <c r="B85" s="8" t="s">
        <v>54</v>
      </c>
      <c r="D85" s="72"/>
      <c r="E85" s="72"/>
      <c r="F85" s="72"/>
      <c r="G85" s="72"/>
      <c r="H85" s="72"/>
      <c r="I85" s="72"/>
      <c r="J85" s="72"/>
      <c r="K85" s="72"/>
      <c r="L85" s="203">
        <v>0.6</v>
      </c>
      <c r="M85" s="72">
        <f t="shared" si="104"/>
        <v>0.6</v>
      </c>
      <c r="N85" s="72">
        <f t="shared" si="104"/>
        <v>0.6</v>
      </c>
      <c r="O85" s="72">
        <f t="shared" si="104"/>
        <v>0.6</v>
      </c>
      <c r="P85" s="72">
        <f t="shared" si="105"/>
        <v>0.6</v>
      </c>
      <c r="Q85" s="203">
        <v>0.6</v>
      </c>
      <c r="R85" s="72">
        <f t="shared" si="106"/>
        <v>0.6</v>
      </c>
      <c r="S85" s="72">
        <f t="shared" si="106"/>
        <v>0.6</v>
      </c>
      <c r="T85" s="72">
        <f t="shared" si="107"/>
        <v>0.6</v>
      </c>
      <c r="U85" s="27">
        <f t="shared" si="108"/>
        <v>0.6</v>
      </c>
      <c r="V85" s="169">
        <v>0.6</v>
      </c>
      <c r="W85" s="289">
        <f t="shared" ref="W85:BB85" si="116">+V85</f>
        <v>0.6</v>
      </c>
      <c r="X85" s="169">
        <f t="shared" si="116"/>
        <v>0.6</v>
      </c>
      <c r="Y85" s="981">
        <f t="shared" si="116"/>
        <v>0.6</v>
      </c>
      <c r="Z85" s="981">
        <f t="shared" si="116"/>
        <v>0.6</v>
      </c>
      <c r="AA85" s="982">
        <f t="shared" si="116"/>
        <v>0.6</v>
      </c>
      <c r="AB85" s="981">
        <f t="shared" si="116"/>
        <v>0.6</v>
      </c>
      <c r="AC85" s="289">
        <f t="shared" si="116"/>
        <v>0.6</v>
      </c>
      <c r="AD85" s="289">
        <f t="shared" si="116"/>
        <v>0.6</v>
      </c>
      <c r="AE85" s="296">
        <f t="shared" ref="AE85:AE91" si="117">+AD85</f>
        <v>0.6</v>
      </c>
      <c r="AF85" s="288">
        <f t="shared" si="116"/>
        <v>0.6</v>
      </c>
      <c r="AG85" s="288">
        <f t="shared" si="116"/>
        <v>0.6</v>
      </c>
      <c r="AH85" s="288">
        <f t="shared" si="116"/>
        <v>0.6</v>
      </c>
      <c r="AI85" s="288">
        <f t="shared" si="116"/>
        <v>0.6</v>
      </c>
      <c r="AJ85" s="288">
        <f t="shared" si="116"/>
        <v>0.6</v>
      </c>
      <c r="AK85" s="288">
        <f t="shared" si="116"/>
        <v>0.6</v>
      </c>
      <c r="AL85" s="288">
        <f t="shared" si="116"/>
        <v>0.6</v>
      </c>
      <c r="AM85" s="288">
        <f t="shared" si="116"/>
        <v>0.6</v>
      </c>
      <c r="AN85" s="288">
        <f t="shared" si="116"/>
        <v>0.6</v>
      </c>
      <c r="AO85" s="288">
        <f t="shared" si="116"/>
        <v>0.6</v>
      </c>
      <c r="AP85" s="288">
        <f t="shared" si="116"/>
        <v>0.6</v>
      </c>
      <c r="AQ85" s="288">
        <f t="shared" si="116"/>
        <v>0.6</v>
      </c>
      <c r="AR85" s="288">
        <f t="shared" si="116"/>
        <v>0.6</v>
      </c>
      <c r="AS85" s="288">
        <f t="shared" si="116"/>
        <v>0.6</v>
      </c>
      <c r="AT85" s="288">
        <f t="shared" si="116"/>
        <v>0.6</v>
      </c>
      <c r="AU85" s="288">
        <f t="shared" si="116"/>
        <v>0.6</v>
      </c>
      <c r="AV85" s="288">
        <f t="shared" si="116"/>
        <v>0.6</v>
      </c>
      <c r="AW85" s="288">
        <f t="shared" si="116"/>
        <v>0.6</v>
      </c>
      <c r="AX85" s="288">
        <f t="shared" si="116"/>
        <v>0.6</v>
      </c>
      <c r="AY85" s="288">
        <f t="shared" si="116"/>
        <v>0.6</v>
      </c>
      <c r="AZ85" s="288">
        <f t="shared" si="116"/>
        <v>0.6</v>
      </c>
      <c r="BA85" s="288">
        <f t="shared" si="116"/>
        <v>0.6</v>
      </c>
      <c r="BB85" s="288">
        <f t="shared" si="116"/>
        <v>0.6</v>
      </c>
      <c r="BC85" s="288">
        <f t="shared" ref="BC85:CP85" si="118">+BB85</f>
        <v>0.6</v>
      </c>
      <c r="BD85" s="288">
        <f t="shared" si="118"/>
        <v>0.6</v>
      </c>
      <c r="BE85" s="288">
        <f t="shared" si="118"/>
        <v>0.6</v>
      </c>
      <c r="BF85" s="288">
        <f t="shared" si="118"/>
        <v>0.6</v>
      </c>
      <c r="BG85" s="288">
        <f t="shared" si="118"/>
        <v>0.6</v>
      </c>
      <c r="BH85" s="288">
        <f t="shared" si="118"/>
        <v>0.6</v>
      </c>
      <c r="BI85" s="288">
        <f t="shared" si="118"/>
        <v>0.6</v>
      </c>
      <c r="BJ85" s="288">
        <f t="shared" si="118"/>
        <v>0.6</v>
      </c>
      <c r="BK85" s="288">
        <f t="shared" si="118"/>
        <v>0.6</v>
      </c>
      <c r="BL85" s="288">
        <f t="shared" si="118"/>
        <v>0.6</v>
      </c>
      <c r="BM85" s="288">
        <f t="shared" si="118"/>
        <v>0.6</v>
      </c>
      <c r="BN85" s="288">
        <f t="shared" si="118"/>
        <v>0.6</v>
      </c>
      <c r="BO85" s="288">
        <f t="shared" si="118"/>
        <v>0.6</v>
      </c>
      <c r="BP85" s="288">
        <f t="shared" si="118"/>
        <v>0.6</v>
      </c>
      <c r="BQ85" s="288">
        <f t="shared" si="118"/>
        <v>0.6</v>
      </c>
      <c r="BR85" s="288">
        <f t="shared" si="118"/>
        <v>0.6</v>
      </c>
      <c r="BS85" s="288">
        <f t="shared" si="118"/>
        <v>0.6</v>
      </c>
      <c r="BT85" s="288">
        <f t="shared" si="118"/>
        <v>0.6</v>
      </c>
      <c r="BU85" s="288">
        <f t="shared" si="118"/>
        <v>0.6</v>
      </c>
      <c r="BV85" s="288">
        <f t="shared" si="118"/>
        <v>0.6</v>
      </c>
      <c r="BW85" s="288">
        <f t="shared" si="118"/>
        <v>0.6</v>
      </c>
      <c r="BX85" s="288">
        <f t="shared" si="118"/>
        <v>0.6</v>
      </c>
      <c r="BY85" s="288">
        <f t="shared" si="118"/>
        <v>0.6</v>
      </c>
      <c r="BZ85" s="288">
        <f t="shared" si="118"/>
        <v>0.6</v>
      </c>
      <c r="CA85" s="288">
        <f t="shared" si="118"/>
        <v>0.6</v>
      </c>
      <c r="CB85" s="288">
        <f t="shared" si="118"/>
        <v>0.6</v>
      </c>
      <c r="CC85" s="288">
        <f t="shared" si="118"/>
        <v>0.6</v>
      </c>
      <c r="CD85" s="288">
        <f t="shared" si="118"/>
        <v>0.6</v>
      </c>
      <c r="CE85" s="288">
        <f t="shared" si="118"/>
        <v>0.6</v>
      </c>
      <c r="CF85" s="288">
        <f t="shared" si="118"/>
        <v>0.6</v>
      </c>
      <c r="CG85" s="288">
        <f t="shared" si="118"/>
        <v>0.6</v>
      </c>
      <c r="CH85" s="288">
        <f t="shared" si="118"/>
        <v>0.6</v>
      </c>
      <c r="CI85" s="288">
        <f t="shared" si="118"/>
        <v>0.6</v>
      </c>
      <c r="CJ85" s="288">
        <f t="shared" si="118"/>
        <v>0.6</v>
      </c>
      <c r="CK85" s="288">
        <f t="shared" si="118"/>
        <v>0.6</v>
      </c>
      <c r="CL85" s="288">
        <f t="shared" si="118"/>
        <v>0.6</v>
      </c>
      <c r="CM85" s="288">
        <f t="shared" si="118"/>
        <v>0.6</v>
      </c>
      <c r="CN85" s="288">
        <f t="shared" si="118"/>
        <v>0.6</v>
      </c>
      <c r="CO85" s="288">
        <f t="shared" si="118"/>
        <v>0.6</v>
      </c>
      <c r="CP85" s="288">
        <f t="shared" si="118"/>
        <v>0.6</v>
      </c>
      <c r="CQ85" s="362" t="s">
        <v>77</v>
      </c>
    </row>
    <row r="86" spans="1:96" outlineLevel="1" x14ac:dyDescent="0.2">
      <c r="B86" s="8" t="s">
        <v>56</v>
      </c>
      <c r="D86" s="72"/>
      <c r="E86" s="72"/>
      <c r="F86" s="72"/>
      <c r="G86" s="72"/>
      <c r="H86" s="72"/>
      <c r="I86" s="72"/>
      <c r="J86" s="72"/>
      <c r="K86" s="72"/>
      <c r="L86" s="243">
        <f>1-L85</f>
        <v>0.4</v>
      </c>
      <c r="M86" s="72">
        <f t="shared" si="104"/>
        <v>0.4</v>
      </c>
      <c r="N86" s="72">
        <f t="shared" si="104"/>
        <v>0.4</v>
      </c>
      <c r="O86" s="72">
        <f t="shared" si="104"/>
        <v>0.4</v>
      </c>
      <c r="P86" s="72">
        <f t="shared" si="105"/>
        <v>0.4</v>
      </c>
      <c r="Q86" s="243">
        <f>1-Q85</f>
        <v>0.4</v>
      </c>
      <c r="R86" s="72">
        <f t="shared" si="106"/>
        <v>0.4</v>
      </c>
      <c r="S86" s="72">
        <f t="shared" si="106"/>
        <v>0.4</v>
      </c>
      <c r="T86" s="72">
        <f t="shared" si="107"/>
        <v>0.4</v>
      </c>
      <c r="U86" s="27">
        <f t="shared" si="108"/>
        <v>0.4</v>
      </c>
      <c r="V86" s="243">
        <f>1-V85</f>
        <v>0.4</v>
      </c>
      <c r="W86" s="72">
        <f t="shared" ref="W86:BB86" si="119">+V86</f>
        <v>0.4</v>
      </c>
      <c r="X86" s="243">
        <f t="shared" si="119"/>
        <v>0.4</v>
      </c>
      <c r="Y86" s="976">
        <f t="shared" si="119"/>
        <v>0.4</v>
      </c>
      <c r="Z86" s="976">
        <f t="shared" si="119"/>
        <v>0.4</v>
      </c>
      <c r="AA86" s="983">
        <f t="shared" si="119"/>
        <v>0.4</v>
      </c>
      <c r="AB86" s="976">
        <f t="shared" si="119"/>
        <v>0.4</v>
      </c>
      <c r="AC86" s="72">
        <f t="shared" si="119"/>
        <v>0.4</v>
      </c>
      <c r="AD86" s="72">
        <f t="shared" si="119"/>
        <v>0.4</v>
      </c>
      <c r="AE86" s="243">
        <f t="shared" si="117"/>
        <v>0.4</v>
      </c>
      <c r="AF86" s="72">
        <f t="shared" si="119"/>
        <v>0.4</v>
      </c>
      <c r="AG86" s="72">
        <f t="shared" si="119"/>
        <v>0.4</v>
      </c>
      <c r="AH86" s="72">
        <f t="shared" si="119"/>
        <v>0.4</v>
      </c>
      <c r="AI86" s="72">
        <f t="shared" si="119"/>
        <v>0.4</v>
      </c>
      <c r="AJ86" s="72">
        <f t="shared" si="119"/>
        <v>0.4</v>
      </c>
      <c r="AK86" s="72">
        <f t="shared" si="119"/>
        <v>0.4</v>
      </c>
      <c r="AL86" s="72">
        <f t="shared" si="119"/>
        <v>0.4</v>
      </c>
      <c r="AM86" s="72">
        <f t="shared" si="119"/>
        <v>0.4</v>
      </c>
      <c r="AN86" s="72">
        <f t="shared" si="119"/>
        <v>0.4</v>
      </c>
      <c r="AO86" s="72">
        <f t="shared" si="119"/>
        <v>0.4</v>
      </c>
      <c r="AP86" s="72">
        <f t="shared" si="119"/>
        <v>0.4</v>
      </c>
      <c r="AQ86" s="72">
        <f t="shared" si="119"/>
        <v>0.4</v>
      </c>
      <c r="AR86" s="72">
        <f t="shared" si="119"/>
        <v>0.4</v>
      </c>
      <c r="AS86" s="72">
        <f t="shared" si="119"/>
        <v>0.4</v>
      </c>
      <c r="AT86" s="72">
        <f t="shared" si="119"/>
        <v>0.4</v>
      </c>
      <c r="AU86" s="72">
        <f t="shared" si="119"/>
        <v>0.4</v>
      </c>
      <c r="AV86" s="72">
        <f t="shared" si="119"/>
        <v>0.4</v>
      </c>
      <c r="AW86" s="72">
        <f t="shared" si="119"/>
        <v>0.4</v>
      </c>
      <c r="AX86" s="72">
        <f t="shared" si="119"/>
        <v>0.4</v>
      </c>
      <c r="AY86" s="72">
        <f t="shared" si="119"/>
        <v>0.4</v>
      </c>
      <c r="AZ86" s="72">
        <f t="shared" si="119"/>
        <v>0.4</v>
      </c>
      <c r="BA86" s="72">
        <f t="shared" si="119"/>
        <v>0.4</v>
      </c>
      <c r="BB86" s="72">
        <f t="shared" si="119"/>
        <v>0.4</v>
      </c>
      <c r="BC86" s="72">
        <f t="shared" ref="BC86:CP86" si="120">+BB86</f>
        <v>0.4</v>
      </c>
      <c r="BD86" s="72">
        <f t="shared" si="120"/>
        <v>0.4</v>
      </c>
      <c r="BE86" s="72">
        <f t="shared" si="120"/>
        <v>0.4</v>
      </c>
      <c r="BF86" s="72">
        <f t="shared" si="120"/>
        <v>0.4</v>
      </c>
      <c r="BG86" s="72">
        <f t="shared" si="120"/>
        <v>0.4</v>
      </c>
      <c r="BH86" s="72">
        <f t="shared" si="120"/>
        <v>0.4</v>
      </c>
      <c r="BI86" s="72">
        <f t="shared" si="120"/>
        <v>0.4</v>
      </c>
      <c r="BJ86" s="72">
        <f t="shared" si="120"/>
        <v>0.4</v>
      </c>
      <c r="BK86" s="72">
        <f t="shared" si="120"/>
        <v>0.4</v>
      </c>
      <c r="BL86" s="72">
        <f t="shared" si="120"/>
        <v>0.4</v>
      </c>
      <c r="BM86" s="72">
        <f t="shared" si="120"/>
        <v>0.4</v>
      </c>
      <c r="BN86" s="72">
        <f t="shared" si="120"/>
        <v>0.4</v>
      </c>
      <c r="BO86" s="72">
        <f t="shared" si="120"/>
        <v>0.4</v>
      </c>
      <c r="BP86" s="72">
        <f t="shared" si="120"/>
        <v>0.4</v>
      </c>
      <c r="BQ86" s="72">
        <f t="shared" si="120"/>
        <v>0.4</v>
      </c>
      <c r="BR86" s="72">
        <f t="shared" si="120"/>
        <v>0.4</v>
      </c>
      <c r="BS86" s="72">
        <f t="shared" si="120"/>
        <v>0.4</v>
      </c>
      <c r="BT86" s="72">
        <f t="shared" si="120"/>
        <v>0.4</v>
      </c>
      <c r="BU86" s="72">
        <f t="shared" si="120"/>
        <v>0.4</v>
      </c>
      <c r="BV86" s="72">
        <f t="shared" si="120"/>
        <v>0.4</v>
      </c>
      <c r="BW86" s="72">
        <f t="shared" si="120"/>
        <v>0.4</v>
      </c>
      <c r="BX86" s="72">
        <f t="shared" si="120"/>
        <v>0.4</v>
      </c>
      <c r="BY86" s="72">
        <f t="shared" si="120"/>
        <v>0.4</v>
      </c>
      <c r="BZ86" s="72">
        <f t="shared" si="120"/>
        <v>0.4</v>
      </c>
      <c r="CA86" s="72">
        <f t="shared" si="120"/>
        <v>0.4</v>
      </c>
      <c r="CB86" s="72">
        <f t="shared" si="120"/>
        <v>0.4</v>
      </c>
      <c r="CC86" s="72">
        <f t="shared" si="120"/>
        <v>0.4</v>
      </c>
      <c r="CD86" s="72">
        <f t="shared" si="120"/>
        <v>0.4</v>
      </c>
      <c r="CE86" s="72">
        <f t="shared" si="120"/>
        <v>0.4</v>
      </c>
      <c r="CF86" s="72">
        <f t="shared" si="120"/>
        <v>0.4</v>
      </c>
      <c r="CG86" s="72">
        <f t="shared" si="120"/>
        <v>0.4</v>
      </c>
      <c r="CH86" s="72">
        <f t="shared" si="120"/>
        <v>0.4</v>
      </c>
      <c r="CI86" s="72">
        <f t="shared" si="120"/>
        <v>0.4</v>
      </c>
      <c r="CJ86" s="72">
        <f t="shared" si="120"/>
        <v>0.4</v>
      </c>
      <c r="CK86" s="72">
        <f t="shared" si="120"/>
        <v>0.4</v>
      </c>
      <c r="CL86" s="72">
        <f t="shared" si="120"/>
        <v>0.4</v>
      </c>
      <c r="CM86" s="72">
        <f t="shared" si="120"/>
        <v>0.4</v>
      </c>
      <c r="CN86" s="72">
        <f t="shared" si="120"/>
        <v>0.4</v>
      </c>
      <c r="CO86" s="72">
        <f t="shared" si="120"/>
        <v>0.4</v>
      </c>
      <c r="CP86" s="72">
        <f t="shared" si="120"/>
        <v>0.4</v>
      </c>
      <c r="CQ86" s="23" t="s">
        <v>77</v>
      </c>
    </row>
    <row r="87" spans="1:96" outlineLevel="1" x14ac:dyDescent="0.2">
      <c r="B87" s="8" t="s">
        <v>55</v>
      </c>
      <c r="D87" s="72"/>
      <c r="E87" s="72"/>
      <c r="F87" s="72"/>
      <c r="G87" s="72"/>
      <c r="H87" s="72"/>
      <c r="I87" s="72"/>
      <c r="J87" s="72"/>
      <c r="K87" s="72"/>
      <c r="L87" s="125">
        <f>9.38%-L82</f>
        <v>3.0900000000000011E-2</v>
      </c>
      <c r="M87" s="72">
        <f t="shared" si="104"/>
        <v>3.0900000000000011E-2</v>
      </c>
      <c r="N87" s="72">
        <f t="shared" si="104"/>
        <v>3.0900000000000011E-2</v>
      </c>
      <c r="O87" s="72">
        <f t="shared" si="104"/>
        <v>3.0900000000000011E-2</v>
      </c>
      <c r="P87" s="72">
        <f t="shared" si="105"/>
        <v>3.0900000000000011E-2</v>
      </c>
      <c r="Q87" s="125">
        <v>3.4599999999999999E-2</v>
      </c>
      <c r="R87" s="72">
        <f t="shared" si="106"/>
        <v>3.4599999999999999E-2</v>
      </c>
      <c r="S87" s="72">
        <f t="shared" si="106"/>
        <v>3.4599999999999999E-2</v>
      </c>
      <c r="T87" s="72">
        <f t="shared" si="107"/>
        <v>3.4599999999999999E-2</v>
      </c>
      <c r="U87" s="27">
        <f t="shared" si="108"/>
        <v>3.4599999999999999E-2</v>
      </c>
      <c r="V87" s="79">
        <f>V94-V82</f>
        <v>2.1899999999999999E-2</v>
      </c>
      <c r="W87" s="72">
        <f t="shared" ref="W87:BB87" si="121">W94-W82</f>
        <v>2.1899999999999999E-2</v>
      </c>
      <c r="X87" s="79">
        <f t="shared" si="121"/>
        <v>1.98665827032183E-2</v>
      </c>
      <c r="Y87" s="976">
        <f t="shared" si="121"/>
        <v>1.98665827032183E-2</v>
      </c>
      <c r="Z87" s="976">
        <f t="shared" si="121"/>
        <v>1.98665827032183E-2</v>
      </c>
      <c r="AA87" s="980">
        <f t="shared" si="121"/>
        <v>1.98665827032183E-2</v>
      </c>
      <c r="AB87" s="976">
        <f t="shared" si="121"/>
        <v>1.98665827032183E-2</v>
      </c>
      <c r="AC87" s="72">
        <f t="shared" si="121"/>
        <v>1.7338011274646872E-2</v>
      </c>
      <c r="AD87" s="72">
        <f t="shared" si="121"/>
        <v>1.4809439846075446E-2</v>
      </c>
      <c r="AE87" s="79">
        <f t="shared" si="121"/>
        <v>2.1665827032183033E-3</v>
      </c>
      <c r="AF87" s="72">
        <f t="shared" si="121"/>
        <v>2.1665827032183033E-3</v>
      </c>
      <c r="AG87" s="72">
        <f t="shared" si="121"/>
        <v>2.1665827032183033E-3</v>
      </c>
      <c r="AH87" s="72">
        <f t="shared" si="121"/>
        <v>2.1665827032183033E-3</v>
      </c>
      <c r="AI87" s="72">
        <f t="shared" si="121"/>
        <v>2.1665827032183033E-3</v>
      </c>
      <c r="AJ87" s="72">
        <f t="shared" si="121"/>
        <v>2.1665827032183033E-3</v>
      </c>
      <c r="AK87" s="72">
        <f t="shared" si="121"/>
        <v>2.1665827032183033E-3</v>
      </c>
      <c r="AL87" s="72">
        <f t="shared" si="121"/>
        <v>2.1665827032183033E-3</v>
      </c>
      <c r="AM87" s="72">
        <f t="shared" si="121"/>
        <v>2.1665827032183033E-3</v>
      </c>
      <c r="AN87" s="72">
        <f t="shared" si="121"/>
        <v>2.1665827032183033E-3</v>
      </c>
      <c r="AO87" s="72">
        <f t="shared" si="121"/>
        <v>2.1665827032183033E-3</v>
      </c>
      <c r="AP87" s="72">
        <f t="shared" si="121"/>
        <v>2.1665827032183033E-3</v>
      </c>
      <c r="AQ87" s="72">
        <f t="shared" si="121"/>
        <v>2.1665827032183033E-3</v>
      </c>
      <c r="AR87" s="72">
        <f t="shared" si="121"/>
        <v>2.1665827032183033E-3</v>
      </c>
      <c r="AS87" s="72">
        <f t="shared" si="121"/>
        <v>2.1665827032183033E-3</v>
      </c>
      <c r="AT87" s="72">
        <f t="shared" si="121"/>
        <v>2.1665827032183033E-3</v>
      </c>
      <c r="AU87" s="72">
        <f t="shared" si="121"/>
        <v>2.1665827032183033E-3</v>
      </c>
      <c r="AV87" s="72">
        <f t="shared" si="121"/>
        <v>2.1665827032183033E-3</v>
      </c>
      <c r="AW87" s="72">
        <f t="shared" si="121"/>
        <v>2.1665827032183033E-3</v>
      </c>
      <c r="AX87" s="72">
        <f t="shared" si="121"/>
        <v>2.1665827032183033E-3</v>
      </c>
      <c r="AY87" s="72">
        <f t="shared" si="121"/>
        <v>2.1665827032183033E-3</v>
      </c>
      <c r="AZ87" s="72">
        <f t="shared" si="121"/>
        <v>2.1665827032183033E-3</v>
      </c>
      <c r="BA87" s="72">
        <f t="shared" si="121"/>
        <v>2.1665827032183033E-3</v>
      </c>
      <c r="BB87" s="72">
        <f t="shared" si="121"/>
        <v>2.1665827032183033E-3</v>
      </c>
      <c r="BC87" s="72">
        <f t="shared" ref="BC87:CP87" si="122">BC94-BC82</f>
        <v>2.1665827032183033E-3</v>
      </c>
      <c r="BD87" s="72">
        <f t="shared" si="122"/>
        <v>2.1665827032183033E-3</v>
      </c>
      <c r="BE87" s="72">
        <f t="shared" si="122"/>
        <v>2.1665827032183033E-3</v>
      </c>
      <c r="BF87" s="72">
        <f t="shared" si="122"/>
        <v>2.1665827032183033E-3</v>
      </c>
      <c r="BG87" s="72">
        <f t="shared" si="122"/>
        <v>2.1665827032183033E-3</v>
      </c>
      <c r="BH87" s="72">
        <f t="shared" si="122"/>
        <v>2.1665827032183033E-3</v>
      </c>
      <c r="BI87" s="72">
        <f t="shared" si="122"/>
        <v>2.1665827032183033E-3</v>
      </c>
      <c r="BJ87" s="72">
        <f t="shared" si="122"/>
        <v>2.1665827032183033E-3</v>
      </c>
      <c r="BK87" s="72">
        <f t="shared" si="122"/>
        <v>2.1665827032183033E-3</v>
      </c>
      <c r="BL87" s="72">
        <f t="shared" si="122"/>
        <v>2.1665827032183033E-3</v>
      </c>
      <c r="BM87" s="72">
        <f t="shared" si="122"/>
        <v>2.1665827032183033E-3</v>
      </c>
      <c r="BN87" s="72">
        <f t="shared" si="122"/>
        <v>2.1665827032183033E-3</v>
      </c>
      <c r="BO87" s="72">
        <f t="shared" si="122"/>
        <v>2.1665827032183033E-3</v>
      </c>
      <c r="BP87" s="72">
        <f t="shared" si="122"/>
        <v>2.1665827032183033E-3</v>
      </c>
      <c r="BQ87" s="72">
        <f t="shared" si="122"/>
        <v>2.1665827032183033E-3</v>
      </c>
      <c r="BR87" s="72">
        <f t="shared" si="122"/>
        <v>2.1665827032183033E-3</v>
      </c>
      <c r="BS87" s="72">
        <f t="shared" si="122"/>
        <v>2.1665827032183033E-3</v>
      </c>
      <c r="BT87" s="72">
        <f t="shared" si="122"/>
        <v>2.1665827032183033E-3</v>
      </c>
      <c r="BU87" s="72">
        <f t="shared" si="122"/>
        <v>2.1665827032183033E-3</v>
      </c>
      <c r="BV87" s="72">
        <f t="shared" si="122"/>
        <v>2.1665827032183033E-3</v>
      </c>
      <c r="BW87" s="72">
        <f t="shared" si="122"/>
        <v>2.1665827032183033E-3</v>
      </c>
      <c r="BX87" s="72">
        <f t="shared" si="122"/>
        <v>2.1665827032183033E-3</v>
      </c>
      <c r="BY87" s="72">
        <f t="shared" si="122"/>
        <v>2.1665827032183033E-3</v>
      </c>
      <c r="BZ87" s="72">
        <f t="shared" si="122"/>
        <v>2.1665827032183033E-3</v>
      </c>
      <c r="CA87" s="72">
        <f t="shared" si="122"/>
        <v>2.1665827032183033E-3</v>
      </c>
      <c r="CB87" s="72">
        <f t="shared" si="122"/>
        <v>2.1665827032183033E-3</v>
      </c>
      <c r="CC87" s="72">
        <f t="shared" si="122"/>
        <v>2.1665827032183033E-3</v>
      </c>
      <c r="CD87" s="72">
        <f t="shared" si="122"/>
        <v>2.1665827032183033E-3</v>
      </c>
      <c r="CE87" s="72">
        <f t="shared" si="122"/>
        <v>2.1665827032183033E-3</v>
      </c>
      <c r="CF87" s="72">
        <f t="shared" si="122"/>
        <v>2.1665827032183033E-3</v>
      </c>
      <c r="CG87" s="72">
        <f t="shared" si="122"/>
        <v>2.1665827032183033E-3</v>
      </c>
      <c r="CH87" s="72">
        <f t="shared" si="122"/>
        <v>2.1665827032183033E-3</v>
      </c>
      <c r="CI87" s="72">
        <f t="shared" si="122"/>
        <v>2.1665827032183033E-3</v>
      </c>
      <c r="CJ87" s="72">
        <f t="shared" si="122"/>
        <v>2.1665827032183033E-3</v>
      </c>
      <c r="CK87" s="72">
        <f t="shared" si="122"/>
        <v>2.1665827032183033E-3</v>
      </c>
      <c r="CL87" s="72">
        <f t="shared" si="122"/>
        <v>2.1665827032183033E-3</v>
      </c>
      <c r="CM87" s="72">
        <f t="shared" si="122"/>
        <v>2.1665827032183033E-3</v>
      </c>
      <c r="CN87" s="72">
        <f t="shared" si="122"/>
        <v>2.1665827032183033E-3</v>
      </c>
      <c r="CO87" s="72">
        <f t="shared" si="122"/>
        <v>2.1665827032183033E-3</v>
      </c>
      <c r="CP87" s="72">
        <f t="shared" si="122"/>
        <v>2.1665827032183033E-3</v>
      </c>
      <c r="CQ87" s="23" t="s">
        <v>77</v>
      </c>
    </row>
    <row r="88" spans="1:96" outlineLevel="1" x14ac:dyDescent="0.2">
      <c r="B88" s="8" t="s">
        <v>57</v>
      </c>
      <c r="D88" s="75"/>
      <c r="E88" s="75"/>
      <c r="F88" s="75"/>
      <c r="G88" s="75"/>
      <c r="H88" s="75"/>
      <c r="I88" s="75"/>
      <c r="J88" s="72"/>
      <c r="K88" s="72"/>
      <c r="L88" s="125">
        <v>0.06</v>
      </c>
      <c r="M88" s="72">
        <f t="shared" si="104"/>
        <v>0.06</v>
      </c>
      <c r="N88" s="72">
        <f t="shared" si="104"/>
        <v>0.06</v>
      </c>
      <c r="O88" s="72">
        <f t="shared" si="104"/>
        <v>0.06</v>
      </c>
      <c r="P88" s="72">
        <f t="shared" si="105"/>
        <v>0.06</v>
      </c>
      <c r="Q88" s="125">
        <v>0.06</v>
      </c>
      <c r="R88" s="72">
        <f t="shared" si="106"/>
        <v>0.06</v>
      </c>
      <c r="S88" s="72">
        <f t="shared" si="106"/>
        <v>0.06</v>
      </c>
      <c r="T88" s="72">
        <f t="shared" si="107"/>
        <v>0.06</v>
      </c>
      <c r="U88" s="27">
        <f t="shared" si="108"/>
        <v>0.06</v>
      </c>
      <c r="V88" s="220">
        <v>6.5000000000000002E-2</v>
      </c>
      <c r="W88" s="288">
        <f t="shared" ref="W88:BB88" si="123">+V88</f>
        <v>6.5000000000000002E-2</v>
      </c>
      <c r="X88" s="220">
        <f t="shared" si="123"/>
        <v>6.5000000000000002E-2</v>
      </c>
      <c r="Y88" s="977">
        <f t="shared" si="123"/>
        <v>6.5000000000000002E-2</v>
      </c>
      <c r="Z88" s="977">
        <f t="shared" si="123"/>
        <v>6.5000000000000002E-2</v>
      </c>
      <c r="AA88" s="979">
        <f t="shared" si="123"/>
        <v>6.5000000000000002E-2</v>
      </c>
      <c r="AB88" s="977">
        <f t="shared" si="123"/>
        <v>6.5000000000000002E-2</v>
      </c>
      <c r="AC88" s="288">
        <f t="shared" si="123"/>
        <v>6.5000000000000002E-2</v>
      </c>
      <c r="AD88" s="288">
        <f t="shared" si="123"/>
        <v>6.5000000000000002E-2</v>
      </c>
      <c r="AE88" s="292">
        <f t="shared" si="117"/>
        <v>6.5000000000000002E-2</v>
      </c>
      <c r="AF88" s="288">
        <f t="shared" si="123"/>
        <v>6.5000000000000002E-2</v>
      </c>
      <c r="AG88" s="288">
        <f t="shared" si="123"/>
        <v>6.5000000000000002E-2</v>
      </c>
      <c r="AH88" s="288">
        <f t="shared" si="123"/>
        <v>6.5000000000000002E-2</v>
      </c>
      <c r="AI88" s="288">
        <f t="shared" si="123"/>
        <v>6.5000000000000002E-2</v>
      </c>
      <c r="AJ88" s="288">
        <f t="shared" si="123"/>
        <v>6.5000000000000002E-2</v>
      </c>
      <c r="AK88" s="288">
        <f t="shared" si="123"/>
        <v>6.5000000000000002E-2</v>
      </c>
      <c r="AL88" s="288">
        <f t="shared" si="123"/>
        <v>6.5000000000000002E-2</v>
      </c>
      <c r="AM88" s="288">
        <f t="shared" si="123"/>
        <v>6.5000000000000002E-2</v>
      </c>
      <c r="AN88" s="288">
        <f t="shared" si="123"/>
        <v>6.5000000000000002E-2</v>
      </c>
      <c r="AO88" s="288">
        <f t="shared" si="123"/>
        <v>6.5000000000000002E-2</v>
      </c>
      <c r="AP88" s="288">
        <f t="shared" si="123"/>
        <v>6.5000000000000002E-2</v>
      </c>
      <c r="AQ88" s="288">
        <f t="shared" si="123"/>
        <v>6.5000000000000002E-2</v>
      </c>
      <c r="AR88" s="288">
        <f t="shared" si="123"/>
        <v>6.5000000000000002E-2</v>
      </c>
      <c r="AS88" s="288">
        <f t="shared" si="123"/>
        <v>6.5000000000000002E-2</v>
      </c>
      <c r="AT88" s="288">
        <f t="shared" si="123"/>
        <v>6.5000000000000002E-2</v>
      </c>
      <c r="AU88" s="288">
        <f t="shared" si="123"/>
        <v>6.5000000000000002E-2</v>
      </c>
      <c r="AV88" s="288">
        <f t="shared" si="123"/>
        <v>6.5000000000000002E-2</v>
      </c>
      <c r="AW88" s="288">
        <f t="shared" si="123"/>
        <v>6.5000000000000002E-2</v>
      </c>
      <c r="AX88" s="288">
        <f t="shared" si="123"/>
        <v>6.5000000000000002E-2</v>
      </c>
      <c r="AY88" s="288">
        <f t="shared" si="123"/>
        <v>6.5000000000000002E-2</v>
      </c>
      <c r="AZ88" s="288">
        <f t="shared" si="123"/>
        <v>6.5000000000000002E-2</v>
      </c>
      <c r="BA88" s="288">
        <f t="shared" si="123"/>
        <v>6.5000000000000002E-2</v>
      </c>
      <c r="BB88" s="288">
        <f t="shared" si="123"/>
        <v>6.5000000000000002E-2</v>
      </c>
      <c r="BC88" s="288">
        <f t="shared" ref="BC88:CP88" si="124">+BB88</f>
        <v>6.5000000000000002E-2</v>
      </c>
      <c r="BD88" s="288">
        <f t="shared" si="124"/>
        <v>6.5000000000000002E-2</v>
      </c>
      <c r="BE88" s="288">
        <f t="shared" si="124"/>
        <v>6.5000000000000002E-2</v>
      </c>
      <c r="BF88" s="288">
        <f t="shared" si="124"/>
        <v>6.5000000000000002E-2</v>
      </c>
      <c r="BG88" s="288">
        <f t="shared" si="124"/>
        <v>6.5000000000000002E-2</v>
      </c>
      <c r="BH88" s="288">
        <f t="shared" si="124"/>
        <v>6.5000000000000002E-2</v>
      </c>
      <c r="BI88" s="288">
        <f t="shared" si="124"/>
        <v>6.5000000000000002E-2</v>
      </c>
      <c r="BJ88" s="288">
        <f t="shared" si="124"/>
        <v>6.5000000000000002E-2</v>
      </c>
      <c r="BK88" s="288">
        <f t="shared" si="124"/>
        <v>6.5000000000000002E-2</v>
      </c>
      <c r="BL88" s="288">
        <f t="shared" si="124"/>
        <v>6.5000000000000002E-2</v>
      </c>
      <c r="BM88" s="288">
        <f t="shared" si="124"/>
        <v>6.5000000000000002E-2</v>
      </c>
      <c r="BN88" s="288">
        <f t="shared" si="124"/>
        <v>6.5000000000000002E-2</v>
      </c>
      <c r="BO88" s="288">
        <f t="shared" si="124"/>
        <v>6.5000000000000002E-2</v>
      </c>
      <c r="BP88" s="288">
        <f t="shared" si="124"/>
        <v>6.5000000000000002E-2</v>
      </c>
      <c r="BQ88" s="288">
        <f t="shared" si="124"/>
        <v>6.5000000000000002E-2</v>
      </c>
      <c r="BR88" s="288">
        <f t="shared" si="124"/>
        <v>6.5000000000000002E-2</v>
      </c>
      <c r="BS88" s="288">
        <f t="shared" si="124"/>
        <v>6.5000000000000002E-2</v>
      </c>
      <c r="BT88" s="288">
        <f t="shared" si="124"/>
        <v>6.5000000000000002E-2</v>
      </c>
      <c r="BU88" s="288">
        <f t="shared" si="124"/>
        <v>6.5000000000000002E-2</v>
      </c>
      <c r="BV88" s="288">
        <f t="shared" si="124"/>
        <v>6.5000000000000002E-2</v>
      </c>
      <c r="BW88" s="288">
        <f t="shared" si="124"/>
        <v>6.5000000000000002E-2</v>
      </c>
      <c r="BX88" s="288">
        <f t="shared" si="124"/>
        <v>6.5000000000000002E-2</v>
      </c>
      <c r="BY88" s="288">
        <f t="shared" si="124"/>
        <v>6.5000000000000002E-2</v>
      </c>
      <c r="BZ88" s="288">
        <f t="shared" si="124"/>
        <v>6.5000000000000002E-2</v>
      </c>
      <c r="CA88" s="288">
        <f t="shared" si="124"/>
        <v>6.5000000000000002E-2</v>
      </c>
      <c r="CB88" s="288">
        <f t="shared" si="124"/>
        <v>6.5000000000000002E-2</v>
      </c>
      <c r="CC88" s="288">
        <f t="shared" si="124"/>
        <v>6.5000000000000002E-2</v>
      </c>
      <c r="CD88" s="288">
        <f t="shared" si="124"/>
        <v>6.5000000000000002E-2</v>
      </c>
      <c r="CE88" s="288">
        <f t="shared" si="124"/>
        <v>6.5000000000000002E-2</v>
      </c>
      <c r="CF88" s="288">
        <f t="shared" si="124"/>
        <v>6.5000000000000002E-2</v>
      </c>
      <c r="CG88" s="288">
        <f t="shared" si="124"/>
        <v>6.5000000000000002E-2</v>
      </c>
      <c r="CH88" s="288">
        <f t="shared" si="124"/>
        <v>6.5000000000000002E-2</v>
      </c>
      <c r="CI88" s="288">
        <f t="shared" si="124"/>
        <v>6.5000000000000002E-2</v>
      </c>
      <c r="CJ88" s="288">
        <f t="shared" si="124"/>
        <v>6.5000000000000002E-2</v>
      </c>
      <c r="CK88" s="288">
        <f t="shared" si="124"/>
        <v>6.5000000000000002E-2</v>
      </c>
      <c r="CL88" s="288">
        <f t="shared" si="124"/>
        <v>6.5000000000000002E-2</v>
      </c>
      <c r="CM88" s="288">
        <f t="shared" si="124"/>
        <v>6.5000000000000002E-2</v>
      </c>
      <c r="CN88" s="288">
        <f t="shared" si="124"/>
        <v>6.5000000000000002E-2</v>
      </c>
      <c r="CO88" s="288">
        <f t="shared" si="124"/>
        <v>6.5000000000000002E-2</v>
      </c>
      <c r="CP88" s="288">
        <f t="shared" si="124"/>
        <v>6.5000000000000002E-2</v>
      </c>
      <c r="CQ88" s="362" t="s">
        <v>77</v>
      </c>
    </row>
    <row r="89" spans="1:96" outlineLevel="1" x14ac:dyDescent="0.2">
      <c r="B89" s="8" t="s">
        <v>58</v>
      </c>
      <c r="D89" s="75"/>
      <c r="E89" s="75"/>
      <c r="F89" s="75"/>
      <c r="G89" s="75"/>
      <c r="H89" s="75"/>
      <c r="I89" s="75"/>
      <c r="J89" s="90"/>
      <c r="K89" s="90"/>
      <c r="L89" s="202">
        <v>1</v>
      </c>
      <c r="M89" s="90">
        <f t="shared" si="104"/>
        <v>1</v>
      </c>
      <c r="N89" s="90">
        <f t="shared" si="104"/>
        <v>1</v>
      </c>
      <c r="O89" s="90">
        <f t="shared" si="104"/>
        <v>1</v>
      </c>
      <c r="P89" s="90">
        <f t="shared" si="105"/>
        <v>1</v>
      </c>
      <c r="Q89" s="202">
        <v>0.8</v>
      </c>
      <c r="R89" s="90">
        <f t="shared" si="106"/>
        <v>0.8</v>
      </c>
      <c r="S89" s="90">
        <f t="shared" si="106"/>
        <v>0.8</v>
      </c>
      <c r="T89" s="90">
        <f t="shared" si="107"/>
        <v>0.8</v>
      </c>
      <c r="U89" s="28">
        <f t="shared" si="108"/>
        <v>0.8</v>
      </c>
      <c r="V89" s="221">
        <v>0.7</v>
      </c>
      <c r="W89" s="291">
        <f t="shared" ref="W89:BB89" si="125">+V89</f>
        <v>0.7</v>
      </c>
      <c r="X89" s="221">
        <f t="shared" si="125"/>
        <v>0.7</v>
      </c>
      <c r="Y89" s="984">
        <f t="shared" si="125"/>
        <v>0.7</v>
      </c>
      <c r="Z89" s="984">
        <f t="shared" si="125"/>
        <v>0.7</v>
      </c>
      <c r="AA89" s="985">
        <f t="shared" si="125"/>
        <v>0.7</v>
      </c>
      <c r="AB89" s="984">
        <f t="shared" si="125"/>
        <v>0.7</v>
      </c>
      <c r="AC89" s="291">
        <f t="shared" si="125"/>
        <v>0.7</v>
      </c>
      <c r="AD89" s="291">
        <f t="shared" si="125"/>
        <v>0.7</v>
      </c>
      <c r="AE89" s="295">
        <f t="shared" si="117"/>
        <v>0.7</v>
      </c>
      <c r="AF89" s="291">
        <f t="shared" si="125"/>
        <v>0.7</v>
      </c>
      <c r="AG89" s="291">
        <f t="shared" si="125"/>
        <v>0.7</v>
      </c>
      <c r="AH89" s="291">
        <f t="shared" si="125"/>
        <v>0.7</v>
      </c>
      <c r="AI89" s="291">
        <f t="shared" si="125"/>
        <v>0.7</v>
      </c>
      <c r="AJ89" s="291">
        <f t="shared" si="125"/>
        <v>0.7</v>
      </c>
      <c r="AK89" s="291">
        <f t="shared" si="125"/>
        <v>0.7</v>
      </c>
      <c r="AL89" s="291">
        <f t="shared" si="125"/>
        <v>0.7</v>
      </c>
      <c r="AM89" s="291">
        <f t="shared" si="125"/>
        <v>0.7</v>
      </c>
      <c r="AN89" s="291">
        <f t="shared" si="125"/>
        <v>0.7</v>
      </c>
      <c r="AO89" s="291">
        <f t="shared" si="125"/>
        <v>0.7</v>
      </c>
      <c r="AP89" s="291">
        <f t="shared" si="125"/>
        <v>0.7</v>
      </c>
      <c r="AQ89" s="291">
        <f t="shared" si="125"/>
        <v>0.7</v>
      </c>
      <c r="AR89" s="291">
        <f t="shared" si="125"/>
        <v>0.7</v>
      </c>
      <c r="AS89" s="291">
        <f t="shared" si="125"/>
        <v>0.7</v>
      </c>
      <c r="AT89" s="291">
        <f t="shared" si="125"/>
        <v>0.7</v>
      </c>
      <c r="AU89" s="291">
        <f t="shared" si="125"/>
        <v>0.7</v>
      </c>
      <c r="AV89" s="291">
        <f t="shared" si="125"/>
        <v>0.7</v>
      </c>
      <c r="AW89" s="291">
        <f t="shared" si="125"/>
        <v>0.7</v>
      </c>
      <c r="AX89" s="291">
        <f t="shared" si="125"/>
        <v>0.7</v>
      </c>
      <c r="AY89" s="291">
        <f t="shared" si="125"/>
        <v>0.7</v>
      </c>
      <c r="AZ89" s="291">
        <f t="shared" si="125"/>
        <v>0.7</v>
      </c>
      <c r="BA89" s="291">
        <f t="shared" si="125"/>
        <v>0.7</v>
      </c>
      <c r="BB89" s="291">
        <f t="shared" si="125"/>
        <v>0.7</v>
      </c>
      <c r="BC89" s="291">
        <f t="shared" ref="BC89:CP89" si="126">+BB89</f>
        <v>0.7</v>
      </c>
      <c r="BD89" s="291">
        <f t="shared" si="126"/>
        <v>0.7</v>
      </c>
      <c r="BE89" s="291">
        <f t="shared" si="126"/>
        <v>0.7</v>
      </c>
      <c r="BF89" s="291">
        <f t="shared" si="126"/>
        <v>0.7</v>
      </c>
      <c r="BG89" s="291">
        <f t="shared" si="126"/>
        <v>0.7</v>
      </c>
      <c r="BH89" s="291">
        <f t="shared" si="126"/>
        <v>0.7</v>
      </c>
      <c r="BI89" s="291">
        <f t="shared" si="126"/>
        <v>0.7</v>
      </c>
      <c r="BJ89" s="291">
        <f t="shared" si="126"/>
        <v>0.7</v>
      </c>
      <c r="BK89" s="291">
        <f t="shared" si="126"/>
        <v>0.7</v>
      </c>
      <c r="BL89" s="291">
        <f t="shared" si="126"/>
        <v>0.7</v>
      </c>
      <c r="BM89" s="291">
        <f t="shared" si="126"/>
        <v>0.7</v>
      </c>
      <c r="BN89" s="291">
        <f t="shared" si="126"/>
        <v>0.7</v>
      </c>
      <c r="BO89" s="291">
        <f t="shared" si="126"/>
        <v>0.7</v>
      </c>
      <c r="BP89" s="291">
        <f t="shared" si="126"/>
        <v>0.7</v>
      </c>
      <c r="BQ89" s="291">
        <f t="shared" si="126"/>
        <v>0.7</v>
      </c>
      <c r="BR89" s="291">
        <f t="shared" si="126"/>
        <v>0.7</v>
      </c>
      <c r="BS89" s="291">
        <f t="shared" si="126"/>
        <v>0.7</v>
      </c>
      <c r="BT89" s="291">
        <f t="shared" si="126"/>
        <v>0.7</v>
      </c>
      <c r="BU89" s="291">
        <f t="shared" si="126"/>
        <v>0.7</v>
      </c>
      <c r="BV89" s="291">
        <f t="shared" si="126"/>
        <v>0.7</v>
      </c>
      <c r="BW89" s="291">
        <f t="shared" si="126"/>
        <v>0.7</v>
      </c>
      <c r="BX89" s="291">
        <f t="shared" si="126"/>
        <v>0.7</v>
      </c>
      <c r="BY89" s="291">
        <f t="shared" si="126"/>
        <v>0.7</v>
      </c>
      <c r="BZ89" s="291">
        <f t="shared" si="126"/>
        <v>0.7</v>
      </c>
      <c r="CA89" s="291">
        <f t="shared" si="126"/>
        <v>0.7</v>
      </c>
      <c r="CB89" s="291">
        <f t="shared" si="126"/>
        <v>0.7</v>
      </c>
      <c r="CC89" s="291">
        <f t="shared" si="126"/>
        <v>0.7</v>
      </c>
      <c r="CD89" s="291">
        <f t="shared" si="126"/>
        <v>0.7</v>
      </c>
      <c r="CE89" s="291">
        <f t="shared" si="126"/>
        <v>0.7</v>
      </c>
      <c r="CF89" s="291">
        <f t="shared" si="126"/>
        <v>0.7</v>
      </c>
      <c r="CG89" s="291">
        <f t="shared" si="126"/>
        <v>0.7</v>
      </c>
      <c r="CH89" s="291">
        <f t="shared" si="126"/>
        <v>0.7</v>
      </c>
      <c r="CI89" s="291">
        <f t="shared" si="126"/>
        <v>0.7</v>
      </c>
      <c r="CJ89" s="291">
        <f t="shared" si="126"/>
        <v>0.7</v>
      </c>
      <c r="CK89" s="291">
        <f t="shared" si="126"/>
        <v>0.7</v>
      </c>
      <c r="CL89" s="291">
        <f t="shared" si="126"/>
        <v>0.7</v>
      </c>
      <c r="CM89" s="291">
        <f t="shared" si="126"/>
        <v>0.7</v>
      </c>
      <c r="CN89" s="291">
        <f t="shared" si="126"/>
        <v>0.7</v>
      </c>
      <c r="CO89" s="291">
        <f t="shared" si="126"/>
        <v>0.7</v>
      </c>
      <c r="CP89" s="291">
        <f t="shared" si="126"/>
        <v>0.7</v>
      </c>
      <c r="CQ89" s="362" t="s">
        <v>77</v>
      </c>
    </row>
    <row r="90" spans="1:96" outlineLevel="1" x14ac:dyDescent="0.2">
      <c r="B90" s="8" t="s">
        <v>59</v>
      </c>
      <c r="D90" s="75"/>
      <c r="E90" s="75"/>
      <c r="F90" s="75"/>
      <c r="G90" s="75"/>
      <c r="H90" s="75"/>
      <c r="I90" s="75"/>
      <c r="J90" s="199"/>
      <c r="K90" s="199"/>
      <c r="L90" s="203">
        <v>0.3</v>
      </c>
      <c r="M90" s="199">
        <f t="shared" si="104"/>
        <v>0.3</v>
      </c>
      <c r="N90" s="199">
        <f t="shared" si="104"/>
        <v>0.3</v>
      </c>
      <c r="O90" s="199">
        <f t="shared" si="104"/>
        <v>0.3</v>
      </c>
      <c r="P90" s="199">
        <f t="shared" si="105"/>
        <v>0.3</v>
      </c>
      <c r="Q90" s="203">
        <v>0.3</v>
      </c>
      <c r="R90" s="199">
        <f t="shared" si="106"/>
        <v>0.3</v>
      </c>
      <c r="S90" s="199">
        <f t="shared" si="106"/>
        <v>0.3</v>
      </c>
      <c r="T90" s="199">
        <f t="shared" si="107"/>
        <v>0.3</v>
      </c>
      <c r="U90" s="29">
        <f t="shared" si="108"/>
        <v>0.3</v>
      </c>
      <c r="V90" s="222">
        <v>0.3</v>
      </c>
      <c r="W90" s="289">
        <f t="shared" ref="W90:BB90" si="127">+V90</f>
        <v>0.3</v>
      </c>
      <c r="X90" s="222">
        <f t="shared" si="127"/>
        <v>0.3</v>
      </c>
      <c r="Y90" s="981">
        <f t="shared" si="127"/>
        <v>0.3</v>
      </c>
      <c r="Z90" s="981">
        <f t="shared" si="127"/>
        <v>0.3</v>
      </c>
      <c r="AA90" s="982">
        <f t="shared" si="127"/>
        <v>0.3</v>
      </c>
      <c r="AB90" s="981">
        <f t="shared" si="127"/>
        <v>0.3</v>
      </c>
      <c r="AC90" s="289">
        <f t="shared" si="127"/>
        <v>0.3</v>
      </c>
      <c r="AD90" s="289">
        <f t="shared" si="127"/>
        <v>0.3</v>
      </c>
      <c r="AE90" s="296">
        <f t="shared" si="117"/>
        <v>0.3</v>
      </c>
      <c r="AF90" s="289">
        <f t="shared" si="127"/>
        <v>0.3</v>
      </c>
      <c r="AG90" s="289">
        <f t="shared" si="127"/>
        <v>0.3</v>
      </c>
      <c r="AH90" s="289">
        <f t="shared" si="127"/>
        <v>0.3</v>
      </c>
      <c r="AI90" s="289">
        <f t="shared" si="127"/>
        <v>0.3</v>
      </c>
      <c r="AJ90" s="289">
        <f t="shared" si="127"/>
        <v>0.3</v>
      </c>
      <c r="AK90" s="289">
        <f t="shared" si="127"/>
        <v>0.3</v>
      </c>
      <c r="AL90" s="289">
        <f t="shared" si="127"/>
        <v>0.3</v>
      </c>
      <c r="AM90" s="289">
        <f t="shared" si="127"/>
        <v>0.3</v>
      </c>
      <c r="AN90" s="289">
        <f t="shared" si="127"/>
        <v>0.3</v>
      </c>
      <c r="AO90" s="289">
        <f t="shared" si="127"/>
        <v>0.3</v>
      </c>
      <c r="AP90" s="289">
        <f t="shared" si="127"/>
        <v>0.3</v>
      </c>
      <c r="AQ90" s="289">
        <f t="shared" si="127"/>
        <v>0.3</v>
      </c>
      <c r="AR90" s="289">
        <f t="shared" si="127"/>
        <v>0.3</v>
      </c>
      <c r="AS90" s="289">
        <f t="shared" si="127"/>
        <v>0.3</v>
      </c>
      <c r="AT90" s="289">
        <f t="shared" si="127"/>
        <v>0.3</v>
      </c>
      <c r="AU90" s="289">
        <f t="shared" si="127"/>
        <v>0.3</v>
      </c>
      <c r="AV90" s="289">
        <f t="shared" si="127"/>
        <v>0.3</v>
      </c>
      <c r="AW90" s="289">
        <f t="shared" si="127"/>
        <v>0.3</v>
      </c>
      <c r="AX90" s="289">
        <f t="shared" si="127"/>
        <v>0.3</v>
      </c>
      <c r="AY90" s="289">
        <f t="shared" si="127"/>
        <v>0.3</v>
      </c>
      <c r="AZ90" s="289">
        <f t="shared" si="127"/>
        <v>0.3</v>
      </c>
      <c r="BA90" s="289">
        <f t="shared" si="127"/>
        <v>0.3</v>
      </c>
      <c r="BB90" s="289">
        <f t="shared" si="127"/>
        <v>0.3</v>
      </c>
      <c r="BC90" s="289">
        <f t="shared" ref="BC90:CP90" si="128">+BB90</f>
        <v>0.3</v>
      </c>
      <c r="BD90" s="289">
        <f t="shared" si="128"/>
        <v>0.3</v>
      </c>
      <c r="BE90" s="289">
        <f t="shared" si="128"/>
        <v>0.3</v>
      </c>
      <c r="BF90" s="289">
        <f t="shared" si="128"/>
        <v>0.3</v>
      </c>
      <c r="BG90" s="289">
        <f t="shared" si="128"/>
        <v>0.3</v>
      </c>
      <c r="BH90" s="289">
        <f t="shared" si="128"/>
        <v>0.3</v>
      </c>
      <c r="BI90" s="289">
        <f t="shared" si="128"/>
        <v>0.3</v>
      </c>
      <c r="BJ90" s="289">
        <f t="shared" si="128"/>
        <v>0.3</v>
      </c>
      <c r="BK90" s="289">
        <f t="shared" si="128"/>
        <v>0.3</v>
      </c>
      <c r="BL90" s="289">
        <f t="shared" si="128"/>
        <v>0.3</v>
      </c>
      <c r="BM90" s="289">
        <f t="shared" si="128"/>
        <v>0.3</v>
      </c>
      <c r="BN90" s="289">
        <f t="shared" si="128"/>
        <v>0.3</v>
      </c>
      <c r="BO90" s="289">
        <f t="shared" si="128"/>
        <v>0.3</v>
      </c>
      <c r="BP90" s="289">
        <f t="shared" si="128"/>
        <v>0.3</v>
      </c>
      <c r="BQ90" s="289">
        <f t="shared" si="128"/>
        <v>0.3</v>
      </c>
      <c r="BR90" s="289">
        <f t="shared" si="128"/>
        <v>0.3</v>
      </c>
      <c r="BS90" s="289">
        <f t="shared" si="128"/>
        <v>0.3</v>
      </c>
      <c r="BT90" s="289">
        <f t="shared" si="128"/>
        <v>0.3</v>
      </c>
      <c r="BU90" s="289">
        <f t="shared" si="128"/>
        <v>0.3</v>
      </c>
      <c r="BV90" s="289">
        <f t="shared" si="128"/>
        <v>0.3</v>
      </c>
      <c r="BW90" s="289">
        <f t="shared" si="128"/>
        <v>0.3</v>
      </c>
      <c r="BX90" s="289">
        <f t="shared" si="128"/>
        <v>0.3</v>
      </c>
      <c r="BY90" s="289">
        <f t="shared" si="128"/>
        <v>0.3</v>
      </c>
      <c r="BZ90" s="289">
        <f t="shared" si="128"/>
        <v>0.3</v>
      </c>
      <c r="CA90" s="289">
        <f t="shared" si="128"/>
        <v>0.3</v>
      </c>
      <c r="CB90" s="289">
        <f t="shared" si="128"/>
        <v>0.3</v>
      </c>
      <c r="CC90" s="289">
        <f t="shared" si="128"/>
        <v>0.3</v>
      </c>
      <c r="CD90" s="289">
        <f t="shared" si="128"/>
        <v>0.3</v>
      </c>
      <c r="CE90" s="289">
        <f t="shared" si="128"/>
        <v>0.3</v>
      </c>
      <c r="CF90" s="289">
        <f t="shared" si="128"/>
        <v>0.3</v>
      </c>
      <c r="CG90" s="289">
        <f t="shared" si="128"/>
        <v>0.3</v>
      </c>
      <c r="CH90" s="289">
        <f t="shared" si="128"/>
        <v>0.3</v>
      </c>
      <c r="CI90" s="289">
        <f t="shared" si="128"/>
        <v>0.3</v>
      </c>
      <c r="CJ90" s="289">
        <f t="shared" si="128"/>
        <v>0.3</v>
      </c>
      <c r="CK90" s="289">
        <f t="shared" si="128"/>
        <v>0.3</v>
      </c>
      <c r="CL90" s="289">
        <f t="shared" si="128"/>
        <v>0.3</v>
      </c>
      <c r="CM90" s="289">
        <f t="shared" si="128"/>
        <v>0.3</v>
      </c>
      <c r="CN90" s="289">
        <f t="shared" si="128"/>
        <v>0.3</v>
      </c>
      <c r="CO90" s="289">
        <f t="shared" si="128"/>
        <v>0.3</v>
      </c>
      <c r="CP90" s="289">
        <f t="shared" si="128"/>
        <v>0.3</v>
      </c>
      <c r="CQ90" s="362" t="s">
        <v>77</v>
      </c>
    </row>
    <row r="91" spans="1:96" outlineLevel="1" x14ac:dyDescent="0.2">
      <c r="B91" s="8" t="s">
        <v>80</v>
      </c>
      <c r="D91" s="75"/>
      <c r="E91" s="75"/>
      <c r="F91" s="75"/>
      <c r="G91" s="75"/>
      <c r="H91" s="75"/>
      <c r="I91" s="75"/>
      <c r="J91" s="199"/>
      <c r="K91" s="199"/>
      <c r="L91" s="204">
        <v>0.25</v>
      </c>
      <c r="M91" s="199">
        <f t="shared" si="104"/>
        <v>0.25</v>
      </c>
      <c r="N91" s="199">
        <f t="shared" si="104"/>
        <v>0.25</v>
      </c>
      <c r="O91" s="199">
        <f t="shared" si="104"/>
        <v>0.25</v>
      </c>
      <c r="P91" s="199">
        <f t="shared" si="105"/>
        <v>0.25</v>
      </c>
      <c r="Q91" s="204">
        <v>0.25</v>
      </c>
      <c r="R91" s="199">
        <f t="shared" si="106"/>
        <v>0.25</v>
      </c>
      <c r="S91" s="199">
        <f t="shared" si="106"/>
        <v>0.25</v>
      </c>
      <c r="T91" s="199">
        <f t="shared" si="107"/>
        <v>0.25</v>
      </c>
      <c r="U91" s="29">
        <f t="shared" si="108"/>
        <v>0.25</v>
      </c>
      <c r="V91" s="223">
        <v>0.4</v>
      </c>
      <c r="W91" s="289">
        <f t="shared" ref="W91:BB91" si="129">+V91</f>
        <v>0.4</v>
      </c>
      <c r="X91" s="223">
        <f t="shared" si="129"/>
        <v>0.4</v>
      </c>
      <c r="Y91" s="981">
        <f t="shared" si="129"/>
        <v>0.4</v>
      </c>
      <c r="Z91" s="981">
        <f t="shared" si="129"/>
        <v>0.4</v>
      </c>
      <c r="AA91" s="982">
        <f t="shared" si="129"/>
        <v>0.4</v>
      </c>
      <c r="AB91" s="981">
        <f t="shared" si="129"/>
        <v>0.4</v>
      </c>
      <c r="AC91" s="289">
        <f t="shared" si="129"/>
        <v>0.4</v>
      </c>
      <c r="AD91" s="289">
        <f t="shared" si="129"/>
        <v>0.4</v>
      </c>
      <c r="AE91" s="297">
        <f t="shared" si="117"/>
        <v>0.4</v>
      </c>
      <c r="AF91" s="289">
        <f t="shared" si="129"/>
        <v>0.4</v>
      </c>
      <c r="AG91" s="289">
        <f t="shared" si="129"/>
        <v>0.4</v>
      </c>
      <c r="AH91" s="289">
        <f t="shared" si="129"/>
        <v>0.4</v>
      </c>
      <c r="AI91" s="289">
        <f t="shared" si="129"/>
        <v>0.4</v>
      </c>
      <c r="AJ91" s="289">
        <f t="shared" si="129"/>
        <v>0.4</v>
      </c>
      <c r="AK91" s="289">
        <f t="shared" si="129"/>
        <v>0.4</v>
      </c>
      <c r="AL91" s="289">
        <f t="shared" si="129"/>
        <v>0.4</v>
      </c>
      <c r="AM91" s="289">
        <f t="shared" si="129"/>
        <v>0.4</v>
      </c>
      <c r="AN91" s="289">
        <f t="shared" si="129"/>
        <v>0.4</v>
      </c>
      <c r="AO91" s="289">
        <f t="shared" si="129"/>
        <v>0.4</v>
      </c>
      <c r="AP91" s="289">
        <f t="shared" si="129"/>
        <v>0.4</v>
      </c>
      <c r="AQ91" s="289">
        <f t="shared" si="129"/>
        <v>0.4</v>
      </c>
      <c r="AR91" s="289">
        <f t="shared" si="129"/>
        <v>0.4</v>
      </c>
      <c r="AS91" s="289">
        <f t="shared" si="129"/>
        <v>0.4</v>
      </c>
      <c r="AT91" s="289">
        <f t="shared" si="129"/>
        <v>0.4</v>
      </c>
      <c r="AU91" s="289">
        <f t="shared" si="129"/>
        <v>0.4</v>
      </c>
      <c r="AV91" s="289">
        <f t="shared" si="129"/>
        <v>0.4</v>
      </c>
      <c r="AW91" s="289">
        <f t="shared" si="129"/>
        <v>0.4</v>
      </c>
      <c r="AX91" s="289">
        <f t="shared" si="129"/>
        <v>0.4</v>
      </c>
      <c r="AY91" s="289">
        <f t="shared" si="129"/>
        <v>0.4</v>
      </c>
      <c r="AZ91" s="289">
        <f t="shared" si="129"/>
        <v>0.4</v>
      </c>
      <c r="BA91" s="289">
        <f t="shared" si="129"/>
        <v>0.4</v>
      </c>
      <c r="BB91" s="289">
        <f t="shared" si="129"/>
        <v>0.4</v>
      </c>
      <c r="BC91" s="289">
        <f t="shared" ref="BC91:CP91" si="130">+BB91</f>
        <v>0.4</v>
      </c>
      <c r="BD91" s="289">
        <f t="shared" si="130"/>
        <v>0.4</v>
      </c>
      <c r="BE91" s="289">
        <f t="shared" si="130"/>
        <v>0.4</v>
      </c>
      <c r="BF91" s="289">
        <f t="shared" si="130"/>
        <v>0.4</v>
      </c>
      <c r="BG91" s="289">
        <f t="shared" si="130"/>
        <v>0.4</v>
      </c>
      <c r="BH91" s="289">
        <f t="shared" si="130"/>
        <v>0.4</v>
      </c>
      <c r="BI91" s="289">
        <f t="shared" si="130"/>
        <v>0.4</v>
      </c>
      <c r="BJ91" s="289">
        <f t="shared" si="130"/>
        <v>0.4</v>
      </c>
      <c r="BK91" s="289">
        <f t="shared" si="130"/>
        <v>0.4</v>
      </c>
      <c r="BL91" s="289">
        <f t="shared" si="130"/>
        <v>0.4</v>
      </c>
      <c r="BM91" s="289">
        <f t="shared" si="130"/>
        <v>0.4</v>
      </c>
      <c r="BN91" s="289">
        <f t="shared" si="130"/>
        <v>0.4</v>
      </c>
      <c r="BO91" s="289">
        <f t="shared" si="130"/>
        <v>0.4</v>
      </c>
      <c r="BP91" s="289">
        <f t="shared" si="130"/>
        <v>0.4</v>
      </c>
      <c r="BQ91" s="289">
        <f t="shared" si="130"/>
        <v>0.4</v>
      </c>
      <c r="BR91" s="289">
        <f t="shared" si="130"/>
        <v>0.4</v>
      </c>
      <c r="BS91" s="289">
        <f t="shared" si="130"/>
        <v>0.4</v>
      </c>
      <c r="BT91" s="289">
        <f t="shared" si="130"/>
        <v>0.4</v>
      </c>
      <c r="BU91" s="289">
        <f t="shared" si="130"/>
        <v>0.4</v>
      </c>
      <c r="BV91" s="289">
        <f t="shared" si="130"/>
        <v>0.4</v>
      </c>
      <c r="BW91" s="289">
        <f t="shared" si="130"/>
        <v>0.4</v>
      </c>
      <c r="BX91" s="289">
        <f t="shared" si="130"/>
        <v>0.4</v>
      </c>
      <c r="BY91" s="289">
        <f t="shared" si="130"/>
        <v>0.4</v>
      </c>
      <c r="BZ91" s="289">
        <f t="shared" si="130"/>
        <v>0.4</v>
      </c>
      <c r="CA91" s="289">
        <f t="shared" si="130"/>
        <v>0.4</v>
      </c>
      <c r="CB91" s="289">
        <f t="shared" si="130"/>
        <v>0.4</v>
      </c>
      <c r="CC91" s="289">
        <f t="shared" si="130"/>
        <v>0.4</v>
      </c>
      <c r="CD91" s="289">
        <f t="shared" si="130"/>
        <v>0.4</v>
      </c>
      <c r="CE91" s="289">
        <f t="shared" si="130"/>
        <v>0.4</v>
      </c>
      <c r="CF91" s="289">
        <f t="shared" si="130"/>
        <v>0.4</v>
      </c>
      <c r="CG91" s="289">
        <f t="shared" si="130"/>
        <v>0.4</v>
      </c>
      <c r="CH91" s="289">
        <f t="shared" si="130"/>
        <v>0.4</v>
      </c>
      <c r="CI91" s="289">
        <f t="shared" si="130"/>
        <v>0.4</v>
      </c>
      <c r="CJ91" s="289">
        <f t="shared" si="130"/>
        <v>0.4</v>
      </c>
      <c r="CK91" s="289">
        <f t="shared" si="130"/>
        <v>0.4</v>
      </c>
      <c r="CL91" s="289">
        <f t="shared" si="130"/>
        <v>0.4</v>
      </c>
      <c r="CM91" s="289">
        <f t="shared" si="130"/>
        <v>0.4</v>
      </c>
      <c r="CN91" s="289">
        <f t="shared" si="130"/>
        <v>0.4</v>
      </c>
      <c r="CO91" s="289">
        <f t="shared" si="130"/>
        <v>0.4</v>
      </c>
      <c r="CP91" s="289">
        <f t="shared" si="130"/>
        <v>0.4</v>
      </c>
      <c r="CQ91" s="362" t="s">
        <v>77</v>
      </c>
    </row>
    <row r="92" spans="1:96" outlineLevel="1" x14ac:dyDescent="0.2">
      <c r="A92" s="233"/>
      <c r="B92" s="358" t="s">
        <v>66</v>
      </c>
      <c r="D92" s="66"/>
      <c r="E92" s="66"/>
      <c r="F92" s="66"/>
      <c r="G92" s="66"/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  <c r="Y92" s="66"/>
      <c r="Z92" s="66"/>
      <c r="AA92" s="66"/>
      <c r="AB92" s="66"/>
      <c r="AC92" s="66"/>
      <c r="AD92" s="66"/>
      <c r="AE92" s="66"/>
      <c r="AF92" s="66"/>
      <c r="AG92" s="66"/>
      <c r="AH92" s="66"/>
      <c r="AI92" s="66"/>
      <c r="AJ92" s="66"/>
      <c r="AK92" s="66"/>
      <c r="AL92" s="66"/>
      <c r="AM92" s="66"/>
      <c r="AN92" s="66"/>
      <c r="AO92" s="66"/>
      <c r="AP92" s="66"/>
      <c r="AQ92" s="66"/>
      <c r="AR92" s="66"/>
      <c r="AS92" s="66"/>
      <c r="AT92" s="66"/>
      <c r="AU92" s="66"/>
      <c r="AV92" s="66"/>
      <c r="AW92" s="66"/>
      <c r="AX92" s="66"/>
      <c r="AY92" s="66"/>
      <c r="AZ92" s="66"/>
      <c r="BA92" s="66"/>
      <c r="BB92" s="66"/>
      <c r="BC92" s="66"/>
      <c r="BD92" s="66"/>
      <c r="BE92" s="66"/>
      <c r="BF92" s="66"/>
      <c r="BG92" s="66"/>
      <c r="BH92" s="66"/>
      <c r="BI92" s="66"/>
      <c r="BJ92" s="66"/>
      <c r="BK92" s="66"/>
      <c r="BL92" s="66"/>
      <c r="BM92" s="66"/>
      <c r="BN92" s="66"/>
      <c r="BO92" s="66"/>
      <c r="BP92" s="66"/>
      <c r="BQ92" s="66"/>
      <c r="BR92" s="66"/>
      <c r="BS92" s="66"/>
      <c r="BT92" s="66"/>
      <c r="BU92" s="66"/>
      <c r="BV92" s="66"/>
      <c r="BW92" s="66"/>
      <c r="BX92" s="66"/>
      <c r="BY92" s="66"/>
      <c r="BZ92" s="66"/>
      <c r="CA92" s="66"/>
      <c r="CB92" s="66"/>
      <c r="CC92" s="66"/>
      <c r="CD92" s="66"/>
      <c r="CE92" s="66"/>
      <c r="CF92" s="66"/>
      <c r="CG92" s="66"/>
      <c r="CH92" s="66"/>
      <c r="CI92" s="66"/>
      <c r="CJ92" s="66"/>
      <c r="CK92" s="66"/>
      <c r="CL92" s="66"/>
      <c r="CM92" s="66"/>
      <c r="CN92" s="66"/>
      <c r="CO92" s="66"/>
      <c r="CP92" s="66"/>
      <c r="CQ92" s="23" t="s">
        <v>77</v>
      </c>
      <c r="CR92" s="233"/>
    </row>
    <row r="93" spans="1:96" s="12" customFormat="1" outlineLevel="1" x14ac:dyDescent="0.2">
      <c r="B93" s="8" t="s">
        <v>60</v>
      </c>
      <c r="C93" s="24"/>
      <c r="D93" s="9"/>
      <c r="E93" s="75"/>
      <c r="F93" s="75"/>
      <c r="G93" s="75"/>
      <c r="H93" s="75"/>
      <c r="I93" s="75"/>
      <c r="J93" s="72"/>
      <c r="K93" s="72"/>
      <c r="L93" s="536"/>
      <c r="M93" s="72"/>
      <c r="N93" s="72"/>
      <c r="O93" s="72"/>
      <c r="P93" s="72"/>
      <c r="Q93" s="338" t="s">
        <v>78</v>
      </c>
      <c r="R93" s="525" t="s">
        <v>78</v>
      </c>
      <c r="S93" s="72">
        <f>S94</f>
        <v>6.6799999999999998E-2</v>
      </c>
      <c r="T93" s="72">
        <f>T94</f>
        <v>6.6799999999999998E-2</v>
      </c>
      <c r="U93" s="27">
        <f>U94</f>
        <v>6.6799999999999998E-2</v>
      </c>
      <c r="V93" s="544">
        <f>V94</f>
        <v>4.7899999999999998E-2</v>
      </c>
      <c r="W93" s="973">
        <f t="shared" ref="W93:BB93" si="131">0.9*V93+0.1*W94</f>
        <v>4.7900000000000005E-2</v>
      </c>
      <c r="X93" s="988">
        <f>X94</f>
        <v>4.7166582703218302E-2</v>
      </c>
      <c r="Y93" s="986">
        <f t="shared" si="131"/>
        <v>4.7166582703218309E-2</v>
      </c>
      <c r="Z93" s="986">
        <f t="shared" si="131"/>
        <v>4.7166582703218309E-2</v>
      </c>
      <c r="AA93" s="986">
        <f t="shared" si="131"/>
        <v>4.7166582703218309E-2</v>
      </c>
      <c r="AB93" s="986">
        <f t="shared" si="131"/>
        <v>4.7166582703218309E-2</v>
      </c>
      <c r="AC93" s="973">
        <f t="shared" si="131"/>
        <v>4.7166582703218309E-2</v>
      </c>
      <c r="AD93" s="973">
        <f t="shared" si="131"/>
        <v>4.7166582703218309E-2</v>
      </c>
      <c r="AE93" s="973">
        <f t="shared" si="131"/>
        <v>4.7166582703218309E-2</v>
      </c>
      <c r="AF93" s="973">
        <f t="shared" si="131"/>
        <v>4.7166582703218309E-2</v>
      </c>
      <c r="AG93" s="973">
        <f t="shared" si="131"/>
        <v>4.7166582703218309E-2</v>
      </c>
      <c r="AH93" s="973">
        <f t="shared" si="131"/>
        <v>4.7166582703218309E-2</v>
      </c>
      <c r="AI93" s="973">
        <f t="shared" si="131"/>
        <v>4.7166582703218309E-2</v>
      </c>
      <c r="AJ93" s="973">
        <f t="shared" si="131"/>
        <v>4.7166582703218309E-2</v>
      </c>
      <c r="AK93" s="973">
        <f t="shared" si="131"/>
        <v>4.7166582703218309E-2</v>
      </c>
      <c r="AL93" s="973">
        <f t="shared" si="131"/>
        <v>4.7166582703218309E-2</v>
      </c>
      <c r="AM93" s="973">
        <f t="shared" si="131"/>
        <v>4.7166582703218309E-2</v>
      </c>
      <c r="AN93" s="973">
        <f t="shared" si="131"/>
        <v>4.7166582703218309E-2</v>
      </c>
      <c r="AO93" s="973">
        <f t="shared" si="131"/>
        <v>4.7166582703218309E-2</v>
      </c>
      <c r="AP93" s="973">
        <f t="shared" si="131"/>
        <v>4.7166582703218309E-2</v>
      </c>
      <c r="AQ93" s="973">
        <f t="shared" si="131"/>
        <v>4.7166582703218309E-2</v>
      </c>
      <c r="AR93" s="973">
        <f t="shared" si="131"/>
        <v>4.7166582703218309E-2</v>
      </c>
      <c r="AS93" s="973">
        <f t="shared" si="131"/>
        <v>4.7166582703218309E-2</v>
      </c>
      <c r="AT93" s="973">
        <f t="shared" si="131"/>
        <v>4.7166582703218309E-2</v>
      </c>
      <c r="AU93" s="973">
        <f t="shared" si="131"/>
        <v>4.7166582703218309E-2</v>
      </c>
      <c r="AV93" s="973">
        <f t="shared" si="131"/>
        <v>4.7166582703218309E-2</v>
      </c>
      <c r="AW93" s="973">
        <f t="shared" si="131"/>
        <v>4.7166582703218309E-2</v>
      </c>
      <c r="AX93" s="973">
        <f t="shared" si="131"/>
        <v>4.7166582703218309E-2</v>
      </c>
      <c r="AY93" s="973">
        <f t="shared" si="131"/>
        <v>4.7166582703218309E-2</v>
      </c>
      <c r="AZ93" s="973">
        <f t="shared" si="131"/>
        <v>4.7166582703218309E-2</v>
      </c>
      <c r="BA93" s="973">
        <f t="shared" si="131"/>
        <v>4.7166582703218309E-2</v>
      </c>
      <c r="BB93" s="973">
        <f t="shared" si="131"/>
        <v>4.7166582703218309E-2</v>
      </c>
      <c r="BC93" s="973">
        <f t="shared" ref="BC93:CP93" si="132">0.9*BB93+0.1*BC94</f>
        <v>4.7166582703218309E-2</v>
      </c>
      <c r="BD93" s="973">
        <f t="shared" si="132"/>
        <v>4.7166582703218309E-2</v>
      </c>
      <c r="BE93" s="973">
        <f t="shared" si="132"/>
        <v>4.7166582703218309E-2</v>
      </c>
      <c r="BF93" s="973">
        <f t="shared" si="132"/>
        <v>4.7166582703218309E-2</v>
      </c>
      <c r="BG93" s="973">
        <f t="shared" si="132"/>
        <v>4.7166582703218309E-2</v>
      </c>
      <c r="BH93" s="973">
        <f t="shared" si="132"/>
        <v>4.7166582703218309E-2</v>
      </c>
      <c r="BI93" s="973">
        <f t="shared" si="132"/>
        <v>4.7166582703218309E-2</v>
      </c>
      <c r="BJ93" s="973">
        <f t="shared" si="132"/>
        <v>4.7166582703218309E-2</v>
      </c>
      <c r="BK93" s="973">
        <f t="shared" si="132"/>
        <v>4.7166582703218309E-2</v>
      </c>
      <c r="BL93" s="973">
        <f t="shared" si="132"/>
        <v>4.7166582703218309E-2</v>
      </c>
      <c r="BM93" s="973">
        <f t="shared" si="132"/>
        <v>4.7166582703218309E-2</v>
      </c>
      <c r="BN93" s="973">
        <f t="shared" si="132"/>
        <v>4.7166582703218309E-2</v>
      </c>
      <c r="BO93" s="973">
        <f t="shared" si="132"/>
        <v>4.7166582703218309E-2</v>
      </c>
      <c r="BP93" s="973">
        <f t="shared" si="132"/>
        <v>4.7166582703218309E-2</v>
      </c>
      <c r="BQ93" s="973">
        <f t="shared" si="132"/>
        <v>4.7166582703218309E-2</v>
      </c>
      <c r="BR93" s="973">
        <f t="shared" si="132"/>
        <v>4.7166582703218309E-2</v>
      </c>
      <c r="BS93" s="973">
        <f t="shared" si="132"/>
        <v>4.7166582703218309E-2</v>
      </c>
      <c r="BT93" s="973">
        <f t="shared" si="132"/>
        <v>4.7166582703218309E-2</v>
      </c>
      <c r="BU93" s="973">
        <f t="shared" si="132"/>
        <v>4.7166582703218309E-2</v>
      </c>
      <c r="BV93" s="973">
        <f t="shared" si="132"/>
        <v>4.7166582703218309E-2</v>
      </c>
      <c r="BW93" s="973">
        <f t="shared" si="132"/>
        <v>4.7166582703218309E-2</v>
      </c>
      <c r="BX93" s="973">
        <f t="shared" si="132"/>
        <v>4.7166582703218309E-2</v>
      </c>
      <c r="BY93" s="973">
        <f t="shared" si="132"/>
        <v>4.7166582703218309E-2</v>
      </c>
      <c r="BZ93" s="973">
        <f t="shared" si="132"/>
        <v>4.7166582703218309E-2</v>
      </c>
      <c r="CA93" s="973">
        <f t="shared" si="132"/>
        <v>4.7166582703218309E-2</v>
      </c>
      <c r="CB93" s="973">
        <f t="shared" si="132"/>
        <v>4.7166582703218309E-2</v>
      </c>
      <c r="CC93" s="973">
        <f t="shared" si="132"/>
        <v>4.7166582703218309E-2</v>
      </c>
      <c r="CD93" s="973">
        <f t="shared" si="132"/>
        <v>4.7166582703218309E-2</v>
      </c>
      <c r="CE93" s="973">
        <f t="shared" si="132"/>
        <v>4.7166582703218309E-2</v>
      </c>
      <c r="CF93" s="973">
        <f t="shared" si="132"/>
        <v>4.7166582703218309E-2</v>
      </c>
      <c r="CG93" s="973">
        <f t="shared" si="132"/>
        <v>4.7166582703218309E-2</v>
      </c>
      <c r="CH93" s="973">
        <f t="shared" si="132"/>
        <v>4.7166582703218309E-2</v>
      </c>
      <c r="CI93" s="973">
        <f t="shared" si="132"/>
        <v>4.7166582703218309E-2</v>
      </c>
      <c r="CJ93" s="973">
        <f t="shared" si="132"/>
        <v>4.7166582703218309E-2</v>
      </c>
      <c r="CK93" s="973">
        <f t="shared" si="132"/>
        <v>4.7166582703218309E-2</v>
      </c>
      <c r="CL93" s="973">
        <f t="shared" si="132"/>
        <v>4.7166582703218309E-2</v>
      </c>
      <c r="CM93" s="973">
        <f t="shared" si="132"/>
        <v>4.7166582703218309E-2</v>
      </c>
      <c r="CN93" s="973">
        <f t="shared" si="132"/>
        <v>4.7166582703218309E-2</v>
      </c>
      <c r="CO93" s="973">
        <f t="shared" si="132"/>
        <v>4.7166582703218309E-2</v>
      </c>
      <c r="CP93" s="973">
        <f t="shared" si="132"/>
        <v>4.7166582703218309E-2</v>
      </c>
      <c r="CQ93" s="140" t="s">
        <v>77</v>
      </c>
    </row>
    <row r="94" spans="1:96" outlineLevel="1" x14ac:dyDescent="0.2">
      <c r="B94" s="8" t="s">
        <v>542</v>
      </c>
      <c r="D94" s="9"/>
      <c r="E94" s="75"/>
      <c r="F94" s="75"/>
      <c r="G94" s="75"/>
      <c r="H94" s="75"/>
      <c r="I94" s="75"/>
      <c r="J94" s="72"/>
      <c r="K94" s="72"/>
      <c r="L94" s="536">
        <f>+L82+L87</f>
        <v>9.3800000000000008E-2</v>
      </c>
      <c r="M94" s="72">
        <f t="shared" ref="M94:U94" si="133">+M82+M87</f>
        <v>9.3800000000000008E-2</v>
      </c>
      <c r="N94" s="72">
        <f t="shared" si="133"/>
        <v>9.3800000000000008E-2</v>
      </c>
      <c r="O94" s="72">
        <f t="shared" si="133"/>
        <v>9.3800000000000008E-2</v>
      </c>
      <c r="P94" s="72">
        <f>+P82+P87</f>
        <v>9.3800000000000008E-2</v>
      </c>
      <c r="Q94" s="237">
        <f>+Q82+Q87</f>
        <v>6.6799999999999998E-2</v>
      </c>
      <c r="R94" s="72">
        <f t="shared" si="133"/>
        <v>6.6799999999999998E-2</v>
      </c>
      <c r="S94" s="72">
        <f t="shared" si="133"/>
        <v>6.6799999999999998E-2</v>
      </c>
      <c r="T94" s="72">
        <f t="shared" si="133"/>
        <v>6.6799999999999998E-2</v>
      </c>
      <c r="U94" s="27">
        <f t="shared" si="133"/>
        <v>6.6799999999999998E-2</v>
      </c>
      <c r="V94" s="220">
        <v>4.7899999999999998E-2</v>
      </c>
      <c r="W94" s="288">
        <f>V94</f>
        <v>4.7899999999999998E-2</v>
      </c>
      <c r="X94" s="220">
        <v>4.7166582703218302E-2</v>
      </c>
      <c r="Y94" s="977">
        <f t="shared" ref="Y94:AD94" si="134">X94</f>
        <v>4.7166582703218302E-2</v>
      </c>
      <c r="Z94" s="977">
        <f t="shared" si="134"/>
        <v>4.7166582703218302E-2</v>
      </c>
      <c r="AA94" s="979">
        <f t="shared" si="134"/>
        <v>4.7166582703218302E-2</v>
      </c>
      <c r="AB94" s="977">
        <f t="shared" si="134"/>
        <v>4.7166582703218302E-2</v>
      </c>
      <c r="AC94" s="288">
        <f t="shared" si="134"/>
        <v>4.7166582703218302E-2</v>
      </c>
      <c r="AD94" s="288">
        <f t="shared" si="134"/>
        <v>4.7166582703218302E-2</v>
      </c>
      <c r="AE94" s="292">
        <f>AD94</f>
        <v>4.7166582703218302E-2</v>
      </c>
      <c r="AF94" s="288">
        <f t="shared" ref="AF94:BB94" si="135">AE94</f>
        <v>4.7166582703218302E-2</v>
      </c>
      <c r="AG94" s="288">
        <f t="shared" si="135"/>
        <v>4.7166582703218302E-2</v>
      </c>
      <c r="AH94" s="288">
        <f t="shared" si="135"/>
        <v>4.7166582703218302E-2</v>
      </c>
      <c r="AI94" s="288">
        <f t="shared" si="135"/>
        <v>4.7166582703218302E-2</v>
      </c>
      <c r="AJ94" s="288">
        <f t="shared" si="135"/>
        <v>4.7166582703218302E-2</v>
      </c>
      <c r="AK94" s="288">
        <f t="shared" si="135"/>
        <v>4.7166582703218302E-2</v>
      </c>
      <c r="AL94" s="288">
        <f t="shared" si="135"/>
        <v>4.7166582703218302E-2</v>
      </c>
      <c r="AM94" s="288">
        <f t="shared" si="135"/>
        <v>4.7166582703218302E-2</v>
      </c>
      <c r="AN94" s="288">
        <f t="shared" si="135"/>
        <v>4.7166582703218302E-2</v>
      </c>
      <c r="AO94" s="288">
        <f t="shared" si="135"/>
        <v>4.7166582703218302E-2</v>
      </c>
      <c r="AP94" s="288">
        <f t="shared" si="135"/>
        <v>4.7166582703218302E-2</v>
      </c>
      <c r="AQ94" s="288">
        <f t="shared" si="135"/>
        <v>4.7166582703218302E-2</v>
      </c>
      <c r="AR94" s="288">
        <f t="shared" si="135"/>
        <v>4.7166582703218302E-2</v>
      </c>
      <c r="AS94" s="288">
        <f t="shared" si="135"/>
        <v>4.7166582703218302E-2</v>
      </c>
      <c r="AT94" s="288">
        <f t="shared" si="135"/>
        <v>4.7166582703218302E-2</v>
      </c>
      <c r="AU94" s="288">
        <f t="shared" si="135"/>
        <v>4.7166582703218302E-2</v>
      </c>
      <c r="AV94" s="288">
        <f t="shared" si="135"/>
        <v>4.7166582703218302E-2</v>
      </c>
      <c r="AW94" s="288">
        <f t="shared" si="135"/>
        <v>4.7166582703218302E-2</v>
      </c>
      <c r="AX94" s="288">
        <f t="shared" si="135"/>
        <v>4.7166582703218302E-2</v>
      </c>
      <c r="AY94" s="288">
        <f t="shared" si="135"/>
        <v>4.7166582703218302E-2</v>
      </c>
      <c r="AZ94" s="288">
        <f t="shared" si="135"/>
        <v>4.7166582703218302E-2</v>
      </c>
      <c r="BA94" s="288">
        <f t="shared" si="135"/>
        <v>4.7166582703218302E-2</v>
      </c>
      <c r="BB94" s="288">
        <f t="shared" si="135"/>
        <v>4.7166582703218302E-2</v>
      </c>
      <c r="BC94" s="288">
        <f t="shared" ref="BC94:CP94" si="136">BB94</f>
        <v>4.7166582703218302E-2</v>
      </c>
      <c r="BD94" s="288">
        <f t="shared" si="136"/>
        <v>4.7166582703218302E-2</v>
      </c>
      <c r="BE94" s="288">
        <f t="shared" si="136"/>
        <v>4.7166582703218302E-2</v>
      </c>
      <c r="BF94" s="288">
        <f t="shared" si="136"/>
        <v>4.7166582703218302E-2</v>
      </c>
      <c r="BG94" s="288">
        <f t="shared" si="136"/>
        <v>4.7166582703218302E-2</v>
      </c>
      <c r="BH94" s="288">
        <f t="shared" si="136"/>
        <v>4.7166582703218302E-2</v>
      </c>
      <c r="BI94" s="288">
        <f t="shared" si="136"/>
        <v>4.7166582703218302E-2</v>
      </c>
      <c r="BJ94" s="288">
        <f t="shared" si="136"/>
        <v>4.7166582703218302E-2</v>
      </c>
      <c r="BK94" s="288">
        <f t="shared" si="136"/>
        <v>4.7166582703218302E-2</v>
      </c>
      <c r="BL94" s="288">
        <f t="shared" si="136"/>
        <v>4.7166582703218302E-2</v>
      </c>
      <c r="BM94" s="288">
        <f t="shared" si="136"/>
        <v>4.7166582703218302E-2</v>
      </c>
      <c r="BN94" s="288">
        <f t="shared" si="136"/>
        <v>4.7166582703218302E-2</v>
      </c>
      <c r="BO94" s="288">
        <f t="shared" si="136"/>
        <v>4.7166582703218302E-2</v>
      </c>
      <c r="BP94" s="288">
        <f t="shared" si="136"/>
        <v>4.7166582703218302E-2</v>
      </c>
      <c r="BQ94" s="288">
        <f t="shared" si="136"/>
        <v>4.7166582703218302E-2</v>
      </c>
      <c r="BR94" s="288">
        <f t="shared" si="136"/>
        <v>4.7166582703218302E-2</v>
      </c>
      <c r="BS94" s="288">
        <f t="shared" si="136"/>
        <v>4.7166582703218302E-2</v>
      </c>
      <c r="BT94" s="288">
        <f t="shared" si="136"/>
        <v>4.7166582703218302E-2</v>
      </c>
      <c r="BU94" s="288">
        <f t="shared" si="136"/>
        <v>4.7166582703218302E-2</v>
      </c>
      <c r="BV94" s="288">
        <f t="shared" si="136"/>
        <v>4.7166582703218302E-2</v>
      </c>
      <c r="BW94" s="288">
        <f t="shared" si="136"/>
        <v>4.7166582703218302E-2</v>
      </c>
      <c r="BX94" s="288">
        <f t="shared" si="136"/>
        <v>4.7166582703218302E-2</v>
      </c>
      <c r="BY94" s="288">
        <f t="shared" si="136"/>
        <v>4.7166582703218302E-2</v>
      </c>
      <c r="BZ94" s="288">
        <f t="shared" si="136"/>
        <v>4.7166582703218302E-2</v>
      </c>
      <c r="CA94" s="288">
        <f t="shared" si="136"/>
        <v>4.7166582703218302E-2</v>
      </c>
      <c r="CB94" s="288">
        <f t="shared" si="136"/>
        <v>4.7166582703218302E-2</v>
      </c>
      <c r="CC94" s="288">
        <f t="shared" si="136"/>
        <v>4.7166582703218302E-2</v>
      </c>
      <c r="CD94" s="288">
        <f t="shared" si="136"/>
        <v>4.7166582703218302E-2</v>
      </c>
      <c r="CE94" s="288">
        <f t="shared" si="136"/>
        <v>4.7166582703218302E-2</v>
      </c>
      <c r="CF94" s="288">
        <f t="shared" si="136"/>
        <v>4.7166582703218302E-2</v>
      </c>
      <c r="CG94" s="288">
        <f t="shared" si="136"/>
        <v>4.7166582703218302E-2</v>
      </c>
      <c r="CH94" s="288">
        <f t="shared" si="136"/>
        <v>4.7166582703218302E-2</v>
      </c>
      <c r="CI94" s="288">
        <f t="shared" si="136"/>
        <v>4.7166582703218302E-2</v>
      </c>
      <c r="CJ94" s="288">
        <f t="shared" si="136"/>
        <v>4.7166582703218302E-2</v>
      </c>
      <c r="CK94" s="288">
        <f t="shared" si="136"/>
        <v>4.7166582703218302E-2</v>
      </c>
      <c r="CL94" s="288">
        <f t="shared" si="136"/>
        <v>4.7166582703218302E-2</v>
      </c>
      <c r="CM94" s="288">
        <f t="shared" si="136"/>
        <v>4.7166582703218302E-2</v>
      </c>
      <c r="CN94" s="288">
        <f t="shared" si="136"/>
        <v>4.7166582703218302E-2</v>
      </c>
      <c r="CO94" s="288">
        <f t="shared" si="136"/>
        <v>4.7166582703218302E-2</v>
      </c>
      <c r="CP94" s="288">
        <f t="shared" si="136"/>
        <v>4.7166582703218302E-2</v>
      </c>
      <c r="CQ94" s="362" t="s">
        <v>77</v>
      </c>
    </row>
    <row r="95" spans="1:96" outlineLevel="1" x14ac:dyDescent="0.2">
      <c r="B95" s="8" t="s">
        <v>61</v>
      </c>
      <c r="D95" s="9"/>
      <c r="E95" s="75"/>
      <c r="F95" s="75"/>
      <c r="G95" s="75"/>
      <c r="H95" s="75"/>
      <c r="I95" s="75"/>
      <c r="J95" s="72"/>
      <c r="K95" s="72"/>
      <c r="L95" s="237">
        <f t="shared" ref="L95:BB95" si="137">+(1+L94)/(1+L83)-1</f>
        <v>6.525126606934184E-2</v>
      </c>
      <c r="M95" s="72">
        <f t="shared" si="137"/>
        <v>6.525126606934184E-2</v>
      </c>
      <c r="N95" s="72">
        <f t="shared" si="137"/>
        <v>6.525126606934184E-2</v>
      </c>
      <c r="O95" s="72">
        <f t="shared" si="137"/>
        <v>6.525126606934184E-2</v>
      </c>
      <c r="P95" s="72">
        <f t="shared" si="137"/>
        <v>6.525126606934184E-2</v>
      </c>
      <c r="Q95" s="237">
        <f t="shared" si="137"/>
        <v>4.0780487804878085E-2</v>
      </c>
      <c r="R95" s="72">
        <f t="shared" si="137"/>
        <v>4.0780487804878085E-2</v>
      </c>
      <c r="S95" s="72">
        <f t="shared" si="137"/>
        <v>4.0780487804878085E-2</v>
      </c>
      <c r="T95" s="72">
        <f t="shared" si="137"/>
        <v>4.0780487804878085E-2</v>
      </c>
      <c r="U95" s="27">
        <f t="shared" si="137"/>
        <v>4.0780487804878085E-2</v>
      </c>
      <c r="V95" s="79">
        <f t="shared" si="137"/>
        <v>2.2840409956076169E-2</v>
      </c>
      <c r="W95" s="72">
        <f t="shared" si="137"/>
        <v>2.2840409956076169E-2</v>
      </c>
      <c r="X95" s="974">
        <f t="shared" si="137"/>
        <v>2.2125019064608731E-2</v>
      </c>
      <c r="Y95" s="976">
        <f t="shared" si="137"/>
        <v>2.2125019064608731E-2</v>
      </c>
      <c r="Z95" s="976">
        <f t="shared" si="137"/>
        <v>2.2125019064608731E-2</v>
      </c>
      <c r="AA95" s="980">
        <f t="shared" si="137"/>
        <v>2.2125019064608731E-2</v>
      </c>
      <c r="AB95" s="976">
        <f t="shared" si="137"/>
        <v>2.2125019064608731E-2</v>
      </c>
      <c r="AC95" s="72">
        <f t="shared" si="137"/>
        <v>2.2125019064608731E-2</v>
      </c>
      <c r="AD95" s="72">
        <f t="shared" si="137"/>
        <v>2.2125019064608731E-2</v>
      </c>
      <c r="AE95" s="79">
        <f t="shared" si="137"/>
        <v>2.2125019064608731E-2</v>
      </c>
      <c r="AF95" s="72">
        <f t="shared" si="137"/>
        <v>2.2125019064608731E-2</v>
      </c>
      <c r="AG95" s="72">
        <f t="shared" si="137"/>
        <v>2.2125019064608731E-2</v>
      </c>
      <c r="AH95" s="72">
        <f t="shared" si="137"/>
        <v>2.2125019064608731E-2</v>
      </c>
      <c r="AI95" s="72">
        <f t="shared" si="137"/>
        <v>2.2125019064608731E-2</v>
      </c>
      <c r="AJ95" s="72">
        <f t="shared" si="137"/>
        <v>2.2125019064608731E-2</v>
      </c>
      <c r="AK95" s="72">
        <f t="shared" si="137"/>
        <v>2.2125019064608731E-2</v>
      </c>
      <c r="AL95" s="72">
        <f t="shared" si="137"/>
        <v>2.2125019064608731E-2</v>
      </c>
      <c r="AM95" s="72">
        <f t="shared" si="137"/>
        <v>2.2125019064608731E-2</v>
      </c>
      <c r="AN95" s="72">
        <f t="shared" si="137"/>
        <v>2.2125019064608731E-2</v>
      </c>
      <c r="AO95" s="72">
        <f t="shared" si="137"/>
        <v>2.2125019064608731E-2</v>
      </c>
      <c r="AP95" s="72">
        <f t="shared" si="137"/>
        <v>2.2125019064608731E-2</v>
      </c>
      <c r="AQ95" s="72">
        <f t="shared" si="137"/>
        <v>2.2125019064608731E-2</v>
      </c>
      <c r="AR95" s="72">
        <f t="shared" si="137"/>
        <v>2.2125019064608731E-2</v>
      </c>
      <c r="AS95" s="72">
        <f t="shared" si="137"/>
        <v>2.2125019064608731E-2</v>
      </c>
      <c r="AT95" s="72">
        <f t="shared" si="137"/>
        <v>2.2125019064608731E-2</v>
      </c>
      <c r="AU95" s="72">
        <f t="shared" si="137"/>
        <v>2.2125019064608731E-2</v>
      </c>
      <c r="AV95" s="72">
        <f t="shared" si="137"/>
        <v>2.2125019064608731E-2</v>
      </c>
      <c r="AW95" s="72">
        <f t="shared" si="137"/>
        <v>2.2125019064608731E-2</v>
      </c>
      <c r="AX95" s="72">
        <f t="shared" si="137"/>
        <v>2.2125019064608731E-2</v>
      </c>
      <c r="AY95" s="72">
        <f t="shared" si="137"/>
        <v>2.2125019064608731E-2</v>
      </c>
      <c r="AZ95" s="72">
        <f t="shared" si="137"/>
        <v>2.2125019064608731E-2</v>
      </c>
      <c r="BA95" s="72">
        <f t="shared" si="137"/>
        <v>2.2125019064608731E-2</v>
      </c>
      <c r="BB95" s="72">
        <f t="shared" si="137"/>
        <v>2.2125019064608731E-2</v>
      </c>
      <c r="BC95" s="72">
        <f t="shared" ref="BC95:CP95" si="138">+(1+BC94)/(1+BC83)-1</f>
        <v>2.2125019064608731E-2</v>
      </c>
      <c r="BD95" s="72">
        <f t="shared" si="138"/>
        <v>2.2125019064608731E-2</v>
      </c>
      <c r="BE95" s="72">
        <f t="shared" si="138"/>
        <v>2.2125019064608731E-2</v>
      </c>
      <c r="BF95" s="72">
        <f t="shared" si="138"/>
        <v>2.2125019064608731E-2</v>
      </c>
      <c r="BG95" s="72">
        <f t="shared" si="138"/>
        <v>2.2125019064608731E-2</v>
      </c>
      <c r="BH95" s="72">
        <f t="shared" si="138"/>
        <v>2.2125019064608731E-2</v>
      </c>
      <c r="BI95" s="72">
        <f t="shared" si="138"/>
        <v>2.2125019064608731E-2</v>
      </c>
      <c r="BJ95" s="72">
        <f t="shared" si="138"/>
        <v>2.2125019064608731E-2</v>
      </c>
      <c r="BK95" s="72">
        <f t="shared" si="138"/>
        <v>2.2125019064608731E-2</v>
      </c>
      <c r="BL95" s="72">
        <f t="shared" si="138"/>
        <v>2.2125019064608731E-2</v>
      </c>
      <c r="BM95" s="72">
        <f t="shared" si="138"/>
        <v>2.2125019064608731E-2</v>
      </c>
      <c r="BN95" s="72">
        <f t="shared" si="138"/>
        <v>2.2125019064608731E-2</v>
      </c>
      <c r="BO95" s="72">
        <f t="shared" si="138"/>
        <v>2.2125019064608731E-2</v>
      </c>
      <c r="BP95" s="72">
        <f t="shared" si="138"/>
        <v>2.2125019064608731E-2</v>
      </c>
      <c r="BQ95" s="72">
        <f t="shared" si="138"/>
        <v>2.2125019064608731E-2</v>
      </c>
      <c r="BR95" s="72">
        <f t="shared" si="138"/>
        <v>2.2125019064608731E-2</v>
      </c>
      <c r="BS95" s="72">
        <f t="shared" si="138"/>
        <v>2.2125019064608731E-2</v>
      </c>
      <c r="BT95" s="72">
        <f t="shared" si="138"/>
        <v>2.2125019064608731E-2</v>
      </c>
      <c r="BU95" s="72">
        <f t="shared" si="138"/>
        <v>2.2125019064608731E-2</v>
      </c>
      <c r="BV95" s="72">
        <f t="shared" si="138"/>
        <v>2.2125019064608731E-2</v>
      </c>
      <c r="BW95" s="72">
        <f t="shared" si="138"/>
        <v>2.2125019064608731E-2</v>
      </c>
      <c r="BX95" s="72">
        <f t="shared" si="138"/>
        <v>2.2125019064608731E-2</v>
      </c>
      <c r="BY95" s="72">
        <f t="shared" si="138"/>
        <v>2.2125019064608731E-2</v>
      </c>
      <c r="BZ95" s="72">
        <f t="shared" si="138"/>
        <v>2.2125019064608731E-2</v>
      </c>
      <c r="CA95" s="72">
        <f t="shared" si="138"/>
        <v>2.2125019064608731E-2</v>
      </c>
      <c r="CB95" s="72">
        <f t="shared" si="138"/>
        <v>2.2125019064608731E-2</v>
      </c>
      <c r="CC95" s="72">
        <f t="shared" si="138"/>
        <v>2.2125019064608731E-2</v>
      </c>
      <c r="CD95" s="72">
        <f t="shared" si="138"/>
        <v>2.2125019064608731E-2</v>
      </c>
      <c r="CE95" s="72">
        <f t="shared" si="138"/>
        <v>2.2125019064608731E-2</v>
      </c>
      <c r="CF95" s="72">
        <f t="shared" si="138"/>
        <v>2.2125019064608731E-2</v>
      </c>
      <c r="CG95" s="72">
        <f t="shared" si="138"/>
        <v>2.2125019064608731E-2</v>
      </c>
      <c r="CH95" s="72">
        <f t="shared" si="138"/>
        <v>2.2125019064608731E-2</v>
      </c>
      <c r="CI95" s="72">
        <f t="shared" si="138"/>
        <v>2.2125019064608731E-2</v>
      </c>
      <c r="CJ95" s="72">
        <f t="shared" si="138"/>
        <v>2.2125019064608731E-2</v>
      </c>
      <c r="CK95" s="72">
        <f t="shared" si="138"/>
        <v>2.2125019064608731E-2</v>
      </c>
      <c r="CL95" s="72">
        <f t="shared" si="138"/>
        <v>2.2125019064608731E-2</v>
      </c>
      <c r="CM95" s="72">
        <f t="shared" si="138"/>
        <v>2.2125019064608731E-2</v>
      </c>
      <c r="CN95" s="72">
        <f t="shared" si="138"/>
        <v>2.2125019064608731E-2</v>
      </c>
      <c r="CO95" s="72">
        <f t="shared" si="138"/>
        <v>2.2125019064608731E-2</v>
      </c>
      <c r="CP95" s="72">
        <f t="shared" si="138"/>
        <v>2.2125019064608731E-2</v>
      </c>
      <c r="CQ95" s="23" t="s">
        <v>77</v>
      </c>
    </row>
    <row r="96" spans="1:96" outlineLevel="1" x14ac:dyDescent="0.2">
      <c r="A96" s="233"/>
      <c r="B96" s="358" t="s">
        <v>67</v>
      </c>
      <c r="D96" s="66"/>
      <c r="E96" s="66"/>
      <c r="F96" s="66"/>
      <c r="G96" s="66"/>
      <c r="H96" s="66"/>
      <c r="I96" s="66"/>
      <c r="J96" s="66"/>
      <c r="K96" s="66"/>
      <c r="L96" s="238"/>
      <c r="M96" s="66"/>
      <c r="N96" s="66"/>
      <c r="O96" s="66"/>
      <c r="P96" s="66"/>
      <c r="Q96" s="238"/>
      <c r="R96" s="66"/>
      <c r="S96" s="66"/>
      <c r="T96" s="66"/>
      <c r="U96" s="66"/>
      <c r="V96" s="81"/>
      <c r="W96" s="81"/>
      <c r="X96" s="81"/>
      <c r="Y96" s="81"/>
      <c r="Z96" s="81"/>
      <c r="AA96" s="81"/>
      <c r="AB96" s="81"/>
      <c r="AC96" s="81"/>
      <c r="AD96" s="81"/>
      <c r="AE96" s="81"/>
      <c r="AF96" s="81"/>
      <c r="AG96" s="81"/>
      <c r="AH96" s="81"/>
      <c r="AI96" s="81"/>
      <c r="AJ96" s="81"/>
      <c r="AK96" s="81"/>
      <c r="AL96" s="81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  <c r="BA96" s="81"/>
      <c r="BB96" s="81"/>
      <c r="BC96" s="81"/>
      <c r="BD96" s="81"/>
      <c r="BE96" s="81"/>
      <c r="BF96" s="81"/>
      <c r="BG96" s="81"/>
      <c r="BH96" s="81"/>
      <c r="BI96" s="81"/>
      <c r="BJ96" s="81"/>
      <c r="BK96" s="81"/>
      <c r="BL96" s="81"/>
      <c r="BM96" s="81"/>
      <c r="BN96" s="81"/>
      <c r="BO96" s="81"/>
      <c r="BP96" s="81"/>
      <c r="BQ96" s="81"/>
      <c r="BR96" s="81"/>
      <c r="BS96" s="81"/>
      <c r="BT96" s="81"/>
      <c r="BU96" s="81"/>
      <c r="BV96" s="81"/>
      <c r="BW96" s="81"/>
      <c r="BX96" s="81"/>
      <c r="BY96" s="81"/>
      <c r="BZ96" s="81"/>
      <c r="CA96" s="81"/>
      <c r="CB96" s="81"/>
      <c r="CC96" s="81"/>
      <c r="CD96" s="81"/>
      <c r="CE96" s="81"/>
      <c r="CF96" s="81"/>
      <c r="CG96" s="81"/>
      <c r="CH96" s="81"/>
      <c r="CI96" s="81"/>
      <c r="CJ96" s="81"/>
      <c r="CK96" s="81"/>
      <c r="CL96" s="81"/>
      <c r="CM96" s="81"/>
      <c r="CN96" s="81"/>
      <c r="CO96" s="81"/>
      <c r="CP96" s="81"/>
      <c r="CQ96" s="23" t="s">
        <v>77</v>
      </c>
      <c r="CR96" s="233"/>
    </row>
    <row r="97" spans="1:96" outlineLevel="1" x14ac:dyDescent="0.2">
      <c r="B97" s="8" t="s">
        <v>62</v>
      </c>
      <c r="D97" s="75"/>
      <c r="E97" s="75"/>
      <c r="F97" s="75"/>
      <c r="G97" s="75"/>
      <c r="H97" s="75"/>
      <c r="I97" s="75"/>
      <c r="J97" s="72"/>
      <c r="K97" s="72"/>
      <c r="L97" s="237">
        <f>L99/(1-L90*(1-L91))</f>
        <v>0.15858064516129031</v>
      </c>
      <c r="M97" s="72">
        <f t="shared" ref="M97:BB97" si="139">M99/(1-M90*(1-M91))</f>
        <v>0.15858064516129031</v>
      </c>
      <c r="N97" s="72">
        <f t="shared" si="139"/>
        <v>0.15858064516129031</v>
      </c>
      <c r="O97" s="72">
        <f t="shared" si="139"/>
        <v>0.15858064516129031</v>
      </c>
      <c r="P97" s="72">
        <f>P99/(1-P90*(1-P91))</f>
        <v>0.15858064516129031</v>
      </c>
      <c r="Q97" s="237">
        <f>Q99/(1-Q90*(1-Q91))</f>
        <v>0.10348387096774192</v>
      </c>
      <c r="R97" s="72">
        <f t="shared" si="139"/>
        <v>0.10348387096774192</v>
      </c>
      <c r="S97" s="72">
        <f t="shared" si="139"/>
        <v>0.10348387096774192</v>
      </c>
      <c r="T97" s="72">
        <f t="shared" si="139"/>
        <v>0.10348387096774192</v>
      </c>
      <c r="U97" s="27">
        <f t="shared" si="139"/>
        <v>0.10348387096774192</v>
      </c>
      <c r="V97" s="79">
        <f t="shared" si="139"/>
        <v>8.7804878048780469E-2</v>
      </c>
      <c r="W97" s="72">
        <f t="shared" si="139"/>
        <v>8.7804878048780469E-2</v>
      </c>
      <c r="X97" s="241">
        <f t="shared" si="139"/>
        <v>8.9024390243902421E-2</v>
      </c>
      <c r="Y97" s="976">
        <f t="shared" si="139"/>
        <v>8.9024390243902421E-2</v>
      </c>
      <c r="Z97" s="976">
        <f t="shared" si="139"/>
        <v>8.9024390243902421E-2</v>
      </c>
      <c r="AA97" s="976">
        <f t="shared" si="139"/>
        <v>8.9024390243902421E-2</v>
      </c>
      <c r="AB97" s="976">
        <f t="shared" si="139"/>
        <v>8.9024390243902421E-2</v>
      </c>
      <c r="AC97" s="72">
        <f t="shared" si="139"/>
        <v>9.1864111498257822E-2</v>
      </c>
      <c r="AD97" s="72">
        <f t="shared" si="139"/>
        <v>9.4947735191637614E-2</v>
      </c>
      <c r="AE97" s="72">
        <f t="shared" si="139"/>
        <v>0.11036585365853657</v>
      </c>
      <c r="AF97" s="72">
        <f t="shared" si="139"/>
        <v>0.11036585365853657</v>
      </c>
      <c r="AG97" s="72">
        <f t="shared" si="139"/>
        <v>0.11036585365853657</v>
      </c>
      <c r="AH97" s="72">
        <f t="shared" si="139"/>
        <v>0.11036585365853657</v>
      </c>
      <c r="AI97" s="72">
        <f t="shared" si="139"/>
        <v>0.11036585365853657</v>
      </c>
      <c r="AJ97" s="72">
        <f t="shared" si="139"/>
        <v>0.11036585365853657</v>
      </c>
      <c r="AK97" s="72">
        <f t="shared" si="139"/>
        <v>0.11036585365853657</v>
      </c>
      <c r="AL97" s="72">
        <f t="shared" si="139"/>
        <v>0.11036585365853657</v>
      </c>
      <c r="AM97" s="72">
        <f t="shared" si="139"/>
        <v>0.11036585365853657</v>
      </c>
      <c r="AN97" s="72">
        <f t="shared" si="139"/>
        <v>0.11036585365853657</v>
      </c>
      <c r="AO97" s="72">
        <f t="shared" si="139"/>
        <v>0.11036585365853657</v>
      </c>
      <c r="AP97" s="72">
        <f t="shared" si="139"/>
        <v>0.11036585365853657</v>
      </c>
      <c r="AQ97" s="72">
        <f t="shared" si="139"/>
        <v>0.11036585365853657</v>
      </c>
      <c r="AR97" s="72">
        <f t="shared" si="139"/>
        <v>0.11036585365853657</v>
      </c>
      <c r="AS97" s="72">
        <f t="shared" si="139"/>
        <v>0.11036585365853657</v>
      </c>
      <c r="AT97" s="72">
        <f t="shared" si="139"/>
        <v>0.11036585365853657</v>
      </c>
      <c r="AU97" s="72">
        <f t="shared" si="139"/>
        <v>0.11036585365853657</v>
      </c>
      <c r="AV97" s="72">
        <f t="shared" si="139"/>
        <v>0.11036585365853657</v>
      </c>
      <c r="AW97" s="72">
        <f t="shared" si="139"/>
        <v>0.11036585365853657</v>
      </c>
      <c r="AX97" s="72">
        <f t="shared" si="139"/>
        <v>0.11036585365853657</v>
      </c>
      <c r="AY97" s="72">
        <f t="shared" si="139"/>
        <v>0.11036585365853657</v>
      </c>
      <c r="AZ97" s="72">
        <f t="shared" si="139"/>
        <v>0.11036585365853657</v>
      </c>
      <c r="BA97" s="72">
        <f t="shared" si="139"/>
        <v>0.11036585365853657</v>
      </c>
      <c r="BB97" s="72">
        <f t="shared" si="139"/>
        <v>0.11036585365853657</v>
      </c>
      <c r="BC97" s="72">
        <f t="shared" ref="BC97:CP97" si="140">BC99/(1-BC90*(1-BC91))</f>
        <v>0.11036585365853657</v>
      </c>
      <c r="BD97" s="72">
        <f t="shared" si="140"/>
        <v>0.11036585365853657</v>
      </c>
      <c r="BE97" s="72">
        <f t="shared" si="140"/>
        <v>0.11036585365853657</v>
      </c>
      <c r="BF97" s="72">
        <f t="shared" si="140"/>
        <v>0.11036585365853657</v>
      </c>
      <c r="BG97" s="72">
        <f t="shared" si="140"/>
        <v>0.11036585365853657</v>
      </c>
      <c r="BH97" s="72">
        <f t="shared" si="140"/>
        <v>0.11036585365853657</v>
      </c>
      <c r="BI97" s="72">
        <f t="shared" si="140"/>
        <v>0.11036585365853657</v>
      </c>
      <c r="BJ97" s="72">
        <f t="shared" si="140"/>
        <v>0.11036585365853657</v>
      </c>
      <c r="BK97" s="72">
        <f t="shared" si="140"/>
        <v>0.11036585365853657</v>
      </c>
      <c r="BL97" s="72">
        <f t="shared" si="140"/>
        <v>0.11036585365853657</v>
      </c>
      <c r="BM97" s="72">
        <f t="shared" si="140"/>
        <v>0.11036585365853657</v>
      </c>
      <c r="BN97" s="72">
        <f t="shared" si="140"/>
        <v>0.11036585365853657</v>
      </c>
      <c r="BO97" s="72">
        <f t="shared" si="140"/>
        <v>0.11036585365853657</v>
      </c>
      <c r="BP97" s="72">
        <f t="shared" si="140"/>
        <v>0.11036585365853657</v>
      </c>
      <c r="BQ97" s="72">
        <f t="shared" si="140"/>
        <v>0.11036585365853657</v>
      </c>
      <c r="BR97" s="72">
        <f t="shared" si="140"/>
        <v>0.11036585365853657</v>
      </c>
      <c r="BS97" s="72">
        <f t="shared" si="140"/>
        <v>0.11036585365853657</v>
      </c>
      <c r="BT97" s="72">
        <f t="shared" si="140"/>
        <v>0.11036585365853657</v>
      </c>
      <c r="BU97" s="72">
        <f t="shared" si="140"/>
        <v>0.11036585365853657</v>
      </c>
      <c r="BV97" s="72">
        <f t="shared" si="140"/>
        <v>0.11036585365853657</v>
      </c>
      <c r="BW97" s="72">
        <f t="shared" si="140"/>
        <v>0.11036585365853657</v>
      </c>
      <c r="BX97" s="72">
        <f t="shared" si="140"/>
        <v>0.11036585365853657</v>
      </c>
      <c r="BY97" s="72">
        <f t="shared" si="140"/>
        <v>0.11036585365853657</v>
      </c>
      <c r="BZ97" s="72">
        <f t="shared" si="140"/>
        <v>0.11036585365853657</v>
      </c>
      <c r="CA97" s="72">
        <f t="shared" si="140"/>
        <v>0.11036585365853657</v>
      </c>
      <c r="CB97" s="72">
        <f t="shared" si="140"/>
        <v>0.11036585365853657</v>
      </c>
      <c r="CC97" s="72">
        <f t="shared" si="140"/>
        <v>0.11036585365853657</v>
      </c>
      <c r="CD97" s="72">
        <f t="shared" si="140"/>
        <v>0.11036585365853657</v>
      </c>
      <c r="CE97" s="72">
        <f t="shared" si="140"/>
        <v>0.11036585365853657</v>
      </c>
      <c r="CF97" s="72">
        <f t="shared" si="140"/>
        <v>0.11036585365853657</v>
      </c>
      <c r="CG97" s="72">
        <f t="shared" si="140"/>
        <v>0.11036585365853657</v>
      </c>
      <c r="CH97" s="72">
        <f t="shared" si="140"/>
        <v>0.11036585365853657</v>
      </c>
      <c r="CI97" s="72">
        <f t="shared" si="140"/>
        <v>0.11036585365853657</v>
      </c>
      <c r="CJ97" s="72">
        <f t="shared" si="140"/>
        <v>0.11036585365853657</v>
      </c>
      <c r="CK97" s="72">
        <f t="shared" si="140"/>
        <v>0.11036585365853657</v>
      </c>
      <c r="CL97" s="72">
        <f t="shared" si="140"/>
        <v>0.11036585365853657</v>
      </c>
      <c r="CM97" s="72">
        <f t="shared" si="140"/>
        <v>0.11036585365853657</v>
      </c>
      <c r="CN97" s="72">
        <f t="shared" si="140"/>
        <v>0.11036585365853657</v>
      </c>
      <c r="CO97" s="72">
        <f t="shared" si="140"/>
        <v>0.11036585365853657</v>
      </c>
      <c r="CP97" s="72">
        <f t="shared" si="140"/>
        <v>0.11036585365853657</v>
      </c>
      <c r="CQ97" s="23" t="s">
        <v>77</v>
      </c>
    </row>
    <row r="98" spans="1:96" outlineLevel="1" x14ac:dyDescent="0.2">
      <c r="B98" s="8" t="s">
        <v>63</v>
      </c>
      <c r="D98" s="9"/>
      <c r="E98" s="75"/>
      <c r="F98" s="75"/>
      <c r="G98" s="75"/>
      <c r="H98" s="75"/>
      <c r="I98" s="75"/>
      <c r="J98" s="72"/>
      <c r="K98" s="72"/>
      <c r="L98" s="237">
        <f t="shared" ref="L98:BB98" si="141">+(1+L97)/(1+L83)-1</f>
        <v>0.12834110358520689</v>
      </c>
      <c r="M98" s="72">
        <f t="shared" si="141"/>
        <v>0.12834110358520689</v>
      </c>
      <c r="N98" s="72">
        <f t="shared" si="141"/>
        <v>0.12834110358520689</v>
      </c>
      <c r="O98" s="72">
        <f t="shared" si="141"/>
        <v>0.12834110358520689</v>
      </c>
      <c r="P98" s="72">
        <f t="shared" si="141"/>
        <v>0.12834110358520689</v>
      </c>
      <c r="Q98" s="237">
        <f t="shared" si="141"/>
        <v>7.6569630212431239E-2</v>
      </c>
      <c r="R98" s="72">
        <f t="shared" si="141"/>
        <v>7.6569630212431239E-2</v>
      </c>
      <c r="S98" s="72">
        <f t="shared" si="141"/>
        <v>7.6569630212431239E-2</v>
      </c>
      <c r="T98" s="72">
        <f t="shared" si="141"/>
        <v>7.6569630212431239E-2</v>
      </c>
      <c r="U98" s="27">
        <f t="shared" si="141"/>
        <v>7.6569630212431239E-2</v>
      </c>
      <c r="V98" s="79">
        <f t="shared" si="141"/>
        <v>6.1790998583485246E-2</v>
      </c>
      <c r="W98" s="72">
        <f t="shared" si="141"/>
        <v>6.1790998583485246E-2</v>
      </c>
      <c r="X98" s="79">
        <f t="shared" si="141"/>
        <v>6.2981854106154422E-2</v>
      </c>
      <c r="Y98" s="976">
        <f t="shared" si="141"/>
        <v>6.2981854106154422E-2</v>
      </c>
      <c r="Z98" s="976">
        <f t="shared" si="141"/>
        <v>6.2981854106154422E-2</v>
      </c>
      <c r="AA98" s="976">
        <f t="shared" si="141"/>
        <v>6.2981854106154422E-2</v>
      </c>
      <c r="AB98" s="976">
        <f t="shared" si="141"/>
        <v>6.2981854106154422E-2</v>
      </c>
      <c r="AC98" s="72">
        <f t="shared" si="141"/>
        <v>6.5753667291553519E-2</v>
      </c>
      <c r="AD98" s="72">
        <f t="shared" si="141"/>
        <v>6.8763550321097489E-2</v>
      </c>
      <c r="AE98" s="72">
        <f t="shared" si="141"/>
        <v>8.3812965468816891E-2</v>
      </c>
      <c r="AF98" s="72">
        <f t="shared" si="141"/>
        <v>8.3812965468816891E-2</v>
      </c>
      <c r="AG98" s="72">
        <f t="shared" si="141"/>
        <v>8.3812965468816891E-2</v>
      </c>
      <c r="AH98" s="72">
        <f t="shared" si="141"/>
        <v>8.3812965468816891E-2</v>
      </c>
      <c r="AI98" s="72">
        <f t="shared" si="141"/>
        <v>8.3812965468816891E-2</v>
      </c>
      <c r="AJ98" s="72">
        <f t="shared" si="141"/>
        <v>8.3812965468816891E-2</v>
      </c>
      <c r="AK98" s="72">
        <f t="shared" si="141"/>
        <v>8.3812965468816891E-2</v>
      </c>
      <c r="AL98" s="72">
        <f t="shared" si="141"/>
        <v>8.3812965468816891E-2</v>
      </c>
      <c r="AM98" s="72">
        <f t="shared" si="141"/>
        <v>8.3812965468816891E-2</v>
      </c>
      <c r="AN98" s="72">
        <f t="shared" si="141"/>
        <v>8.3812965468816891E-2</v>
      </c>
      <c r="AO98" s="72">
        <f t="shared" si="141"/>
        <v>8.3812965468816891E-2</v>
      </c>
      <c r="AP98" s="72">
        <f t="shared" si="141"/>
        <v>8.3812965468816891E-2</v>
      </c>
      <c r="AQ98" s="72">
        <f t="shared" si="141"/>
        <v>8.3812965468816891E-2</v>
      </c>
      <c r="AR98" s="72">
        <f t="shared" si="141"/>
        <v>8.3812965468816891E-2</v>
      </c>
      <c r="AS98" s="72">
        <f t="shared" si="141"/>
        <v>8.3812965468816891E-2</v>
      </c>
      <c r="AT98" s="72">
        <f t="shared" si="141"/>
        <v>8.3812965468816891E-2</v>
      </c>
      <c r="AU98" s="72">
        <f t="shared" si="141"/>
        <v>8.3812965468816891E-2</v>
      </c>
      <c r="AV98" s="72">
        <f t="shared" si="141"/>
        <v>8.3812965468816891E-2</v>
      </c>
      <c r="AW98" s="72">
        <f t="shared" si="141"/>
        <v>8.3812965468816891E-2</v>
      </c>
      <c r="AX98" s="72">
        <f t="shared" si="141"/>
        <v>8.3812965468816891E-2</v>
      </c>
      <c r="AY98" s="72">
        <f t="shared" si="141"/>
        <v>8.3812965468816891E-2</v>
      </c>
      <c r="AZ98" s="72">
        <f t="shared" si="141"/>
        <v>8.3812965468816891E-2</v>
      </c>
      <c r="BA98" s="72">
        <f t="shared" si="141"/>
        <v>8.3812965468816891E-2</v>
      </c>
      <c r="BB98" s="72">
        <f t="shared" si="141"/>
        <v>8.3812965468816891E-2</v>
      </c>
      <c r="BC98" s="72">
        <f t="shared" ref="BC98:CP98" si="142">+(1+BC97)/(1+BC83)-1</f>
        <v>8.3812965468816891E-2</v>
      </c>
      <c r="BD98" s="72">
        <f t="shared" si="142"/>
        <v>8.3812965468816891E-2</v>
      </c>
      <c r="BE98" s="72">
        <f t="shared" si="142"/>
        <v>8.3812965468816891E-2</v>
      </c>
      <c r="BF98" s="72">
        <f t="shared" si="142"/>
        <v>8.3812965468816891E-2</v>
      </c>
      <c r="BG98" s="72">
        <f t="shared" si="142"/>
        <v>8.3812965468816891E-2</v>
      </c>
      <c r="BH98" s="72">
        <f t="shared" si="142"/>
        <v>8.3812965468816891E-2</v>
      </c>
      <c r="BI98" s="72">
        <f t="shared" si="142"/>
        <v>8.3812965468816891E-2</v>
      </c>
      <c r="BJ98" s="72">
        <f t="shared" si="142"/>
        <v>8.3812965468816891E-2</v>
      </c>
      <c r="BK98" s="72">
        <f t="shared" si="142"/>
        <v>8.3812965468816891E-2</v>
      </c>
      <c r="BL98" s="72">
        <f t="shared" si="142"/>
        <v>8.3812965468816891E-2</v>
      </c>
      <c r="BM98" s="72">
        <f t="shared" si="142"/>
        <v>8.3812965468816891E-2</v>
      </c>
      <c r="BN98" s="72">
        <f t="shared" si="142"/>
        <v>8.3812965468816891E-2</v>
      </c>
      <c r="BO98" s="72">
        <f t="shared" si="142"/>
        <v>8.3812965468816891E-2</v>
      </c>
      <c r="BP98" s="72">
        <f t="shared" si="142"/>
        <v>8.3812965468816891E-2</v>
      </c>
      <c r="BQ98" s="72">
        <f t="shared" si="142"/>
        <v>8.3812965468816891E-2</v>
      </c>
      <c r="BR98" s="72">
        <f t="shared" si="142"/>
        <v>8.3812965468816891E-2</v>
      </c>
      <c r="BS98" s="72">
        <f t="shared" si="142"/>
        <v>8.3812965468816891E-2</v>
      </c>
      <c r="BT98" s="72">
        <f t="shared" si="142"/>
        <v>8.3812965468816891E-2</v>
      </c>
      <c r="BU98" s="72">
        <f t="shared" si="142"/>
        <v>8.3812965468816891E-2</v>
      </c>
      <c r="BV98" s="72">
        <f t="shared" si="142"/>
        <v>8.3812965468816891E-2</v>
      </c>
      <c r="BW98" s="72">
        <f t="shared" si="142"/>
        <v>8.3812965468816891E-2</v>
      </c>
      <c r="BX98" s="72">
        <f t="shared" si="142"/>
        <v>8.3812965468816891E-2</v>
      </c>
      <c r="BY98" s="72">
        <f t="shared" si="142"/>
        <v>8.3812965468816891E-2</v>
      </c>
      <c r="BZ98" s="72">
        <f t="shared" si="142"/>
        <v>8.3812965468816891E-2</v>
      </c>
      <c r="CA98" s="72">
        <f t="shared" si="142"/>
        <v>8.3812965468816891E-2</v>
      </c>
      <c r="CB98" s="72">
        <f t="shared" si="142"/>
        <v>8.3812965468816891E-2</v>
      </c>
      <c r="CC98" s="72">
        <f t="shared" si="142"/>
        <v>8.3812965468816891E-2</v>
      </c>
      <c r="CD98" s="72">
        <f t="shared" si="142"/>
        <v>8.3812965468816891E-2</v>
      </c>
      <c r="CE98" s="72">
        <f t="shared" si="142"/>
        <v>8.3812965468816891E-2</v>
      </c>
      <c r="CF98" s="72">
        <f t="shared" si="142"/>
        <v>8.3812965468816891E-2</v>
      </c>
      <c r="CG98" s="72">
        <f t="shared" si="142"/>
        <v>8.3812965468816891E-2</v>
      </c>
      <c r="CH98" s="72">
        <f t="shared" si="142"/>
        <v>8.3812965468816891E-2</v>
      </c>
      <c r="CI98" s="72">
        <f t="shared" si="142"/>
        <v>8.3812965468816891E-2</v>
      </c>
      <c r="CJ98" s="72">
        <f t="shared" si="142"/>
        <v>8.3812965468816891E-2</v>
      </c>
      <c r="CK98" s="72">
        <f t="shared" si="142"/>
        <v>8.3812965468816891E-2</v>
      </c>
      <c r="CL98" s="72">
        <f t="shared" si="142"/>
        <v>8.3812965468816891E-2</v>
      </c>
      <c r="CM98" s="72">
        <f t="shared" si="142"/>
        <v>8.3812965468816891E-2</v>
      </c>
      <c r="CN98" s="72">
        <f t="shared" si="142"/>
        <v>8.3812965468816891E-2</v>
      </c>
      <c r="CO98" s="72">
        <f t="shared" si="142"/>
        <v>8.3812965468816891E-2</v>
      </c>
      <c r="CP98" s="72">
        <f t="shared" si="142"/>
        <v>8.3812965468816891E-2</v>
      </c>
      <c r="CQ98" s="23" t="s">
        <v>77</v>
      </c>
    </row>
    <row r="99" spans="1:96" outlineLevel="1" x14ac:dyDescent="0.2">
      <c r="B99" s="8" t="s">
        <v>64</v>
      </c>
      <c r="D99" s="9"/>
      <c r="E99" s="9"/>
      <c r="F99" s="9"/>
      <c r="G99" s="9"/>
      <c r="H99" s="9"/>
      <c r="J99" s="72"/>
      <c r="K99" s="72"/>
      <c r="L99" s="237">
        <f>+L89*L88+L82</f>
        <v>0.1229</v>
      </c>
      <c r="M99" s="72">
        <f t="shared" ref="M99:BB99" si="143">+M89*M88+M82</f>
        <v>0.1229</v>
      </c>
      <c r="N99" s="72">
        <f t="shared" si="143"/>
        <v>0.1229</v>
      </c>
      <c r="O99" s="72">
        <f t="shared" si="143"/>
        <v>0.1229</v>
      </c>
      <c r="P99" s="72">
        <f>+P89*P88+P82</f>
        <v>0.1229</v>
      </c>
      <c r="Q99" s="237">
        <f>+Q89*Q88+Q82</f>
        <v>8.0199999999999994E-2</v>
      </c>
      <c r="R99" s="72">
        <f t="shared" si="143"/>
        <v>8.0199999999999994E-2</v>
      </c>
      <c r="S99" s="72">
        <f t="shared" si="143"/>
        <v>8.0199999999999994E-2</v>
      </c>
      <c r="T99" s="72">
        <f t="shared" si="143"/>
        <v>8.0199999999999994E-2</v>
      </c>
      <c r="U99" s="27">
        <f t="shared" si="143"/>
        <v>8.0199999999999994E-2</v>
      </c>
      <c r="V99" s="263">
        <v>7.1999999999999995E-2</v>
      </c>
      <c r="W99" s="72">
        <f>V99</f>
        <v>7.1999999999999995E-2</v>
      </c>
      <c r="X99" s="975">
        <f>ROUND(X89*X88+X82,3)</f>
        <v>7.2999999999999995E-2</v>
      </c>
      <c r="Y99" s="976">
        <f>X99</f>
        <v>7.2999999999999995E-2</v>
      </c>
      <c r="Z99" s="976">
        <f>Y99</f>
        <v>7.2999999999999995E-2</v>
      </c>
      <c r="AA99" s="976">
        <f t="shared" ref="AA99:AB99" si="144">Z99</f>
        <v>7.2999999999999995E-2</v>
      </c>
      <c r="AB99" s="976">
        <f t="shared" si="144"/>
        <v>7.2999999999999995E-2</v>
      </c>
      <c r="AC99" s="72">
        <f t="shared" si="143"/>
        <v>7.5328571428571425E-2</v>
      </c>
      <c r="AD99" s="72">
        <f t="shared" si="143"/>
        <v>7.7857142857142847E-2</v>
      </c>
      <c r="AE99" s="72">
        <f t="shared" si="143"/>
        <v>9.0499999999999997E-2</v>
      </c>
      <c r="AF99" s="72">
        <f t="shared" si="143"/>
        <v>9.0499999999999997E-2</v>
      </c>
      <c r="AG99" s="72">
        <f t="shared" si="143"/>
        <v>9.0499999999999997E-2</v>
      </c>
      <c r="AH99" s="72">
        <f t="shared" si="143"/>
        <v>9.0499999999999997E-2</v>
      </c>
      <c r="AI99" s="72">
        <f t="shared" si="143"/>
        <v>9.0499999999999997E-2</v>
      </c>
      <c r="AJ99" s="72">
        <f t="shared" si="143"/>
        <v>9.0499999999999997E-2</v>
      </c>
      <c r="AK99" s="72">
        <f t="shared" si="143"/>
        <v>9.0499999999999997E-2</v>
      </c>
      <c r="AL99" s="72">
        <f t="shared" si="143"/>
        <v>9.0499999999999997E-2</v>
      </c>
      <c r="AM99" s="72">
        <f t="shared" si="143"/>
        <v>9.0499999999999997E-2</v>
      </c>
      <c r="AN99" s="72">
        <f t="shared" si="143"/>
        <v>9.0499999999999997E-2</v>
      </c>
      <c r="AO99" s="72">
        <f t="shared" si="143"/>
        <v>9.0499999999999997E-2</v>
      </c>
      <c r="AP99" s="72">
        <f t="shared" si="143"/>
        <v>9.0499999999999997E-2</v>
      </c>
      <c r="AQ99" s="72">
        <f t="shared" si="143"/>
        <v>9.0499999999999997E-2</v>
      </c>
      <c r="AR99" s="72">
        <f t="shared" si="143"/>
        <v>9.0499999999999997E-2</v>
      </c>
      <c r="AS99" s="72">
        <f t="shared" si="143"/>
        <v>9.0499999999999997E-2</v>
      </c>
      <c r="AT99" s="72">
        <f t="shared" si="143"/>
        <v>9.0499999999999997E-2</v>
      </c>
      <c r="AU99" s="72">
        <f t="shared" si="143"/>
        <v>9.0499999999999997E-2</v>
      </c>
      <c r="AV99" s="72">
        <f t="shared" si="143"/>
        <v>9.0499999999999997E-2</v>
      </c>
      <c r="AW99" s="72">
        <f t="shared" si="143"/>
        <v>9.0499999999999997E-2</v>
      </c>
      <c r="AX99" s="72">
        <f t="shared" si="143"/>
        <v>9.0499999999999997E-2</v>
      </c>
      <c r="AY99" s="72">
        <f t="shared" si="143"/>
        <v>9.0499999999999997E-2</v>
      </c>
      <c r="AZ99" s="72">
        <f t="shared" si="143"/>
        <v>9.0499999999999997E-2</v>
      </c>
      <c r="BA99" s="72">
        <f t="shared" si="143"/>
        <v>9.0499999999999997E-2</v>
      </c>
      <c r="BB99" s="72">
        <f t="shared" si="143"/>
        <v>9.0499999999999997E-2</v>
      </c>
      <c r="BC99" s="72">
        <f t="shared" ref="BC99:CP99" si="145">+BC89*BC88+BC82</f>
        <v>9.0499999999999997E-2</v>
      </c>
      <c r="BD99" s="72">
        <f t="shared" si="145"/>
        <v>9.0499999999999997E-2</v>
      </c>
      <c r="BE99" s="72">
        <f t="shared" si="145"/>
        <v>9.0499999999999997E-2</v>
      </c>
      <c r="BF99" s="72">
        <f t="shared" si="145"/>
        <v>9.0499999999999997E-2</v>
      </c>
      <c r="BG99" s="72">
        <f t="shared" si="145"/>
        <v>9.0499999999999997E-2</v>
      </c>
      <c r="BH99" s="72">
        <f t="shared" si="145"/>
        <v>9.0499999999999997E-2</v>
      </c>
      <c r="BI99" s="72">
        <f t="shared" si="145"/>
        <v>9.0499999999999997E-2</v>
      </c>
      <c r="BJ99" s="72">
        <f t="shared" si="145"/>
        <v>9.0499999999999997E-2</v>
      </c>
      <c r="BK99" s="72">
        <f t="shared" si="145"/>
        <v>9.0499999999999997E-2</v>
      </c>
      <c r="BL99" s="72">
        <f t="shared" si="145"/>
        <v>9.0499999999999997E-2</v>
      </c>
      <c r="BM99" s="72">
        <f t="shared" si="145"/>
        <v>9.0499999999999997E-2</v>
      </c>
      <c r="BN99" s="72">
        <f t="shared" si="145"/>
        <v>9.0499999999999997E-2</v>
      </c>
      <c r="BO99" s="72">
        <f t="shared" si="145"/>
        <v>9.0499999999999997E-2</v>
      </c>
      <c r="BP99" s="72">
        <f t="shared" si="145"/>
        <v>9.0499999999999997E-2</v>
      </c>
      <c r="BQ99" s="72">
        <f t="shared" si="145"/>
        <v>9.0499999999999997E-2</v>
      </c>
      <c r="BR99" s="72">
        <f t="shared" si="145"/>
        <v>9.0499999999999997E-2</v>
      </c>
      <c r="BS99" s="72">
        <f t="shared" si="145"/>
        <v>9.0499999999999997E-2</v>
      </c>
      <c r="BT99" s="72">
        <f t="shared" si="145"/>
        <v>9.0499999999999997E-2</v>
      </c>
      <c r="BU99" s="72">
        <f t="shared" si="145"/>
        <v>9.0499999999999997E-2</v>
      </c>
      <c r="BV99" s="72">
        <f t="shared" si="145"/>
        <v>9.0499999999999997E-2</v>
      </c>
      <c r="BW99" s="72">
        <f t="shared" si="145"/>
        <v>9.0499999999999997E-2</v>
      </c>
      <c r="BX99" s="72">
        <f t="shared" si="145"/>
        <v>9.0499999999999997E-2</v>
      </c>
      <c r="BY99" s="72">
        <f t="shared" si="145"/>
        <v>9.0499999999999997E-2</v>
      </c>
      <c r="BZ99" s="72">
        <f t="shared" si="145"/>
        <v>9.0499999999999997E-2</v>
      </c>
      <c r="CA99" s="72">
        <f t="shared" si="145"/>
        <v>9.0499999999999997E-2</v>
      </c>
      <c r="CB99" s="72">
        <f t="shared" si="145"/>
        <v>9.0499999999999997E-2</v>
      </c>
      <c r="CC99" s="72">
        <f t="shared" si="145"/>
        <v>9.0499999999999997E-2</v>
      </c>
      <c r="CD99" s="72">
        <f t="shared" si="145"/>
        <v>9.0499999999999997E-2</v>
      </c>
      <c r="CE99" s="72">
        <f t="shared" si="145"/>
        <v>9.0499999999999997E-2</v>
      </c>
      <c r="CF99" s="72">
        <f t="shared" si="145"/>
        <v>9.0499999999999997E-2</v>
      </c>
      <c r="CG99" s="72">
        <f t="shared" si="145"/>
        <v>9.0499999999999997E-2</v>
      </c>
      <c r="CH99" s="72">
        <f t="shared" si="145"/>
        <v>9.0499999999999997E-2</v>
      </c>
      <c r="CI99" s="72">
        <f t="shared" si="145"/>
        <v>9.0499999999999997E-2</v>
      </c>
      <c r="CJ99" s="72">
        <f t="shared" si="145"/>
        <v>9.0499999999999997E-2</v>
      </c>
      <c r="CK99" s="72">
        <f t="shared" si="145"/>
        <v>9.0499999999999997E-2</v>
      </c>
      <c r="CL99" s="72">
        <f t="shared" si="145"/>
        <v>9.0499999999999997E-2</v>
      </c>
      <c r="CM99" s="72">
        <f t="shared" si="145"/>
        <v>9.0499999999999997E-2</v>
      </c>
      <c r="CN99" s="72">
        <f t="shared" si="145"/>
        <v>9.0499999999999997E-2</v>
      </c>
      <c r="CO99" s="72">
        <f t="shared" si="145"/>
        <v>9.0499999999999997E-2</v>
      </c>
      <c r="CP99" s="72">
        <f t="shared" si="145"/>
        <v>9.0499999999999997E-2</v>
      </c>
      <c r="CQ99" s="23" t="s">
        <v>77</v>
      </c>
    </row>
    <row r="100" spans="1:96" outlineLevel="1" x14ac:dyDescent="0.2">
      <c r="B100" s="8" t="s">
        <v>65</v>
      </c>
      <c r="D100" s="75"/>
      <c r="E100" s="75"/>
      <c r="F100" s="75"/>
      <c r="G100" s="75"/>
      <c r="H100" s="75"/>
      <c r="I100" s="75"/>
      <c r="J100" s="72"/>
      <c r="K100" s="72"/>
      <c r="L100" s="237">
        <f t="shared" ref="L100:BB100" si="146">+(1+L99)/(1+L83)-1</f>
        <v>9.3591741332294642E-2</v>
      </c>
      <c r="M100" s="72">
        <f t="shared" si="146"/>
        <v>9.3591741332294642E-2</v>
      </c>
      <c r="N100" s="72">
        <f t="shared" si="146"/>
        <v>9.3591741332294642E-2</v>
      </c>
      <c r="O100" s="72">
        <f t="shared" si="146"/>
        <v>9.3591741332294642E-2</v>
      </c>
      <c r="P100" s="72">
        <f t="shared" si="146"/>
        <v>9.3591741332294642E-2</v>
      </c>
      <c r="Q100" s="237">
        <f t="shared" si="146"/>
        <v>5.3853658536585414E-2</v>
      </c>
      <c r="R100" s="72">
        <f t="shared" si="146"/>
        <v>5.3853658536585414E-2</v>
      </c>
      <c r="S100" s="72">
        <f t="shared" si="146"/>
        <v>5.3853658536585414E-2</v>
      </c>
      <c r="T100" s="72">
        <f t="shared" si="146"/>
        <v>5.3853658536585414E-2</v>
      </c>
      <c r="U100" s="27">
        <f t="shared" si="146"/>
        <v>5.3853658536585414E-2</v>
      </c>
      <c r="V100" s="79">
        <f t="shared" si="146"/>
        <v>4.6364080039043465E-2</v>
      </c>
      <c r="W100" s="72">
        <f t="shared" si="146"/>
        <v>4.6364080039043465E-2</v>
      </c>
      <c r="X100" s="974">
        <f t="shared" si="146"/>
        <v>4.7340665345846578E-2</v>
      </c>
      <c r="Y100" s="976">
        <f t="shared" si="146"/>
        <v>4.7340665345846578E-2</v>
      </c>
      <c r="Z100" s="976">
        <f t="shared" si="146"/>
        <v>4.7340665345846578E-2</v>
      </c>
      <c r="AA100" s="976">
        <f t="shared" si="146"/>
        <v>4.7340665345846578E-2</v>
      </c>
      <c r="AB100" s="976">
        <f t="shared" si="146"/>
        <v>4.7340665345846578E-2</v>
      </c>
      <c r="AC100" s="72">
        <f t="shared" si="146"/>
        <v>4.9613552157873775E-2</v>
      </c>
      <c r="AD100" s="72">
        <f t="shared" si="146"/>
        <v>5.2081656242099816E-2</v>
      </c>
      <c r="AE100" s="72">
        <f t="shared" si="146"/>
        <v>6.4422176663229802E-2</v>
      </c>
      <c r="AF100" s="72">
        <f t="shared" si="146"/>
        <v>6.4422176663229802E-2</v>
      </c>
      <c r="AG100" s="72">
        <f t="shared" si="146"/>
        <v>6.4422176663229802E-2</v>
      </c>
      <c r="AH100" s="72">
        <f t="shared" si="146"/>
        <v>6.4422176663229802E-2</v>
      </c>
      <c r="AI100" s="72">
        <f t="shared" si="146"/>
        <v>6.4422176663229802E-2</v>
      </c>
      <c r="AJ100" s="72">
        <f t="shared" si="146"/>
        <v>6.4422176663229802E-2</v>
      </c>
      <c r="AK100" s="72">
        <f t="shared" si="146"/>
        <v>6.4422176663229802E-2</v>
      </c>
      <c r="AL100" s="72">
        <f t="shared" si="146"/>
        <v>6.4422176663229802E-2</v>
      </c>
      <c r="AM100" s="72">
        <f t="shared" si="146"/>
        <v>6.4422176663229802E-2</v>
      </c>
      <c r="AN100" s="72">
        <f t="shared" si="146"/>
        <v>6.4422176663229802E-2</v>
      </c>
      <c r="AO100" s="72">
        <f t="shared" si="146"/>
        <v>6.4422176663229802E-2</v>
      </c>
      <c r="AP100" s="72">
        <f t="shared" si="146"/>
        <v>6.4422176663229802E-2</v>
      </c>
      <c r="AQ100" s="72">
        <f t="shared" si="146"/>
        <v>6.4422176663229802E-2</v>
      </c>
      <c r="AR100" s="72">
        <f t="shared" si="146"/>
        <v>6.4422176663229802E-2</v>
      </c>
      <c r="AS100" s="72">
        <f t="shared" si="146"/>
        <v>6.4422176663229802E-2</v>
      </c>
      <c r="AT100" s="72">
        <f t="shared" si="146"/>
        <v>6.4422176663229802E-2</v>
      </c>
      <c r="AU100" s="72">
        <f t="shared" si="146"/>
        <v>6.4422176663229802E-2</v>
      </c>
      <c r="AV100" s="72">
        <f t="shared" si="146"/>
        <v>6.4422176663229802E-2</v>
      </c>
      <c r="AW100" s="72">
        <f t="shared" si="146"/>
        <v>6.4422176663229802E-2</v>
      </c>
      <c r="AX100" s="72">
        <f t="shared" si="146"/>
        <v>6.4422176663229802E-2</v>
      </c>
      <c r="AY100" s="72">
        <f t="shared" si="146"/>
        <v>6.4422176663229802E-2</v>
      </c>
      <c r="AZ100" s="72">
        <f t="shared" si="146"/>
        <v>6.4422176663229802E-2</v>
      </c>
      <c r="BA100" s="72">
        <f t="shared" si="146"/>
        <v>6.4422176663229802E-2</v>
      </c>
      <c r="BB100" s="72">
        <f t="shared" si="146"/>
        <v>6.4422176663229802E-2</v>
      </c>
      <c r="BC100" s="72">
        <f t="shared" ref="BC100:CP100" si="147">+(1+BC99)/(1+BC83)-1</f>
        <v>6.4422176663229802E-2</v>
      </c>
      <c r="BD100" s="72">
        <f t="shared" si="147"/>
        <v>6.4422176663229802E-2</v>
      </c>
      <c r="BE100" s="72">
        <f t="shared" si="147"/>
        <v>6.4422176663229802E-2</v>
      </c>
      <c r="BF100" s="72">
        <f t="shared" si="147"/>
        <v>6.4422176663229802E-2</v>
      </c>
      <c r="BG100" s="72">
        <f t="shared" si="147"/>
        <v>6.4422176663229802E-2</v>
      </c>
      <c r="BH100" s="72">
        <f t="shared" si="147"/>
        <v>6.4422176663229802E-2</v>
      </c>
      <c r="BI100" s="72">
        <f t="shared" si="147"/>
        <v>6.4422176663229802E-2</v>
      </c>
      <c r="BJ100" s="72">
        <f t="shared" si="147"/>
        <v>6.4422176663229802E-2</v>
      </c>
      <c r="BK100" s="72">
        <f t="shared" si="147"/>
        <v>6.4422176663229802E-2</v>
      </c>
      <c r="BL100" s="72">
        <f t="shared" si="147"/>
        <v>6.4422176663229802E-2</v>
      </c>
      <c r="BM100" s="72">
        <f t="shared" si="147"/>
        <v>6.4422176663229802E-2</v>
      </c>
      <c r="BN100" s="72">
        <f t="shared" si="147"/>
        <v>6.4422176663229802E-2</v>
      </c>
      <c r="BO100" s="72">
        <f t="shared" si="147"/>
        <v>6.4422176663229802E-2</v>
      </c>
      <c r="BP100" s="72">
        <f t="shared" si="147"/>
        <v>6.4422176663229802E-2</v>
      </c>
      <c r="BQ100" s="72">
        <f t="shared" si="147"/>
        <v>6.4422176663229802E-2</v>
      </c>
      <c r="BR100" s="72">
        <f t="shared" si="147"/>
        <v>6.4422176663229802E-2</v>
      </c>
      <c r="BS100" s="72">
        <f t="shared" si="147"/>
        <v>6.4422176663229802E-2</v>
      </c>
      <c r="BT100" s="72">
        <f t="shared" si="147"/>
        <v>6.4422176663229802E-2</v>
      </c>
      <c r="BU100" s="72">
        <f t="shared" si="147"/>
        <v>6.4422176663229802E-2</v>
      </c>
      <c r="BV100" s="72">
        <f t="shared" si="147"/>
        <v>6.4422176663229802E-2</v>
      </c>
      <c r="BW100" s="72">
        <f t="shared" si="147"/>
        <v>6.4422176663229802E-2</v>
      </c>
      <c r="BX100" s="72">
        <f t="shared" si="147"/>
        <v>6.4422176663229802E-2</v>
      </c>
      <c r="BY100" s="72">
        <f t="shared" si="147"/>
        <v>6.4422176663229802E-2</v>
      </c>
      <c r="BZ100" s="72">
        <f t="shared" si="147"/>
        <v>6.4422176663229802E-2</v>
      </c>
      <c r="CA100" s="72">
        <f t="shared" si="147"/>
        <v>6.4422176663229802E-2</v>
      </c>
      <c r="CB100" s="72">
        <f t="shared" si="147"/>
        <v>6.4422176663229802E-2</v>
      </c>
      <c r="CC100" s="72">
        <f t="shared" si="147"/>
        <v>6.4422176663229802E-2</v>
      </c>
      <c r="CD100" s="72">
        <f t="shared" si="147"/>
        <v>6.4422176663229802E-2</v>
      </c>
      <c r="CE100" s="72">
        <f t="shared" si="147"/>
        <v>6.4422176663229802E-2</v>
      </c>
      <c r="CF100" s="72">
        <f t="shared" si="147"/>
        <v>6.4422176663229802E-2</v>
      </c>
      <c r="CG100" s="72">
        <f t="shared" si="147"/>
        <v>6.4422176663229802E-2</v>
      </c>
      <c r="CH100" s="72">
        <f t="shared" si="147"/>
        <v>6.4422176663229802E-2</v>
      </c>
      <c r="CI100" s="72">
        <f t="shared" si="147"/>
        <v>6.4422176663229802E-2</v>
      </c>
      <c r="CJ100" s="72">
        <f t="shared" si="147"/>
        <v>6.4422176663229802E-2</v>
      </c>
      <c r="CK100" s="72">
        <f t="shared" si="147"/>
        <v>6.4422176663229802E-2</v>
      </c>
      <c r="CL100" s="72">
        <f t="shared" si="147"/>
        <v>6.4422176663229802E-2</v>
      </c>
      <c r="CM100" s="72">
        <f t="shared" si="147"/>
        <v>6.4422176663229802E-2</v>
      </c>
      <c r="CN100" s="72">
        <f t="shared" si="147"/>
        <v>6.4422176663229802E-2</v>
      </c>
      <c r="CO100" s="72">
        <f t="shared" si="147"/>
        <v>6.4422176663229802E-2</v>
      </c>
      <c r="CP100" s="72">
        <f t="shared" si="147"/>
        <v>6.4422176663229802E-2</v>
      </c>
      <c r="CQ100" s="23" t="s">
        <v>77</v>
      </c>
    </row>
    <row r="101" spans="1:96" outlineLevel="1" x14ac:dyDescent="0.2">
      <c r="A101" s="233"/>
      <c r="B101" s="358" t="s">
        <v>72</v>
      </c>
      <c r="D101" s="66"/>
      <c r="E101" s="66"/>
      <c r="F101" s="66"/>
      <c r="G101" s="66"/>
      <c r="H101" s="66"/>
      <c r="I101" s="66"/>
      <c r="J101" s="66"/>
      <c r="K101" s="66"/>
      <c r="L101" s="238"/>
      <c r="M101" s="66"/>
      <c r="N101" s="66"/>
      <c r="O101" s="66"/>
      <c r="P101" s="66"/>
      <c r="Q101" s="238"/>
      <c r="R101" s="66"/>
      <c r="S101" s="66"/>
      <c r="T101" s="66"/>
      <c r="U101" s="66"/>
      <c r="V101" s="80"/>
      <c r="W101" s="81"/>
      <c r="X101" s="81"/>
      <c r="Y101" s="81"/>
      <c r="Z101" s="81"/>
      <c r="AA101" s="81"/>
      <c r="AB101" s="81"/>
      <c r="AC101" s="81"/>
      <c r="AD101" s="81"/>
      <c r="AE101" s="81"/>
      <c r="AF101" s="81"/>
      <c r="AG101" s="81"/>
      <c r="AH101" s="81"/>
      <c r="AI101" s="81"/>
      <c r="AJ101" s="81"/>
      <c r="AK101" s="81"/>
      <c r="AL101" s="81"/>
      <c r="AM101" s="81"/>
      <c r="AN101" s="81"/>
      <c r="AO101" s="81"/>
      <c r="AP101" s="81"/>
      <c r="AQ101" s="81"/>
      <c r="AR101" s="81"/>
      <c r="AS101" s="81"/>
      <c r="AT101" s="81"/>
      <c r="AU101" s="81"/>
      <c r="AV101" s="81"/>
      <c r="AW101" s="81"/>
      <c r="AX101" s="81"/>
      <c r="AY101" s="81"/>
      <c r="AZ101" s="81"/>
      <c r="BA101" s="81"/>
      <c r="BB101" s="81"/>
      <c r="BC101" s="81"/>
      <c r="BD101" s="81"/>
      <c r="BE101" s="81"/>
      <c r="BF101" s="81"/>
      <c r="BG101" s="81"/>
      <c r="BH101" s="81"/>
      <c r="BI101" s="81"/>
      <c r="BJ101" s="81"/>
      <c r="BK101" s="81"/>
      <c r="BL101" s="81"/>
      <c r="BM101" s="81"/>
      <c r="BN101" s="81"/>
      <c r="BO101" s="81"/>
      <c r="BP101" s="81"/>
      <c r="BQ101" s="81"/>
      <c r="BR101" s="81"/>
      <c r="BS101" s="81"/>
      <c r="BT101" s="81"/>
      <c r="BU101" s="81"/>
      <c r="BV101" s="81"/>
      <c r="BW101" s="81"/>
      <c r="BX101" s="81"/>
      <c r="BY101" s="81"/>
      <c r="BZ101" s="81"/>
      <c r="CA101" s="81"/>
      <c r="CB101" s="81"/>
      <c r="CC101" s="81"/>
      <c r="CD101" s="81"/>
      <c r="CE101" s="81"/>
      <c r="CF101" s="81"/>
      <c r="CG101" s="81"/>
      <c r="CH101" s="81"/>
      <c r="CI101" s="81"/>
      <c r="CJ101" s="81"/>
      <c r="CK101" s="81"/>
      <c r="CL101" s="81"/>
      <c r="CM101" s="81"/>
      <c r="CN101" s="81"/>
      <c r="CO101" s="81"/>
      <c r="CP101" s="81"/>
      <c r="CQ101" s="23" t="s">
        <v>77</v>
      </c>
      <c r="CR101" s="233"/>
    </row>
    <row r="102" spans="1:96" outlineLevel="1" x14ac:dyDescent="0.2">
      <c r="A102" s="233"/>
      <c r="B102" s="12" t="s">
        <v>68</v>
      </c>
      <c r="D102" s="9"/>
      <c r="E102" s="9"/>
      <c r="F102" s="9"/>
      <c r="G102" s="9"/>
      <c r="H102" s="9"/>
      <c r="J102" s="72"/>
      <c r="K102" s="72"/>
      <c r="L102" s="237">
        <f>L97*L86+L94*L85</f>
        <v>0.11971225806451613</v>
      </c>
      <c r="M102" s="72">
        <f t="shared" ref="M102:BB102" si="148">M97*M86+M94*M85</f>
        <v>0.11971225806451613</v>
      </c>
      <c r="N102" s="72">
        <f t="shared" si="148"/>
        <v>0.11971225806451613</v>
      </c>
      <c r="O102" s="72">
        <f t="shared" si="148"/>
        <v>0.11971225806451613</v>
      </c>
      <c r="P102" s="72">
        <f>P97*P86+P94*P85</f>
        <v>0.11971225806451613</v>
      </c>
      <c r="Q102" s="237">
        <f>Q97*Q86+Q94*Q85</f>
        <v>8.1473548387096778E-2</v>
      </c>
      <c r="R102" s="72">
        <f t="shared" si="148"/>
        <v>8.1473548387096778E-2</v>
      </c>
      <c r="S102" s="72">
        <f t="shared" si="148"/>
        <v>8.1473548387096778E-2</v>
      </c>
      <c r="T102" s="72">
        <f t="shared" si="148"/>
        <v>8.1473548387096778E-2</v>
      </c>
      <c r="U102" s="27">
        <f t="shared" si="148"/>
        <v>8.1473548387096778E-2</v>
      </c>
      <c r="V102" s="79">
        <f t="shared" si="148"/>
        <v>6.3861951219512186E-2</v>
      </c>
      <c r="W102" s="72">
        <f t="shared" si="148"/>
        <v>6.3861951219512186E-2</v>
      </c>
      <c r="X102" s="241">
        <f t="shared" si="148"/>
        <v>6.3909705719491949E-2</v>
      </c>
      <c r="Y102" s="976">
        <f t="shared" si="148"/>
        <v>6.3909705719491949E-2</v>
      </c>
      <c r="Z102" s="976">
        <f t="shared" si="148"/>
        <v>6.3909705719491949E-2</v>
      </c>
      <c r="AA102" s="976">
        <f t="shared" si="148"/>
        <v>6.3909705719491949E-2</v>
      </c>
      <c r="AB102" s="976">
        <f t="shared" si="148"/>
        <v>6.3909705719491949E-2</v>
      </c>
      <c r="AC102" s="72">
        <f t="shared" si="148"/>
        <v>6.5045594221234113E-2</v>
      </c>
      <c r="AD102" s="72">
        <f t="shared" si="148"/>
        <v>6.6279043698586032E-2</v>
      </c>
      <c r="AE102" s="72">
        <f t="shared" si="148"/>
        <v>7.2446291085345615E-2</v>
      </c>
      <c r="AF102" s="72">
        <f t="shared" si="148"/>
        <v>7.2446291085345615E-2</v>
      </c>
      <c r="AG102" s="72">
        <f t="shared" si="148"/>
        <v>7.2446291085345615E-2</v>
      </c>
      <c r="AH102" s="72">
        <f t="shared" si="148"/>
        <v>7.2446291085345615E-2</v>
      </c>
      <c r="AI102" s="72">
        <f t="shared" si="148"/>
        <v>7.2446291085345615E-2</v>
      </c>
      <c r="AJ102" s="72">
        <f t="shared" si="148"/>
        <v>7.2446291085345615E-2</v>
      </c>
      <c r="AK102" s="72">
        <f t="shared" si="148"/>
        <v>7.2446291085345615E-2</v>
      </c>
      <c r="AL102" s="72">
        <f t="shared" si="148"/>
        <v>7.2446291085345615E-2</v>
      </c>
      <c r="AM102" s="72">
        <f t="shared" si="148"/>
        <v>7.2446291085345615E-2</v>
      </c>
      <c r="AN102" s="72">
        <f t="shared" si="148"/>
        <v>7.2446291085345615E-2</v>
      </c>
      <c r="AO102" s="72">
        <f t="shared" si="148"/>
        <v>7.2446291085345615E-2</v>
      </c>
      <c r="AP102" s="72">
        <f t="shared" si="148"/>
        <v>7.2446291085345615E-2</v>
      </c>
      <c r="AQ102" s="72">
        <f t="shared" si="148"/>
        <v>7.2446291085345615E-2</v>
      </c>
      <c r="AR102" s="72">
        <f t="shared" si="148"/>
        <v>7.2446291085345615E-2</v>
      </c>
      <c r="AS102" s="72">
        <f t="shared" si="148"/>
        <v>7.2446291085345615E-2</v>
      </c>
      <c r="AT102" s="72">
        <f t="shared" si="148"/>
        <v>7.2446291085345615E-2</v>
      </c>
      <c r="AU102" s="72">
        <f t="shared" si="148"/>
        <v>7.2446291085345615E-2</v>
      </c>
      <c r="AV102" s="72">
        <f t="shared" si="148"/>
        <v>7.2446291085345615E-2</v>
      </c>
      <c r="AW102" s="72">
        <f t="shared" si="148"/>
        <v>7.2446291085345615E-2</v>
      </c>
      <c r="AX102" s="72">
        <f t="shared" si="148"/>
        <v>7.2446291085345615E-2</v>
      </c>
      <c r="AY102" s="72">
        <f t="shared" si="148"/>
        <v>7.2446291085345615E-2</v>
      </c>
      <c r="AZ102" s="72">
        <f t="shared" si="148"/>
        <v>7.2446291085345615E-2</v>
      </c>
      <c r="BA102" s="72">
        <f t="shared" si="148"/>
        <v>7.2446291085345615E-2</v>
      </c>
      <c r="BB102" s="72">
        <f t="shared" si="148"/>
        <v>7.2446291085345615E-2</v>
      </c>
      <c r="BC102" s="72">
        <f t="shared" ref="BC102:CP102" si="149">BC97*BC86+BC94*BC85</f>
        <v>7.2446291085345615E-2</v>
      </c>
      <c r="BD102" s="72">
        <f t="shared" si="149"/>
        <v>7.2446291085345615E-2</v>
      </c>
      <c r="BE102" s="72">
        <f t="shared" si="149"/>
        <v>7.2446291085345615E-2</v>
      </c>
      <c r="BF102" s="72">
        <f t="shared" si="149"/>
        <v>7.2446291085345615E-2</v>
      </c>
      <c r="BG102" s="72">
        <f t="shared" si="149"/>
        <v>7.2446291085345615E-2</v>
      </c>
      <c r="BH102" s="72">
        <f t="shared" si="149"/>
        <v>7.2446291085345615E-2</v>
      </c>
      <c r="BI102" s="72">
        <f t="shared" si="149"/>
        <v>7.2446291085345615E-2</v>
      </c>
      <c r="BJ102" s="72">
        <f t="shared" si="149"/>
        <v>7.2446291085345615E-2</v>
      </c>
      <c r="BK102" s="72">
        <f t="shared" si="149"/>
        <v>7.2446291085345615E-2</v>
      </c>
      <c r="BL102" s="72">
        <f t="shared" si="149"/>
        <v>7.2446291085345615E-2</v>
      </c>
      <c r="BM102" s="72">
        <f t="shared" si="149"/>
        <v>7.2446291085345615E-2</v>
      </c>
      <c r="BN102" s="72">
        <f t="shared" si="149"/>
        <v>7.2446291085345615E-2</v>
      </c>
      <c r="BO102" s="72">
        <f t="shared" si="149"/>
        <v>7.2446291085345615E-2</v>
      </c>
      <c r="BP102" s="72">
        <f t="shared" si="149"/>
        <v>7.2446291085345615E-2</v>
      </c>
      <c r="BQ102" s="72">
        <f t="shared" si="149"/>
        <v>7.2446291085345615E-2</v>
      </c>
      <c r="BR102" s="72">
        <f t="shared" si="149"/>
        <v>7.2446291085345615E-2</v>
      </c>
      <c r="BS102" s="72">
        <f t="shared" si="149"/>
        <v>7.2446291085345615E-2</v>
      </c>
      <c r="BT102" s="72">
        <f t="shared" si="149"/>
        <v>7.2446291085345615E-2</v>
      </c>
      <c r="BU102" s="72">
        <f t="shared" si="149"/>
        <v>7.2446291085345615E-2</v>
      </c>
      <c r="BV102" s="72">
        <f t="shared" si="149"/>
        <v>7.2446291085345615E-2</v>
      </c>
      <c r="BW102" s="72">
        <f t="shared" si="149"/>
        <v>7.2446291085345615E-2</v>
      </c>
      <c r="BX102" s="72">
        <f t="shared" si="149"/>
        <v>7.2446291085345615E-2</v>
      </c>
      <c r="BY102" s="72">
        <f t="shared" si="149"/>
        <v>7.2446291085345615E-2</v>
      </c>
      <c r="BZ102" s="72">
        <f t="shared" si="149"/>
        <v>7.2446291085345615E-2</v>
      </c>
      <c r="CA102" s="72">
        <f t="shared" si="149"/>
        <v>7.2446291085345615E-2</v>
      </c>
      <c r="CB102" s="72">
        <f t="shared" si="149"/>
        <v>7.2446291085345615E-2</v>
      </c>
      <c r="CC102" s="72">
        <f t="shared" si="149"/>
        <v>7.2446291085345615E-2</v>
      </c>
      <c r="CD102" s="72">
        <f t="shared" si="149"/>
        <v>7.2446291085345615E-2</v>
      </c>
      <c r="CE102" s="72">
        <f t="shared" si="149"/>
        <v>7.2446291085345615E-2</v>
      </c>
      <c r="CF102" s="72">
        <f t="shared" si="149"/>
        <v>7.2446291085345615E-2</v>
      </c>
      <c r="CG102" s="72">
        <f t="shared" si="149"/>
        <v>7.2446291085345615E-2</v>
      </c>
      <c r="CH102" s="72">
        <f t="shared" si="149"/>
        <v>7.2446291085345615E-2</v>
      </c>
      <c r="CI102" s="72">
        <f t="shared" si="149"/>
        <v>7.2446291085345615E-2</v>
      </c>
      <c r="CJ102" s="72">
        <f t="shared" si="149"/>
        <v>7.2446291085345615E-2</v>
      </c>
      <c r="CK102" s="72">
        <f t="shared" si="149"/>
        <v>7.2446291085345615E-2</v>
      </c>
      <c r="CL102" s="72">
        <f t="shared" si="149"/>
        <v>7.2446291085345615E-2</v>
      </c>
      <c r="CM102" s="72">
        <f t="shared" si="149"/>
        <v>7.2446291085345615E-2</v>
      </c>
      <c r="CN102" s="72">
        <f t="shared" si="149"/>
        <v>7.2446291085345615E-2</v>
      </c>
      <c r="CO102" s="72">
        <f t="shared" si="149"/>
        <v>7.2446291085345615E-2</v>
      </c>
      <c r="CP102" s="72">
        <f t="shared" si="149"/>
        <v>7.2446291085345615E-2</v>
      </c>
      <c r="CQ102" s="23" t="s">
        <v>77</v>
      </c>
      <c r="CR102" s="233"/>
    </row>
    <row r="103" spans="1:96" outlineLevel="1" x14ac:dyDescent="0.2">
      <c r="A103" s="233"/>
      <c r="B103" s="12" t="s">
        <v>69</v>
      </c>
      <c r="D103" s="9"/>
      <c r="E103" s="9"/>
      <c r="F103" s="9"/>
      <c r="G103" s="9"/>
      <c r="H103" s="9"/>
      <c r="J103" s="72"/>
      <c r="K103" s="72"/>
      <c r="L103" s="237">
        <f t="shared" ref="L103:BB103" si="150">+(1+L102)/(1+L83)-1</f>
        <v>9.0487201075687862E-2</v>
      </c>
      <c r="M103" s="72">
        <f t="shared" si="150"/>
        <v>9.0487201075687862E-2</v>
      </c>
      <c r="N103" s="72">
        <f t="shared" si="150"/>
        <v>9.0487201075687862E-2</v>
      </c>
      <c r="O103" s="72">
        <f t="shared" si="150"/>
        <v>9.0487201075687862E-2</v>
      </c>
      <c r="P103" s="72">
        <f t="shared" si="150"/>
        <v>9.0487201075687862E-2</v>
      </c>
      <c r="Q103" s="237">
        <f t="shared" si="150"/>
        <v>5.5096144767899258E-2</v>
      </c>
      <c r="R103" s="72">
        <f t="shared" si="150"/>
        <v>5.5096144767899258E-2</v>
      </c>
      <c r="S103" s="72">
        <f t="shared" si="150"/>
        <v>5.5096144767899258E-2</v>
      </c>
      <c r="T103" s="72">
        <f t="shared" si="150"/>
        <v>5.5096144767899258E-2</v>
      </c>
      <c r="U103" s="27">
        <f t="shared" si="150"/>
        <v>5.5096144767899258E-2</v>
      </c>
      <c r="V103" s="79">
        <f t="shared" si="150"/>
        <v>3.8420645407039711E-2</v>
      </c>
      <c r="W103" s="72">
        <f t="shared" si="150"/>
        <v>3.8420645407039711E-2</v>
      </c>
      <c r="X103" s="79">
        <f t="shared" si="150"/>
        <v>3.8467753081226963E-2</v>
      </c>
      <c r="Y103" s="976">
        <f t="shared" si="150"/>
        <v>3.8467753081226963E-2</v>
      </c>
      <c r="Z103" s="976">
        <f t="shared" si="150"/>
        <v>3.8467753081226963E-2</v>
      </c>
      <c r="AA103" s="976">
        <f t="shared" si="150"/>
        <v>3.8467753081226963E-2</v>
      </c>
      <c r="AB103" s="976">
        <f t="shared" si="150"/>
        <v>3.8467753081226963E-2</v>
      </c>
      <c r="AC103" s="72">
        <f t="shared" si="150"/>
        <v>3.9576478355386469E-2</v>
      </c>
      <c r="AD103" s="72">
        <f t="shared" si="150"/>
        <v>4.0780431567204234E-2</v>
      </c>
      <c r="AE103" s="72">
        <f t="shared" si="150"/>
        <v>4.6800197626291951E-2</v>
      </c>
      <c r="AF103" s="72">
        <f t="shared" si="150"/>
        <v>4.6800197626291951E-2</v>
      </c>
      <c r="AG103" s="72">
        <f t="shared" si="150"/>
        <v>4.6800197626291951E-2</v>
      </c>
      <c r="AH103" s="72">
        <f t="shared" si="150"/>
        <v>4.6800197626291951E-2</v>
      </c>
      <c r="AI103" s="72">
        <f t="shared" si="150"/>
        <v>4.6800197626291951E-2</v>
      </c>
      <c r="AJ103" s="72">
        <f t="shared" si="150"/>
        <v>4.6800197626291951E-2</v>
      </c>
      <c r="AK103" s="72">
        <f t="shared" si="150"/>
        <v>4.6800197626291951E-2</v>
      </c>
      <c r="AL103" s="72">
        <f t="shared" si="150"/>
        <v>4.6800197626291951E-2</v>
      </c>
      <c r="AM103" s="72">
        <f t="shared" si="150"/>
        <v>4.6800197626291951E-2</v>
      </c>
      <c r="AN103" s="72">
        <f t="shared" si="150"/>
        <v>4.6800197626291951E-2</v>
      </c>
      <c r="AO103" s="72">
        <f t="shared" si="150"/>
        <v>4.6800197626291951E-2</v>
      </c>
      <c r="AP103" s="72">
        <f t="shared" si="150"/>
        <v>4.6800197626291951E-2</v>
      </c>
      <c r="AQ103" s="72">
        <f t="shared" si="150"/>
        <v>4.6800197626291951E-2</v>
      </c>
      <c r="AR103" s="72">
        <f t="shared" si="150"/>
        <v>4.6800197626291951E-2</v>
      </c>
      <c r="AS103" s="72">
        <f t="shared" si="150"/>
        <v>4.6800197626291951E-2</v>
      </c>
      <c r="AT103" s="72">
        <f t="shared" si="150"/>
        <v>4.6800197626291951E-2</v>
      </c>
      <c r="AU103" s="72">
        <f t="shared" si="150"/>
        <v>4.6800197626291951E-2</v>
      </c>
      <c r="AV103" s="72">
        <f t="shared" si="150"/>
        <v>4.6800197626291951E-2</v>
      </c>
      <c r="AW103" s="72">
        <f t="shared" si="150"/>
        <v>4.6800197626291951E-2</v>
      </c>
      <c r="AX103" s="72">
        <f t="shared" si="150"/>
        <v>4.6800197626291951E-2</v>
      </c>
      <c r="AY103" s="72">
        <f t="shared" si="150"/>
        <v>4.6800197626291951E-2</v>
      </c>
      <c r="AZ103" s="72">
        <f t="shared" si="150"/>
        <v>4.6800197626291951E-2</v>
      </c>
      <c r="BA103" s="72">
        <f t="shared" si="150"/>
        <v>4.6800197626291951E-2</v>
      </c>
      <c r="BB103" s="72">
        <f t="shared" si="150"/>
        <v>4.6800197626291951E-2</v>
      </c>
      <c r="BC103" s="72">
        <f t="shared" ref="BC103:CP103" si="151">+(1+BC102)/(1+BC83)-1</f>
        <v>4.6800197626291951E-2</v>
      </c>
      <c r="BD103" s="72">
        <f t="shared" si="151"/>
        <v>4.6800197626291951E-2</v>
      </c>
      <c r="BE103" s="72">
        <f t="shared" si="151"/>
        <v>4.6800197626291951E-2</v>
      </c>
      <c r="BF103" s="72">
        <f t="shared" si="151"/>
        <v>4.6800197626291951E-2</v>
      </c>
      <c r="BG103" s="72">
        <f t="shared" si="151"/>
        <v>4.6800197626291951E-2</v>
      </c>
      <c r="BH103" s="72">
        <f t="shared" si="151"/>
        <v>4.6800197626291951E-2</v>
      </c>
      <c r="BI103" s="72">
        <f t="shared" si="151"/>
        <v>4.6800197626291951E-2</v>
      </c>
      <c r="BJ103" s="72">
        <f t="shared" si="151"/>
        <v>4.6800197626291951E-2</v>
      </c>
      <c r="BK103" s="72">
        <f t="shared" si="151"/>
        <v>4.6800197626291951E-2</v>
      </c>
      <c r="BL103" s="72">
        <f t="shared" si="151"/>
        <v>4.6800197626291951E-2</v>
      </c>
      <c r="BM103" s="72">
        <f t="shared" si="151"/>
        <v>4.6800197626291951E-2</v>
      </c>
      <c r="BN103" s="72">
        <f t="shared" si="151"/>
        <v>4.6800197626291951E-2</v>
      </c>
      <c r="BO103" s="72">
        <f t="shared" si="151"/>
        <v>4.6800197626291951E-2</v>
      </c>
      <c r="BP103" s="72">
        <f t="shared" si="151"/>
        <v>4.6800197626291951E-2</v>
      </c>
      <c r="BQ103" s="72">
        <f t="shared" si="151"/>
        <v>4.6800197626291951E-2</v>
      </c>
      <c r="BR103" s="72">
        <f t="shared" si="151"/>
        <v>4.6800197626291951E-2</v>
      </c>
      <c r="BS103" s="72">
        <f t="shared" si="151"/>
        <v>4.6800197626291951E-2</v>
      </c>
      <c r="BT103" s="72">
        <f t="shared" si="151"/>
        <v>4.6800197626291951E-2</v>
      </c>
      <c r="BU103" s="72">
        <f t="shared" si="151"/>
        <v>4.6800197626291951E-2</v>
      </c>
      <c r="BV103" s="72">
        <f t="shared" si="151"/>
        <v>4.6800197626291951E-2</v>
      </c>
      <c r="BW103" s="72">
        <f t="shared" si="151"/>
        <v>4.6800197626291951E-2</v>
      </c>
      <c r="BX103" s="72">
        <f t="shared" si="151"/>
        <v>4.6800197626291951E-2</v>
      </c>
      <c r="BY103" s="72">
        <f t="shared" si="151"/>
        <v>4.6800197626291951E-2</v>
      </c>
      <c r="BZ103" s="72">
        <f t="shared" si="151"/>
        <v>4.6800197626291951E-2</v>
      </c>
      <c r="CA103" s="72">
        <f t="shared" si="151"/>
        <v>4.6800197626291951E-2</v>
      </c>
      <c r="CB103" s="72">
        <f t="shared" si="151"/>
        <v>4.6800197626291951E-2</v>
      </c>
      <c r="CC103" s="72">
        <f t="shared" si="151"/>
        <v>4.6800197626291951E-2</v>
      </c>
      <c r="CD103" s="72">
        <f t="shared" si="151"/>
        <v>4.6800197626291951E-2</v>
      </c>
      <c r="CE103" s="72">
        <f t="shared" si="151"/>
        <v>4.6800197626291951E-2</v>
      </c>
      <c r="CF103" s="72">
        <f t="shared" si="151"/>
        <v>4.6800197626291951E-2</v>
      </c>
      <c r="CG103" s="72">
        <f t="shared" si="151"/>
        <v>4.6800197626291951E-2</v>
      </c>
      <c r="CH103" s="72">
        <f t="shared" si="151"/>
        <v>4.6800197626291951E-2</v>
      </c>
      <c r="CI103" s="72">
        <f t="shared" si="151"/>
        <v>4.6800197626291951E-2</v>
      </c>
      <c r="CJ103" s="72">
        <f t="shared" si="151"/>
        <v>4.6800197626291951E-2</v>
      </c>
      <c r="CK103" s="72">
        <f t="shared" si="151"/>
        <v>4.6800197626291951E-2</v>
      </c>
      <c r="CL103" s="72">
        <f t="shared" si="151"/>
        <v>4.6800197626291951E-2</v>
      </c>
      <c r="CM103" s="72">
        <f t="shared" si="151"/>
        <v>4.6800197626291951E-2</v>
      </c>
      <c r="CN103" s="72">
        <f t="shared" si="151"/>
        <v>4.6800197626291951E-2</v>
      </c>
      <c r="CO103" s="72">
        <f t="shared" si="151"/>
        <v>4.6800197626291951E-2</v>
      </c>
      <c r="CP103" s="72">
        <f t="shared" si="151"/>
        <v>4.6800197626291951E-2</v>
      </c>
      <c r="CQ103" s="23" t="s">
        <v>77</v>
      </c>
      <c r="CR103" s="233"/>
    </row>
    <row r="104" spans="1:96" outlineLevel="1" x14ac:dyDescent="0.2">
      <c r="A104" s="233"/>
      <c r="B104" s="2" t="s">
        <v>70</v>
      </c>
      <c r="C104" s="78"/>
      <c r="D104" s="3"/>
      <c r="E104" s="3"/>
      <c r="F104" s="3"/>
      <c r="G104" s="3"/>
      <c r="H104" s="3"/>
      <c r="I104" s="3"/>
      <c r="J104" s="30"/>
      <c r="K104" s="30"/>
      <c r="L104" s="5">
        <f>L94*L85+L99*L86</f>
        <v>0.10544000000000001</v>
      </c>
      <c r="M104" s="30">
        <f t="shared" ref="M104:S104" si="152">M94*M85+M99*M86</f>
        <v>0.10544000000000001</v>
      </c>
      <c r="N104" s="30">
        <f t="shared" si="152"/>
        <v>0.10544000000000001</v>
      </c>
      <c r="O104" s="30">
        <f t="shared" si="152"/>
        <v>0.10544000000000001</v>
      </c>
      <c r="P104" s="30">
        <f>P94*P85+P99*P86</f>
        <v>0.10544000000000001</v>
      </c>
      <c r="Q104" s="5">
        <f>Q94*Q85+Q99*Q86</f>
        <v>7.2160000000000002E-2</v>
      </c>
      <c r="R104" s="30">
        <f t="shared" si="152"/>
        <v>7.2160000000000002E-2</v>
      </c>
      <c r="S104" s="30">
        <f t="shared" si="152"/>
        <v>7.2160000000000002E-2</v>
      </c>
      <c r="T104" s="30">
        <f>T93*T85+T99*T86</f>
        <v>7.2160000000000002E-2</v>
      </c>
      <c r="U104" s="30">
        <f>U93*U85+U99*U86</f>
        <v>7.2160000000000002E-2</v>
      </c>
      <c r="V104" s="49">
        <f>V93*V85+V99*V86</f>
        <v>5.7539999999999994E-2</v>
      </c>
      <c r="W104" s="38">
        <f t="shared" ref="W104:BB104" si="153">W93*W85+W99*W86</f>
        <v>5.7540000000000001E-2</v>
      </c>
      <c r="X104" s="49">
        <f t="shared" si="153"/>
        <v>5.7499949621930981E-2</v>
      </c>
      <c r="Y104" s="38">
        <f t="shared" si="153"/>
        <v>5.7499949621930987E-2</v>
      </c>
      <c r="Z104" s="38">
        <f t="shared" si="153"/>
        <v>5.7499949621930987E-2</v>
      </c>
      <c r="AA104" s="38">
        <f t="shared" si="153"/>
        <v>5.7499949621930987E-2</v>
      </c>
      <c r="AB104" s="38">
        <f t="shared" si="153"/>
        <v>5.7499949621930987E-2</v>
      </c>
      <c r="AC104" s="38">
        <f t="shared" si="153"/>
        <v>5.8431378193359557E-2</v>
      </c>
      <c r="AD104" s="38">
        <f t="shared" si="153"/>
        <v>5.9442806764788123E-2</v>
      </c>
      <c r="AE104" s="38">
        <f t="shared" si="153"/>
        <v>6.449994962193098E-2</v>
      </c>
      <c r="AF104" s="38">
        <f t="shared" si="153"/>
        <v>6.449994962193098E-2</v>
      </c>
      <c r="AG104" s="38">
        <f t="shared" si="153"/>
        <v>6.449994962193098E-2</v>
      </c>
      <c r="AH104" s="38">
        <f t="shared" si="153"/>
        <v>6.449994962193098E-2</v>
      </c>
      <c r="AI104" s="38">
        <f t="shared" si="153"/>
        <v>6.449994962193098E-2</v>
      </c>
      <c r="AJ104" s="38">
        <f t="shared" si="153"/>
        <v>6.449994962193098E-2</v>
      </c>
      <c r="AK104" s="38">
        <f t="shared" si="153"/>
        <v>6.449994962193098E-2</v>
      </c>
      <c r="AL104" s="38">
        <f t="shared" si="153"/>
        <v>6.449994962193098E-2</v>
      </c>
      <c r="AM104" s="38">
        <f t="shared" si="153"/>
        <v>6.449994962193098E-2</v>
      </c>
      <c r="AN104" s="38">
        <f t="shared" si="153"/>
        <v>6.449994962193098E-2</v>
      </c>
      <c r="AO104" s="38">
        <f t="shared" si="153"/>
        <v>6.449994962193098E-2</v>
      </c>
      <c r="AP104" s="38">
        <f t="shared" si="153"/>
        <v>6.449994962193098E-2</v>
      </c>
      <c r="AQ104" s="38">
        <f t="shared" si="153"/>
        <v>6.449994962193098E-2</v>
      </c>
      <c r="AR104" s="38">
        <f t="shared" si="153"/>
        <v>6.449994962193098E-2</v>
      </c>
      <c r="AS104" s="38">
        <f t="shared" si="153"/>
        <v>6.449994962193098E-2</v>
      </c>
      <c r="AT104" s="38">
        <f t="shared" si="153"/>
        <v>6.449994962193098E-2</v>
      </c>
      <c r="AU104" s="38">
        <f t="shared" si="153"/>
        <v>6.449994962193098E-2</v>
      </c>
      <c r="AV104" s="38">
        <f t="shared" si="153"/>
        <v>6.449994962193098E-2</v>
      </c>
      <c r="AW104" s="38">
        <f t="shared" si="153"/>
        <v>6.449994962193098E-2</v>
      </c>
      <c r="AX104" s="38">
        <f t="shared" si="153"/>
        <v>6.449994962193098E-2</v>
      </c>
      <c r="AY104" s="38">
        <f t="shared" si="153"/>
        <v>6.449994962193098E-2</v>
      </c>
      <c r="AZ104" s="38">
        <f t="shared" si="153"/>
        <v>6.449994962193098E-2</v>
      </c>
      <c r="BA104" s="38">
        <f t="shared" si="153"/>
        <v>6.449994962193098E-2</v>
      </c>
      <c r="BB104" s="38">
        <f t="shared" si="153"/>
        <v>6.449994962193098E-2</v>
      </c>
      <c r="BC104" s="38">
        <f t="shared" ref="BC104:CP104" si="154">BC93*BC85+BC99*BC86</f>
        <v>6.449994962193098E-2</v>
      </c>
      <c r="BD104" s="38">
        <f t="shared" si="154"/>
        <v>6.449994962193098E-2</v>
      </c>
      <c r="BE104" s="38">
        <f t="shared" si="154"/>
        <v>6.449994962193098E-2</v>
      </c>
      <c r="BF104" s="38">
        <f t="shared" si="154"/>
        <v>6.449994962193098E-2</v>
      </c>
      <c r="BG104" s="38">
        <f t="shared" si="154"/>
        <v>6.449994962193098E-2</v>
      </c>
      <c r="BH104" s="38">
        <f t="shared" si="154"/>
        <v>6.449994962193098E-2</v>
      </c>
      <c r="BI104" s="38">
        <f t="shared" si="154"/>
        <v>6.449994962193098E-2</v>
      </c>
      <c r="BJ104" s="38">
        <f t="shared" si="154"/>
        <v>6.449994962193098E-2</v>
      </c>
      <c r="BK104" s="38">
        <f t="shared" si="154"/>
        <v>6.449994962193098E-2</v>
      </c>
      <c r="BL104" s="38">
        <f t="shared" si="154"/>
        <v>6.449994962193098E-2</v>
      </c>
      <c r="BM104" s="38">
        <f t="shared" si="154"/>
        <v>6.449994962193098E-2</v>
      </c>
      <c r="BN104" s="38">
        <f t="shared" si="154"/>
        <v>6.449994962193098E-2</v>
      </c>
      <c r="BO104" s="38">
        <f t="shared" si="154"/>
        <v>6.449994962193098E-2</v>
      </c>
      <c r="BP104" s="38">
        <f t="shared" si="154"/>
        <v>6.449994962193098E-2</v>
      </c>
      <c r="BQ104" s="38">
        <f t="shared" si="154"/>
        <v>6.449994962193098E-2</v>
      </c>
      <c r="BR104" s="38">
        <f t="shared" si="154"/>
        <v>6.449994962193098E-2</v>
      </c>
      <c r="BS104" s="38">
        <f t="shared" si="154"/>
        <v>6.449994962193098E-2</v>
      </c>
      <c r="BT104" s="38">
        <f t="shared" si="154"/>
        <v>6.449994962193098E-2</v>
      </c>
      <c r="BU104" s="38">
        <f t="shared" si="154"/>
        <v>6.449994962193098E-2</v>
      </c>
      <c r="BV104" s="38">
        <f t="shared" si="154"/>
        <v>6.449994962193098E-2</v>
      </c>
      <c r="BW104" s="38">
        <f t="shared" si="154"/>
        <v>6.449994962193098E-2</v>
      </c>
      <c r="BX104" s="38">
        <f t="shared" si="154"/>
        <v>6.449994962193098E-2</v>
      </c>
      <c r="BY104" s="38">
        <f t="shared" si="154"/>
        <v>6.449994962193098E-2</v>
      </c>
      <c r="BZ104" s="38">
        <f t="shared" si="154"/>
        <v>6.449994962193098E-2</v>
      </c>
      <c r="CA104" s="38">
        <f t="shared" si="154"/>
        <v>6.449994962193098E-2</v>
      </c>
      <c r="CB104" s="38">
        <f t="shared" si="154"/>
        <v>6.449994962193098E-2</v>
      </c>
      <c r="CC104" s="38">
        <f t="shared" si="154"/>
        <v>6.449994962193098E-2</v>
      </c>
      <c r="CD104" s="38">
        <f t="shared" si="154"/>
        <v>6.449994962193098E-2</v>
      </c>
      <c r="CE104" s="38">
        <f t="shared" si="154"/>
        <v>6.449994962193098E-2</v>
      </c>
      <c r="CF104" s="38">
        <f t="shared" si="154"/>
        <v>6.449994962193098E-2</v>
      </c>
      <c r="CG104" s="38">
        <f t="shared" si="154"/>
        <v>6.449994962193098E-2</v>
      </c>
      <c r="CH104" s="38">
        <f t="shared" si="154"/>
        <v>6.449994962193098E-2</v>
      </c>
      <c r="CI104" s="38">
        <f t="shared" si="154"/>
        <v>6.449994962193098E-2</v>
      </c>
      <c r="CJ104" s="38">
        <f t="shared" si="154"/>
        <v>6.449994962193098E-2</v>
      </c>
      <c r="CK104" s="38">
        <f t="shared" si="154"/>
        <v>6.449994962193098E-2</v>
      </c>
      <c r="CL104" s="38">
        <f t="shared" si="154"/>
        <v>6.449994962193098E-2</v>
      </c>
      <c r="CM104" s="38">
        <f t="shared" si="154"/>
        <v>6.449994962193098E-2</v>
      </c>
      <c r="CN104" s="38">
        <f t="shared" si="154"/>
        <v>6.449994962193098E-2</v>
      </c>
      <c r="CO104" s="38">
        <f t="shared" si="154"/>
        <v>6.449994962193098E-2</v>
      </c>
      <c r="CP104" s="38">
        <f t="shared" si="154"/>
        <v>6.449994962193098E-2</v>
      </c>
      <c r="CQ104" s="23" t="s">
        <v>77</v>
      </c>
      <c r="CR104" s="233"/>
    </row>
    <row r="105" spans="1:96" outlineLevel="1" x14ac:dyDescent="0.2">
      <c r="A105" s="233"/>
      <c r="B105" s="12" t="s">
        <v>71</v>
      </c>
      <c r="D105" s="9"/>
      <c r="E105" s="9"/>
      <c r="F105" s="9"/>
      <c r="G105" s="9"/>
      <c r="H105" s="9"/>
      <c r="J105" s="72"/>
      <c r="K105" s="72"/>
      <c r="L105" s="82">
        <f t="shared" ref="L105:BB105" si="155">+(1+L104)/(1+L83)-1</f>
        <v>7.6587456174522783E-2</v>
      </c>
      <c r="M105" s="72">
        <f t="shared" si="155"/>
        <v>7.6587456174522783E-2</v>
      </c>
      <c r="N105" s="72">
        <f t="shared" si="155"/>
        <v>7.6587456174522783E-2</v>
      </c>
      <c r="O105" s="72">
        <f t="shared" si="155"/>
        <v>7.6587456174522783E-2</v>
      </c>
      <c r="P105" s="72">
        <f t="shared" si="155"/>
        <v>7.6587456174522783E-2</v>
      </c>
      <c r="Q105" s="82">
        <f t="shared" si="155"/>
        <v>4.6009756097560972E-2</v>
      </c>
      <c r="R105" s="72">
        <f t="shared" si="155"/>
        <v>4.6009756097560972E-2</v>
      </c>
      <c r="S105" s="72">
        <f t="shared" si="155"/>
        <v>4.6009756097560972E-2</v>
      </c>
      <c r="T105" s="72">
        <f t="shared" si="155"/>
        <v>4.6009756097560972E-2</v>
      </c>
      <c r="U105" s="27">
        <f t="shared" si="155"/>
        <v>4.6009756097560972E-2</v>
      </c>
      <c r="V105" s="82">
        <f t="shared" si="155"/>
        <v>3.2249877989263043E-2</v>
      </c>
      <c r="W105" s="75">
        <f t="shared" si="155"/>
        <v>3.2249877989263043E-2</v>
      </c>
      <c r="X105" s="82">
        <f t="shared" si="155"/>
        <v>3.2211277577103958E-2</v>
      </c>
      <c r="Y105" s="987">
        <f t="shared" si="155"/>
        <v>3.2211277577103958E-2</v>
      </c>
      <c r="Z105" s="987">
        <f t="shared" si="155"/>
        <v>3.2211277577103958E-2</v>
      </c>
      <c r="AA105" s="987">
        <f t="shared" si="155"/>
        <v>3.2211277577103958E-2</v>
      </c>
      <c r="AB105" s="987">
        <f t="shared" si="155"/>
        <v>3.2211277577103958E-2</v>
      </c>
      <c r="AC105" s="75">
        <f t="shared" si="155"/>
        <v>3.3120432301914748E-2</v>
      </c>
      <c r="AD105" s="75">
        <f t="shared" si="155"/>
        <v>3.4107673935605209E-2</v>
      </c>
      <c r="AE105" s="75">
        <f t="shared" si="155"/>
        <v>3.904388210405707E-2</v>
      </c>
      <c r="AF105" s="75">
        <f t="shared" si="155"/>
        <v>3.904388210405707E-2</v>
      </c>
      <c r="AG105" s="75">
        <f t="shared" si="155"/>
        <v>3.904388210405707E-2</v>
      </c>
      <c r="AH105" s="75">
        <f t="shared" si="155"/>
        <v>3.904388210405707E-2</v>
      </c>
      <c r="AI105" s="75">
        <f t="shared" si="155"/>
        <v>3.904388210405707E-2</v>
      </c>
      <c r="AJ105" s="75">
        <f t="shared" si="155"/>
        <v>3.904388210405707E-2</v>
      </c>
      <c r="AK105" s="75">
        <f t="shared" si="155"/>
        <v>3.904388210405707E-2</v>
      </c>
      <c r="AL105" s="75">
        <f t="shared" si="155"/>
        <v>3.904388210405707E-2</v>
      </c>
      <c r="AM105" s="75">
        <f t="shared" si="155"/>
        <v>3.904388210405707E-2</v>
      </c>
      <c r="AN105" s="75">
        <f t="shared" si="155"/>
        <v>3.904388210405707E-2</v>
      </c>
      <c r="AO105" s="75">
        <f t="shared" si="155"/>
        <v>3.904388210405707E-2</v>
      </c>
      <c r="AP105" s="75">
        <f t="shared" si="155"/>
        <v>3.904388210405707E-2</v>
      </c>
      <c r="AQ105" s="75">
        <f t="shared" si="155"/>
        <v>3.904388210405707E-2</v>
      </c>
      <c r="AR105" s="75">
        <f t="shared" si="155"/>
        <v>3.904388210405707E-2</v>
      </c>
      <c r="AS105" s="75">
        <f t="shared" si="155"/>
        <v>3.904388210405707E-2</v>
      </c>
      <c r="AT105" s="75">
        <f t="shared" si="155"/>
        <v>3.904388210405707E-2</v>
      </c>
      <c r="AU105" s="75">
        <f t="shared" si="155"/>
        <v>3.904388210405707E-2</v>
      </c>
      <c r="AV105" s="75">
        <f t="shared" si="155"/>
        <v>3.904388210405707E-2</v>
      </c>
      <c r="AW105" s="75">
        <f t="shared" si="155"/>
        <v>3.904388210405707E-2</v>
      </c>
      <c r="AX105" s="75">
        <f t="shared" si="155"/>
        <v>3.904388210405707E-2</v>
      </c>
      <c r="AY105" s="75">
        <f t="shared" si="155"/>
        <v>3.904388210405707E-2</v>
      </c>
      <c r="AZ105" s="75">
        <f t="shared" si="155"/>
        <v>3.904388210405707E-2</v>
      </c>
      <c r="BA105" s="75">
        <f t="shared" si="155"/>
        <v>3.904388210405707E-2</v>
      </c>
      <c r="BB105" s="75">
        <f t="shared" si="155"/>
        <v>3.904388210405707E-2</v>
      </c>
      <c r="BC105" s="75">
        <f t="shared" ref="BC105:CP105" si="156">+(1+BC104)/(1+BC83)-1</f>
        <v>3.904388210405707E-2</v>
      </c>
      <c r="BD105" s="75">
        <f t="shared" si="156"/>
        <v>3.904388210405707E-2</v>
      </c>
      <c r="BE105" s="75">
        <f t="shared" si="156"/>
        <v>3.904388210405707E-2</v>
      </c>
      <c r="BF105" s="75">
        <f t="shared" si="156"/>
        <v>3.904388210405707E-2</v>
      </c>
      <c r="BG105" s="75">
        <f t="shared" si="156"/>
        <v>3.904388210405707E-2</v>
      </c>
      <c r="BH105" s="75">
        <f t="shared" si="156"/>
        <v>3.904388210405707E-2</v>
      </c>
      <c r="BI105" s="75">
        <f t="shared" si="156"/>
        <v>3.904388210405707E-2</v>
      </c>
      <c r="BJ105" s="75">
        <f t="shared" si="156"/>
        <v>3.904388210405707E-2</v>
      </c>
      <c r="BK105" s="75">
        <f t="shared" si="156"/>
        <v>3.904388210405707E-2</v>
      </c>
      <c r="BL105" s="75">
        <f t="shared" si="156"/>
        <v>3.904388210405707E-2</v>
      </c>
      <c r="BM105" s="75">
        <f t="shared" si="156"/>
        <v>3.904388210405707E-2</v>
      </c>
      <c r="BN105" s="75">
        <f t="shared" si="156"/>
        <v>3.904388210405707E-2</v>
      </c>
      <c r="BO105" s="75">
        <f t="shared" si="156"/>
        <v>3.904388210405707E-2</v>
      </c>
      <c r="BP105" s="75">
        <f t="shared" si="156"/>
        <v>3.904388210405707E-2</v>
      </c>
      <c r="BQ105" s="75">
        <f t="shared" si="156"/>
        <v>3.904388210405707E-2</v>
      </c>
      <c r="BR105" s="75">
        <f t="shared" si="156"/>
        <v>3.904388210405707E-2</v>
      </c>
      <c r="BS105" s="75">
        <f t="shared" si="156"/>
        <v>3.904388210405707E-2</v>
      </c>
      <c r="BT105" s="75">
        <f t="shared" si="156"/>
        <v>3.904388210405707E-2</v>
      </c>
      <c r="BU105" s="75">
        <f t="shared" si="156"/>
        <v>3.904388210405707E-2</v>
      </c>
      <c r="BV105" s="75">
        <f t="shared" si="156"/>
        <v>3.904388210405707E-2</v>
      </c>
      <c r="BW105" s="75">
        <f t="shared" si="156"/>
        <v>3.904388210405707E-2</v>
      </c>
      <c r="BX105" s="75">
        <f t="shared" si="156"/>
        <v>3.904388210405707E-2</v>
      </c>
      <c r="BY105" s="75">
        <f t="shared" si="156"/>
        <v>3.904388210405707E-2</v>
      </c>
      <c r="BZ105" s="75">
        <f t="shared" si="156"/>
        <v>3.904388210405707E-2</v>
      </c>
      <c r="CA105" s="75">
        <f t="shared" si="156"/>
        <v>3.904388210405707E-2</v>
      </c>
      <c r="CB105" s="75">
        <f t="shared" si="156"/>
        <v>3.904388210405707E-2</v>
      </c>
      <c r="CC105" s="75">
        <f t="shared" si="156"/>
        <v>3.904388210405707E-2</v>
      </c>
      <c r="CD105" s="75">
        <f t="shared" si="156"/>
        <v>3.904388210405707E-2</v>
      </c>
      <c r="CE105" s="75">
        <f t="shared" si="156"/>
        <v>3.904388210405707E-2</v>
      </c>
      <c r="CF105" s="75">
        <f t="shared" si="156"/>
        <v>3.904388210405707E-2</v>
      </c>
      <c r="CG105" s="75">
        <f t="shared" si="156"/>
        <v>3.904388210405707E-2</v>
      </c>
      <c r="CH105" s="75">
        <f t="shared" si="156"/>
        <v>3.904388210405707E-2</v>
      </c>
      <c r="CI105" s="75">
        <f t="shared" si="156"/>
        <v>3.904388210405707E-2</v>
      </c>
      <c r="CJ105" s="75">
        <f t="shared" si="156"/>
        <v>3.904388210405707E-2</v>
      </c>
      <c r="CK105" s="75">
        <f t="shared" si="156"/>
        <v>3.904388210405707E-2</v>
      </c>
      <c r="CL105" s="75">
        <f t="shared" si="156"/>
        <v>3.904388210405707E-2</v>
      </c>
      <c r="CM105" s="75">
        <f t="shared" si="156"/>
        <v>3.904388210405707E-2</v>
      </c>
      <c r="CN105" s="75">
        <f t="shared" si="156"/>
        <v>3.904388210405707E-2</v>
      </c>
      <c r="CO105" s="75">
        <f t="shared" si="156"/>
        <v>3.904388210405707E-2</v>
      </c>
      <c r="CP105" s="75">
        <f t="shared" si="156"/>
        <v>3.904388210405707E-2</v>
      </c>
      <c r="CQ105" s="23" t="s">
        <v>77</v>
      </c>
      <c r="CR105" s="233"/>
    </row>
    <row r="106" spans="1:96" ht="5.0999999999999996" customHeight="1" outlineLevel="1" x14ac:dyDescent="0.2">
      <c r="CQ106" s="23" t="s">
        <v>77</v>
      </c>
    </row>
    <row r="107" spans="1:96" outlineLevel="1" x14ac:dyDescent="0.2">
      <c r="B107" s="358" t="s">
        <v>79</v>
      </c>
      <c r="D107" s="218"/>
      <c r="E107" s="218"/>
      <c r="F107" s="218"/>
      <c r="G107" s="218"/>
      <c r="H107" s="218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  <c r="AB107" s="66"/>
      <c r="AC107" s="66"/>
      <c r="AD107" s="66"/>
      <c r="AE107" s="66"/>
      <c r="AF107" s="66"/>
      <c r="AG107" s="66"/>
      <c r="AH107" s="66"/>
      <c r="AI107" s="66"/>
      <c r="AJ107" s="66"/>
      <c r="AK107" s="66"/>
      <c r="AL107" s="66"/>
      <c r="AM107" s="66"/>
      <c r="AN107" s="66"/>
      <c r="AO107" s="66"/>
      <c r="AP107" s="66"/>
      <c r="AQ107" s="66"/>
      <c r="AR107" s="66"/>
      <c r="AS107" s="66"/>
      <c r="AT107" s="66"/>
      <c r="AU107" s="66"/>
      <c r="AV107" s="66"/>
      <c r="AW107" s="66"/>
      <c r="AX107" s="66"/>
      <c r="AY107" s="66"/>
      <c r="AZ107" s="66"/>
      <c r="BA107" s="66"/>
      <c r="BB107" s="66"/>
      <c r="BC107" s="66"/>
      <c r="BD107" s="66"/>
      <c r="BE107" s="66"/>
      <c r="BF107" s="66"/>
      <c r="BG107" s="66"/>
      <c r="BH107" s="66"/>
      <c r="BI107" s="66"/>
      <c r="BJ107" s="66"/>
      <c r="BK107" s="66"/>
      <c r="BL107" s="66"/>
      <c r="BM107" s="66"/>
      <c r="BN107" s="66"/>
      <c r="BO107" s="66"/>
      <c r="BP107" s="66"/>
      <c r="BQ107" s="66"/>
      <c r="BR107" s="66"/>
      <c r="BS107" s="66"/>
      <c r="BT107" s="66"/>
      <c r="BU107" s="66"/>
      <c r="BV107" s="66"/>
      <c r="BW107" s="66"/>
      <c r="BX107" s="66"/>
      <c r="BY107" s="66"/>
      <c r="BZ107" s="66"/>
      <c r="CA107" s="66"/>
      <c r="CB107" s="66"/>
      <c r="CC107" s="66"/>
      <c r="CD107" s="66"/>
      <c r="CE107" s="66"/>
      <c r="CF107" s="66"/>
      <c r="CG107" s="66"/>
      <c r="CH107" s="66"/>
      <c r="CI107" s="66"/>
      <c r="CJ107" s="66"/>
      <c r="CK107" s="66"/>
      <c r="CL107" s="66"/>
      <c r="CM107" s="66"/>
      <c r="CN107" s="66"/>
      <c r="CO107" s="66"/>
      <c r="CP107" s="66"/>
      <c r="CQ107" s="23" t="s">
        <v>77</v>
      </c>
    </row>
    <row r="108" spans="1:96" outlineLevel="1" x14ac:dyDescent="0.2">
      <c r="B108" s="8" t="s">
        <v>324</v>
      </c>
      <c r="D108" s="9"/>
      <c r="E108" s="9"/>
      <c r="F108" s="9"/>
      <c r="G108" s="9"/>
      <c r="H108" s="9"/>
      <c r="L108" s="9">
        <v>43.54</v>
      </c>
      <c r="M108" s="9">
        <v>48.32</v>
      </c>
      <c r="N108" s="9">
        <v>51.14</v>
      </c>
      <c r="O108" s="9">
        <v>49.47</v>
      </c>
      <c r="P108" s="9">
        <v>47.88</v>
      </c>
      <c r="Q108" s="208">
        <f t="shared" ref="Q108:W108" si="157">ROUND(+Q104*Q74,3)</f>
        <v>44.566000000000003</v>
      </c>
      <c r="R108" s="208">
        <f t="shared" si="157"/>
        <v>46.204000000000001</v>
      </c>
      <c r="S108" s="299">
        <f t="shared" si="157"/>
        <v>52.893000000000001</v>
      </c>
      <c r="T108" s="299">
        <f t="shared" si="157"/>
        <v>53.911000000000001</v>
      </c>
      <c r="U108" s="286">
        <f t="shared" si="157"/>
        <v>67.230999999999995</v>
      </c>
      <c r="V108" s="272">
        <f t="shared" si="157"/>
        <v>56.706000000000003</v>
      </c>
      <c r="W108" s="272">
        <f t="shared" si="157"/>
        <v>59.704000000000001</v>
      </c>
      <c r="X108" s="272">
        <f t="shared" ref="X108:BB108" si="158">ROUND(+X104*X74,3)</f>
        <v>55.838999999999999</v>
      </c>
      <c r="Y108" s="272">
        <f t="shared" si="158"/>
        <v>58.811</v>
      </c>
      <c r="Z108" s="272">
        <f t="shared" si="158"/>
        <v>62.423000000000002</v>
      </c>
      <c r="AA108" s="272">
        <f t="shared" si="158"/>
        <v>65.840999999999994</v>
      </c>
      <c r="AB108" s="272">
        <f t="shared" si="158"/>
        <v>65.656999999999996</v>
      </c>
      <c r="AC108" s="272">
        <f t="shared" si="158"/>
        <v>66.816999999999993</v>
      </c>
      <c r="AD108" s="272">
        <f t="shared" si="158"/>
        <v>68.072000000000003</v>
      </c>
      <c r="AE108" s="272">
        <f t="shared" si="158"/>
        <v>73.97</v>
      </c>
      <c r="AF108" s="272">
        <f t="shared" si="158"/>
        <v>74.076999999999998</v>
      </c>
      <c r="AG108" s="272">
        <f t="shared" si="158"/>
        <v>74.183999999999997</v>
      </c>
      <c r="AH108" s="272">
        <f t="shared" si="158"/>
        <v>74.290999999999997</v>
      </c>
      <c r="AI108" s="272">
        <f t="shared" si="158"/>
        <v>74.399000000000001</v>
      </c>
      <c r="AJ108" s="272">
        <f t="shared" si="158"/>
        <v>74.506</v>
      </c>
      <c r="AK108" s="272">
        <f t="shared" si="158"/>
        <v>74.614000000000004</v>
      </c>
      <c r="AL108" s="272">
        <f t="shared" si="158"/>
        <v>74.721999999999994</v>
      </c>
      <c r="AM108" s="272">
        <f t="shared" si="158"/>
        <v>74.83</v>
      </c>
      <c r="AN108" s="272">
        <f t="shared" si="158"/>
        <v>74.938000000000002</v>
      </c>
      <c r="AO108" s="272">
        <f t="shared" si="158"/>
        <v>75.046999999999997</v>
      </c>
      <c r="AP108" s="272">
        <f t="shared" si="158"/>
        <v>75.155000000000001</v>
      </c>
      <c r="AQ108" s="272">
        <f t="shared" si="158"/>
        <v>75.263999999999996</v>
      </c>
      <c r="AR108" s="272">
        <f t="shared" si="158"/>
        <v>75.373000000000005</v>
      </c>
      <c r="AS108" s="272">
        <f t="shared" si="158"/>
        <v>75.481999999999999</v>
      </c>
      <c r="AT108" s="272">
        <f t="shared" si="158"/>
        <v>75.590999999999994</v>
      </c>
      <c r="AU108" s="272">
        <f t="shared" si="158"/>
        <v>75.700999999999993</v>
      </c>
      <c r="AV108" s="272">
        <f t="shared" si="158"/>
        <v>75.81</v>
      </c>
      <c r="AW108" s="272">
        <f t="shared" si="158"/>
        <v>75.92</v>
      </c>
      <c r="AX108" s="272">
        <f t="shared" si="158"/>
        <v>76.028999999999996</v>
      </c>
      <c r="AY108" s="272">
        <f t="shared" si="158"/>
        <v>76.138999999999996</v>
      </c>
      <c r="AZ108" s="272">
        <f t="shared" si="158"/>
        <v>76.25</v>
      </c>
      <c r="BA108" s="272">
        <f t="shared" si="158"/>
        <v>76.36</v>
      </c>
      <c r="BB108" s="272">
        <f t="shared" si="158"/>
        <v>76.47</v>
      </c>
      <c r="BC108" s="272">
        <f t="shared" ref="BC108:CP108" si="159">ROUND(+BC104*BC74,3)</f>
        <v>76.581000000000003</v>
      </c>
      <c r="BD108" s="272">
        <f t="shared" si="159"/>
        <v>76.691999999999993</v>
      </c>
      <c r="BE108" s="272">
        <f t="shared" si="159"/>
        <v>76.802999999999997</v>
      </c>
      <c r="BF108" s="272">
        <f t="shared" si="159"/>
        <v>76.914000000000001</v>
      </c>
      <c r="BG108" s="272">
        <f t="shared" si="159"/>
        <v>77.025000000000006</v>
      </c>
      <c r="BH108" s="272">
        <f t="shared" si="159"/>
        <v>77.135999999999996</v>
      </c>
      <c r="BI108" s="272">
        <f t="shared" si="159"/>
        <v>77.248000000000005</v>
      </c>
      <c r="BJ108" s="272">
        <f t="shared" si="159"/>
        <v>77.36</v>
      </c>
      <c r="BK108" s="272">
        <f t="shared" si="159"/>
        <v>77.471999999999994</v>
      </c>
      <c r="BL108" s="272">
        <f t="shared" si="159"/>
        <v>77.584000000000003</v>
      </c>
      <c r="BM108" s="272">
        <f t="shared" si="159"/>
        <v>77.695999999999998</v>
      </c>
      <c r="BN108" s="272">
        <f t="shared" si="159"/>
        <v>77.808000000000007</v>
      </c>
      <c r="BO108" s="272">
        <f t="shared" si="159"/>
        <v>77.921000000000006</v>
      </c>
      <c r="BP108" s="272">
        <f t="shared" si="159"/>
        <v>78.033000000000001</v>
      </c>
      <c r="BQ108" s="272">
        <f t="shared" si="159"/>
        <v>78.146000000000001</v>
      </c>
      <c r="BR108" s="272">
        <f t="shared" si="159"/>
        <v>78.259</v>
      </c>
      <c r="BS108" s="272">
        <f t="shared" si="159"/>
        <v>78.373000000000005</v>
      </c>
      <c r="BT108" s="272">
        <f t="shared" si="159"/>
        <v>78.486000000000004</v>
      </c>
      <c r="BU108" s="272">
        <f t="shared" si="159"/>
        <v>78.599000000000004</v>
      </c>
      <c r="BV108" s="272">
        <f t="shared" si="159"/>
        <v>78.712999999999994</v>
      </c>
      <c r="BW108" s="272">
        <f t="shared" si="159"/>
        <v>78.826999999999998</v>
      </c>
      <c r="BX108" s="272">
        <f t="shared" si="159"/>
        <v>78.941000000000003</v>
      </c>
      <c r="BY108" s="272">
        <f t="shared" si="159"/>
        <v>79.055000000000007</v>
      </c>
      <c r="BZ108" s="272">
        <f t="shared" si="159"/>
        <v>79.17</v>
      </c>
      <c r="CA108" s="272">
        <f t="shared" si="159"/>
        <v>79.284000000000006</v>
      </c>
      <c r="CB108" s="272">
        <f t="shared" si="159"/>
        <v>79.399000000000001</v>
      </c>
      <c r="CC108" s="272">
        <f t="shared" si="159"/>
        <v>79.513999999999996</v>
      </c>
      <c r="CD108" s="272">
        <f t="shared" si="159"/>
        <v>79.629000000000005</v>
      </c>
      <c r="CE108" s="272">
        <f t="shared" si="159"/>
        <v>79.744</v>
      </c>
      <c r="CF108" s="272">
        <f t="shared" si="159"/>
        <v>79.858999999999995</v>
      </c>
      <c r="CG108" s="272">
        <f t="shared" si="159"/>
        <v>79.974999999999994</v>
      </c>
      <c r="CH108" s="272">
        <f t="shared" si="159"/>
        <v>80.09</v>
      </c>
      <c r="CI108" s="272">
        <f t="shared" si="159"/>
        <v>80.206000000000003</v>
      </c>
      <c r="CJ108" s="272">
        <f t="shared" si="159"/>
        <v>80.322000000000003</v>
      </c>
      <c r="CK108" s="272">
        <f t="shared" si="159"/>
        <v>80.438000000000002</v>
      </c>
      <c r="CL108" s="272">
        <f t="shared" si="159"/>
        <v>80.555000000000007</v>
      </c>
      <c r="CM108" s="272">
        <f t="shared" si="159"/>
        <v>80.671000000000006</v>
      </c>
      <c r="CN108" s="272">
        <f t="shared" si="159"/>
        <v>80.787999999999997</v>
      </c>
      <c r="CO108" s="272">
        <f t="shared" si="159"/>
        <v>80.905000000000001</v>
      </c>
      <c r="CP108" s="272">
        <f t="shared" si="159"/>
        <v>81.022000000000006</v>
      </c>
      <c r="CQ108" s="362" t="s">
        <v>77</v>
      </c>
    </row>
    <row r="109" spans="1:96" outlineLevel="1" x14ac:dyDescent="0.2">
      <c r="B109" s="529" t="s">
        <v>552</v>
      </c>
      <c r="D109" s="9"/>
      <c r="E109" s="9"/>
      <c r="F109" s="9"/>
      <c r="G109" s="9"/>
      <c r="H109" s="9"/>
      <c r="Q109" s="208"/>
      <c r="R109" s="208"/>
      <c r="S109" s="299"/>
      <c r="T109" s="299">
        <f>ROUND(T99*T86*T74,3)</f>
        <v>23.966999999999999</v>
      </c>
      <c r="U109" s="286">
        <f>ROUND(U99*U86*U74,3)</f>
        <v>29.888999999999999</v>
      </c>
      <c r="V109" s="272">
        <f>ROUND(V99*V86*V74,3)</f>
        <v>28.382000000000001</v>
      </c>
      <c r="W109" s="272">
        <f>ROUND(W99*W86*W74,3)</f>
        <v>29.882999999999999</v>
      </c>
      <c r="X109" s="272">
        <f>ROUND(X99*X86*X74,3)</f>
        <v>28.356999999999999</v>
      </c>
      <c r="Y109" s="272">
        <f t="shared" ref="Y109:BB109" si="160">ROUND(Y99*Y86*Y74,3)</f>
        <v>29.866</v>
      </c>
      <c r="Z109" s="272">
        <f t="shared" si="160"/>
        <v>31.7</v>
      </c>
      <c r="AA109" s="272">
        <f t="shared" si="160"/>
        <v>33.436</v>
      </c>
      <c r="AB109" s="272">
        <f t="shared" si="160"/>
        <v>33.341999999999999</v>
      </c>
      <c r="AC109" s="272">
        <f t="shared" si="160"/>
        <v>34.456000000000003</v>
      </c>
      <c r="AD109" s="272">
        <f t="shared" si="160"/>
        <v>35.664000000000001</v>
      </c>
      <c r="AE109" s="272">
        <f t="shared" si="160"/>
        <v>41.515000000000001</v>
      </c>
      <c r="AF109" s="272">
        <f t="shared" si="160"/>
        <v>41.575000000000003</v>
      </c>
      <c r="AG109" s="272">
        <f t="shared" si="160"/>
        <v>41.634999999999998</v>
      </c>
      <c r="AH109" s="272">
        <f t="shared" si="160"/>
        <v>41.695</v>
      </c>
      <c r="AI109" s="272">
        <f t="shared" si="160"/>
        <v>41.756</v>
      </c>
      <c r="AJ109" s="272">
        <f t="shared" si="160"/>
        <v>41.816000000000003</v>
      </c>
      <c r="AK109" s="272">
        <f t="shared" si="160"/>
        <v>41.877000000000002</v>
      </c>
      <c r="AL109" s="272">
        <f t="shared" si="160"/>
        <v>41.936999999999998</v>
      </c>
      <c r="AM109" s="272">
        <f t="shared" si="160"/>
        <v>41.997999999999998</v>
      </c>
      <c r="AN109" s="272">
        <f t="shared" si="160"/>
        <v>42.058999999999997</v>
      </c>
      <c r="AO109" s="272">
        <f t="shared" si="160"/>
        <v>42.119</v>
      </c>
      <c r="AP109" s="272">
        <f t="shared" si="160"/>
        <v>42.18</v>
      </c>
      <c r="AQ109" s="272">
        <f t="shared" si="160"/>
        <v>42.241</v>
      </c>
      <c r="AR109" s="272">
        <f t="shared" si="160"/>
        <v>42.302</v>
      </c>
      <c r="AS109" s="272">
        <f t="shared" si="160"/>
        <v>42.363999999999997</v>
      </c>
      <c r="AT109" s="272">
        <f t="shared" si="160"/>
        <v>42.424999999999997</v>
      </c>
      <c r="AU109" s="272">
        <f t="shared" si="160"/>
        <v>42.485999999999997</v>
      </c>
      <c r="AV109" s="272">
        <f t="shared" si="160"/>
        <v>42.548000000000002</v>
      </c>
      <c r="AW109" s="272">
        <f t="shared" si="160"/>
        <v>42.609000000000002</v>
      </c>
      <c r="AX109" s="272">
        <f t="shared" si="160"/>
        <v>42.670999999999999</v>
      </c>
      <c r="AY109" s="272">
        <f t="shared" si="160"/>
        <v>42.732999999999997</v>
      </c>
      <c r="AZ109" s="272">
        <f t="shared" si="160"/>
        <v>42.793999999999997</v>
      </c>
      <c r="BA109" s="272">
        <f t="shared" si="160"/>
        <v>42.856000000000002</v>
      </c>
      <c r="BB109" s="272">
        <f t="shared" si="160"/>
        <v>42.917999999999999</v>
      </c>
      <c r="BC109" s="272">
        <f t="shared" ref="BC109:CP109" si="161">ROUND(BC99*BC86*BC74,3)</f>
        <v>42.98</v>
      </c>
      <c r="BD109" s="272">
        <f t="shared" si="161"/>
        <v>43.042999999999999</v>
      </c>
      <c r="BE109" s="272">
        <f t="shared" si="161"/>
        <v>43.104999999999997</v>
      </c>
      <c r="BF109" s="272">
        <f t="shared" si="161"/>
        <v>43.167000000000002</v>
      </c>
      <c r="BG109" s="272">
        <f t="shared" si="161"/>
        <v>43.23</v>
      </c>
      <c r="BH109" s="272">
        <f t="shared" si="161"/>
        <v>43.292000000000002</v>
      </c>
      <c r="BI109" s="272">
        <f t="shared" si="161"/>
        <v>43.354999999999997</v>
      </c>
      <c r="BJ109" s="272">
        <f t="shared" si="161"/>
        <v>43.417000000000002</v>
      </c>
      <c r="BK109" s="272">
        <f t="shared" si="161"/>
        <v>43.48</v>
      </c>
      <c r="BL109" s="272">
        <f t="shared" si="161"/>
        <v>43.542999999999999</v>
      </c>
      <c r="BM109" s="272">
        <f t="shared" si="161"/>
        <v>43.606000000000002</v>
      </c>
      <c r="BN109" s="272">
        <f t="shared" si="161"/>
        <v>43.668999999999997</v>
      </c>
      <c r="BO109" s="272">
        <f t="shared" si="161"/>
        <v>43.731999999999999</v>
      </c>
      <c r="BP109" s="272">
        <f t="shared" si="161"/>
        <v>43.795999999999999</v>
      </c>
      <c r="BQ109" s="272">
        <f t="shared" si="161"/>
        <v>43.859000000000002</v>
      </c>
      <c r="BR109" s="272">
        <f t="shared" si="161"/>
        <v>43.921999999999997</v>
      </c>
      <c r="BS109" s="272">
        <f t="shared" si="161"/>
        <v>43.985999999999997</v>
      </c>
      <c r="BT109" s="272">
        <f t="shared" si="161"/>
        <v>44.05</v>
      </c>
      <c r="BU109" s="272">
        <f t="shared" si="161"/>
        <v>44.113</v>
      </c>
      <c r="BV109" s="272">
        <f t="shared" si="161"/>
        <v>44.177</v>
      </c>
      <c r="BW109" s="272">
        <f t="shared" si="161"/>
        <v>44.241</v>
      </c>
      <c r="BX109" s="272">
        <f t="shared" si="161"/>
        <v>44.305</v>
      </c>
      <c r="BY109" s="272">
        <f t="shared" si="161"/>
        <v>44.369</v>
      </c>
      <c r="BZ109" s="272">
        <f t="shared" si="161"/>
        <v>44.433</v>
      </c>
      <c r="CA109" s="272">
        <f t="shared" si="161"/>
        <v>44.497</v>
      </c>
      <c r="CB109" s="272">
        <f t="shared" si="161"/>
        <v>44.561999999999998</v>
      </c>
      <c r="CC109" s="272">
        <f t="shared" si="161"/>
        <v>44.625999999999998</v>
      </c>
      <c r="CD109" s="272">
        <f t="shared" si="161"/>
        <v>44.691000000000003</v>
      </c>
      <c r="CE109" s="272">
        <f t="shared" si="161"/>
        <v>44.755000000000003</v>
      </c>
      <c r="CF109" s="272">
        <f t="shared" si="161"/>
        <v>44.82</v>
      </c>
      <c r="CG109" s="272">
        <f t="shared" si="161"/>
        <v>44.884999999999998</v>
      </c>
      <c r="CH109" s="272">
        <f t="shared" si="161"/>
        <v>44.95</v>
      </c>
      <c r="CI109" s="272">
        <f t="shared" si="161"/>
        <v>45.015000000000001</v>
      </c>
      <c r="CJ109" s="272">
        <f t="shared" si="161"/>
        <v>45.08</v>
      </c>
      <c r="CK109" s="272">
        <f t="shared" si="161"/>
        <v>45.145000000000003</v>
      </c>
      <c r="CL109" s="272">
        <f t="shared" si="161"/>
        <v>45.210999999999999</v>
      </c>
      <c r="CM109" s="272">
        <f t="shared" si="161"/>
        <v>45.276000000000003</v>
      </c>
      <c r="CN109" s="272">
        <f t="shared" si="161"/>
        <v>45.341000000000001</v>
      </c>
      <c r="CO109" s="272">
        <f t="shared" si="161"/>
        <v>45.406999999999996</v>
      </c>
      <c r="CP109" s="272">
        <f t="shared" si="161"/>
        <v>45.472999999999999</v>
      </c>
      <c r="CQ109" s="362"/>
    </row>
    <row r="110" spans="1:96" outlineLevel="1" x14ac:dyDescent="0.2">
      <c r="B110" s="529" t="s">
        <v>553</v>
      </c>
      <c r="D110" s="9"/>
      <c r="E110" s="9"/>
      <c r="F110" s="9"/>
      <c r="G110" s="9"/>
      <c r="H110" s="9"/>
      <c r="Q110" s="208"/>
      <c r="R110" s="208"/>
      <c r="S110" s="299"/>
      <c r="T110" s="299">
        <f>ROUND(T93*T85*T74,3)</f>
        <v>29.943999999999999</v>
      </c>
      <c r="U110" s="286">
        <f>ROUND(U93*U85*U74,3)</f>
        <v>37.343000000000004</v>
      </c>
      <c r="V110" s="272">
        <f>ROUND(V93*V85*V74,3)</f>
        <v>28.323</v>
      </c>
      <c r="W110" s="272">
        <f>ROUND(W93*W85*W74,3)</f>
        <v>29.821000000000002</v>
      </c>
      <c r="X110" s="272">
        <f>ROUND(X93*X85*X74,3)</f>
        <v>27.481999999999999</v>
      </c>
      <c r="Y110" s="272">
        <f t="shared" ref="Y110:BB110" si="162">ROUND(Y93*Y85*Y74,3)</f>
        <v>28.945</v>
      </c>
      <c r="Z110" s="272">
        <f t="shared" si="162"/>
        <v>30.722999999999999</v>
      </c>
      <c r="AA110" s="272">
        <f t="shared" si="162"/>
        <v>32.405000000000001</v>
      </c>
      <c r="AB110" s="272">
        <f t="shared" si="162"/>
        <v>32.314999999999998</v>
      </c>
      <c r="AC110" s="272">
        <f t="shared" si="162"/>
        <v>32.360999999999997</v>
      </c>
      <c r="AD110" s="272">
        <f t="shared" si="162"/>
        <v>32.408000000000001</v>
      </c>
      <c r="AE110" s="272">
        <f t="shared" si="162"/>
        <v>32.454999999999998</v>
      </c>
      <c r="AF110" s="272">
        <f t="shared" si="162"/>
        <v>32.502000000000002</v>
      </c>
      <c r="AG110" s="272">
        <f t="shared" si="162"/>
        <v>32.548999999999999</v>
      </c>
      <c r="AH110" s="272">
        <f t="shared" si="162"/>
        <v>32.595999999999997</v>
      </c>
      <c r="AI110" s="272">
        <f t="shared" si="162"/>
        <v>32.643000000000001</v>
      </c>
      <c r="AJ110" s="272">
        <f t="shared" si="162"/>
        <v>32.69</v>
      </c>
      <c r="AK110" s="272">
        <f t="shared" si="162"/>
        <v>32.738</v>
      </c>
      <c r="AL110" s="272">
        <f t="shared" si="162"/>
        <v>32.784999999999997</v>
      </c>
      <c r="AM110" s="272">
        <f t="shared" si="162"/>
        <v>32.832000000000001</v>
      </c>
      <c r="AN110" s="272">
        <f t="shared" si="162"/>
        <v>32.880000000000003</v>
      </c>
      <c r="AO110" s="272">
        <f t="shared" si="162"/>
        <v>32.927999999999997</v>
      </c>
      <c r="AP110" s="272">
        <f t="shared" si="162"/>
        <v>32.975000000000001</v>
      </c>
      <c r="AQ110" s="272">
        <f t="shared" si="162"/>
        <v>33.023000000000003</v>
      </c>
      <c r="AR110" s="272">
        <f t="shared" si="162"/>
        <v>33.070999999999998</v>
      </c>
      <c r="AS110" s="272">
        <f t="shared" si="162"/>
        <v>33.118000000000002</v>
      </c>
      <c r="AT110" s="272">
        <f t="shared" si="162"/>
        <v>33.165999999999997</v>
      </c>
      <c r="AU110" s="272">
        <f t="shared" si="162"/>
        <v>33.213999999999999</v>
      </c>
      <c r="AV110" s="272">
        <f t="shared" si="162"/>
        <v>33.262</v>
      </c>
      <c r="AW110" s="272">
        <f t="shared" si="162"/>
        <v>33.31</v>
      </c>
      <c r="AX110" s="272">
        <f t="shared" si="162"/>
        <v>33.359000000000002</v>
      </c>
      <c r="AY110" s="272">
        <f t="shared" si="162"/>
        <v>33.406999999999996</v>
      </c>
      <c r="AZ110" s="272">
        <f t="shared" si="162"/>
        <v>33.454999999999998</v>
      </c>
      <c r="BA110" s="272">
        <f t="shared" si="162"/>
        <v>33.503999999999998</v>
      </c>
      <c r="BB110" s="272">
        <f t="shared" si="162"/>
        <v>33.552</v>
      </c>
      <c r="BC110" s="272">
        <f t="shared" ref="BC110:CP110" si="163">ROUND(BC93*BC85*BC74,3)</f>
        <v>33.600999999999999</v>
      </c>
      <c r="BD110" s="272">
        <f t="shared" si="163"/>
        <v>33.649000000000001</v>
      </c>
      <c r="BE110" s="272">
        <f t="shared" si="163"/>
        <v>33.698</v>
      </c>
      <c r="BF110" s="272">
        <f t="shared" si="163"/>
        <v>33.747</v>
      </c>
      <c r="BG110" s="272">
        <f t="shared" si="163"/>
        <v>33.795000000000002</v>
      </c>
      <c r="BH110" s="272">
        <f t="shared" si="163"/>
        <v>33.844000000000001</v>
      </c>
      <c r="BI110" s="272">
        <f t="shared" si="163"/>
        <v>33.893000000000001</v>
      </c>
      <c r="BJ110" s="272">
        <f t="shared" si="163"/>
        <v>33.942</v>
      </c>
      <c r="BK110" s="272">
        <f t="shared" si="163"/>
        <v>33.991</v>
      </c>
      <c r="BL110" s="272">
        <f t="shared" si="163"/>
        <v>34.040999999999997</v>
      </c>
      <c r="BM110" s="272">
        <f t="shared" si="163"/>
        <v>34.090000000000003</v>
      </c>
      <c r="BN110" s="272">
        <f t="shared" si="163"/>
        <v>34.139000000000003</v>
      </c>
      <c r="BO110" s="272">
        <f t="shared" si="163"/>
        <v>34.188000000000002</v>
      </c>
      <c r="BP110" s="272">
        <f t="shared" si="163"/>
        <v>34.238</v>
      </c>
      <c r="BQ110" s="272">
        <f t="shared" si="163"/>
        <v>34.286999999999999</v>
      </c>
      <c r="BR110" s="272">
        <f t="shared" si="163"/>
        <v>34.337000000000003</v>
      </c>
      <c r="BS110" s="272">
        <f t="shared" si="163"/>
        <v>34.387</v>
      </c>
      <c r="BT110" s="272">
        <f t="shared" si="163"/>
        <v>34.436</v>
      </c>
      <c r="BU110" s="272">
        <f t="shared" si="163"/>
        <v>34.485999999999997</v>
      </c>
      <c r="BV110" s="272">
        <f t="shared" si="163"/>
        <v>34.536000000000001</v>
      </c>
      <c r="BW110" s="272">
        <f t="shared" si="163"/>
        <v>34.585999999999999</v>
      </c>
      <c r="BX110" s="272">
        <f t="shared" si="163"/>
        <v>34.636000000000003</v>
      </c>
      <c r="BY110" s="272">
        <f t="shared" si="163"/>
        <v>34.686</v>
      </c>
      <c r="BZ110" s="272">
        <f t="shared" si="163"/>
        <v>34.735999999999997</v>
      </c>
      <c r="CA110" s="272">
        <f t="shared" si="163"/>
        <v>34.786999999999999</v>
      </c>
      <c r="CB110" s="272">
        <f t="shared" si="163"/>
        <v>34.837000000000003</v>
      </c>
      <c r="CC110" s="272">
        <f t="shared" si="163"/>
        <v>34.887</v>
      </c>
      <c r="CD110" s="272">
        <f t="shared" si="163"/>
        <v>34.938000000000002</v>
      </c>
      <c r="CE110" s="272">
        <f t="shared" si="163"/>
        <v>34.988</v>
      </c>
      <c r="CF110" s="272">
        <f t="shared" si="163"/>
        <v>35.039000000000001</v>
      </c>
      <c r="CG110" s="272">
        <f t="shared" si="163"/>
        <v>35.090000000000003</v>
      </c>
      <c r="CH110" s="272">
        <f t="shared" si="163"/>
        <v>35.14</v>
      </c>
      <c r="CI110" s="272">
        <f t="shared" si="163"/>
        <v>35.191000000000003</v>
      </c>
      <c r="CJ110" s="272">
        <f t="shared" si="163"/>
        <v>35.241999999999997</v>
      </c>
      <c r="CK110" s="272">
        <f t="shared" si="163"/>
        <v>35.292999999999999</v>
      </c>
      <c r="CL110" s="272">
        <f t="shared" si="163"/>
        <v>35.344000000000001</v>
      </c>
      <c r="CM110" s="272">
        <f t="shared" si="163"/>
        <v>35.395000000000003</v>
      </c>
      <c r="CN110" s="272">
        <f t="shared" si="163"/>
        <v>35.445999999999998</v>
      </c>
      <c r="CO110" s="272">
        <f t="shared" si="163"/>
        <v>35.497999999999998</v>
      </c>
      <c r="CP110" s="272">
        <f t="shared" si="163"/>
        <v>35.548999999999999</v>
      </c>
      <c r="CQ110" s="362"/>
    </row>
    <row r="111" spans="1:96" outlineLevel="1" x14ac:dyDescent="0.2">
      <c r="B111" s="8" t="s">
        <v>14</v>
      </c>
      <c r="D111" s="9"/>
      <c r="E111" s="9"/>
      <c r="F111" s="9"/>
      <c r="G111" s="9"/>
      <c r="H111" s="9"/>
      <c r="L111" s="9">
        <v>25.06</v>
      </c>
      <c r="M111" s="9">
        <v>27.86</v>
      </c>
      <c r="N111" s="9">
        <v>29.55</v>
      </c>
      <c r="O111" s="9">
        <v>29.47</v>
      </c>
      <c r="P111" s="9">
        <v>29.71</v>
      </c>
      <c r="Q111" s="208">
        <f>-Q77-Q76</f>
        <v>9.2999999999999989</v>
      </c>
      <c r="R111" s="208">
        <f>-R77-R76</f>
        <v>10.199999999999999</v>
      </c>
      <c r="S111" s="299">
        <f>-S77-S76</f>
        <v>11.899999999999999</v>
      </c>
      <c r="T111" s="299">
        <f>-T77-T76</f>
        <v>13.2</v>
      </c>
      <c r="U111" s="286">
        <f>-U77-U76</f>
        <v>11.2</v>
      </c>
      <c r="V111" s="272">
        <f t="shared" ref="V111:BB111" si="164">-V77-V76</f>
        <v>11.600000000000001</v>
      </c>
      <c r="W111" s="157">
        <v>14.2</v>
      </c>
      <c r="X111" s="157">
        <v>12.932781219973585</v>
      </c>
      <c r="Y111" s="157">
        <v>15.728258847559506</v>
      </c>
      <c r="Z111" s="157">
        <v>17.808191944260045</v>
      </c>
      <c r="AA111" s="157">
        <v>21.406167119026833</v>
      </c>
      <c r="AB111" s="157">
        <v>17.046132458411076</v>
      </c>
      <c r="AC111" s="272">
        <f t="shared" si="164"/>
        <v>17.070788478944625</v>
      </c>
      <c r="AD111" s="272">
        <f t="shared" si="164"/>
        <v>17.09548016266158</v>
      </c>
      <c r="AE111" s="272">
        <f t="shared" si="164"/>
        <v>17.120207561146231</v>
      </c>
      <c r="AF111" s="272">
        <f t="shared" si="164"/>
        <v>17.144970726057437</v>
      </c>
      <c r="AG111" s="272">
        <f t="shared" si="164"/>
        <v>17.169769709128808</v>
      </c>
      <c r="AH111" s="272">
        <f t="shared" si="164"/>
        <v>17.194604562168767</v>
      </c>
      <c r="AI111" s="272">
        <f t="shared" si="164"/>
        <v>17.219475337060679</v>
      </c>
      <c r="AJ111" s="272">
        <f t="shared" si="164"/>
        <v>17.244382085762954</v>
      </c>
      <c r="AK111" s="272">
        <f t="shared" si="164"/>
        <v>17.269324860309137</v>
      </c>
      <c r="AL111" s="272">
        <f t="shared" si="164"/>
        <v>17.294303712808077</v>
      </c>
      <c r="AM111" s="272">
        <f t="shared" si="164"/>
        <v>17.319318695443961</v>
      </c>
      <c r="AN111" s="272">
        <f t="shared" si="164"/>
        <v>17.344369860476466</v>
      </c>
      <c r="AO111" s="272">
        <f t="shared" si="164"/>
        <v>17.369457260240871</v>
      </c>
      <c r="AP111" s="272">
        <f t="shared" si="164"/>
        <v>17.394580947148132</v>
      </c>
      <c r="AQ111" s="272">
        <f t="shared" si="164"/>
        <v>17.419740973685023</v>
      </c>
      <c r="AR111" s="272">
        <f t="shared" si="164"/>
        <v>17.444937392414253</v>
      </c>
      <c r="AS111" s="272">
        <f t="shared" si="164"/>
        <v>17.470170255974537</v>
      </c>
      <c r="AT111" s="272">
        <f t="shared" si="164"/>
        <v>17.495439617080734</v>
      </c>
      <c r="AU111" s="272">
        <f t="shared" si="164"/>
        <v>17.520745528523957</v>
      </c>
      <c r="AV111" s="272">
        <f t="shared" si="164"/>
        <v>17.546088043171668</v>
      </c>
      <c r="AW111" s="272">
        <f t="shared" si="164"/>
        <v>17.571467213967804</v>
      </c>
      <c r="AX111" s="272">
        <f t="shared" si="164"/>
        <v>17.596883093932888</v>
      </c>
      <c r="AY111" s="272">
        <f t="shared" si="164"/>
        <v>17.622335736164121</v>
      </c>
      <c r="AZ111" s="272">
        <f t="shared" si="164"/>
        <v>17.647825193835516</v>
      </c>
      <c r="BA111" s="272">
        <f t="shared" si="164"/>
        <v>17.673351520197993</v>
      </c>
      <c r="BB111" s="272">
        <f t="shared" si="164"/>
        <v>17.698914768579495</v>
      </c>
      <c r="BC111" s="272">
        <f t="shared" ref="BC111:CP111" si="165">-BC77-BC76</f>
        <v>17.724514992385107</v>
      </c>
      <c r="BD111" s="272">
        <f t="shared" si="165"/>
        <v>17.750152245097144</v>
      </c>
      <c r="BE111" s="272">
        <f t="shared" si="165"/>
        <v>17.775826580275297</v>
      </c>
      <c r="BF111" s="272">
        <f t="shared" si="165"/>
        <v>17.801538051556722</v>
      </c>
      <c r="BG111" s="272">
        <f t="shared" si="165"/>
        <v>17.827286712656154</v>
      </c>
      <c r="BH111" s="272">
        <f t="shared" si="165"/>
        <v>17.853072617366028</v>
      </c>
      <c r="BI111" s="272">
        <f t="shared" si="165"/>
        <v>17.878895819556575</v>
      </c>
      <c r="BJ111" s="272">
        <f t="shared" si="165"/>
        <v>17.904756373175967</v>
      </c>
      <c r="BK111" s="272">
        <f t="shared" si="165"/>
        <v>17.930654332250377</v>
      </c>
      <c r="BL111" s="272">
        <f t="shared" si="165"/>
        <v>17.956589750884159</v>
      </c>
      <c r="BM111" s="272">
        <f t="shared" si="165"/>
        <v>17.982562683259889</v>
      </c>
      <c r="BN111" s="272">
        <f t="shared" si="165"/>
        <v>18.008573183638539</v>
      </c>
      <c r="BO111" s="272">
        <f t="shared" si="165"/>
        <v>18.034621306359554</v>
      </c>
      <c r="BP111" s="272">
        <f t="shared" si="165"/>
        <v>18.06070710584099</v>
      </c>
      <c r="BQ111" s="272">
        <f t="shared" si="165"/>
        <v>18.086830636579606</v>
      </c>
      <c r="BR111" s="272">
        <f t="shared" si="165"/>
        <v>18.112991953150974</v>
      </c>
      <c r="BS111" s="272">
        <f t="shared" si="165"/>
        <v>18.13919111020963</v>
      </c>
      <c r="BT111" s="272">
        <f t="shared" si="165"/>
        <v>18.16542816248916</v>
      </c>
      <c r="BU111" s="272">
        <f t="shared" si="165"/>
        <v>18.191703164802295</v>
      </c>
      <c r="BV111" s="272">
        <f t="shared" si="165"/>
        <v>18.218016172041072</v>
      </c>
      <c r="BW111" s="272">
        <f t="shared" si="165"/>
        <v>18.244367239176913</v>
      </c>
      <c r="BX111" s="272">
        <f t="shared" si="165"/>
        <v>18.270756421260767</v>
      </c>
      <c r="BY111" s="272">
        <f t="shared" si="165"/>
        <v>18.297183773423193</v>
      </c>
      <c r="BZ111" s="272">
        <f t="shared" si="165"/>
        <v>18.323649350874504</v>
      </c>
      <c r="CA111" s="272">
        <f t="shared" si="165"/>
        <v>18.350153208904867</v>
      </c>
      <c r="CB111" s="272">
        <f t="shared" si="165"/>
        <v>18.376695402884415</v>
      </c>
      <c r="CC111" s="272">
        <f t="shared" si="165"/>
        <v>18.403275988263392</v>
      </c>
      <c r="CD111" s="272">
        <f t="shared" si="165"/>
        <v>18.429895020572207</v>
      </c>
      <c r="CE111" s="272">
        <f t="shared" si="165"/>
        <v>18.456552555421638</v>
      </c>
      <c r="CF111" s="272">
        <f t="shared" si="165"/>
        <v>18.483248648502869</v>
      </c>
      <c r="CG111" s="272">
        <f t="shared" si="165"/>
        <v>18.509983355587647</v>
      </c>
      <c r="CH111" s="272">
        <f t="shared" si="165"/>
        <v>18.536756732528378</v>
      </c>
      <c r="CI111" s="272">
        <f t="shared" si="165"/>
        <v>18.56356883525828</v>
      </c>
      <c r="CJ111" s="272">
        <f t="shared" si="165"/>
        <v>18.590419719791438</v>
      </c>
      <c r="CK111" s="272">
        <f t="shared" si="165"/>
        <v>18.617309442222997</v>
      </c>
      <c r="CL111" s="272">
        <f t="shared" si="165"/>
        <v>18.644238058729201</v>
      </c>
      <c r="CM111" s="272">
        <f t="shared" si="165"/>
        <v>18.671205625567584</v>
      </c>
      <c r="CN111" s="272">
        <f t="shared" si="165"/>
        <v>18.69821219907703</v>
      </c>
      <c r="CO111" s="272">
        <f t="shared" si="165"/>
        <v>18.725257835677919</v>
      </c>
      <c r="CP111" s="272">
        <f t="shared" si="165"/>
        <v>18.752342591872242</v>
      </c>
      <c r="CQ111" s="362" t="s">
        <v>77</v>
      </c>
    </row>
    <row r="112" spans="1:96" outlineLevel="1" x14ac:dyDescent="0.2">
      <c r="B112" s="8" t="s">
        <v>326</v>
      </c>
      <c r="D112" s="9"/>
      <c r="E112" s="9"/>
      <c r="F112" s="9"/>
      <c r="G112" s="9"/>
      <c r="H112" s="9"/>
      <c r="L112" s="9">
        <v>27.85</v>
      </c>
      <c r="M112" s="9">
        <v>25.53</v>
      </c>
      <c r="N112" s="9">
        <v>25.08</v>
      </c>
      <c r="O112" s="9">
        <v>26.27</v>
      </c>
      <c r="P112" s="9">
        <v>27.67</v>
      </c>
      <c r="Q112" s="208">
        <v>30.6</v>
      </c>
      <c r="R112" s="208">
        <v>30.7</v>
      </c>
      <c r="S112" s="198">
        <v>32.4</v>
      </c>
      <c r="T112" s="198">
        <v>34.299999999999997</v>
      </c>
      <c r="U112" s="26">
        <v>35.1</v>
      </c>
      <c r="V112" s="157">
        <v>26.6</v>
      </c>
      <c r="W112" s="157">
        <v>27.3</v>
      </c>
      <c r="X112" s="157">
        <v>26.590019550697807</v>
      </c>
      <c r="Y112" s="157">
        <v>27.347276101824484</v>
      </c>
      <c r="Z112" s="157">
        <v>28.025054732663975</v>
      </c>
      <c r="AA112" s="157">
        <v>29.822859189685559</v>
      </c>
      <c r="AB112" s="157">
        <v>30.769521113862442</v>
      </c>
      <c r="AC112" s="272">
        <f t="shared" ref="AC112:BB112" si="166">+AB112*(1+AC83)</f>
        <v>31.523359349626851</v>
      </c>
      <c r="AD112" s="272">
        <f t="shared" si="166"/>
        <v>32.295666253902468</v>
      </c>
      <c r="AE112" s="272">
        <f t="shared" si="166"/>
        <v>33.086894300045493</v>
      </c>
      <c r="AF112" s="272">
        <f t="shared" si="166"/>
        <v>33.897507046788334</v>
      </c>
      <c r="AG112" s="272">
        <f t="shared" si="166"/>
        <v>34.727979409825863</v>
      </c>
      <c r="AH112" s="272">
        <f t="shared" si="166"/>
        <v>35.578797940055487</v>
      </c>
      <c r="AI112" s="272">
        <f t="shared" si="166"/>
        <v>36.450461108633903</v>
      </c>
      <c r="AJ112" s="272">
        <f t="shared" si="166"/>
        <v>37.343479599017634</v>
      </c>
      <c r="AK112" s="272">
        <f t="shared" si="166"/>
        <v>38.258376606158414</v>
      </c>
      <c r="AL112" s="272">
        <f t="shared" si="166"/>
        <v>39.19568814302869</v>
      </c>
      <c r="AM112" s="272">
        <f t="shared" si="166"/>
        <v>40.155963354656897</v>
      </c>
      <c r="AN112" s="272">
        <f t="shared" si="166"/>
        <v>41.139764839856383</v>
      </c>
      <c r="AO112" s="272">
        <f t="shared" si="166"/>
        <v>42.147668980836599</v>
      </c>
      <c r="AP112" s="272">
        <f t="shared" si="166"/>
        <v>43.180266280889541</v>
      </c>
      <c r="AQ112" s="272">
        <f t="shared" si="166"/>
        <v>44.238161710349381</v>
      </c>
      <c r="AR112" s="272">
        <f t="shared" si="166"/>
        <v>45.321975061027956</v>
      </c>
      <c r="AS112" s="272">
        <f t="shared" si="166"/>
        <v>46.432341309333701</v>
      </c>
      <c r="AT112" s="272">
        <f t="shared" si="166"/>
        <v>47.569910988286864</v>
      </c>
      <c r="AU112" s="272">
        <f t="shared" si="166"/>
        <v>48.735350568648883</v>
      </c>
      <c r="AV112" s="272">
        <f t="shared" si="166"/>
        <v>49.929342849389279</v>
      </c>
      <c r="AW112" s="272">
        <f t="shared" si="166"/>
        <v>51.152587357718751</v>
      </c>
      <c r="AX112" s="272">
        <f t="shared" si="166"/>
        <v>52.405800758922936</v>
      </c>
      <c r="AY112" s="272">
        <f t="shared" si="166"/>
        <v>53.689717276236863</v>
      </c>
      <c r="AZ112" s="272">
        <f t="shared" si="166"/>
        <v>55.005089121006137</v>
      </c>
      <c r="BA112" s="272">
        <f t="shared" si="166"/>
        <v>56.352686933386856</v>
      </c>
      <c r="BB112" s="272">
        <f t="shared" si="166"/>
        <v>57.733300233842478</v>
      </c>
      <c r="BC112" s="272">
        <f t="shared" ref="BC112:CP112" si="167">+BB112*(1+BC83)</f>
        <v>59.147737885702107</v>
      </c>
      <c r="BD112" s="272">
        <f t="shared" si="167"/>
        <v>60.596828569051269</v>
      </c>
      <c r="BE112" s="272">
        <f t="shared" si="167"/>
        <v>62.081421266232766</v>
      </c>
      <c r="BF112" s="272">
        <f t="shared" si="167"/>
        <v>63.602385759242047</v>
      </c>
      <c r="BG112" s="272">
        <f t="shared" si="167"/>
        <v>65.160613139308538</v>
      </c>
      <c r="BH112" s="272">
        <f t="shared" si="167"/>
        <v>66.757016328961484</v>
      </c>
      <c r="BI112" s="272">
        <f t="shared" si="167"/>
        <v>68.392530616886106</v>
      </c>
      <c r="BJ112" s="272">
        <f t="shared" si="167"/>
        <v>70.068114205883504</v>
      </c>
      <c r="BK112" s="272">
        <f t="shared" si="167"/>
        <v>71.784748774255306</v>
      </c>
      <c r="BL112" s="272">
        <f t="shared" si="167"/>
        <v>73.543440050941967</v>
      </c>
      <c r="BM112" s="272">
        <f t="shared" si="167"/>
        <v>75.345218404751662</v>
      </c>
      <c r="BN112" s="272">
        <f t="shared" si="167"/>
        <v>77.191139448025012</v>
      </c>
      <c r="BO112" s="272">
        <f t="shared" si="167"/>
        <v>79.082284655089282</v>
      </c>
      <c r="BP112" s="272">
        <f t="shared" si="167"/>
        <v>81.019761995864442</v>
      </c>
      <c r="BQ112" s="272">
        <f t="shared" si="167"/>
        <v>83.004706584992249</v>
      </c>
      <c r="BR112" s="272">
        <f t="shared" si="167"/>
        <v>85.038281346868629</v>
      </c>
      <c r="BS112" s="272">
        <f t="shared" si="167"/>
        <v>87.121677696969115</v>
      </c>
      <c r="BT112" s="272">
        <f t="shared" si="167"/>
        <v>89.256116239866373</v>
      </c>
      <c r="BU112" s="272">
        <f t="shared" si="167"/>
        <v>91.442847484348775</v>
      </c>
      <c r="BV112" s="272">
        <f t="shared" si="167"/>
        <v>93.683152576059143</v>
      </c>
      <c r="BW112" s="272">
        <f t="shared" si="167"/>
        <v>95.978344048082661</v>
      </c>
      <c r="BX112" s="272">
        <f t="shared" si="167"/>
        <v>98.329766589923906</v>
      </c>
      <c r="BY112" s="272">
        <f t="shared" si="167"/>
        <v>100.73879783532341</v>
      </c>
      <c r="BZ112" s="272">
        <f t="shared" si="167"/>
        <v>103.20684916937536</v>
      </c>
      <c r="CA112" s="272">
        <f t="shared" si="167"/>
        <v>105.73536655541925</v>
      </c>
      <c r="CB112" s="272">
        <f t="shared" si="167"/>
        <v>108.32583138218999</v>
      </c>
      <c r="CC112" s="272">
        <f t="shared" si="167"/>
        <v>110.97976133172284</v>
      </c>
      <c r="CD112" s="272">
        <f t="shared" si="167"/>
        <v>113.69871126852151</v>
      </c>
      <c r="CE112" s="272">
        <f t="shared" si="167"/>
        <v>116.48427415051042</v>
      </c>
      <c r="CF112" s="272">
        <f t="shared" si="167"/>
        <v>119.33808196230498</v>
      </c>
      <c r="CG112" s="272">
        <f t="shared" si="167"/>
        <v>122.26180667134645</v>
      </c>
      <c r="CH112" s="272">
        <f t="shared" si="167"/>
        <v>125.25716120746155</v>
      </c>
      <c r="CI112" s="272">
        <f t="shared" si="167"/>
        <v>128.32590046642099</v>
      </c>
      <c r="CJ112" s="272">
        <f t="shared" si="167"/>
        <v>131.46982233808455</v>
      </c>
      <c r="CK112" s="272">
        <f t="shared" si="167"/>
        <v>134.69076875973531</v>
      </c>
      <c r="CL112" s="272">
        <f t="shared" si="167"/>
        <v>137.99062679521987</v>
      </c>
      <c r="CM112" s="272">
        <f t="shared" si="167"/>
        <v>141.3713297405273</v>
      </c>
      <c r="CN112" s="272">
        <f t="shared" si="167"/>
        <v>144.83485825645388</v>
      </c>
      <c r="CO112" s="272">
        <f t="shared" si="167"/>
        <v>148.38324152901785</v>
      </c>
      <c r="CP112" s="272">
        <f t="shared" si="167"/>
        <v>152.0185584583036</v>
      </c>
      <c r="CQ112" s="362" t="s">
        <v>77</v>
      </c>
    </row>
    <row r="113" spans="1:95" outlineLevel="1" x14ac:dyDescent="0.2">
      <c r="B113" s="8" t="s">
        <v>325</v>
      </c>
      <c r="D113" s="9"/>
      <c r="E113" s="9"/>
      <c r="F113" s="9"/>
      <c r="G113" s="9"/>
      <c r="H113" s="9"/>
      <c r="L113" s="9">
        <v>0</v>
      </c>
      <c r="M113" s="9">
        <v>0</v>
      </c>
      <c r="N113" s="9">
        <v>0</v>
      </c>
      <c r="O113" s="9">
        <v>0</v>
      </c>
      <c r="P113" s="9">
        <v>0</v>
      </c>
      <c r="Q113" s="208">
        <v>0</v>
      </c>
      <c r="R113" s="208">
        <v>0</v>
      </c>
      <c r="S113" s="198">
        <v>0</v>
      </c>
      <c r="T113" s="198">
        <v>0</v>
      </c>
      <c r="U113" s="26">
        <v>0</v>
      </c>
      <c r="V113" s="157">
        <v>7.1</v>
      </c>
      <c r="W113" s="157">
        <v>4.7</v>
      </c>
      <c r="X113" s="157">
        <v>7.0701775158377504</v>
      </c>
      <c r="Y113" s="157">
        <v>4.717124932543153</v>
      </c>
      <c r="Z113" s="157">
        <v>3.8621324036759646</v>
      </c>
      <c r="AA113" s="157">
        <v>2.3602544551447506</v>
      </c>
      <c r="AB113" s="157">
        <v>0</v>
      </c>
      <c r="AC113" s="157">
        <v>0</v>
      </c>
      <c r="AD113" s="157">
        <v>0</v>
      </c>
      <c r="AE113" s="157">
        <v>0</v>
      </c>
      <c r="AF113" s="157">
        <v>0</v>
      </c>
      <c r="AG113" s="157">
        <v>0</v>
      </c>
      <c r="AH113" s="157">
        <v>0</v>
      </c>
      <c r="AI113" s="157">
        <v>0</v>
      </c>
      <c r="AJ113" s="157">
        <v>0</v>
      </c>
      <c r="AK113" s="157">
        <v>0</v>
      </c>
      <c r="AL113" s="157">
        <v>0</v>
      </c>
      <c r="AM113" s="157">
        <v>0</v>
      </c>
      <c r="AN113" s="157">
        <v>0</v>
      </c>
      <c r="AO113" s="157">
        <v>0</v>
      </c>
      <c r="AP113" s="157">
        <v>0</v>
      </c>
      <c r="AQ113" s="157">
        <v>0</v>
      </c>
      <c r="AR113" s="157">
        <v>0</v>
      </c>
      <c r="AS113" s="157">
        <v>0</v>
      </c>
      <c r="AT113" s="157">
        <v>0</v>
      </c>
      <c r="AU113" s="157">
        <v>0</v>
      </c>
      <c r="AV113" s="157">
        <v>0</v>
      </c>
      <c r="AW113" s="157">
        <v>0</v>
      </c>
      <c r="AX113" s="157">
        <v>0</v>
      </c>
      <c r="AY113" s="157">
        <v>0</v>
      </c>
      <c r="AZ113" s="157">
        <v>0</v>
      </c>
      <c r="BA113" s="157">
        <v>0</v>
      </c>
      <c r="BB113" s="157">
        <v>0</v>
      </c>
      <c r="BC113" s="157">
        <v>0</v>
      </c>
      <c r="BD113" s="157">
        <v>0</v>
      </c>
      <c r="BE113" s="157">
        <v>0</v>
      </c>
      <c r="BF113" s="157">
        <v>0</v>
      </c>
      <c r="BG113" s="157">
        <v>0</v>
      </c>
      <c r="BH113" s="157">
        <v>0</v>
      </c>
      <c r="BI113" s="157">
        <v>0</v>
      </c>
      <c r="BJ113" s="157">
        <v>0</v>
      </c>
      <c r="BK113" s="157">
        <v>0</v>
      </c>
      <c r="BL113" s="157">
        <v>0</v>
      </c>
      <c r="BM113" s="157">
        <v>0</v>
      </c>
      <c r="BN113" s="157">
        <v>0</v>
      </c>
      <c r="BO113" s="157">
        <v>0</v>
      </c>
      <c r="BP113" s="157">
        <v>0</v>
      </c>
      <c r="BQ113" s="157">
        <v>0</v>
      </c>
      <c r="BR113" s="157">
        <v>0</v>
      </c>
      <c r="BS113" s="157">
        <v>0</v>
      </c>
      <c r="BT113" s="157">
        <v>0</v>
      </c>
      <c r="BU113" s="157">
        <v>0</v>
      </c>
      <c r="BV113" s="157">
        <v>0</v>
      </c>
      <c r="BW113" s="157">
        <v>0</v>
      </c>
      <c r="BX113" s="157">
        <v>0</v>
      </c>
      <c r="BY113" s="157">
        <v>0</v>
      </c>
      <c r="BZ113" s="157">
        <v>0</v>
      </c>
      <c r="CA113" s="157">
        <v>0</v>
      </c>
      <c r="CB113" s="157">
        <v>0</v>
      </c>
      <c r="CC113" s="157">
        <v>0</v>
      </c>
      <c r="CD113" s="157">
        <v>0</v>
      </c>
      <c r="CE113" s="157">
        <v>0</v>
      </c>
      <c r="CF113" s="157">
        <v>0</v>
      </c>
      <c r="CG113" s="157">
        <v>0</v>
      </c>
      <c r="CH113" s="157">
        <v>0</v>
      </c>
      <c r="CI113" s="157">
        <v>0</v>
      </c>
      <c r="CJ113" s="157">
        <v>0</v>
      </c>
      <c r="CK113" s="157">
        <v>0</v>
      </c>
      <c r="CL113" s="157">
        <v>0</v>
      </c>
      <c r="CM113" s="157">
        <v>0</v>
      </c>
      <c r="CN113" s="157">
        <v>0</v>
      </c>
      <c r="CO113" s="157">
        <v>0</v>
      </c>
      <c r="CP113" s="157">
        <v>0</v>
      </c>
      <c r="CQ113" s="23" t="s">
        <v>77</v>
      </c>
    </row>
    <row r="114" spans="1:95" outlineLevel="1" x14ac:dyDescent="0.2">
      <c r="B114" s="8" t="s">
        <v>392</v>
      </c>
      <c r="D114" s="9"/>
      <c r="E114" s="9"/>
      <c r="F114" s="9"/>
      <c r="G114" s="9"/>
      <c r="H114" s="9"/>
      <c r="L114" s="9">
        <v>0</v>
      </c>
      <c r="M114" s="9">
        <v>0</v>
      </c>
      <c r="N114" s="9">
        <v>0</v>
      </c>
      <c r="O114" s="9">
        <v>0</v>
      </c>
      <c r="P114" s="9">
        <v>0.34</v>
      </c>
      <c r="Q114" s="208">
        <f>3.3+-0.1</f>
        <v>3.1999999999999997</v>
      </c>
      <c r="R114" s="208">
        <f>3.6+-0.1</f>
        <v>3.5</v>
      </c>
      <c r="S114" s="198">
        <v>3.3</v>
      </c>
      <c r="T114" s="198">
        <v>3.4</v>
      </c>
      <c r="U114" s="26">
        <v>2.8</v>
      </c>
      <c r="V114" s="157">
        <v>1.3</v>
      </c>
      <c r="W114" s="157">
        <v>1.5</v>
      </c>
      <c r="X114" s="157">
        <v>1.6300289612863963</v>
      </c>
      <c r="Y114" s="157">
        <v>2.041173177809763</v>
      </c>
      <c r="Z114" s="157">
        <v>2.2166798485598145</v>
      </c>
      <c r="AA114" s="272">
        <v>1.6636172754548879</v>
      </c>
      <c r="AB114" s="272">
        <v>0.40059136429643988</v>
      </c>
      <c r="AC114" s="272">
        <f t="shared" ref="AC114:BB114" si="168">+AB114/SUM(AB108:AB113)*SUM(AC108:AC113)</f>
        <v>0.4075205913487005</v>
      </c>
      <c r="AD114" s="272">
        <f t="shared" si="168"/>
        <v>0.41491610096797105</v>
      </c>
      <c r="AE114" s="272">
        <f t="shared" si="168"/>
        <v>0.44312047884318917</v>
      </c>
      <c r="AF114" s="272">
        <f t="shared" si="168"/>
        <v>0.44546721998697031</v>
      </c>
      <c r="AG114" s="272">
        <f t="shared" si="168"/>
        <v>0.44785845370399435</v>
      </c>
      <c r="AH114" s="272">
        <f t="shared" si="168"/>
        <v>0.45029526819399768</v>
      </c>
      <c r="AI114" s="272">
        <f t="shared" si="168"/>
        <v>0.45278325095594207</v>
      </c>
      <c r="AJ114" s="272">
        <f t="shared" si="168"/>
        <v>0.45531459887497372</v>
      </c>
      <c r="AK114" s="272">
        <f t="shared" si="168"/>
        <v>0.45790166370302798</v>
      </c>
      <c r="AL114" s="272">
        <f t="shared" si="168"/>
        <v>0.4605344626497429</v>
      </c>
      <c r="AM114" s="272">
        <f t="shared" si="168"/>
        <v>0.46322093285855198</v>
      </c>
      <c r="AN114" s="272">
        <f t="shared" si="168"/>
        <v>0.46596233259773423</v>
      </c>
      <c r="AO114" s="272">
        <f t="shared" si="168"/>
        <v>0.46875771463906579</v>
      </c>
      <c r="AP114" s="272">
        <f t="shared" si="168"/>
        <v>0.47160616333376254</v>
      </c>
      <c r="AQ114" s="272">
        <f t="shared" si="168"/>
        <v>0.47451574066922453</v>
      </c>
      <c r="AR114" s="272">
        <f t="shared" si="168"/>
        <v>0.477483360174765</v>
      </c>
      <c r="AS114" s="272">
        <f t="shared" si="168"/>
        <v>0.48051044197902965</v>
      </c>
      <c r="AT114" s="272">
        <f t="shared" si="168"/>
        <v>0.48359844100040872</v>
      </c>
      <c r="AU114" s="272">
        <f t="shared" si="168"/>
        <v>0.48675108412013185</v>
      </c>
      <c r="AV114" s="272">
        <f t="shared" si="168"/>
        <v>0.48996766209317583</v>
      </c>
      <c r="AW114" s="272">
        <f t="shared" si="168"/>
        <v>0.49324973940516859</v>
      </c>
      <c r="AX114" s="272">
        <f t="shared" si="168"/>
        <v>0.49660115518890968</v>
      </c>
      <c r="AY114" s="272">
        <f t="shared" si="168"/>
        <v>0.50002131520104254</v>
      </c>
      <c r="AZ114" s="272">
        <f t="shared" si="168"/>
        <v>0.50351190174633476</v>
      </c>
      <c r="BA114" s="272">
        <f t="shared" si="168"/>
        <v>0.50707687466322471</v>
      </c>
      <c r="BB114" s="272">
        <f t="shared" si="168"/>
        <v>0.51071352705044493</v>
      </c>
      <c r="BC114" s="272">
        <f t="shared" ref="BC114:CP114" si="169">+BB114/SUM(BB108:BB113)*SUM(BC108:BC113)</f>
        <v>0.51443037686758852</v>
      </c>
      <c r="BD114" s="272">
        <f t="shared" si="169"/>
        <v>0.51822480478720923</v>
      </c>
      <c r="BE114" s="272">
        <f t="shared" si="169"/>
        <v>0.52209870952592818</v>
      </c>
      <c r="BF114" s="272">
        <f t="shared" si="169"/>
        <v>0.52605403631523429</v>
      </c>
      <c r="BG114" s="272">
        <f t="shared" si="169"/>
        <v>0.5300927780410728</v>
      </c>
      <c r="BH114" s="272">
        <f t="shared" si="169"/>
        <v>0.53421697641135168</v>
      </c>
      <c r="BI114" s="272">
        <f t="shared" si="169"/>
        <v>0.53843319579358673</v>
      </c>
      <c r="BJ114" s="272">
        <f t="shared" si="169"/>
        <v>0.54273687019494488</v>
      </c>
      <c r="BK114" s="272">
        <f t="shared" si="169"/>
        <v>0.54713466772535291</v>
      </c>
      <c r="BL114" s="272">
        <f t="shared" si="169"/>
        <v>0.55162883763832138</v>
      </c>
      <c r="BM114" s="272">
        <f t="shared" si="169"/>
        <v>0.5562172116486489</v>
      </c>
      <c r="BN114" s="272">
        <f t="shared" si="169"/>
        <v>0.56090438688624711</v>
      </c>
      <c r="BO114" s="272">
        <f t="shared" si="169"/>
        <v>0.56569501831690061</v>
      </c>
      <c r="BP114" s="272">
        <f t="shared" si="169"/>
        <v>0.57059158383844732</v>
      </c>
      <c r="BQ114" s="272">
        <f t="shared" si="169"/>
        <v>0.57559214941167125</v>
      </c>
      <c r="BR114" s="272">
        <f t="shared" si="169"/>
        <v>0.58070378847213289</v>
      </c>
      <c r="BS114" s="272">
        <f t="shared" si="169"/>
        <v>0.58593140184999437</v>
      </c>
      <c r="BT114" s="272">
        <f t="shared" si="169"/>
        <v>0.59126877404794331</v>
      </c>
      <c r="BU114" s="272">
        <f t="shared" si="169"/>
        <v>0.59672317436886602</v>
      </c>
      <c r="BV114" s="272">
        <f t="shared" si="169"/>
        <v>0.60230194062965958</v>
      </c>
      <c r="BW114" s="272">
        <f t="shared" si="169"/>
        <v>0.60800353555671938</v>
      </c>
      <c r="BX114" s="272">
        <f t="shared" si="169"/>
        <v>0.61383096643022139</v>
      </c>
      <c r="BY114" s="272">
        <f t="shared" si="169"/>
        <v>0.61978731420439914</v>
      </c>
      <c r="BZ114" s="272">
        <f t="shared" si="169"/>
        <v>0.62587797163328385</v>
      </c>
      <c r="CA114" s="272">
        <f t="shared" si="169"/>
        <v>0.63210393615759974</v>
      </c>
      <c r="CB114" s="272">
        <f t="shared" si="169"/>
        <v>0.63847075708233147</v>
      </c>
      <c r="CC114" s="272">
        <f t="shared" si="169"/>
        <v>0.64497735591380279</v>
      </c>
      <c r="CD114" s="272">
        <f t="shared" si="169"/>
        <v>0.65163391891427835</v>
      </c>
      <c r="CE114" s="272">
        <f t="shared" si="169"/>
        <v>0.65843506328994084</v>
      </c>
      <c r="CF114" s="272">
        <f t="shared" si="169"/>
        <v>0.66539338408948956</v>
      </c>
      <c r="CG114" s="272">
        <f t="shared" si="169"/>
        <v>0.6725103841723914</v>
      </c>
      <c r="CH114" s="272">
        <f t="shared" si="169"/>
        <v>0.67978318536179327</v>
      </c>
      <c r="CI114" s="272">
        <f t="shared" si="169"/>
        <v>0.6872246575757045</v>
      </c>
      <c r="CJ114" s="272">
        <f t="shared" si="169"/>
        <v>0.69483434895628671</v>
      </c>
      <c r="CK114" s="272">
        <f t="shared" si="169"/>
        <v>0.70261637879158456</v>
      </c>
      <c r="CL114" s="272">
        <f t="shared" si="169"/>
        <v>0.71057943992882955</v>
      </c>
      <c r="CM114" s="272">
        <f t="shared" si="169"/>
        <v>0.71871891068073246</v>
      </c>
      <c r="CN114" s="272">
        <f t="shared" si="169"/>
        <v>0.7270459295284577</v>
      </c>
      <c r="CO114" s="272">
        <f t="shared" si="169"/>
        <v>0.73556727082978002</v>
      </c>
      <c r="CP114" s="272">
        <f t="shared" si="169"/>
        <v>0.74428087483618566</v>
      </c>
      <c r="CQ114" s="23"/>
    </row>
    <row r="115" spans="1:95" outlineLevel="1" x14ac:dyDescent="0.2">
      <c r="A115" s="233"/>
      <c r="B115" s="1" t="s">
        <v>327</v>
      </c>
      <c r="D115" s="3">
        <f>SUM(D108:D114)</f>
        <v>0</v>
      </c>
      <c r="E115" s="3">
        <f>SUM(E108:E114)</f>
        <v>0</v>
      </c>
      <c r="F115" s="3">
        <f>SUM(F108:F114)</f>
        <v>0</v>
      </c>
      <c r="G115" s="3">
        <f>SUM(G108:G114)</f>
        <v>0</v>
      </c>
      <c r="H115" s="3">
        <f>SUM(H108:H114)</f>
        <v>0</v>
      </c>
      <c r="I115" s="3"/>
      <c r="J115" s="3"/>
      <c r="K115" s="3"/>
      <c r="L115" s="3">
        <f t="shared" ref="L115:S115" si="170">SUM(L108:L114)</f>
        <v>96.449999999999989</v>
      </c>
      <c r="M115" s="3">
        <f t="shared" si="170"/>
        <v>101.71000000000001</v>
      </c>
      <c r="N115" s="3">
        <f t="shared" si="170"/>
        <v>105.77</v>
      </c>
      <c r="O115" s="3">
        <f t="shared" si="170"/>
        <v>105.21</v>
      </c>
      <c r="P115" s="3">
        <f t="shared" si="170"/>
        <v>105.60000000000001</v>
      </c>
      <c r="Q115" s="33">
        <f t="shared" si="170"/>
        <v>87.666000000000011</v>
      </c>
      <c r="R115" s="33">
        <f t="shared" si="170"/>
        <v>90.603999999999999</v>
      </c>
      <c r="S115" s="33">
        <f t="shared" si="170"/>
        <v>100.49300000000001</v>
      </c>
      <c r="T115" s="33">
        <f>SUM(T109:T114)</f>
        <v>104.81100000000001</v>
      </c>
      <c r="U115" s="33">
        <f>SUM(U109:U114)</f>
        <v>116.33200000000001</v>
      </c>
      <c r="V115" s="33">
        <f t="shared" ref="V115:BB115" si="171">SUM(V109:V114)</f>
        <v>103.30499999999999</v>
      </c>
      <c r="W115" s="33">
        <f t="shared" si="171"/>
        <v>107.404</v>
      </c>
      <c r="X115" s="33">
        <f t="shared" si="171"/>
        <v>104.06200724779553</v>
      </c>
      <c r="Y115" s="33">
        <f t="shared" si="171"/>
        <v>108.64483305973691</v>
      </c>
      <c r="Z115" s="33">
        <f t="shared" si="171"/>
        <v>114.33505892915981</v>
      </c>
      <c r="AA115" s="33">
        <f t="shared" si="171"/>
        <v>121.09389803931204</v>
      </c>
      <c r="AB115" s="33">
        <f t="shared" si="171"/>
        <v>113.87324493656996</v>
      </c>
      <c r="AC115" s="33">
        <f t="shared" si="171"/>
        <v>115.81866841992017</v>
      </c>
      <c r="AD115" s="33">
        <f t="shared" si="171"/>
        <v>117.87806251753202</v>
      </c>
      <c r="AE115" s="33">
        <f t="shared" si="171"/>
        <v>124.6202223400349</v>
      </c>
      <c r="AF115" s="33">
        <f t="shared" si="171"/>
        <v>125.56494499283274</v>
      </c>
      <c r="AG115" s="33">
        <f t="shared" si="171"/>
        <v>126.52960757265868</v>
      </c>
      <c r="AH115" s="33">
        <f t="shared" si="171"/>
        <v>127.51469777041825</v>
      </c>
      <c r="AI115" s="33">
        <f t="shared" si="171"/>
        <v>128.52171969665054</v>
      </c>
      <c r="AJ115" s="33">
        <f t="shared" si="171"/>
        <v>129.54917628365556</v>
      </c>
      <c r="AK115" s="33">
        <f t="shared" si="171"/>
        <v>130.60060313017061</v>
      </c>
      <c r="AL115" s="33">
        <f t="shared" si="171"/>
        <v>131.67252631848649</v>
      </c>
      <c r="AM115" s="33">
        <f t="shared" si="171"/>
        <v>132.7685029829594</v>
      </c>
      <c r="AN115" s="33">
        <f t="shared" si="171"/>
        <v>133.88909703293058</v>
      </c>
      <c r="AO115" s="33">
        <f t="shared" si="171"/>
        <v>135.03288395571653</v>
      </c>
      <c r="AP115" s="33">
        <f t="shared" si="171"/>
        <v>136.20145339137144</v>
      </c>
      <c r="AQ115" s="33">
        <f t="shared" si="171"/>
        <v>137.39641842470365</v>
      </c>
      <c r="AR115" s="33">
        <f t="shared" si="171"/>
        <v>138.61739581361698</v>
      </c>
      <c r="AS115" s="33">
        <f t="shared" si="171"/>
        <v>139.86502200728725</v>
      </c>
      <c r="AT115" s="33">
        <f t="shared" si="171"/>
        <v>141.139949046368</v>
      </c>
      <c r="AU115" s="33">
        <f t="shared" si="171"/>
        <v>142.44284718129296</v>
      </c>
      <c r="AV115" s="33">
        <f t="shared" si="171"/>
        <v>143.77539855465412</v>
      </c>
      <c r="AW115" s="33">
        <f t="shared" si="171"/>
        <v>145.13630431109175</v>
      </c>
      <c r="AX115" s="33">
        <f t="shared" si="171"/>
        <v>146.52928500804472</v>
      </c>
      <c r="AY115" s="33">
        <f t="shared" si="171"/>
        <v>147.95207432760202</v>
      </c>
      <c r="AZ115" s="33">
        <f t="shared" si="171"/>
        <v>149.40542621658795</v>
      </c>
      <c r="BA115" s="33">
        <f t="shared" si="171"/>
        <v>150.89311532824809</v>
      </c>
      <c r="BB115" s="33">
        <f t="shared" si="171"/>
        <v>152.41292852947242</v>
      </c>
      <c r="BC115" s="33">
        <f t="shared" ref="BC115:CP115" si="172">SUM(BC109:BC114)</f>
        <v>153.96768325495478</v>
      </c>
      <c r="BD115" s="33">
        <f t="shared" si="172"/>
        <v>155.55720561893563</v>
      </c>
      <c r="BE115" s="33">
        <f t="shared" si="172"/>
        <v>157.18234655603399</v>
      </c>
      <c r="BF115" s="33">
        <f t="shared" si="172"/>
        <v>158.84397784711399</v>
      </c>
      <c r="BG115" s="33">
        <f t="shared" si="172"/>
        <v>160.54299263000578</v>
      </c>
      <c r="BH115" s="33">
        <f t="shared" si="172"/>
        <v>162.28030592273888</v>
      </c>
      <c r="BI115" s="33">
        <f t="shared" si="172"/>
        <v>164.05785963223624</v>
      </c>
      <c r="BJ115" s="33">
        <f t="shared" si="172"/>
        <v>165.87460744925443</v>
      </c>
      <c r="BK115" s="33">
        <f t="shared" si="172"/>
        <v>167.73353777423102</v>
      </c>
      <c r="BL115" s="33">
        <f t="shared" si="172"/>
        <v>169.63565863946448</v>
      </c>
      <c r="BM115" s="33">
        <f t="shared" si="172"/>
        <v>171.57999829966022</v>
      </c>
      <c r="BN115" s="33">
        <f t="shared" si="172"/>
        <v>173.56861701854979</v>
      </c>
      <c r="BO115" s="33">
        <f t="shared" si="172"/>
        <v>175.60260097976573</v>
      </c>
      <c r="BP115" s="33">
        <f t="shared" si="172"/>
        <v>177.68506068554387</v>
      </c>
      <c r="BQ115" s="33">
        <f t="shared" si="172"/>
        <v>179.81312937098355</v>
      </c>
      <c r="BR115" s="33">
        <f t="shared" si="172"/>
        <v>181.99097708849172</v>
      </c>
      <c r="BS115" s="33">
        <f t="shared" si="172"/>
        <v>184.2198002090287</v>
      </c>
      <c r="BT115" s="33">
        <f t="shared" si="172"/>
        <v>186.49881317640347</v>
      </c>
      <c r="BU115" s="33">
        <f t="shared" si="172"/>
        <v>188.83027382351992</v>
      </c>
      <c r="BV115" s="33">
        <f t="shared" si="172"/>
        <v>191.21647068872988</v>
      </c>
      <c r="BW115" s="33">
        <f t="shared" si="172"/>
        <v>193.6577148228163</v>
      </c>
      <c r="BX115" s="33">
        <f t="shared" si="172"/>
        <v>196.15535397761488</v>
      </c>
      <c r="BY115" s="33">
        <f t="shared" si="172"/>
        <v>198.71076892295102</v>
      </c>
      <c r="BZ115" s="33">
        <f t="shared" si="172"/>
        <v>201.32537649188313</v>
      </c>
      <c r="CA115" s="33">
        <f t="shared" si="172"/>
        <v>204.0016237004817</v>
      </c>
      <c r="CB115" s="33">
        <f t="shared" si="172"/>
        <v>206.73999754215674</v>
      </c>
      <c r="CC115" s="33">
        <f t="shared" si="172"/>
        <v>209.54101467590004</v>
      </c>
      <c r="CD115" s="33">
        <f t="shared" si="172"/>
        <v>212.40924020800799</v>
      </c>
      <c r="CE115" s="33">
        <f t="shared" si="172"/>
        <v>215.34226176922201</v>
      </c>
      <c r="CF115" s="33">
        <f t="shared" si="172"/>
        <v>218.34572399489736</v>
      </c>
      <c r="CG115" s="33">
        <f t="shared" si="172"/>
        <v>221.41930041110649</v>
      </c>
      <c r="CH115" s="33">
        <f t="shared" si="172"/>
        <v>224.56370112535174</v>
      </c>
      <c r="CI115" s="33">
        <f t="shared" si="172"/>
        <v>227.78269395925497</v>
      </c>
      <c r="CJ115" s="33">
        <f t="shared" si="172"/>
        <v>231.07707640683228</v>
      </c>
      <c r="CK115" s="33">
        <f t="shared" si="172"/>
        <v>234.4486945807499</v>
      </c>
      <c r="CL115" s="33">
        <f t="shared" si="172"/>
        <v>237.90044429387791</v>
      </c>
      <c r="CM115" s="33">
        <f t="shared" si="172"/>
        <v>241.43225427677564</v>
      </c>
      <c r="CN115" s="33">
        <f t="shared" si="172"/>
        <v>245.04711638505938</v>
      </c>
      <c r="CO115" s="33">
        <f t="shared" si="172"/>
        <v>248.74906663552557</v>
      </c>
      <c r="CP115" s="33">
        <f t="shared" si="172"/>
        <v>252.53718192501202</v>
      </c>
      <c r="CQ115" s="23" t="s">
        <v>77</v>
      </c>
    </row>
    <row r="116" spans="1:95" outlineLevel="1" x14ac:dyDescent="0.2">
      <c r="A116" s="233"/>
      <c r="B116" s="1" t="s">
        <v>329</v>
      </c>
      <c r="D116" s="3">
        <f>SUM(D111:D115)</f>
        <v>0</v>
      </c>
      <c r="E116" s="3">
        <f>SUM(E111:E115)</f>
        <v>0</v>
      </c>
      <c r="F116" s="3">
        <f>SUM(F111:F115)</f>
        <v>0</v>
      </c>
      <c r="G116" s="3">
        <f>SUM(G111:G115)</f>
        <v>0</v>
      </c>
      <c r="H116" s="3">
        <f>SUM(H111:H115)</f>
        <v>0</v>
      </c>
      <c r="I116" s="3"/>
      <c r="J116" s="3"/>
      <c r="K116" s="3"/>
      <c r="L116" s="4">
        <f>86.18*L121</f>
        <v>90.861145923199999</v>
      </c>
      <c r="M116" s="4">
        <f>89.77*M121</f>
        <v>97.182665182048638</v>
      </c>
      <c r="N116" s="4">
        <f>93.79*N121</f>
        <v>104.25574015273827</v>
      </c>
      <c r="O116" s="4">
        <f>96.87*O121</f>
        <v>110.56523663181706</v>
      </c>
      <c r="P116" s="4">
        <f>100.55*P121</f>
        <v>117.84122131816274</v>
      </c>
      <c r="Q116" s="4">
        <v>102.1</v>
      </c>
      <c r="R116" s="4">
        <v>90.1</v>
      </c>
      <c r="S116" s="4">
        <v>99.5</v>
      </c>
      <c r="T116" s="4">
        <v>102.5</v>
      </c>
      <c r="U116" s="4">
        <v>104</v>
      </c>
      <c r="V116" s="4">
        <v>105.5</v>
      </c>
      <c r="W116" s="4">
        <v>108.1</v>
      </c>
      <c r="X116" s="4">
        <v>108.16086036247745</v>
      </c>
      <c r="Y116" s="4">
        <v>109.60196773380146</v>
      </c>
      <c r="Z116" s="4">
        <v>112.01173239835492</v>
      </c>
      <c r="AA116" s="4">
        <v>114.53219694349933</v>
      </c>
      <c r="AB116" s="4">
        <v>117.15297525844356</v>
      </c>
      <c r="AC116" s="33">
        <f t="shared" ref="AC116:BB116" si="173">+AC115</f>
        <v>115.81866841992017</v>
      </c>
      <c r="AD116" s="33">
        <f t="shared" si="173"/>
        <v>117.87806251753202</v>
      </c>
      <c r="AE116" s="33">
        <f t="shared" si="173"/>
        <v>124.6202223400349</v>
      </c>
      <c r="AF116" s="33">
        <f t="shared" si="173"/>
        <v>125.56494499283274</v>
      </c>
      <c r="AG116" s="33">
        <f t="shared" si="173"/>
        <v>126.52960757265868</v>
      </c>
      <c r="AH116" s="33">
        <f t="shared" si="173"/>
        <v>127.51469777041825</v>
      </c>
      <c r="AI116" s="33">
        <f t="shared" si="173"/>
        <v>128.52171969665054</v>
      </c>
      <c r="AJ116" s="33">
        <f t="shared" si="173"/>
        <v>129.54917628365556</v>
      </c>
      <c r="AK116" s="33">
        <f t="shared" si="173"/>
        <v>130.60060313017061</v>
      </c>
      <c r="AL116" s="33">
        <f t="shared" si="173"/>
        <v>131.67252631848649</v>
      </c>
      <c r="AM116" s="33">
        <f t="shared" si="173"/>
        <v>132.7685029829594</v>
      </c>
      <c r="AN116" s="33">
        <f t="shared" si="173"/>
        <v>133.88909703293058</v>
      </c>
      <c r="AO116" s="33">
        <f t="shared" si="173"/>
        <v>135.03288395571653</v>
      </c>
      <c r="AP116" s="33">
        <f t="shared" si="173"/>
        <v>136.20145339137144</v>
      </c>
      <c r="AQ116" s="33">
        <f t="shared" si="173"/>
        <v>137.39641842470365</v>
      </c>
      <c r="AR116" s="33">
        <f t="shared" si="173"/>
        <v>138.61739581361698</v>
      </c>
      <c r="AS116" s="33">
        <f t="shared" si="173"/>
        <v>139.86502200728725</v>
      </c>
      <c r="AT116" s="33">
        <f t="shared" si="173"/>
        <v>141.139949046368</v>
      </c>
      <c r="AU116" s="33">
        <f t="shared" si="173"/>
        <v>142.44284718129296</v>
      </c>
      <c r="AV116" s="33">
        <f t="shared" si="173"/>
        <v>143.77539855465412</v>
      </c>
      <c r="AW116" s="33">
        <f t="shared" si="173"/>
        <v>145.13630431109175</v>
      </c>
      <c r="AX116" s="33">
        <f t="shared" si="173"/>
        <v>146.52928500804472</v>
      </c>
      <c r="AY116" s="33">
        <f t="shared" si="173"/>
        <v>147.95207432760202</v>
      </c>
      <c r="AZ116" s="33">
        <f t="shared" si="173"/>
        <v>149.40542621658795</v>
      </c>
      <c r="BA116" s="33">
        <f t="shared" si="173"/>
        <v>150.89311532824809</v>
      </c>
      <c r="BB116" s="33">
        <f t="shared" si="173"/>
        <v>152.41292852947242</v>
      </c>
      <c r="BC116" s="33">
        <f t="shared" ref="BC116:CP116" si="174">+BC115</f>
        <v>153.96768325495478</v>
      </c>
      <c r="BD116" s="33">
        <f t="shared" si="174"/>
        <v>155.55720561893563</v>
      </c>
      <c r="BE116" s="33">
        <f t="shared" si="174"/>
        <v>157.18234655603399</v>
      </c>
      <c r="BF116" s="33">
        <f t="shared" si="174"/>
        <v>158.84397784711399</v>
      </c>
      <c r="BG116" s="33">
        <f t="shared" si="174"/>
        <v>160.54299263000578</v>
      </c>
      <c r="BH116" s="33">
        <f t="shared" si="174"/>
        <v>162.28030592273888</v>
      </c>
      <c r="BI116" s="33">
        <f t="shared" si="174"/>
        <v>164.05785963223624</v>
      </c>
      <c r="BJ116" s="33">
        <f t="shared" si="174"/>
        <v>165.87460744925443</v>
      </c>
      <c r="BK116" s="33">
        <f t="shared" si="174"/>
        <v>167.73353777423102</v>
      </c>
      <c r="BL116" s="33">
        <f t="shared" si="174"/>
        <v>169.63565863946448</v>
      </c>
      <c r="BM116" s="33">
        <f t="shared" si="174"/>
        <v>171.57999829966022</v>
      </c>
      <c r="BN116" s="33">
        <f t="shared" si="174"/>
        <v>173.56861701854979</v>
      </c>
      <c r="BO116" s="33">
        <f t="shared" si="174"/>
        <v>175.60260097976573</v>
      </c>
      <c r="BP116" s="33">
        <f t="shared" si="174"/>
        <v>177.68506068554387</v>
      </c>
      <c r="BQ116" s="33">
        <f t="shared" si="174"/>
        <v>179.81312937098355</v>
      </c>
      <c r="BR116" s="33">
        <f t="shared" si="174"/>
        <v>181.99097708849172</v>
      </c>
      <c r="BS116" s="33">
        <f t="shared" si="174"/>
        <v>184.2198002090287</v>
      </c>
      <c r="BT116" s="33">
        <f t="shared" si="174"/>
        <v>186.49881317640347</v>
      </c>
      <c r="BU116" s="33">
        <f t="shared" si="174"/>
        <v>188.83027382351992</v>
      </c>
      <c r="BV116" s="33">
        <f t="shared" si="174"/>
        <v>191.21647068872988</v>
      </c>
      <c r="BW116" s="33">
        <f t="shared" si="174"/>
        <v>193.6577148228163</v>
      </c>
      <c r="BX116" s="33">
        <f t="shared" si="174"/>
        <v>196.15535397761488</v>
      </c>
      <c r="BY116" s="33">
        <f t="shared" si="174"/>
        <v>198.71076892295102</v>
      </c>
      <c r="BZ116" s="33">
        <f t="shared" si="174"/>
        <v>201.32537649188313</v>
      </c>
      <c r="CA116" s="33">
        <f t="shared" si="174"/>
        <v>204.0016237004817</v>
      </c>
      <c r="CB116" s="33">
        <f t="shared" si="174"/>
        <v>206.73999754215674</v>
      </c>
      <c r="CC116" s="33">
        <f t="shared" si="174"/>
        <v>209.54101467590004</v>
      </c>
      <c r="CD116" s="33">
        <f t="shared" si="174"/>
        <v>212.40924020800799</v>
      </c>
      <c r="CE116" s="33">
        <f t="shared" si="174"/>
        <v>215.34226176922201</v>
      </c>
      <c r="CF116" s="33">
        <f t="shared" si="174"/>
        <v>218.34572399489736</v>
      </c>
      <c r="CG116" s="33">
        <f t="shared" si="174"/>
        <v>221.41930041110649</v>
      </c>
      <c r="CH116" s="33">
        <f t="shared" si="174"/>
        <v>224.56370112535174</v>
      </c>
      <c r="CI116" s="33">
        <f t="shared" si="174"/>
        <v>227.78269395925497</v>
      </c>
      <c r="CJ116" s="33">
        <f t="shared" si="174"/>
        <v>231.07707640683228</v>
      </c>
      <c r="CK116" s="33">
        <f t="shared" si="174"/>
        <v>234.4486945807499</v>
      </c>
      <c r="CL116" s="33">
        <f t="shared" si="174"/>
        <v>237.90044429387791</v>
      </c>
      <c r="CM116" s="33">
        <f t="shared" si="174"/>
        <v>241.43225427677564</v>
      </c>
      <c r="CN116" s="33">
        <f t="shared" si="174"/>
        <v>245.04711638505938</v>
      </c>
      <c r="CO116" s="33">
        <f t="shared" si="174"/>
        <v>248.74906663552557</v>
      </c>
      <c r="CP116" s="33">
        <f t="shared" si="174"/>
        <v>252.53718192501202</v>
      </c>
      <c r="CQ116" s="23" t="s">
        <v>77</v>
      </c>
    </row>
    <row r="117" spans="1:95" outlineLevel="1" x14ac:dyDescent="0.2">
      <c r="A117" s="233"/>
      <c r="B117" s="1" t="s">
        <v>330</v>
      </c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83">
        <v>0.215</v>
      </c>
      <c r="R117" s="84">
        <v>0.14000000000000001</v>
      </c>
      <c r="S117" s="31">
        <v>0.03</v>
      </c>
      <c r="T117" s="31">
        <v>0</v>
      </c>
      <c r="U117" s="31">
        <v>0</v>
      </c>
      <c r="V117" s="31"/>
      <c r="W117" s="31"/>
      <c r="X117" s="31"/>
      <c r="Y117" s="31"/>
      <c r="Z117" s="31"/>
      <c r="AA117" s="33"/>
      <c r="AB117" s="33"/>
      <c r="AC117" s="33"/>
      <c r="AD117" s="33"/>
      <c r="AE117" s="33"/>
      <c r="AF117" s="33"/>
      <c r="AG117" s="33"/>
      <c r="AH117" s="33"/>
      <c r="AI117" s="33"/>
      <c r="AJ117" s="33"/>
      <c r="AK117" s="33"/>
      <c r="AL117" s="33"/>
      <c r="AM117" s="33"/>
      <c r="AN117" s="33"/>
      <c r="AO117" s="33"/>
      <c r="AP117" s="33"/>
      <c r="AQ117" s="33"/>
      <c r="AR117" s="33"/>
      <c r="AS117" s="33"/>
      <c r="AT117" s="33"/>
      <c r="AU117" s="33"/>
      <c r="AV117" s="33"/>
      <c r="AW117" s="33"/>
      <c r="AX117" s="33"/>
      <c r="AY117" s="33"/>
      <c r="AZ117" s="33"/>
      <c r="BA117" s="33"/>
      <c r="BB117" s="33"/>
      <c r="BC117" s="33"/>
      <c r="BD117" s="33"/>
      <c r="BE117" s="33"/>
      <c r="BF117" s="33"/>
      <c r="BG117" s="33"/>
      <c r="BH117" s="33"/>
      <c r="BI117" s="33"/>
      <c r="BJ117" s="33"/>
      <c r="BK117" s="33"/>
      <c r="BL117" s="33"/>
      <c r="BM117" s="33"/>
      <c r="BN117" s="33"/>
      <c r="BO117" s="33"/>
      <c r="BP117" s="33"/>
      <c r="BQ117" s="33"/>
      <c r="BR117" s="33"/>
      <c r="BS117" s="33"/>
      <c r="BT117" s="33"/>
      <c r="BU117" s="33"/>
      <c r="BV117" s="33"/>
      <c r="BW117" s="33"/>
      <c r="BX117" s="33"/>
      <c r="BY117" s="33"/>
      <c r="BZ117" s="33"/>
      <c r="CA117" s="33"/>
      <c r="CB117" s="33"/>
      <c r="CC117" s="33"/>
      <c r="CD117" s="33"/>
      <c r="CE117" s="33"/>
      <c r="CF117" s="33"/>
      <c r="CG117" s="33"/>
      <c r="CH117" s="33"/>
      <c r="CI117" s="33"/>
      <c r="CJ117" s="33"/>
      <c r="CK117" s="33"/>
      <c r="CL117" s="33"/>
      <c r="CM117" s="33"/>
      <c r="CN117" s="33"/>
      <c r="CO117" s="33"/>
      <c r="CP117" s="33"/>
      <c r="CQ117" s="23" t="s">
        <v>77</v>
      </c>
    </row>
    <row r="118" spans="1:95" ht="5.0999999999999996" customHeight="1" outlineLevel="1" x14ac:dyDescent="0.2">
      <c r="T118" s="40"/>
      <c r="U118" s="40"/>
      <c r="V118" s="40"/>
      <c r="CQ118" s="23"/>
    </row>
    <row r="119" spans="1:95" outlineLevel="1" x14ac:dyDescent="0.2">
      <c r="B119" s="358" t="s">
        <v>321</v>
      </c>
      <c r="D119" s="66"/>
      <c r="E119" s="66"/>
      <c r="F119" s="66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  <c r="AB119" s="66"/>
      <c r="AC119" s="66"/>
      <c r="AD119" s="66"/>
      <c r="AE119" s="66"/>
      <c r="AF119" s="66"/>
      <c r="AG119" s="66"/>
      <c r="AH119" s="66"/>
      <c r="AI119" s="66"/>
      <c r="AJ119" s="66"/>
      <c r="AK119" s="66"/>
      <c r="AL119" s="66"/>
      <c r="AM119" s="66"/>
      <c r="AN119" s="66"/>
      <c r="AO119" s="66"/>
      <c r="AP119" s="66"/>
      <c r="AQ119" s="66"/>
      <c r="AR119" s="66"/>
      <c r="AS119" s="66"/>
      <c r="AT119" s="66"/>
      <c r="AU119" s="66"/>
      <c r="AV119" s="66"/>
      <c r="AW119" s="66"/>
      <c r="AX119" s="66"/>
      <c r="AY119" s="66"/>
      <c r="AZ119" s="66"/>
      <c r="BA119" s="66"/>
      <c r="BB119" s="66"/>
      <c r="BC119" s="66"/>
      <c r="BD119" s="66"/>
      <c r="BE119" s="66"/>
      <c r="BF119" s="66"/>
      <c r="BG119" s="66"/>
      <c r="BH119" s="66"/>
      <c r="BI119" s="66"/>
      <c r="BJ119" s="66"/>
      <c r="BK119" s="66"/>
      <c r="BL119" s="66"/>
      <c r="BM119" s="66"/>
      <c r="BN119" s="66"/>
      <c r="BO119" s="66"/>
      <c r="BP119" s="66"/>
      <c r="BQ119" s="66"/>
      <c r="BR119" s="66"/>
      <c r="BS119" s="66"/>
      <c r="BT119" s="66"/>
      <c r="BU119" s="66"/>
      <c r="BV119" s="66"/>
      <c r="BW119" s="66"/>
      <c r="BX119" s="66"/>
      <c r="BY119" s="66"/>
      <c r="BZ119" s="66"/>
      <c r="CA119" s="66"/>
      <c r="CB119" s="66"/>
      <c r="CC119" s="66"/>
      <c r="CD119" s="66"/>
      <c r="CE119" s="66"/>
      <c r="CF119" s="66"/>
      <c r="CG119" s="66"/>
      <c r="CH119" s="66"/>
      <c r="CI119" s="66"/>
      <c r="CJ119" s="66"/>
      <c r="CK119" s="66"/>
      <c r="CL119" s="66"/>
      <c r="CM119" s="66"/>
      <c r="CN119" s="66"/>
      <c r="CO119" s="66"/>
      <c r="CP119" s="66"/>
      <c r="CQ119" s="23" t="s">
        <v>77</v>
      </c>
    </row>
    <row r="120" spans="1:95" outlineLevel="1" x14ac:dyDescent="0.2">
      <c r="B120" s="7" t="s">
        <v>321</v>
      </c>
      <c r="D120" s="530"/>
      <c r="E120" s="530"/>
      <c r="F120" s="530"/>
      <c r="G120" s="530"/>
      <c r="H120" s="530"/>
      <c r="J120" s="530"/>
      <c r="K120" s="538">
        <v>2.6800000000000001E-2</v>
      </c>
      <c r="L120" s="530">
        <f t="shared" ref="L120:BB120" si="175">+L83</f>
        <v>2.6800000000000001E-2</v>
      </c>
      <c r="M120" s="530">
        <f t="shared" si="175"/>
        <v>2.6800000000000001E-2</v>
      </c>
      <c r="N120" s="530">
        <f t="shared" si="175"/>
        <v>2.6800000000000001E-2</v>
      </c>
      <c r="O120" s="530">
        <f t="shared" si="175"/>
        <v>2.6800000000000001E-2</v>
      </c>
      <c r="P120" s="530">
        <f t="shared" si="175"/>
        <v>2.6800000000000001E-2</v>
      </c>
      <c r="Q120" s="530">
        <f t="shared" si="175"/>
        <v>2.5000000000000001E-2</v>
      </c>
      <c r="R120" s="530">
        <f t="shared" si="175"/>
        <v>2.5000000000000001E-2</v>
      </c>
      <c r="S120" s="530">
        <f t="shared" si="175"/>
        <v>2.5000000000000001E-2</v>
      </c>
      <c r="T120" s="530">
        <f t="shared" si="175"/>
        <v>2.5000000000000001E-2</v>
      </c>
      <c r="U120" s="530">
        <f t="shared" si="175"/>
        <v>2.5000000000000001E-2</v>
      </c>
      <c r="V120" s="530">
        <f t="shared" si="175"/>
        <v>2.4500000000000001E-2</v>
      </c>
      <c r="W120" s="530">
        <f t="shared" si="175"/>
        <v>2.4500000000000001E-2</v>
      </c>
      <c r="X120" s="530">
        <f t="shared" si="175"/>
        <v>2.44995114800401E-2</v>
      </c>
      <c r="Y120" s="530">
        <f t="shared" si="175"/>
        <v>2.44995114800401E-2</v>
      </c>
      <c r="Z120" s="530">
        <f t="shared" si="175"/>
        <v>2.44995114800401E-2</v>
      </c>
      <c r="AA120" s="530">
        <f t="shared" si="175"/>
        <v>2.44995114800401E-2</v>
      </c>
      <c r="AB120" s="530">
        <f t="shared" si="175"/>
        <v>2.44995114800401E-2</v>
      </c>
      <c r="AC120" s="530">
        <f t="shared" si="175"/>
        <v>2.44995114800401E-2</v>
      </c>
      <c r="AD120" s="530">
        <f t="shared" si="175"/>
        <v>2.44995114800401E-2</v>
      </c>
      <c r="AE120" s="530">
        <f t="shared" si="175"/>
        <v>2.44995114800401E-2</v>
      </c>
      <c r="AF120" s="530">
        <f t="shared" si="175"/>
        <v>2.44995114800401E-2</v>
      </c>
      <c r="AG120" s="530">
        <f t="shared" si="175"/>
        <v>2.44995114800401E-2</v>
      </c>
      <c r="AH120" s="530">
        <f t="shared" si="175"/>
        <v>2.44995114800401E-2</v>
      </c>
      <c r="AI120" s="530">
        <f t="shared" si="175"/>
        <v>2.44995114800401E-2</v>
      </c>
      <c r="AJ120" s="530">
        <f t="shared" si="175"/>
        <v>2.44995114800401E-2</v>
      </c>
      <c r="AK120" s="530">
        <f t="shared" si="175"/>
        <v>2.44995114800401E-2</v>
      </c>
      <c r="AL120" s="530">
        <f t="shared" si="175"/>
        <v>2.44995114800401E-2</v>
      </c>
      <c r="AM120" s="530">
        <f t="shared" si="175"/>
        <v>2.44995114800401E-2</v>
      </c>
      <c r="AN120" s="530">
        <f t="shared" si="175"/>
        <v>2.44995114800401E-2</v>
      </c>
      <c r="AO120" s="530">
        <f t="shared" si="175"/>
        <v>2.44995114800401E-2</v>
      </c>
      <c r="AP120" s="530">
        <f t="shared" si="175"/>
        <v>2.44995114800401E-2</v>
      </c>
      <c r="AQ120" s="530">
        <f t="shared" si="175"/>
        <v>2.44995114800401E-2</v>
      </c>
      <c r="AR120" s="530">
        <f t="shared" si="175"/>
        <v>2.44995114800401E-2</v>
      </c>
      <c r="AS120" s="530">
        <f t="shared" si="175"/>
        <v>2.44995114800401E-2</v>
      </c>
      <c r="AT120" s="530">
        <f t="shared" si="175"/>
        <v>2.44995114800401E-2</v>
      </c>
      <c r="AU120" s="530">
        <f t="shared" si="175"/>
        <v>2.44995114800401E-2</v>
      </c>
      <c r="AV120" s="530">
        <f t="shared" si="175"/>
        <v>2.44995114800401E-2</v>
      </c>
      <c r="AW120" s="530">
        <f t="shared" si="175"/>
        <v>2.44995114800401E-2</v>
      </c>
      <c r="AX120" s="530">
        <f t="shared" si="175"/>
        <v>2.44995114800401E-2</v>
      </c>
      <c r="AY120" s="530">
        <f t="shared" si="175"/>
        <v>2.44995114800401E-2</v>
      </c>
      <c r="AZ120" s="530">
        <f t="shared" si="175"/>
        <v>2.44995114800401E-2</v>
      </c>
      <c r="BA120" s="530">
        <f t="shared" si="175"/>
        <v>2.44995114800401E-2</v>
      </c>
      <c r="BB120" s="530">
        <f t="shared" si="175"/>
        <v>2.44995114800401E-2</v>
      </c>
      <c r="BC120" s="530">
        <f t="shared" ref="BC120:CP120" si="176">+BC83</f>
        <v>2.44995114800401E-2</v>
      </c>
      <c r="BD120" s="530">
        <f t="shared" si="176"/>
        <v>2.44995114800401E-2</v>
      </c>
      <c r="BE120" s="530">
        <f t="shared" si="176"/>
        <v>2.44995114800401E-2</v>
      </c>
      <c r="BF120" s="530">
        <f t="shared" si="176"/>
        <v>2.44995114800401E-2</v>
      </c>
      <c r="BG120" s="530">
        <f t="shared" si="176"/>
        <v>2.44995114800401E-2</v>
      </c>
      <c r="BH120" s="530">
        <f t="shared" si="176"/>
        <v>2.44995114800401E-2</v>
      </c>
      <c r="BI120" s="530">
        <f t="shared" si="176"/>
        <v>2.44995114800401E-2</v>
      </c>
      <c r="BJ120" s="530">
        <f t="shared" si="176"/>
        <v>2.44995114800401E-2</v>
      </c>
      <c r="BK120" s="530">
        <f t="shared" si="176"/>
        <v>2.44995114800401E-2</v>
      </c>
      <c r="BL120" s="530">
        <f t="shared" si="176"/>
        <v>2.44995114800401E-2</v>
      </c>
      <c r="BM120" s="530">
        <f t="shared" si="176"/>
        <v>2.44995114800401E-2</v>
      </c>
      <c r="BN120" s="530">
        <f t="shared" si="176"/>
        <v>2.44995114800401E-2</v>
      </c>
      <c r="BO120" s="530">
        <f t="shared" si="176"/>
        <v>2.44995114800401E-2</v>
      </c>
      <c r="BP120" s="530">
        <f t="shared" si="176"/>
        <v>2.44995114800401E-2</v>
      </c>
      <c r="BQ120" s="530">
        <f t="shared" si="176"/>
        <v>2.44995114800401E-2</v>
      </c>
      <c r="BR120" s="530">
        <f t="shared" si="176"/>
        <v>2.44995114800401E-2</v>
      </c>
      <c r="BS120" s="530">
        <f t="shared" si="176"/>
        <v>2.44995114800401E-2</v>
      </c>
      <c r="BT120" s="530">
        <f t="shared" si="176"/>
        <v>2.44995114800401E-2</v>
      </c>
      <c r="BU120" s="530">
        <f t="shared" si="176"/>
        <v>2.44995114800401E-2</v>
      </c>
      <c r="BV120" s="530">
        <f t="shared" si="176"/>
        <v>2.44995114800401E-2</v>
      </c>
      <c r="BW120" s="530">
        <f t="shared" si="176"/>
        <v>2.44995114800401E-2</v>
      </c>
      <c r="BX120" s="530">
        <f t="shared" si="176"/>
        <v>2.44995114800401E-2</v>
      </c>
      <c r="BY120" s="530">
        <f t="shared" si="176"/>
        <v>2.44995114800401E-2</v>
      </c>
      <c r="BZ120" s="530">
        <f t="shared" si="176"/>
        <v>2.44995114800401E-2</v>
      </c>
      <c r="CA120" s="530">
        <f t="shared" si="176"/>
        <v>2.44995114800401E-2</v>
      </c>
      <c r="CB120" s="530">
        <f t="shared" si="176"/>
        <v>2.44995114800401E-2</v>
      </c>
      <c r="CC120" s="530">
        <f t="shared" si="176"/>
        <v>2.44995114800401E-2</v>
      </c>
      <c r="CD120" s="530">
        <f t="shared" si="176"/>
        <v>2.44995114800401E-2</v>
      </c>
      <c r="CE120" s="530">
        <f t="shared" si="176"/>
        <v>2.44995114800401E-2</v>
      </c>
      <c r="CF120" s="530">
        <f t="shared" si="176"/>
        <v>2.44995114800401E-2</v>
      </c>
      <c r="CG120" s="530">
        <f t="shared" si="176"/>
        <v>2.44995114800401E-2</v>
      </c>
      <c r="CH120" s="530">
        <f t="shared" si="176"/>
        <v>2.44995114800401E-2</v>
      </c>
      <c r="CI120" s="530">
        <f t="shared" si="176"/>
        <v>2.44995114800401E-2</v>
      </c>
      <c r="CJ120" s="530">
        <f t="shared" si="176"/>
        <v>2.44995114800401E-2</v>
      </c>
      <c r="CK120" s="530">
        <f t="shared" si="176"/>
        <v>2.44995114800401E-2</v>
      </c>
      <c r="CL120" s="530">
        <f t="shared" si="176"/>
        <v>2.44995114800401E-2</v>
      </c>
      <c r="CM120" s="530">
        <f t="shared" si="176"/>
        <v>2.44995114800401E-2</v>
      </c>
      <c r="CN120" s="530">
        <f t="shared" si="176"/>
        <v>2.44995114800401E-2</v>
      </c>
      <c r="CO120" s="530">
        <f t="shared" si="176"/>
        <v>2.44995114800401E-2</v>
      </c>
      <c r="CP120" s="530">
        <f t="shared" si="176"/>
        <v>2.44995114800401E-2</v>
      </c>
      <c r="CQ120" s="23" t="s">
        <v>77</v>
      </c>
    </row>
    <row r="121" spans="1:95" outlineLevel="1" x14ac:dyDescent="0.2">
      <c r="B121" s="8" t="s">
        <v>322</v>
      </c>
      <c r="D121" s="9"/>
      <c r="E121" s="9"/>
      <c r="F121" s="9"/>
      <c r="G121" s="9"/>
      <c r="H121" s="9"/>
      <c r="J121" s="531">
        <v>1</v>
      </c>
      <c r="K121" s="447">
        <f t="shared" ref="K121:BB121" si="177">+J121*(1+K120)</f>
        <v>1.0267999999999999</v>
      </c>
      <c r="L121" s="447">
        <f t="shared" si="177"/>
        <v>1.05431824</v>
      </c>
      <c r="M121" s="447">
        <f t="shared" si="177"/>
        <v>1.082573968832</v>
      </c>
      <c r="N121" s="447">
        <f t="shared" si="177"/>
        <v>1.1115869511966976</v>
      </c>
      <c r="O121" s="447">
        <f t="shared" si="177"/>
        <v>1.1413774814887689</v>
      </c>
      <c r="P121" s="447">
        <f t="shared" si="177"/>
        <v>1.1719663979926678</v>
      </c>
      <c r="Q121" s="68">
        <f t="shared" si="177"/>
        <v>1.2012655579424845</v>
      </c>
      <c r="R121" s="68">
        <f t="shared" si="177"/>
        <v>1.2312971968910464</v>
      </c>
      <c r="S121" s="68">
        <f t="shared" si="177"/>
        <v>1.2620796268133225</v>
      </c>
      <c r="T121" s="69">
        <f t="shared" si="177"/>
        <v>1.2936316174836555</v>
      </c>
      <c r="U121" s="69">
        <f t="shared" si="177"/>
        <v>1.3259724079207469</v>
      </c>
      <c r="V121" s="69">
        <f t="shared" si="177"/>
        <v>1.3584587319148052</v>
      </c>
      <c r="W121" s="69">
        <f t="shared" si="177"/>
        <v>1.3917409708467179</v>
      </c>
      <c r="X121" s="69">
        <f t="shared" si="177"/>
        <v>1.4258379447392193</v>
      </c>
      <c r="Y121" s="69">
        <f t="shared" si="177"/>
        <v>1.4607702778350347</v>
      </c>
      <c r="Z121" s="69">
        <f t="shared" si="177"/>
        <v>1.4965584360265556</v>
      </c>
      <c r="AA121" s="69">
        <f t="shared" si="177"/>
        <v>1.5332233866105391</v>
      </c>
      <c r="AB121" s="69">
        <f t="shared" si="177"/>
        <v>1.5707866105722701</v>
      </c>
      <c r="AC121" s="69">
        <f t="shared" si="177"/>
        <v>1.6092701151706787</v>
      </c>
      <c r="AD121" s="69">
        <f t="shared" si="177"/>
        <v>1.6486964468317884</v>
      </c>
      <c r="AE121" s="69">
        <f t="shared" si="177"/>
        <v>1.6890887043580451</v>
      </c>
      <c r="AF121" s="69">
        <f t="shared" si="177"/>
        <v>1.7304705524612711</v>
      </c>
      <c r="AG121" s="69">
        <f t="shared" si="177"/>
        <v>1.7728662356271674</v>
      </c>
      <c r="AH121" s="69">
        <f t="shared" si="177"/>
        <v>1.8163005923194908</v>
      </c>
      <c r="AI121" s="69">
        <f t="shared" si="177"/>
        <v>1.8607990695322258</v>
      </c>
      <c r="AJ121" s="69">
        <f t="shared" si="177"/>
        <v>1.9063877376982787</v>
      </c>
      <c r="AK121" s="69">
        <f t="shared" si="177"/>
        <v>1.9530933059634255</v>
      </c>
      <c r="AL121" s="69">
        <f t="shared" si="177"/>
        <v>2.000943137834466</v>
      </c>
      <c r="AM121" s="69">
        <f t="shared" si="177"/>
        <v>2.0499652672107489</v>
      </c>
      <c r="AN121" s="69">
        <f t="shared" si="177"/>
        <v>2.1001884148084624</v>
      </c>
      <c r="AO121" s="69">
        <f t="shared" si="177"/>
        <v>2.1516420049873095</v>
      </c>
      <c r="AP121" s="69">
        <f t="shared" si="177"/>
        <v>2.2043561829894327</v>
      </c>
      <c r="AQ121" s="69">
        <f t="shared" si="177"/>
        <v>2.2583618326006798</v>
      </c>
      <c r="AR121" s="69">
        <f t="shared" si="177"/>
        <v>2.3136905942445645</v>
      </c>
      <c r="AS121" s="69">
        <f t="shared" si="177"/>
        <v>2.3703748835195202</v>
      </c>
      <c r="AT121" s="69">
        <f t="shared" si="177"/>
        <v>2.4284479101903056</v>
      </c>
      <c r="AU121" s="69">
        <f t="shared" si="177"/>
        <v>2.4879436976446927</v>
      </c>
      <c r="AV121" s="69">
        <f t="shared" si="177"/>
        <v>2.5488971028268326</v>
      </c>
      <c r="AW121" s="69">
        <f t="shared" si="177"/>
        <v>2.6113438366589796</v>
      </c>
      <c r="AX121" s="69">
        <f t="shared" si="177"/>
        <v>2.6753204849635384</v>
      </c>
      <c r="AY121" s="69">
        <f t="shared" si="177"/>
        <v>2.740864529897689</v>
      </c>
      <c r="AZ121" s="69">
        <f t="shared" si="177"/>
        <v>2.8080143719131523</v>
      </c>
      <c r="BA121" s="69">
        <f t="shared" si="177"/>
        <v>2.8768093522539564</v>
      </c>
      <c r="BB121" s="69">
        <f t="shared" si="177"/>
        <v>2.9472897760053889</v>
      </c>
      <c r="BC121" s="69">
        <f t="shared" ref="BC121:CP121" si="178">+BB121*(1+BC120)</f>
        <v>3.0194969357076378</v>
      </c>
      <c r="BD121" s="69">
        <f t="shared" si="178"/>
        <v>3.0934731355479532</v>
      </c>
      <c r="BE121" s="69">
        <f t="shared" si="178"/>
        <v>3.1692617161455061</v>
      </c>
      <c r="BF121" s="69">
        <f t="shared" si="178"/>
        <v>3.2469070799434645</v>
      </c>
      <c r="BG121" s="69">
        <f t="shared" si="178"/>
        <v>3.3264547172231631</v>
      </c>
      <c r="BH121" s="69">
        <f t="shared" si="178"/>
        <v>3.4079512327556056</v>
      </c>
      <c r="BI121" s="69">
        <f t="shared" si="178"/>
        <v>3.4914443731059186</v>
      </c>
      <c r="BJ121" s="69">
        <f t="shared" si="178"/>
        <v>3.5769830546067487</v>
      </c>
      <c r="BK121" s="69">
        <f t="shared" si="178"/>
        <v>3.664617392016996</v>
      </c>
      <c r="BL121" s="69">
        <f t="shared" si="178"/>
        <v>3.7543987278826711</v>
      </c>
      <c r="BM121" s="69">
        <f t="shared" si="178"/>
        <v>3.846379662617081</v>
      </c>
      <c r="BN121" s="69">
        <f t="shared" si="178"/>
        <v>3.9406140853179612</v>
      </c>
      <c r="BO121" s="69">
        <f t="shared" si="178"/>
        <v>4.0371572053396161</v>
      </c>
      <c r="BP121" s="69">
        <f t="shared" si="178"/>
        <v>4.136065584638561</v>
      </c>
      <c r="BQ121" s="69">
        <f t="shared" si="178"/>
        <v>4.2373971709116125</v>
      </c>
      <c r="BR121" s="69">
        <f t="shared" si="178"/>
        <v>4.3412113315458516</v>
      </c>
      <c r="BS121" s="69">
        <f t="shared" si="178"/>
        <v>4.4475688884003395</v>
      </c>
      <c r="BT121" s="69">
        <f t="shared" si="178"/>
        <v>4.5565321534399734</v>
      </c>
      <c r="BU121" s="69">
        <f t="shared" si="178"/>
        <v>4.6681649652423483</v>
      </c>
      <c r="BV121" s="69">
        <f t="shared" si="178"/>
        <v>4.7825327263990243</v>
      </c>
      <c r="BW121" s="69">
        <f t="shared" si="178"/>
        <v>4.8997024418331048</v>
      </c>
      <c r="BX121" s="69">
        <f t="shared" si="178"/>
        <v>5.0197427580555756</v>
      </c>
      <c r="BY121" s="69">
        <f t="shared" si="178"/>
        <v>5.1427240033834067</v>
      </c>
      <c r="BZ121" s="69">
        <f t="shared" si="178"/>
        <v>5.2687182291429764</v>
      </c>
      <c r="CA121" s="69">
        <f t="shared" si="178"/>
        <v>5.3977992518829616</v>
      </c>
      <c r="CB121" s="69">
        <f t="shared" si="178"/>
        <v>5.53004269662142</v>
      </c>
      <c r="CC121" s="69">
        <f t="shared" si="178"/>
        <v>5.6655260411524084</v>
      </c>
      <c r="CD121" s="69">
        <f t="shared" si="178"/>
        <v>5.8043286614380882</v>
      </c>
      <c r="CE121" s="69">
        <f t="shared" si="178"/>
        <v>5.9465318781129168</v>
      </c>
      <c r="CF121" s="69">
        <f t="shared" si="178"/>
        <v>6.0922190041271689</v>
      </c>
      <c r="CG121" s="69">
        <f t="shared" si="178"/>
        <v>6.2414753935577014</v>
      </c>
      <c r="CH121" s="69">
        <f t="shared" si="178"/>
        <v>6.3943884916145564</v>
      </c>
      <c r="CI121" s="69">
        <f t="shared" si="178"/>
        <v>6.5510478858727037</v>
      </c>
      <c r="CJ121" s="69">
        <f t="shared" si="178"/>
        <v>6.7115453587589347</v>
      </c>
      <c r="CK121" s="69">
        <f t="shared" si="178"/>
        <v>6.8759749413246594</v>
      </c>
      <c r="CL121" s="69">
        <f t="shared" si="178"/>
        <v>7.0444329683361113</v>
      </c>
      <c r="CM121" s="69">
        <f t="shared" si="178"/>
        <v>7.2170181347142348</v>
      </c>
      <c r="CN121" s="69">
        <f t="shared" si="178"/>
        <v>7.393831553357324</v>
      </c>
      <c r="CO121" s="69">
        <f t="shared" si="178"/>
        <v>7.5749768143802845</v>
      </c>
      <c r="CP121" s="69">
        <f t="shared" si="178"/>
        <v>7.7605600458052324</v>
      </c>
      <c r="CQ121" s="23" t="s">
        <v>77</v>
      </c>
    </row>
    <row r="122" spans="1:95" x14ac:dyDescent="0.2">
      <c r="CQ122" s="23" t="s">
        <v>77</v>
      </c>
    </row>
    <row r="123" spans="1:95" x14ac:dyDescent="0.2">
      <c r="Q123" s="40"/>
      <c r="CQ123" s="23" t="s">
        <v>77</v>
      </c>
    </row>
    <row r="124" spans="1:95" x14ac:dyDescent="0.2">
      <c r="CQ124" s="23" t="s">
        <v>77</v>
      </c>
    </row>
    <row r="125" spans="1:95" x14ac:dyDescent="0.2">
      <c r="CQ125" s="23" t="s">
        <v>77</v>
      </c>
    </row>
    <row r="126" spans="1:95" x14ac:dyDescent="0.2">
      <c r="CQ126" s="23" t="s">
        <v>77</v>
      </c>
    </row>
    <row r="127" spans="1:95" x14ac:dyDescent="0.2">
      <c r="CQ127" s="23" t="s">
        <v>77</v>
      </c>
    </row>
    <row r="128" spans="1:95" x14ac:dyDescent="0.2">
      <c r="CQ128" s="23" t="s">
        <v>77</v>
      </c>
    </row>
    <row r="129" spans="95:95" x14ac:dyDescent="0.2">
      <c r="CQ129" s="23" t="s">
        <v>77</v>
      </c>
    </row>
    <row r="130" spans="95:95" x14ac:dyDescent="0.2">
      <c r="CQ130" s="23" t="s">
        <v>77</v>
      </c>
    </row>
    <row r="131" spans="95:95" x14ac:dyDescent="0.2">
      <c r="CQ131" s="23" t="s">
        <v>77</v>
      </c>
    </row>
    <row r="132" spans="95:95" x14ac:dyDescent="0.2">
      <c r="CQ132" s="23" t="s">
        <v>77</v>
      </c>
    </row>
    <row r="133" spans="95:95" x14ac:dyDescent="0.2">
      <c r="CQ133" s="23" t="s">
        <v>77</v>
      </c>
    </row>
    <row r="134" spans="95:95" x14ac:dyDescent="0.2">
      <c r="CQ134" s="23" t="s">
        <v>77</v>
      </c>
    </row>
    <row r="135" spans="95:95" x14ac:dyDescent="0.2">
      <c r="CQ135" s="23" t="s">
        <v>77</v>
      </c>
    </row>
    <row r="136" spans="95:95" x14ac:dyDescent="0.2">
      <c r="CQ136" s="23" t="s">
        <v>77</v>
      </c>
    </row>
    <row r="137" spans="95:95" x14ac:dyDescent="0.2">
      <c r="CQ137" s="23" t="s">
        <v>77</v>
      </c>
    </row>
    <row r="138" spans="95:95" x14ac:dyDescent="0.2">
      <c r="CQ138" s="23" t="s">
        <v>77</v>
      </c>
    </row>
    <row r="139" spans="95:95" x14ac:dyDescent="0.2">
      <c r="CQ139" s="23" t="s">
        <v>77</v>
      </c>
    </row>
    <row r="140" spans="95:95" x14ac:dyDescent="0.2">
      <c r="CQ140" s="23" t="s">
        <v>77</v>
      </c>
    </row>
    <row r="141" spans="95:95" x14ac:dyDescent="0.2">
      <c r="CQ141" s="23" t="s">
        <v>77</v>
      </c>
    </row>
    <row r="143" spans="95:95" x14ac:dyDescent="0.2">
      <c r="CQ143" s="23" t="s">
        <v>77</v>
      </c>
    </row>
    <row r="144" spans="95:95" x14ac:dyDescent="0.2">
      <c r="CQ144" s="23" t="s">
        <v>77</v>
      </c>
    </row>
    <row r="145" spans="95:95" x14ac:dyDescent="0.2">
      <c r="CQ145" s="23" t="s">
        <v>77</v>
      </c>
    </row>
    <row r="146" spans="95:95" x14ac:dyDescent="0.2">
      <c r="CQ146" s="23" t="s">
        <v>77</v>
      </c>
    </row>
    <row r="147" spans="95:95" x14ac:dyDescent="0.2">
      <c r="CQ147" s="23" t="s">
        <v>77</v>
      </c>
    </row>
    <row r="148" spans="95:95" x14ac:dyDescent="0.2">
      <c r="CQ148" s="23" t="s">
        <v>77</v>
      </c>
    </row>
    <row r="149" spans="95:95" x14ac:dyDescent="0.2">
      <c r="CQ149" s="23" t="s">
        <v>77</v>
      </c>
    </row>
    <row r="150" spans="95:95" x14ac:dyDescent="0.2">
      <c r="CQ150" s="23" t="s">
        <v>77</v>
      </c>
    </row>
    <row r="151" spans="95:95" x14ac:dyDescent="0.2">
      <c r="CQ151" s="23" t="s">
        <v>77</v>
      </c>
    </row>
    <row r="152" spans="95:95" x14ac:dyDescent="0.2">
      <c r="CQ152" s="23" t="s">
        <v>77</v>
      </c>
    </row>
    <row r="153" spans="95:95" x14ac:dyDescent="0.2">
      <c r="CQ153" s="23" t="s">
        <v>77</v>
      </c>
    </row>
    <row r="154" spans="95:95" x14ac:dyDescent="0.2">
      <c r="CQ154" s="23" t="s">
        <v>77</v>
      </c>
    </row>
    <row r="155" spans="95:95" x14ac:dyDescent="0.2">
      <c r="CQ155" s="23" t="s">
        <v>77</v>
      </c>
    </row>
    <row r="156" spans="95:95" x14ac:dyDescent="0.2">
      <c r="CQ156" s="23" t="s">
        <v>77</v>
      </c>
    </row>
    <row r="157" spans="95:95" x14ac:dyDescent="0.2">
      <c r="CQ157" s="23" t="s">
        <v>77</v>
      </c>
    </row>
    <row r="158" spans="95:95" x14ac:dyDescent="0.2">
      <c r="CQ158" s="23" t="s">
        <v>77</v>
      </c>
    </row>
    <row r="159" spans="95:95" x14ac:dyDescent="0.2">
      <c r="CQ159" s="23" t="s">
        <v>77</v>
      </c>
    </row>
    <row r="160" spans="95:95" x14ac:dyDescent="0.2">
      <c r="CQ160" s="23" t="s">
        <v>77</v>
      </c>
    </row>
    <row r="161" spans="95:95" x14ac:dyDescent="0.2">
      <c r="CQ161" s="23" t="s">
        <v>77</v>
      </c>
    </row>
    <row r="162" spans="95:95" x14ac:dyDescent="0.2">
      <c r="CQ162" s="23" t="s">
        <v>77</v>
      </c>
    </row>
    <row r="163" spans="95:95" x14ac:dyDescent="0.2">
      <c r="CQ163" s="23" t="s">
        <v>77</v>
      </c>
    </row>
    <row r="164" spans="95:95" x14ac:dyDescent="0.2">
      <c r="CQ164" s="23" t="s">
        <v>77</v>
      </c>
    </row>
    <row r="165" spans="95:95" x14ac:dyDescent="0.2">
      <c r="CQ165" s="23" t="s">
        <v>77</v>
      </c>
    </row>
    <row r="166" spans="95:95" x14ac:dyDescent="0.2">
      <c r="CQ166" s="23" t="s">
        <v>77</v>
      </c>
    </row>
    <row r="167" spans="95:95" x14ac:dyDescent="0.2">
      <c r="CQ167" s="23" t="s">
        <v>77</v>
      </c>
    </row>
    <row r="168" spans="95:95" x14ac:dyDescent="0.2">
      <c r="CQ168" s="23" t="s">
        <v>77</v>
      </c>
    </row>
    <row r="169" spans="95:95" x14ac:dyDescent="0.2">
      <c r="CQ169" s="23" t="s">
        <v>77</v>
      </c>
    </row>
    <row r="170" spans="95:95" x14ac:dyDescent="0.2">
      <c r="CQ170" s="23" t="s">
        <v>77</v>
      </c>
    </row>
    <row r="171" spans="95:95" x14ac:dyDescent="0.2">
      <c r="CQ171" s="23" t="s">
        <v>77</v>
      </c>
    </row>
    <row r="172" spans="95:95" x14ac:dyDescent="0.2">
      <c r="CQ172" s="23"/>
    </row>
    <row r="173" spans="95:95" x14ac:dyDescent="0.2">
      <c r="CQ173" s="23"/>
    </row>
    <row r="174" spans="95:95" x14ac:dyDescent="0.2">
      <c r="CQ174" s="23"/>
    </row>
    <row r="175" spans="95:95" x14ac:dyDescent="0.2">
      <c r="CQ175" s="23" t="s">
        <v>77</v>
      </c>
    </row>
    <row r="176" spans="95:95" x14ac:dyDescent="0.2">
      <c r="CQ176" s="23" t="s">
        <v>77</v>
      </c>
    </row>
    <row r="177" spans="95:95" x14ac:dyDescent="0.2">
      <c r="CQ177" s="23" t="s">
        <v>77</v>
      </c>
    </row>
    <row r="178" spans="95:95" x14ac:dyDescent="0.2">
      <c r="CQ178" s="23" t="s">
        <v>77</v>
      </c>
    </row>
    <row r="179" spans="95:95" x14ac:dyDescent="0.2">
      <c r="CQ179" s="23" t="s">
        <v>77</v>
      </c>
    </row>
    <row r="180" spans="95:95" x14ac:dyDescent="0.2">
      <c r="CQ180" s="23" t="s">
        <v>77</v>
      </c>
    </row>
    <row r="181" spans="95:95" x14ac:dyDescent="0.2">
      <c r="CQ181" s="23" t="s">
        <v>77</v>
      </c>
    </row>
    <row r="182" spans="95:95" x14ac:dyDescent="0.2">
      <c r="CQ182" s="23"/>
    </row>
    <row r="183" spans="95:95" x14ac:dyDescent="0.2">
      <c r="CQ183" s="23" t="s">
        <v>77</v>
      </c>
    </row>
    <row r="184" spans="95:95" x14ac:dyDescent="0.2">
      <c r="CQ184" s="23" t="s">
        <v>77</v>
      </c>
    </row>
    <row r="185" spans="95:95" x14ac:dyDescent="0.2">
      <c r="CQ185" s="23" t="s">
        <v>77</v>
      </c>
    </row>
    <row r="186" spans="95:95" x14ac:dyDescent="0.2">
      <c r="CQ186" s="23" t="s">
        <v>77</v>
      </c>
    </row>
    <row r="187" spans="95:95" x14ac:dyDescent="0.2">
      <c r="CQ187" s="23" t="s">
        <v>77</v>
      </c>
    </row>
    <row r="188" spans="95:95" x14ac:dyDescent="0.2">
      <c r="CQ188" s="23" t="s">
        <v>77</v>
      </c>
    </row>
    <row r="189" spans="95:95" x14ac:dyDescent="0.2">
      <c r="CQ189" s="23" t="s">
        <v>77</v>
      </c>
    </row>
    <row r="190" spans="95:95" x14ac:dyDescent="0.2">
      <c r="CQ190" s="23" t="s">
        <v>77</v>
      </c>
    </row>
    <row r="191" spans="95:95" x14ac:dyDescent="0.2">
      <c r="CQ191" s="23" t="s">
        <v>77</v>
      </c>
    </row>
    <row r="192" spans="95:95" x14ac:dyDescent="0.2">
      <c r="CQ192" s="23" t="s">
        <v>77</v>
      </c>
    </row>
    <row r="193" spans="95:95" x14ac:dyDescent="0.2">
      <c r="CQ193" s="23" t="s">
        <v>77</v>
      </c>
    </row>
    <row r="194" spans="95:95" x14ac:dyDescent="0.2">
      <c r="CQ194" s="23" t="s">
        <v>77</v>
      </c>
    </row>
    <row r="195" spans="95:95" x14ac:dyDescent="0.2">
      <c r="CQ195" s="23" t="s">
        <v>77</v>
      </c>
    </row>
    <row r="196" spans="95:95" x14ac:dyDescent="0.2">
      <c r="CQ196" s="23" t="s">
        <v>77</v>
      </c>
    </row>
    <row r="197" spans="95:95" x14ac:dyDescent="0.2">
      <c r="CQ197" s="23" t="s">
        <v>77</v>
      </c>
    </row>
    <row r="198" spans="95:95" x14ac:dyDescent="0.2">
      <c r="CQ198" s="23" t="s">
        <v>77</v>
      </c>
    </row>
    <row r="199" spans="95:95" x14ac:dyDescent="0.2">
      <c r="CQ199" s="23" t="s">
        <v>77</v>
      </c>
    </row>
    <row r="200" spans="95:95" x14ac:dyDescent="0.2">
      <c r="CQ200" s="23" t="s">
        <v>77</v>
      </c>
    </row>
    <row r="201" spans="95:95" x14ac:dyDescent="0.2">
      <c r="CQ201" s="23" t="s">
        <v>77</v>
      </c>
    </row>
    <row r="202" spans="95:95" x14ac:dyDescent="0.2">
      <c r="CQ202" s="23" t="s">
        <v>77</v>
      </c>
    </row>
    <row r="203" spans="95:95" x14ac:dyDescent="0.2">
      <c r="CQ203" s="23" t="s">
        <v>77</v>
      </c>
    </row>
    <row r="204" spans="95:95" x14ac:dyDescent="0.2">
      <c r="CQ204" s="23" t="s">
        <v>77</v>
      </c>
    </row>
    <row r="205" spans="95:95" x14ac:dyDescent="0.2">
      <c r="CQ205" s="23" t="s">
        <v>77</v>
      </c>
    </row>
    <row r="206" spans="95:95" x14ac:dyDescent="0.2">
      <c r="CQ206" s="23" t="s">
        <v>77</v>
      </c>
    </row>
    <row r="207" spans="95:95" x14ac:dyDescent="0.2">
      <c r="CQ207" s="23" t="s">
        <v>77</v>
      </c>
    </row>
    <row r="208" spans="95:95" x14ac:dyDescent="0.2">
      <c r="CQ208" s="23" t="s">
        <v>77</v>
      </c>
    </row>
    <row r="209" spans="95:95" x14ac:dyDescent="0.2">
      <c r="CQ209" s="23" t="s">
        <v>77</v>
      </c>
    </row>
    <row r="210" spans="95:95" x14ac:dyDescent="0.2">
      <c r="CQ210" s="23" t="s">
        <v>77</v>
      </c>
    </row>
    <row r="211" spans="95:95" x14ac:dyDescent="0.2">
      <c r="CQ211" s="23" t="s">
        <v>77</v>
      </c>
    </row>
    <row r="212" spans="95:95" x14ac:dyDescent="0.2">
      <c r="CQ212" s="23" t="s">
        <v>77</v>
      </c>
    </row>
    <row r="213" spans="95:95" x14ac:dyDescent="0.2">
      <c r="CQ213" s="23" t="s">
        <v>77</v>
      </c>
    </row>
    <row r="214" spans="95:95" x14ac:dyDescent="0.2">
      <c r="CQ214" s="23" t="s">
        <v>77</v>
      </c>
    </row>
    <row r="215" spans="95:95" x14ac:dyDescent="0.2">
      <c r="CQ215" s="23" t="s">
        <v>77</v>
      </c>
    </row>
    <row r="216" spans="95:95" x14ac:dyDescent="0.2">
      <c r="CQ216" s="23" t="s">
        <v>77</v>
      </c>
    </row>
    <row r="217" spans="95:95" x14ac:dyDescent="0.2">
      <c r="CQ217" s="23" t="s">
        <v>77</v>
      </c>
    </row>
    <row r="218" spans="95:95" x14ac:dyDescent="0.2">
      <c r="CQ218" s="23" t="s">
        <v>77</v>
      </c>
    </row>
    <row r="219" spans="95:95" x14ac:dyDescent="0.2">
      <c r="CQ219" s="23" t="s">
        <v>77</v>
      </c>
    </row>
    <row r="220" spans="95:95" x14ac:dyDescent="0.2">
      <c r="CQ220" s="23" t="s">
        <v>77</v>
      </c>
    </row>
    <row r="221" spans="95:95" x14ac:dyDescent="0.2">
      <c r="CQ221" s="23" t="s">
        <v>77</v>
      </c>
    </row>
    <row r="222" spans="95:95" x14ac:dyDescent="0.2">
      <c r="CQ222" s="23" t="s">
        <v>77</v>
      </c>
    </row>
    <row r="223" spans="95:95" x14ac:dyDescent="0.2">
      <c r="CQ223" s="23" t="s">
        <v>77</v>
      </c>
    </row>
    <row r="224" spans="95:95" x14ac:dyDescent="0.2">
      <c r="CQ224" s="23" t="s">
        <v>77</v>
      </c>
    </row>
    <row r="225" spans="95:95" x14ac:dyDescent="0.2">
      <c r="CQ225" s="23" t="s">
        <v>77</v>
      </c>
    </row>
    <row r="226" spans="95:95" x14ac:dyDescent="0.2">
      <c r="CQ226" s="23" t="s">
        <v>77</v>
      </c>
    </row>
    <row r="227" spans="95:95" x14ac:dyDescent="0.2">
      <c r="CQ227" s="23" t="s">
        <v>77</v>
      </c>
    </row>
    <row r="228" spans="95:95" x14ac:dyDescent="0.2">
      <c r="CQ228" s="23" t="s">
        <v>77</v>
      </c>
    </row>
    <row r="229" spans="95:95" x14ac:dyDescent="0.2">
      <c r="CQ229" s="23" t="s">
        <v>77</v>
      </c>
    </row>
    <row r="230" spans="95:95" x14ac:dyDescent="0.2">
      <c r="CQ230" s="23" t="s">
        <v>77</v>
      </c>
    </row>
    <row r="231" spans="95:95" x14ac:dyDescent="0.2">
      <c r="CQ231" s="23" t="s">
        <v>77</v>
      </c>
    </row>
    <row r="232" spans="95:95" x14ac:dyDescent="0.2">
      <c r="CQ232" s="23" t="s">
        <v>77</v>
      </c>
    </row>
    <row r="233" spans="95:95" x14ac:dyDescent="0.2">
      <c r="CQ233" s="23" t="s">
        <v>77</v>
      </c>
    </row>
    <row r="234" spans="95:95" x14ac:dyDescent="0.2">
      <c r="CQ234" s="23" t="s">
        <v>77</v>
      </c>
    </row>
    <row r="235" spans="95:95" x14ac:dyDescent="0.2">
      <c r="CQ235" s="23" t="s">
        <v>77</v>
      </c>
    </row>
    <row r="236" spans="95:95" x14ac:dyDescent="0.2">
      <c r="CQ236" s="23" t="s">
        <v>77</v>
      </c>
    </row>
    <row r="237" spans="95:95" x14ac:dyDescent="0.2">
      <c r="CQ237" s="23" t="s">
        <v>77</v>
      </c>
    </row>
    <row r="238" spans="95:95" x14ac:dyDescent="0.2">
      <c r="CQ238" s="23" t="s">
        <v>77</v>
      </c>
    </row>
    <row r="239" spans="95:95" x14ac:dyDescent="0.2">
      <c r="CQ239" s="23" t="s">
        <v>77</v>
      </c>
    </row>
    <row r="240" spans="95:95" x14ac:dyDescent="0.2">
      <c r="CQ240" s="23" t="s">
        <v>77</v>
      </c>
    </row>
    <row r="241" spans="95:95" x14ac:dyDescent="0.2">
      <c r="CQ241" s="23" t="s">
        <v>77</v>
      </c>
    </row>
    <row r="242" spans="95:95" x14ac:dyDescent="0.2">
      <c r="CQ242" s="23" t="s">
        <v>77</v>
      </c>
    </row>
    <row r="243" spans="95:95" x14ac:dyDescent="0.2">
      <c r="CQ243" s="23" t="s">
        <v>77</v>
      </c>
    </row>
    <row r="244" spans="95:95" x14ac:dyDescent="0.2">
      <c r="CQ244" s="23" t="s">
        <v>77</v>
      </c>
    </row>
    <row r="245" spans="95:95" x14ac:dyDescent="0.2">
      <c r="CQ245" s="23" t="s">
        <v>77</v>
      </c>
    </row>
    <row r="246" spans="95:95" x14ac:dyDescent="0.2">
      <c r="CQ246" s="23" t="s">
        <v>77</v>
      </c>
    </row>
    <row r="247" spans="95:95" x14ac:dyDescent="0.2">
      <c r="CQ247" s="23" t="s">
        <v>77</v>
      </c>
    </row>
    <row r="248" spans="95:95" x14ac:dyDescent="0.2">
      <c r="CQ248" s="23" t="s">
        <v>77</v>
      </c>
    </row>
    <row r="249" spans="95:95" x14ac:dyDescent="0.2">
      <c r="CQ249" s="23" t="s">
        <v>77</v>
      </c>
    </row>
    <row r="250" spans="95:95" x14ac:dyDescent="0.2">
      <c r="CQ250" s="23" t="s">
        <v>77</v>
      </c>
    </row>
    <row r="251" spans="95:95" x14ac:dyDescent="0.2">
      <c r="CQ251" s="23" t="s">
        <v>77</v>
      </c>
    </row>
    <row r="252" spans="95:95" x14ac:dyDescent="0.2">
      <c r="CQ252" s="23" t="s">
        <v>77</v>
      </c>
    </row>
    <row r="253" spans="95:95" x14ac:dyDescent="0.2">
      <c r="CQ253" s="23" t="s">
        <v>77</v>
      </c>
    </row>
    <row r="254" spans="95:95" x14ac:dyDescent="0.2">
      <c r="CQ254" s="23" t="s">
        <v>77</v>
      </c>
    </row>
    <row r="255" spans="95:95" x14ac:dyDescent="0.2">
      <c r="CQ255" s="23" t="s">
        <v>77</v>
      </c>
    </row>
    <row r="256" spans="95:95" x14ac:dyDescent="0.2">
      <c r="CQ256" s="23" t="s">
        <v>77</v>
      </c>
    </row>
    <row r="257" spans="95:95" x14ac:dyDescent="0.2">
      <c r="CQ257" s="23" t="s">
        <v>77</v>
      </c>
    </row>
    <row r="258" spans="95:95" x14ac:dyDescent="0.2">
      <c r="CQ258" s="23" t="s">
        <v>77</v>
      </c>
    </row>
    <row r="259" spans="95:95" x14ac:dyDescent="0.2">
      <c r="CQ259" s="23" t="s">
        <v>77</v>
      </c>
    </row>
    <row r="260" spans="95:95" x14ac:dyDescent="0.2">
      <c r="CQ260" s="23" t="s">
        <v>77</v>
      </c>
    </row>
    <row r="261" spans="95:95" x14ac:dyDescent="0.2">
      <c r="CQ261" s="23" t="s">
        <v>77</v>
      </c>
    </row>
    <row r="262" spans="95:95" x14ac:dyDescent="0.2">
      <c r="CQ262" s="23" t="s">
        <v>77</v>
      </c>
    </row>
    <row r="263" spans="95:95" x14ac:dyDescent="0.2">
      <c r="CQ263" s="23" t="s">
        <v>77</v>
      </c>
    </row>
    <row r="264" spans="95:95" x14ac:dyDescent="0.2">
      <c r="CQ264" s="23" t="s">
        <v>77</v>
      </c>
    </row>
    <row r="265" spans="95:95" x14ac:dyDescent="0.2">
      <c r="CQ265" s="23" t="s">
        <v>77</v>
      </c>
    </row>
    <row r="266" spans="95:95" x14ac:dyDescent="0.2">
      <c r="CQ266" s="23" t="s">
        <v>77</v>
      </c>
    </row>
    <row r="267" spans="95:95" x14ac:dyDescent="0.2">
      <c r="CQ267" s="23" t="s">
        <v>77</v>
      </c>
    </row>
    <row r="268" spans="95:95" x14ac:dyDescent="0.2">
      <c r="CQ268" s="23" t="s">
        <v>77</v>
      </c>
    </row>
    <row r="269" spans="95:95" x14ac:dyDescent="0.2">
      <c r="CQ269" s="23" t="s">
        <v>77</v>
      </c>
    </row>
    <row r="270" spans="95:95" x14ac:dyDescent="0.2">
      <c r="CQ270" s="23" t="s">
        <v>77</v>
      </c>
    </row>
    <row r="271" spans="95:95" x14ac:dyDescent="0.2">
      <c r="CQ271" s="23" t="s">
        <v>77</v>
      </c>
    </row>
    <row r="272" spans="95:95" x14ac:dyDescent="0.2">
      <c r="CQ272" s="23" t="s">
        <v>77</v>
      </c>
    </row>
    <row r="273" spans="95:95" x14ac:dyDescent="0.2">
      <c r="CQ273" s="23" t="s">
        <v>77</v>
      </c>
    </row>
    <row r="274" spans="95:95" x14ac:dyDescent="0.2">
      <c r="CQ274" s="23" t="s">
        <v>77</v>
      </c>
    </row>
    <row r="275" spans="95:95" x14ac:dyDescent="0.2">
      <c r="CQ275" s="23" t="s">
        <v>77</v>
      </c>
    </row>
    <row r="276" spans="95:95" x14ac:dyDescent="0.2">
      <c r="CQ276" s="23" t="s">
        <v>77</v>
      </c>
    </row>
    <row r="277" spans="95:95" x14ac:dyDescent="0.2">
      <c r="CQ277" s="23" t="s">
        <v>77</v>
      </c>
    </row>
    <row r="278" spans="95:95" x14ac:dyDescent="0.2">
      <c r="CQ278" s="23" t="s">
        <v>77</v>
      </c>
    </row>
    <row r="279" spans="95:95" x14ac:dyDescent="0.2">
      <c r="CQ279" s="23" t="s">
        <v>77</v>
      </c>
    </row>
    <row r="280" spans="95:95" x14ac:dyDescent="0.2">
      <c r="CQ280" s="23" t="s">
        <v>77</v>
      </c>
    </row>
    <row r="281" spans="95:95" x14ac:dyDescent="0.2">
      <c r="CQ281" s="23" t="s">
        <v>77</v>
      </c>
    </row>
    <row r="282" spans="95:95" x14ac:dyDescent="0.2">
      <c r="CQ282" s="23" t="s">
        <v>77</v>
      </c>
    </row>
    <row r="283" spans="95:95" x14ac:dyDescent="0.2">
      <c r="CQ283" s="23" t="s">
        <v>77</v>
      </c>
    </row>
    <row r="284" spans="95:95" x14ac:dyDescent="0.2">
      <c r="CQ284" s="23" t="s">
        <v>77</v>
      </c>
    </row>
    <row r="285" spans="95:95" x14ac:dyDescent="0.2">
      <c r="CQ285" s="23" t="s">
        <v>77</v>
      </c>
    </row>
    <row r="286" spans="95:95" x14ac:dyDescent="0.2">
      <c r="CQ286" s="23" t="s">
        <v>77</v>
      </c>
    </row>
    <row r="287" spans="95:95" x14ac:dyDescent="0.2">
      <c r="CQ287" s="23" t="s">
        <v>77</v>
      </c>
    </row>
    <row r="288" spans="95:95" x14ac:dyDescent="0.2">
      <c r="CQ288" s="23" t="s">
        <v>77</v>
      </c>
    </row>
    <row r="289" spans="95:95" x14ac:dyDescent="0.2">
      <c r="CQ289" s="23" t="s">
        <v>77</v>
      </c>
    </row>
    <row r="290" spans="95:95" x14ac:dyDescent="0.2">
      <c r="CQ290" s="23" t="s">
        <v>77</v>
      </c>
    </row>
    <row r="291" spans="95:95" x14ac:dyDescent="0.2">
      <c r="CQ291" s="23" t="s">
        <v>77</v>
      </c>
    </row>
    <row r="292" spans="95:95" x14ac:dyDescent="0.2">
      <c r="CQ292" s="23" t="s">
        <v>77</v>
      </c>
    </row>
    <row r="293" spans="95:95" x14ac:dyDescent="0.2">
      <c r="CQ293" s="23" t="s">
        <v>77</v>
      </c>
    </row>
    <row r="294" spans="95:95" x14ac:dyDescent="0.2">
      <c r="CQ294" s="23" t="s">
        <v>77</v>
      </c>
    </row>
    <row r="295" spans="95:95" x14ac:dyDescent="0.2">
      <c r="CQ295" s="23" t="s">
        <v>77</v>
      </c>
    </row>
    <row r="296" spans="95:95" x14ac:dyDescent="0.2">
      <c r="CQ296" s="23" t="s">
        <v>77</v>
      </c>
    </row>
    <row r="297" spans="95:95" x14ac:dyDescent="0.2">
      <c r="CQ297" s="23" t="s">
        <v>77</v>
      </c>
    </row>
    <row r="298" spans="95:95" x14ac:dyDescent="0.2">
      <c r="CQ298" s="23" t="s">
        <v>77</v>
      </c>
    </row>
    <row r="299" spans="95:95" x14ac:dyDescent="0.2">
      <c r="CQ299" s="23" t="s">
        <v>77</v>
      </c>
    </row>
    <row r="300" spans="95:95" x14ac:dyDescent="0.2">
      <c r="CQ300" s="23" t="s">
        <v>77</v>
      </c>
    </row>
    <row r="301" spans="95:95" x14ac:dyDescent="0.2">
      <c r="CQ301" s="23" t="s">
        <v>77</v>
      </c>
    </row>
    <row r="302" spans="95:95" x14ac:dyDescent="0.2">
      <c r="CQ302" s="23" t="s">
        <v>77</v>
      </c>
    </row>
    <row r="303" spans="95:95" x14ac:dyDescent="0.2">
      <c r="CQ303" s="23" t="s">
        <v>77</v>
      </c>
    </row>
    <row r="304" spans="95:95" x14ac:dyDescent="0.2">
      <c r="CQ304" s="23" t="s">
        <v>77</v>
      </c>
    </row>
    <row r="305" spans="95:95" x14ac:dyDescent="0.2">
      <c r="CQ305" s="23" t="s">
        <v>77</v>
      </c>
    </row>
    <row r="306" spans="95:95" x14ac:dyDescent="0.2">
      <c r="CQ306" s="23" t="s">
        <v>77</v>
      </c>
    </row>
    <row r="307" spans="95:95" x14ac:dyDescent="0.2">
      <c r="CQ307" s="23" t="s">
        <v>77</v>
      </c>
    </row>
    <row r="308" spans="95:95" x14ac:dyDescent="0.2">
      <c r="CQ308" s="23" t="s">
        <v>77</v>
      </c>
    </row>
    <row r="309" spans="95:95" x14ac:dyDescent="0.2">
      <c r="CQ309" s="23" t="s">
        <v>77</v>
      </c>
    </row>
    <row r="310" spans="95:95" x14ac:dyDescent="0.2">
      <c r="CQ310" s="23" t="s">
        <v>77</v>
      </c>
    </row>
    <row r="311" spans="95:95" x14ac:dyDescent="0.2">
      <c r="CQ311" s="23" t="s">
        <v>77</v>
      </c>
    </row>
    <row r="312" spans="95:95" x14ac:dyDescent="0.2">
      <c r="CQ312" s="23" t="s">
        <v>77</v>
      </c>
    </row>
    <row r="313" spans="95:95" x14ac:dyDescent="0.2">
      <c r="CQ313" s="23" t="s">
        <v>77</v>
      </c>
    </row>
    <row r="314" spans="95:95" x14ac:dyDescent="0.2">
      <c r="CQ314" s="23" t="s">
        <v>77</v>
      </c>
    </row>
    <row r="315" spans="95:95" x14ac:dyDescent="0.2">
      <c r="CQ315" s="23" t="s">
        <v>77</v>
      </c>
    </row>
    <row r="316" spans="95:95" x14ac:dyDescent="0.2">
      <c r="CQ316" s="23" t="s">
        <v>77</v>
      </c>
    </row>
    <row r="317" spans="95:95" x14ac:dyDescent="0.2">
      <c r="CQ317" s="23" t="s">
        <v>77</v>
      </c>
    </row>
    <row r="318" spans="95:95" x14ac:dyDescent="0.2">
      <c r="CQ318" s="23" t="s">
        <v>77</v>
      </c>
    </row>
    <row r="319" spans="95:95" x14ac:dyDescent="0.2">
      <c r="CQ319" s="23" t="s">
        <v>77</v>
      </c>
    </row>
    <row r="320" spans="95:95" x14ac:dyDescent="0.2">
      <c r="CQ320" s="23" t="s">
        <v>77</v>
      </c>
    </row>
    <row r="321" spans="95:95" x14ac:dyDescent="0.2">
      <c r="CQ321" s="23" t="s">
        <v>77</v>
      </c>
    </row>
    <row r="322" spans="95:95" x14ac:dyDescent="0.2">
      <c r="CQ322" s="23" t="s">
        <v>77</v>
      </c>
    </row>
    <row r="323" spans="95:95" x14ac:dyDescent="0.2">
      <c r="CQ323" s="23" t="s">
        <v>77</v>
      </c>
    </row>
    <row r="324" spans="95:95" x14ac:dyDescent="0.2">
      <c r="CQ324" s="23" t="s">
        <v>77</v>
      </c>
    </row>
    <row r="325" spans="95:95" x14ac:dyDescent="0.2">
      <c r="CQ325" s="23" t="s">
        <v>77</v>
      </c>
    </row>
    <row r="326" spans="95:95" x14ac:dyDescent="0.2">
      <c r="CQ326" s="23" t="s">
        <v>77</v>
      </c>
    </row>
    <row r="327" spans="95:95" x14ac:dyDescent="0.2">
      <c r="CQ327" s="23" t="s">
        <v>77</v>
      </c>
    </row>
    <row r="328" spans="95:95" x14ac:dyDescent="0.2">
      <c r="CQ328" s="23" t="s">
        <v>77</v>
      </c>
    </row>
    <row r="329" spans="95:95" x14ac:dyDescent="0.2">
      <c r="CQ329" s="23" t="s">
        <v>77</v>
      </c>
    </row>
    <row r="330" spans="95:95" x14ac:dyDescent="0.2">
      <c r="CQ330" s="23" t="s">
        <v>77</v>
      </c>
    </row>
    <row r="331" spans="95:95" x14ac:dyDescent="0.2">
      <c r="CQ331" s="23" t="s">
        <v>77</v>
      </c>
    </row>
    <row r="332" spans="95:95" x14ac:dyDescent="0.2">
      <c r="CQ332" s="23" t="s">
        <v>77</v>
      </c>
    </row>
    <row r="333" spans="95:95" x14ac:dyDescent="0.2">
      <c r="CQ333" s="23" t="s">
        <v>77</v>
      </c>
    </row>
    <row r="334" spans="95:95" x14ac:dyDescent="0.2">
      <c r="CQ334" s="23" t="s">
        <v>77</v>
      </c>
    </row>
    <row r="335" spans="95:95" x14ac:dyDescent="0.2">
      <c r="CQ335" s="23" t="s">
        <v>77</v>
      </c>
    </row>
    <row r="336" spans="95:95" x14ac:dyDescent="0.2">
      <c r="CQ336" s="23" t="s">
        <v>77</v>
      </c>
    </row>
    <row r="337" spans="95:95" x14ac:dyDescent="0.2">
      <c r="CQ337" s="23" t="s">
        <v>77</v>
      </c>
    </row>
  </sheetData>
  <phoneticPr fontId="0" type="noConversion"/>
  <conditionalFormatting sqref="X42:CP44">
    <cfRule type="cellIs" dxfId="36" priority="1" stopIfTrue="1" operator="equal">
      <formula>2</formula>
    </cfRule>
    <cfRule type="cellIs" dxfId="35" priority="2" stopIfTrue="1" operator="equal">
      <formula>1</formula>
    </cfRule>
  </conditionalFormatting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CR402"/>
  <sheetViews>
    <sheetView showGridLines="0" workbookViewId="0">
      <selection activeCell="CQ103" sqref="CQ103"/>
    </sheetView>
  </sheetViews>
  <sheetFormatPr defaultRowHeight="11.25" outlineLevelRow="1" outlineLevelCol="1" x14ac:dyDescent="0.2"/>
  <cols>
    <col min="1" max="1" width="1" style="8" customWidth="1"/>
    <col min="2" max="2" width="33.33203125" style="8" customWidth="1"/>
    <col min="3" max="3" width="1" style="24" customWidth="1"/>
    <col min="4" max="5" width="9.33203125" style="8" customWidth="1"/>
    <col min="6" max="10" width="9.33203125" style="8" hidden="1" customWidth="1" outlineLevel="1"/>
    <col min="11" max="18" width="9.33203125" style="9" hidden="1" customWidth="1" outlineLevel="1"/>
    <col min="19" max="19" width="9.33203125" style="9" collapsed="1"/>
    <col min="20" max="20" width="9.33203125" style="9"/>
    <col min="21" max="25" width="9.33203125" style="9" customWidth="1"/>
    <col min="26" max="94" width="9.33203125" style="9" customWidth="1" outlineLevel="1"/>
    <col min="95" max="95" width="1" style="8" customWidth="1"/>
    <col min="96" max="16384" width="9.33203125" style="8"/>
  </cols>
  <sheetData>
    <row r="1" spans="1:95" s="218" customFormat="1" ht="15.75" x14ac:dyDescent="0.25">
      <c r="A1" s="232" t="s">
        <v>338</v>
      </c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</row>
    <row r="2" spans="1:95" x14ac:dyDescent="0.2">
      <c r="CQ2" s="9"/>
    </row>
    <row r="3" spans="1:95" x14ac:dyDescent="0.2">
      <c r="A3" s="233"/>
      <c r="B3" s="728" t="s">
        <v>10</v>
      </c>
      <c r="C3" s="312"/>
      <c r="D3" s="728"/>
      <c r="E3" s="728"/>
      <c r="F3" s="728">
        <v>36707</v>
      </c>
      <c r="G3" s="728">
        <f>DATE(YEAR(F3)+1,6,30)</f>
        <v>37072</v>
      </c>
      <c r="H3" s="728">
        <f>DATE(YEAR(G3)+1,6,30)</f>
        <v>37437</v>
      </c>
      <c r="I3" s="728">
        <f>DATE(YEAR(H3)+1,6,30)</f>
        <v>37802</v>
      </c>
      <c r="J3" s="728">
        <f>DATE(YEAR(I3)+1,6,30)</f>
        <v>38168</v>
      </c>
      <c r="K3" s="312">
        <f t="shared" ref="K3:BV3" si="0">Fiscal_Year</f>
        <v>38533</v>
      </c>
      <c r="L3" s="312">
        <f t="shared" si="0"/>
        <v>38898</v>
      </c>
      <c r="M3" s="312">
        <f t="shared" si="0"/>
        <v>39263</v>
      </c>
      <c r="N3" s="312">
        <f t="shared" si="0"/>
        <v>39629</v>
      </c>
      <c r="O3" s="312">
        <f t="shared" si="0"/>
        <v>39994</v>
      </c>
      <c r="P3" s="312">
        <f t="shared" si="0"/>
        <v>40359</v>
      </c>
      <c r="Q3" s="312">
        <f t="shared" si="0"/>
        <v>40724</v>
      </c>
      <c r="R3" s="312">
        <f t="shared" si="0"/>
        <v>41090</v>
      </c>
      <c r="S3" s="312">
        <f t="shared" si="0"/>
        <v>41455</v>
      </c>
      <c r="T3" s="312">
        <f t="shared" si="0"/>
        <v>41820</v>
      </c>
      <c r="U3" s="312">
        <f t="shared" si="0"/>
        <v>42185</v>
      </c>
      <c r="V3" s="312">
        <f t="shared" si="0"/>
        <v>42551</v>
      </c>
      <c r="W3" s="312">
        <f t="shared" si="0"/>
        <v>42916</v>
      </c>
      <c r="X3" s="312">
        <f t="shared" si="0"/>
        <v>43281</v>
      </c>
      <c r="Y3" s="312">
        <f t="shared" si="0"/>
        <v>43646</v>
      </c>
      <c r="Z3" s="312">
        <f t="shared" si="0"/>
        <v>44012</v>
      </c>
      <c r="AA3" s="312">
        <f t="shared" si="0"/>
        <v>44377</v>
      </c>
      <c r="AB3" s="312">
        <f t="shared" si="0"/>
        <v>44742</v>
      </c>
      <c r="AC3" s="312">
        <f t="shared" si="0"/>
        <v>45107</v>
      </c>
      <c r="AD3" s="312">
        <f t="shared" si="0"/>
        <v>45473</v>
      </c>
      <c r="AE3" s="312">
        <f t="shared" si="0"/>
        <v>45838</v>
      </c>
      <c r="AF3" s="312">
        <f t="shared" si="0"/>
        <v>46203</v>
      </c>
      <c r="AG3" s="312">
        <f t="shared" si="0"/>
        <v>46568</v>
      </c>
      <c r="AH3" s="312">
        <f t="shared" si="0"/>
        <v>46934</v>
      </c>
      <c r="AI3" s="312">
        <f t="shared" si="0"/>
        <v>47299</v>
      </c>
      <c r="AJ3" s="312">
        <f t="shared" si="0"/>
        <v>47664</v>
      </c>
      <c r="AK3" s="312">
        <f t="shared" si="0"/>
        <v>48029</v>
      </c>
      <c r="AL3" s="312">
        <f t="shared" si="0"/>
        <v>48395</v>
      </c>
      <c r="AM3" s="312">
        <f t="shared" si="0"/>
        <v>48760</v>
      </c>
      <c r="AN3" s="312">
        <f t="shared" si="0"/>
        <v>49125</v>
      </c>
      <c r="AO3" s="312">
        <f t="shared" si="0"/>
        <v>49490</v>
      </c>
      <c r="AP3" s="312">
        <f t="shared" si="0"/>
        <v>49856</v>
      </c>
      <c r="AQ3" s="312">
        <f t="shared" si="0"/>
        <v>50221</v>
      </c>
      <c r="AR3" s="312">
        <f t="shared" si="0"/>
        <v>50586</v>
      </c>
      <c r="AS3" s="312">
        <f t="shared" si="0"/>
        <v>50951</v>
      </c>
      <c r="AT3" s="312">
        <f t="shared" si="0"/>
        <v>51317</v>
      </c>
      <c r="AU3" s="312">
        <f t="shared" si="0"/>
        <v>51682</v>
      </c>
      <c r="AV3" s="312">
        <f t="shared" si="0"/>
        <v>52047</v>
      </c>
      <c r="AW3" s="312">
        <f t="shared" si="0"/>
        <v>52412</v>
      </c>
      <c r="AX3" s="312">
        <f t="shared" si="0"/>
        <v>52778</v>
      </c>
      <c r="AY3" s="312">
        <f t="shared" si="0"/>
        <v>53143</v>
      </c>
      <c r="AZ3" s="312">
        <f t="shared" si="0"/>
        <v>53508</v>
      </c>
      <c r="BA3" s="312">
        <f t="shared" si="0"/>
        <v>53873</v>
      </c>
      <c r="BB3" s="312">
        <f t="shared" si="0"/>
        <v>54239</v>
      </c>
      <c r="BC3" s="312">
        <f t="shared" si="0"/>
        <v>54604</v>
      </c>
      <c r="BD3" s="312">
        <f t="shared" si="0"/>
        <v>54969</v>
      </c>
      <c r="BE3" s="312">
        <f t="shared" si="0"/>
        <v>55334</v>
      </c>
      <c r="BF3" s="312">
        <f t="shared" si="0"/>
        <v>55700</v>
      </c>
      <c r="BG3" s="312">
        <f t="shared" si="0"/>
        <v>56065</v>
      </c>
      <c r="BH3" s="312">
        <f t="shared" si="0"/>
        <v>56430</v>
      </c>
      <c r="BI3" s="312">
        <f t="shared" si="0"/>
        <v>56795</v>
      </c>
      <c r="BJ3" s="312">
        <f t="shared" si="0"/>
        <v>57161</v>
      </c>
      <c r="BK3" s="312">
        <f t="shared" si="0"/>
        <v>57526</v>
      </c>
      <c r="BL3" s="312">
        <f t="shared" si="0"/>
        <v>57891</v>
      </c>
      <c r="BM3" s="312">
        <f t="shared" si="0"/>
        <v>58256</v>
      </c>
      <c r="BN3" s="312">
        <f t="shared" si="0"/>
        <v>58622</v>
      </c>
      <c r="BO3" s="312">
        <f t="shared" si="0"/>
        <v>58987</v>
      </c>
      <c r="BP3" s="312">
        <f t="shared" si="0"/>
        <v>59352</v>
      </c>
      <c r="BQ3" s="312">
        <f t="shared" si="0"/>
        <v>59717</v>
      </c>
      <c r="BR3" s="312">
        <f t="shared" si="0"/>
        <v>60083</v>
      </c>
      <c r="BS3" s="312">
        <f t="shared" si="0"/>
        <v>60448</v>
      </c>
      <c r="BT3" s="312">
        <f t="shared" si="0"/>
        <v>60813</v>
      </c>
      <c r="BU3" s="312">
        <f t="shared" si="0"/>
        <v>61178</v>
      </c>
      <c r="BV3" s="312">
        <f t="shared" si="0"/>
        <v>61544</v>
      </c>
      <c r="BW3" s="312">
        <f t="shared" ref="BW3:CP3" si="1">Fiscal_Year</f>
        <v>61909</v>
      </c>
      <c r="BX3" s="312">
        <f t="shared" si="1"/>
        <v>62274</v>
      </c>
      <c r="BY3" s="312">
        <f t="shared" si="1"/>
        <v>62639</v>
      </c>
      <c r="BZ3" s="312">
        <f t="shared" si="1"/>
        <v>63005</v>
      </c>
      <c r="CA3" s="312">
        <f t="shared" si="1"/>
        <v>63370</v>
      </c>
      <c r="CB3" s="312">
        <f t="shared" si="1"/>
        <v>63735</v>
      </c>
      <c r="CC3" s="312">
        <f t="shared" si="1"/>
        <v>64100</v>
      </c>
      <c r="CD3" s="312">
        <f t="shared" si="1"/>
        <v>64466</v>
      </c>
      <c r="CE3" s="312">
        <f t="shared" si="1"/>
        <v>64831</v>
      </c>
      <c r="CF3" s="312">
        <f t="shared" si="1"/>
        <v>65196</v>
      </c>
      <c r="CG3" s="312">
        <f t="shared" si="1"/>
        <v>65561</v>
      </c>
      <c r="CH3" s="312">
        <f t="shared" si="1"/>
        <v>65927</v>
      </c>
      <c r="CI3" s="312">
        <f t="shared" si="1"/>
        <v>66292</v>
      </c>
      <c r="CJ3" s="312">
        <f t="shared" si="1"/>
        <v>66657</v>
      </c>
      <c r="CK3" s="312">
        <f t="shared" si="1"/>
        <v>67022</v>
      </c>
      <c r="CL3" s="312">
        <f t="shared" si="1"/>
        <v>67388</v>
      </c>
      <c r="CM3" s="312">
        <f t="shared" si="1"/>
        <v>67753</v>
      </c>
      <c r="CN3" s="312">
        <f t="shared" si="1"/>
        <v>68118</v>
      </c>
      <c r="CO3" s="312">
        <f t="shared" si="1"/>
        <v>68483</v>
      </c>
      <c r="CP3" s="312">
        <f t="shared" si="1"/>
        <v>68849</v>
      </c>
      <c r="CQ3" s="23" t="s">
        <v>77</v>
      </c>
    </row>
    <row r="4" spans="1:95" x14ac:dyDescent="0.2">
      <c r="CQ4" s="23" t="s">
        <v>77</v>
      </c>
    </row>
    <row r="5" spans="1:95" s="233" customFormat="1" x14ac:dyDescent="0.2">
      <c r="B5" s="728" t="s">
        <v>304</v>
      </c>
      <c r="C5" s="312"/>
      <c r="D5" s="312"/>
      <c r="E5" s="312"/>
      <c r="F5" s="312">
        <f t="shared" ref="F5:AK5" si="2">Fiscal_Year</f>
        <v>36707</v>
      </c>
      <c r="G5" s="312">
        <f t="shared" si="2"/>
        <v>37072</v>
      </c>
      <c r="H5" s="312">
        <f t="shared" si="2"/>
        <v>37437</v>
      </c>
      <c r="I5" s="312">
        <f t="shared" si="2"/>
        <v>37802</v>
      </c>
      <c r="J5" s="312">
        <f t="shared" si="2"/>
        <v>38168</v>
      </c>
      <c r="K5" s="312">
        <f t="shared" si="2"/>
        <v>38533</v>
      </c>
      <c r="L5" s="312">
        <f t="shared" si="2"/>
        <v>38898</v>
      </c>
      <c r="M5" s="312">
        <f t="shared" si="2"/>
        <v>39263</v>
      </c>
      <c r="N5" s="312">
        <f t="shared" si="2"/>
        <v>39629</v>
      </c>
      <c r="O5" s="312">
        <f t="shared" si="2"/>
        <v>39994</v>
      </c>
      <c r="P5" s="312">
        <f t="shared" si="2"/>
        <v>40359</v>
      </c>
      <c r="Q5" s="312">
        <f t="shared" si="2"/>
        <v>40724</v>
      </c>
      <c r="R5" s="312">
        <f t="shared" si="2"/>
        <v>41090</v>
      </c>
      <c r="S5" s="312">
        <f t="shared" si="2"/>
        <v>41455</v>
      </c>
      <c r="T5" s="312">
        <f t="shared" si="2"/>
        <v>41820</v>
      </c>
      <c r="U5" s="312">
        <f t="shared" si="2"/>
        <v>42185</v>
      </c>
      <c r="V5" s="312">
        <f t="shared" si="2"/>
        <v>42551</v>
      </c>
      <c r="W5" s="312">
        <f t="shared" si="2"/>
        <v>42916</v>
      </c>
      <c r="X5" s="312">
        <f t="shared" si="2"/>
        <v>43281</v>
      </c>
      <c r="Y5" s="312">
        <f t="shared" si="2"/>
        <v>43646</v>
      </c>
      <c r="Z5" s="312">
        <f t="shared" si="2"/>
        <v>44012</v>
      </c>
      <c r="AA5" s="312">
        <f t="shared" si="2"/>
        <v>44377</v>
      </c>
      <c r="AB5" s="312">
        <f t="shared" si="2"/>
        <v>44742</v>
      </c>
      <c r="AC5" s="312">
        <f t="shared" si="2"/>
        <v>45107</v>
      </c>
      <c r="AD5" s="312">
        <f t="shared" si="2"/>
        <v>45473</v>
      </c>
      <c r="AE5" s="312">
        <f t="shared" si="2"/>
        <v>45838</v>
      </c>
      <c r="AF5" s="312">
        <f t="shared" si="2"/>
        <v>46203</v>
      </c>
      <c r="AG5" s="312">
        <f t="shared" si="2"/>
        <v>46568</v>
      </c>
      <c r="AH5" s="312">
        <f t="shared" si="2"/>
        <v>46934</v>
      </c>
      <c r="AI5" s="312">
        <f t="shared" si="2"/>
        <v>47299</v>
      </c>
      <c r="AJ5" s="312">
        <f t="shared" si="2"/>
        <v>47664</v>
      </c>
      <c r="AK5" s="312">
        <f t="shared" si="2"/>
        <v>48029</v>
      </c>
      <c r="AL5" s="312">
        <f t="shared" ref="AL5:CP5" si="3">Fiscal_Year</f>
        <v>48395</v>
      </c>
      <c r="AM5" s="312">
        <f t="shared" si="3"/>
        <v>48760</v>
      </c>
      <c r="AN5" s="312">
        <f t="shared" si="3"/>
        <v>49125</v>
      </c>
      <c r="AO5" s="312">
        <f t="shared" si="3"/>
        <v>49490</v>
      </c>
      <c r="AP5" s="312">
        <f t="shared" si="3"/>
        <v>49856</v>
      </c>
      <c r="AQ5" s="312">
        <f t="shared" si="3"/>
        <v>50221</v>
      </c>
      <c r="AR5" s="312">
        <f t="shared" si="3"/>
        <v>50586</v>
      </c>
      <c r="AS5" s="312">
        <f t="shared" si="3"/>
        <v>50951</v>
      </c>
      <c r="AT5" s="312">
        <f t="shared" si="3"/>
        <v>51317</v>
      </c>
      <c r="AU5" s="312">
        <f t="shared" si="3"/>
        <v>51682</v>
      </c>
      <c r="AV5" s="312">
        <f t="shared" si="3"/>
        <v>52047</v>
      </c>
      <c r="AW5" s="312">
        <f t="shared" si="3"/>
        <v>52412</v>
      </c>
      <c r="AX5" s="312">
        <f t="shared" si="3"/>
        <v>52778</v>
      </c>
      <c r="AY5" s="312">
        <f t="shared" si="3"/>
        <v>53143</v>
      </c>
      <c r="AZ5" s="312">
        <f t="shared" si="3"/>
        <v>53508</v>
      </c>
      <c r="BA5" s="312">
        <f t="shared" si="3"/>
        <v>53873</v>
      </c>
      <c r="BB5" s="312">
        <f t="shared" si="3"/>
        <v>54239</v>
      </c>
      <c r="BC5" s="312">
        <f t="shared" si="3"/>
        <v>54604</v>
      </c>
      <c r="BD5" s="312">
        <f t="shared" si="3"/>
        <v>54969</v>
      </c>
      <c r="BE5" s="312">
        <f t="shared" si="3"/>
        <v>55334</v>
      </c>
      <c r="BF5" s="312">
        <f t="shared" si="3"/>
        <v>55700</v>
      </c>
      <c r="BG5" s="312">
        <f t="shared" si="3"/>
        <v>56065</v>
      </c>
      <c r="BH5" s="312">
        <f t="shared" si="3"/>
        <v>56430</v>
      </c>
      <c r="BI5" s="312">
        <f t="shared" si="3"/>
        <v>56795</v>
      </c>
      <c r="BJ5" s="312">
        <f t="shared" si="3"/>
        <v>57161</v>
      </c>
      <c r="BK5" s="312">
        <f t="shared" si="3"/>
        <v>57526</v>
      </c>
      <c r="BL5" s="312">
        <f t="shared" si="3"/>
        <v>57891</v>
      </c>
      <c r="BM5" s="312">
        <f t="shared" si="3"/>
        <v>58256</v>
      </c>
      <c r="BN5" s="312">
        <f t="shared" si="3"/>
        <v>58622</v>
      </c>
      <c r="BO5" s="312">
        <f t="shared" si="3"/>
        <v>58987</v>
      </c>
      <c r="BP5" s="312">
        <f t="shared" si="3"/>
        <v>59352</v>
      </c>
      <c r="BQ5" s="312">
        <f t="shared" si="3"/>
        <v>59717</v>
      </c>
      <c r="BR5" s="312">
        <f t="shared" si="3"/>
        <v>60083</v>
      </c>
      <c r="BS5" s="312">
        <f t="shared" si="3"/>
        <v>60448</v>
      </c>
      <c r="BT5" s="312">
        <f t="shared" si="3"/>
        <v>60813</v>
      </c>
      <c r="BU5" s="312">
        <f t="shared" si="3"/>
        <v>61178</v>
      </c>
      <c r="BV5" s="312">
        <f t="shared" si="3"/>
        <v>61544</v>
      </c>
      <c r="BW5" s="312">
        <f t="shared" si="3"/>
        <v>61909</v>
      </c>
      <c r="BX5" s="312">
        <f t="shared" si="3"/>
        <v>62274</v>
      </c>
      <c r="BY5" s="312">
        <f t="shared" si="3"/>
        <v>62639</v>
      </c>
      <c r="BZ5" s="312">
        <f t="shared" si="3"/>
        <v>63005</v>
      </c>
      <c r="CA5" s="312">
        <f t="shared" si="3"/>
        <v>63370</v>
      </c>
      <c r="CB5" s="312">
        <f t="shared" si="3"/>
        <v>63735</v>
      </c>
      <c r="CC5" s="312">
        <f t="shared" si="3"/>
        <v>64100</v>
      </c>
      <c r="CD5" s="312">
        <f t="shared" si="3"/>
        <v>64466</v>
      </c>
      <c r="CE5" s="312">
        <f t="shared" si="3"/>
        <v>64831</v>
      </c>
      <c r="CF5" s="312">
        <f t="shared" si="3"/>
        <v>65196</v>
      </c>
      <c r="CG5" s="312">
        <f t="shared" si="3"/>
        <v>65561</v>
      </c>
      <c r="CH5" s="312">
        <f t="shared" si="3"/>
        <v>65927</v>
      </c>
      <c r="CI5" s="312">
        <f t="shared" si="3"/>
        <v>66292</v>
      </c>
      <c r="CJ5" s="312">
        <f t="shared" si="3"/>
        <v>66657</v>
      </c>
      <c r="CK5" s="312">
        <f t="shared" si="3"/>
        <v>67022</v>
      </c>
      <c r="CL5" s="312">
        <f t="shared" si="3"/>
        <v>67388</v>
      </c>
      <c r="CM5" s="312">
        <f t="shared" si="3"/>
        <v>67753</v>
      </c>
      <c r="CN5" s="312">
        <f t="shared" si="3"/>
        <v>68118</v>
      </c>
      <c r="CO5" s="312">
        <f t="shared" si="3"/>
        <v>68483</v>
      </c>
      <c r="CP5" s="312">
        <f t="shared" si="3"/>
        <v>68849</v>
      </c>
      <c r="CQ5" s="23" t="s">
        <v>77</v>
      </c>
    </row>
    <row r="6" spans="1:95" ht="5.0999999999999996" customHeight="1" x14ac:dyDescent="0.2">
      <c r="CQ6" s="23" t="s">
        <v>77</v>
      </c>
    </row>
    <row r="7" spans="1:95" s="98" customFormat="1" outlineLevel="1" x14ac:dyDescent="0.2">
      <c r="B7" s="98" t="s">
        <v>305</v>
      </c>
      <c r="C7" s="25"/>
      <c r="K7" s="634">
        <f>Qld!K7</f>
        <v>2.4860161591050201E-2</v>
      </c>
      <c r="L7" s="634">
        <f>Qld!L7</f>
        <v>3.0018192844148306E-2</v>
      </c>
      <c r="M7" s="634">
        <f>Qld!M7</f>
        <v>2.7377097438916476E-2</v>
      </c>
      <c r="N7" s="634">
        <f>Qld!N7</f>
        <v>2.9799426934097317E-2</v>
      </c>
      <c r="O7" s="634">
        <f>Qld!O7</f>
        <v>3.0884808013355691E-2</v>
      </c>
      <c r="P7" s="634">
        <f>Qld!P7</f>
        <v>2.3211875843454743E-2</v>
      </c>
      <c r="Q7" s="634">
        <f>Qld!Q7</f>
        <v>2.9807438670535369E-2</v>
      </c>
      <c r="R7" s="634">
        <f>Qld!R7</f>
        <v>2.4846311475410054E-2</v>
      </c>
      <c r="S7" s="634">
        <f>Qld!S7</f>
        <v>2.5493626593351415E-2</v>
      </c>
      <c r="T7" s="634">
        <f>Qld!T7</f>
        <v>2.8128031037827302E-2</v>
      </c>
      <c r="U7" s="634">
        <f>Qld!U7</f>
        <v>0.02</v>
      </c>
      <c r="V7" s="634">
        <f>Qld!V7</f>
        <v>1.4999999999999999E-2</v>
      </c>
      <c r="W7" s="634">
        <f>Qld!W7</f>
        <v>1.4999999999999999E-2</v>
      </c>
      <c r="X7" s="634">
        <f>Qld!X7</f>
        <v>2.5000000000000001E-2</v>
      </c>
      <c r="Y7" s="634">
        <f>Qld!Y7</f>
        <v>2.5000000000000001E-2</v>
      </c>
      <c r="Z7" s="634">
        <f>Qld!Z7</f>
        <v>2.5000000000000001E-2</v>
      </c>
      <c r="AA7" s="634">
        <f>Qld!AA7</f>
        <v>2.5000000000000001E-2</v>
      </c>
      <c r="AB7" s="634">
        <f>Qld!AB7</f>
        <v>2.5000000000000001E-2</v>
      </c>
      <c r="AC7" s="634">
        <f>Qld!AC7</f>
        <v>2.5000000000000001E-2</v>
      </c>
      <c r="AD7" s="634">
        <f>Qld!AD7</f>
        <v>2.5000000000000001E-2</v>
      </c>
      <c r="AE7" s="634">
        <f>Qld!AE7</f>
        <v>2.5000000000000001E-2</v>
      </c>
      <c r="AF7" s="634">
        <f>Qld!AF7</f>
        <v>2.5000000000000001E-2</v>
      </c>
      <c r="AG7" s="634">
        <f>Qld!AG7</f>
        <v>2.5000000000000001E-2</v>
      </c>
      <c r="AH7" s="634">
        <f>Qld!AH7</f>
        <v>2.5000000000000001E-2</v>
      </c>
      <c r="AI7" s="634">
        <f>Qld!AI7</f>
        <v>2.5000000000000001E-2</v>
      </c>
      <c r="AJ7" s="634">
        <f>Qld!AJ7</f>
        <v>2.5000000000000001E-2</v>
      </c>
      <c r="AK7" s="634">
        <f>Qld!AK7</f>
        <v>2.5000000000000001E-2</v>
      </c>
      <c r="AL7" s="634">
        <f>Qld!AL7</f>
        <v>2.5000000000000001E-2</v>
      </c>
      <c r="AM7" s="634">
        <f>Qld!AM7</f>
        <v>2.5000000000000001E-2</v>
      </c>
      <c r="AN7" s="634">
        <f>Qld!AN7</f>
        <v>2.5000000000000001E-2</v>
      </c>
      <c r="AO7" s="634">
        <f>Qld!AO7</f>
        <v>2.5000000000000001E-2</v>
      </c>
      <c r="AP7" s="634">
        <f>Qld!AP7</f>
        <v>2.5000000000000001E-2</v>
      </c>
      <c r="AQ7" s="634">
        <f>Qld!AQ7</f>
        <v>2.5000000000000001E-2</v>
      </c>
      <c r="AR7" s="634">
        <f>Qld!AR7</f>
        <v>2.5000000000000001E-2</v>
      </c>
      <c r="AS7" s="634">
        <f>Qld!AS7</f>
        <v>2.5000000000000001E-2</v>
      </c>
      <c r="AT7" s="634">
        <f>Qld!AT7</f>
        <v>2.5000000000000001E-2</v>
      </c>
      <c r="AU7" s="634">
        <f>Qld!AU7</f>
        <v>2.5000000000000001E-2</v>
      </c>
      <c r="AV7" s="634">
        <f>Qld!AV7</f>
        <v>2.5000000000000001E-2</v>
      </c>
      <c r="AW7" s="634">
        <f>Qld!AW7</f>
        <v>2.5000000000000001E-2</v>
      </c>
      <c r="AX7" s="634">
        <f>Qld!AX7</f>
        <v>2.5000000000000001E-2</v>
      </c>
      <c r="AY7" s="634">
        <f>Qld!AY7</f>
        <v>2.5000000000000001E-2</v>
      </c>
      <c r="AZ7" s="634">
        <f>Qld!AZ7</f>
        <v>2.5000000000000001E-2</v>
      </c>
      <c r="BA7" s="634">
        <f>Qld!BA7</f>
        <v>2.5000000000000001E-2</v>
      </c>
      <c r="BB7" s="634">
        <f>Qld!BB7</f>
        <v>2.5000000000000001E-2</v>
      </c>
      <c r="BC7" s="634">
        <f>Qld!BC7</f>
        <v>2.5000000000000001E-2</v>
      </c>
      <c r="BD7" s="634">
        <f>Qld!BD7</f>
        <v>2.5000000000000001E-2</v>
      </c>
      <c r="BE7" s="634">
        <f>Qld!BE7</f>
        <v>2.5000000000000001E-2</v>
      </c>
      <c r="BF7" s="634">
        <f>Qld!BF7</f>
        <v>2.5000000000000001E-2</v>
      </c>
      <c r="BG7" s="634">
        <f>Qld!BG7</f>
        <v>2.5000000000000001E-2</v>
      </c>
      <c r="BH7" s="634">
        <f>Qld!BH7</f>
        <v>2.5000000000000001E-2</v>
      </c>
      <c r="BI7" s="634">
        <f>Qld!BI7</f>
        <v>2.5000000000000001E-2</v>
      </c>
      <c r="BJ7" s="634">
        <f>Qld!BJ7</f>
        <v>2.5000000000000001E-2</v>
      </c>
      <c r="BK7" s="634">
        <f>Qld!BK7</f>
        <v>2.5000000000000001E-2</v>
      </c>
      <c r="BL7" s="634">
        <f>Qld!BL7</f>
        <v>2.5000000000000001E-2</v>
      </c>
      <c r="BM7" s="634">
        <f>Qld!BM7</f>
        <v>2.5000000000000001E-2</v>
      </c>
      <c r="BN7" s="634">
        <f>Qld!BN7</f>
        <v>2.5000000000000001E-2</v>
      </c>
      <c r="BO7" s="634">
        <f>Qld!BO7</f>
        <v>2.5000000000000001E-2</v>
      </c>
      <c r="BP7" s="634">
        <f>Qld!BP7</f>
        <v>2.5000000000000001E-2</v>
      </c>
      <c r="BQ7" s="634">
        <f>Qld!BQ7</f>
        <v>2.5000000000000001E-2</v>
      </c>
      <c r="BR7" s="634">
        <f>Qld!BR7</f>
        <v>2.5000000000000001E-2</v>
      </c>
      <c r="BS7" s="634">
        <f>Qld!BS7</f>
        <v>2.5000000000000001E-2</v>
      </c>
      <c r="BT7" s="634">
        <f>Qld!BT7</f>
        <v>2.5000000000000001E-2</v>
      </c>
      <c r="BU7" s="634">
        <f>Qld!BU7</f>
        <v>2.5000000000000001E-2</v>
      </c>
      <c r="BV7" s="634">
        <f>Qld!BV7</f>
        <v>2.5000000000000001E-2</v>
      </c>
      <c r="BW7" s="634">
        <f>Qld!BW7</f>
        <v>2.5000000000000001E-2</v>
      </c>
      <c r="BX7" s="634">
        <f>Qld!BX7</f>
        <v>2.5000000000000001E-2</v>
      </c>
      <c r="BY7" s="634">
        <f>Qld!BY7</f>
        <v>2.5000000000000001E-2</v>
      </c>
      <c r="BZ7" s="634">
        <f>Qld!BZ7</f>
        <v>2.5000000000000001E-2</v>
      </c>
      <c r="CA7" s="634">
        <f>Qld!CA7</f>
        <v>2.5000000000000001E-2</v>
      </c>
      <c r="CB7" s="634">
        <f>Qld!CB7</f>
        <v>2.5000000000000001E-2</v>
      </c>
      <c r="CC7" s="634">
        <f>Qld!CC7</f>
        <v>2.5000000000000001E-2</v>
      </c>
      <c r="CD7" s="634">
        <f>Qld!CD7</f>
        <v>2.5000000000000001E-2</v>
      </c>
      <c r="CE7" s="634">
        <f>Qld!CE7</f>
        <v>2.5000000000000001E-2</v>
      </c>
      <c r="CF7" s="634">
        <f>Qld!CF7</f>
        <v>2.5000000000000001E-2</v>
      </c>
      <c r="CG7" s="634">
        <f>Qld!CG7</f>
        <v>2.5000000000000001E-2</v>
      </c>
      <c r="CH7" s="634">
        <f>Qld!CH7</f>
        <v>2.5000000000000001E-2</v>
      </c>
      <c r="CI7" s="634">
        <f>Qld!CI7</f>
        <v>2.5000000000000001E-2</v>
      </c>
      <c r="CJ7" s="634">
        <f>Qld!CJ7</f>
        <v>2.5000000000000001E-2</v>
      </c>
      <c r="CK7" s="634">
        <f>Qld!CK7</f>
        <v>2.5000000000000001E-2</v>
      </c>
      <c r="CL7" s="634">
        <f>Qld!CL7</f>
        <v>2.5000000000000001E-2</v>
      </c>
      <c r="CM7" s="634">
        <f>Qld!CM7</f>
        <v>2.5000000000000001E-2</v>
      </c>
      <c r="CN7" s="634">
        <f>Qld!CN7</f>
        <v>2.5000000000000001E-2</v>
      </c>
      <c r="CO7" s="634">
        <f>Qld!CO7</f>
        <v>2.5000000000000001E-2</v>
      </c>
      <c r="CP7" s="634">
        <f>Qld!CP7</f>
        <v>2.5000000000000001E-2</v>
      </c>
      <c r="CQ7" s="635" t="s">
        <v>77</v>
      </c>
    </row>
    <row r="8" spans="1:95" s="98" customFormat="1" outlineLevel="1" x14ac:dyDescent="0.2">
      <c r="B8" s="98" t="s">
        <v>306</v>
      </c>
      <c r="C8" s="25"/>
      <c r="K8" s="634">
        <f>Qld!K8</f>
        <v>2.0136307311028778E-2</v>
      </c>
      <c r="L8" s="634">
        <f>Qld!L8</f>
        <v>3.0671120558760867E-2</v>
      </c>
      <c r="M8" s="634">
        <f>Qld!M8</f>
        <v>2.6222746022392496E-2</v>
      </c>
      <c r="N8" s="634">
        <f>Qld!N8</f>
        <v>3.5314384151593714E-2</v>
      </c>
      <c r="O8" s="634">
        <f>Qld!O8</f>
        <v>2.8008874098724101E-2</v>
      </c>
      <c r="P8" s="634">
        <f>Qld!P8</f>
        <v>2.0771513353116111E-2</v>
      </c>
      <c r="Q8" s="634">
        <f>Qld!Q8</f>
        <v>3.3033826638477759E-2</v>
      </c>
      <c r="R8" s="634">
        <f>Qld!R8</f>
        <v>2.3279611153747881E-2</v>
      </c>
      <c r="S8" s="634">
        <f>Qld!S8</f>
        <v>2.1500000000000075E-2</v>
      </c>
      <c r="T8" s="634">
        <f>Qld!T8</f>
        <v>3.2163742690058499E-2</v>
      </c>
      <c r="U8" s="634">
        <f>Qld!U8</f>
        <v>1.4E-2</v>
      </c>
      <c r="V8" s="634">
        <f>Qld!V8</f>
        <v>1.4999999999999999E-2</v>
      </c>
      <c r="W8" s="634">
        <f>Qld!W8</f>
        <v>1.4999999999999999E-2</v>
      </c>
      <c r="X8" s="634">
        <f>Qld!X8</f>
        <v>2.5000000000000001E-2</v>
      </c>
      <c r="Y8" s="634">
        <f>Qld!Y8</f>
        <v>2.5000000000000001E-2</v>
      </c>
      <c r="Z8" s="634">
        <f>Qld!Z8</f>
        <v>2.5000000000000001E-2</v>
      </c>
      <c r="AA8" s="634">
        <f>Qld!AA8</f>
        <v>2.5000000000000001E-2</v>
      </c>
      <c r="AB8" s="634">
        <f>Qld!AB8</f>
        <v>2.5000000000000001E-2</v>
      </c>
      <c r="AC8" s="634">
        <f>Qld!AC8</f>
        <v>2.5000000000000001E-2</v>
      </c>
      <c r="AD8" s="634">
        <f>Qld!AD8</f>
        <v>2.5000000000000001E-2</v>
      </c>
      <c r="AE8" s="634">
        <f>Qld!AE8</f>
        <v>2.5000000000000001E-2</v>
      </c>
      <c r="AF8" s="634">
        <f>Qld!AF8</f>
        <v>2.5000000000000001E-2</v>
      </c>
      <c r="AG8" s="634">
        <f>Qld!AG8</f>
        <v>2.5000000000000001E-2</v>
      </c>
      <c r="AH8" s="634">
        <f>Qld!AH8</f>
        <v>2.5000000000000001E-2</v>
      </c>
      <c r="AI8" s="634">
        <f>Qld!AI8</f>
        <v>2.5000000000000001E-2</v>
      </c>
      <c r="AJ8" s="634">
        <f>Qld!AJ8</f>
        <v>2.5000000000000001E-2</v>
      </c>
      <c r="AK8" s="634">
        <f>Qld!AK8</f>
        <v>2.5000000000000001E-2</v>
      </c>
      <c r="AL8" s="634">
        <f>Qld!AL8</f>
        <v>2.5000000000000001E-2</v>
      </c>
      <c r="AM8" s="634">
        <f>Qld!AM8</f>
        <v>2.5000000000000001E-2</v>
      </c>
      <c r="AN8" s="634">
        <f>Qld!AN8</f>
        <v>2.5000000000000001E-2</v>
      </c>
      <c r="AO8" s="634">
        <f>Qld!AO8</f>
        <v>2.5000000000000001E-2</v>
      </c>
      <c r="AP8" s="634">
        <f>Qld!AP8</f>
        <v>2.5000000000000001E-2</v>
      </c>
      <c r="AQ8" s="634">
        <f>Qld!AQ8</f>
        <v>2.5000000000000001E-2</v>
      </c>
      <c r="AR8" s="634">
        <f>Qld!AR8</f>
        <v>2.5000000000000001E-2</v>
      </c>
      <c r="AS8" s="634">
        <f>Qld!AS8</f>
        <v>2.5000000000000001E-2</v>
      </c>
      <c r="AT8" s="634">
        <f>Qld!AT8</f>
        <v>2.5000000000000001E-2</v>
      </c>
      <c r="AU8" s="634">
        <f>Qld!AU8</f>
        <v>2.5000000000000001E-2</v>
      </c>
      <c r="AV8" s="634">
        <f>Qld!AV8</f>
        <v>2.5000000000000001E-2</v>
      </c>
      <c r="AW8" s="634">
        <f>Qld!AW8</f>
        <v>2.5000000000000001E-2</v>
      </c>
      <c r="AX8" s="634">
        <f>Qld!AX8</f>
        <v>2.5000000000000001E-2</v>
      </c>
      <c r="AY8" s="634">
        <f>Qld!AY8</f>
        <v>2.5000000000000001E-2</v>
      </c>
      <c r="AZ8" s="634">
        <f>Qld!AZ8</f>
        <v>2.5000000000000001E-2</v>
      </c>
      <c r="BA8" s="634">
        <f>Qld!BA8</f>
        <v>2.5000000000000001E-2</v>
      </c>
      <c r="BB8" s="634">
        <f>Qld!BB8</f>
        <v>2.5000000000000001E-2</v>
      </c>
      <c r="BC8" s="634">
        <f>Qld!BC8</f>
        <v>2.5000000000000001E-2</v>
      </c>
      <c r="BD8" s="634">
        <f>Qld!BD8</f>
        <v>2.5000000000000001E-2</v>
      </c>
      <c r="BE8" s="634">
        <f>Qld!BE8</f>
        <v>2.5000000000000001E-2</v>
      </c>
      <c r="BF8" s="634">
        <f>Qld!BF8</f>
        <v>2.5000000000000001E-2</v>
      </c>
      <c r="BG8" s="634">
        <f>Qld!BG8</f>
        <v>2.5000000000000001E-2</v>
      </c>
      <c r="BH8" s="634">
        <f>Qld!BH8</f>
        <v>2.5000000000000001E-2</v>
      </c>
      <c r="BI8" s="634">
        <f>Qld!BI8</f>
        <v>2.5000000000000001E-2</v>
      </c>
      <c r="BJ8" s="634">
        <f>Qld!BJ8</f>
        <v>2.5000000000000001E-2</v>
      </c>
      <c r="BK8" s="634">
        <f>Qld!BK8</f>
        <v>2.5000000000000001E-2</v>
      </c>
      <c r="BL8" s="634">
        <f>Qld!BL8</f>
        <v>2.5000000000000001E-2</v>
      </c>
      <c r="BM8" s="634">
        <f>Qld!BM8</f>
        <v>2.5000000000000001E-2</v>
      </c>
      <c r="BN8" s="634">
        <f>Qld!BN8</f>
        <v>2.5000000000000001E-2</v>
      </c>
      <c r="BO8" s="634">
        <f>Qld!BO8</f>
        <v>2.5000000000000001E-2</v>
      </c>
      <c r="BP8" s="634">
        <f>Qld!BP8</f>
        <v>2.5000000000000001E-2</v>
      </c>
      <c r="BQ8" s="634">
        <f>Qld!BQ8</f>
        <v>2.5000000000000001E-2</v>
      </c>
      <c r="BR8" s="634">
        <f>Qld!BR8</f>
        <v>2.5000000000000001E-2</v>
      </c>
      <c r="BS8" s="634">
        <f>Qld!BS8</f>
        <v>2.5000000000000001E-2</v>
      </c>
      <c r="BT8" s="634">
        <f>Qld!BT8</f>
        <v>2.5000000000000001E-2</v>
      </c>
      <c r="BU8" s="634">
        <f>Qld!BU8</f>
        <v>2.5000000000000001E-2</v>
      </c>
      <c r="BV8" s="634">
        <f>Qld!BV8</f>
        <v>2.5000000000000001E-2</v>
      </c>
      <c r="BW8" s="634">
        <f>Qld!BW8</f>
        <v>2.5000000000000001E-2</v>
      </c>
      <c r="BX8" s="634">
        <f>Qld!BX8</f>
        <v>2.5000000000000001E-2</v>
      </c>
      <c r="BY8" s="634">
        <f>Qld!BY8</f>
        <v>2.5000000000000001E-2</v>
      </c>
      <c r="BZ8" s="634">
        <f>Qld!BZ8</f>
        <v>2.5000000000000001E-2</v>
      </c>
      <c r="CA8" s="634">
        <f>Qld!CA8</f>
        <v>2.5000000000000001E-2</v>
      </c>
      <c r="CB8" s="634">
        <f>Qld!CB8</f>
        <v>2.5000000000000001E-2</v>
      </c>
      <c r="CC8" s="634">
        <f>Qld!CC8</f>
        <v>2.5000000000000001E-2</v>
      </c>
      <c r="CD8" s="634">
        <f>Qld!CD8</f>
        <v>2.5000000000000001E-2</v>
      </c>
      <c r="CE8" s="634">
        <f>Qld!CE8</f>
        <v>2.5000000000000001E-2</v>
      </c>
      <c r="CF8" s="634">
        <f>Qld!CF8</f>
        <v>2.5000000000000001E-2</v>
      </c>
      <c r="CG8" s="634">
        <f>Qld!CG8</f>
        <v>2.5000000000000001E-2</v>
      </c>
      <c r="CH8" s="634">
        <f>Qld!CH8</f>
        <v>2.5000000000000001E-2</v>
      </c>
      <c r="CI8" s="634">
        <f>Qld!CI8</f>
        <v>2.5000000000000001E-2</v>
      </c>
      <c r="CJ8" s="634">
        <f>Qld!CJ8</f>
        <v>2.5000000000000001E-2</v>
      </c>
      <c r="CK8" s="634">
        <f>Qld!CK8</f>
        <v>2.5000000000000001E-2</v>
      </c>
      <c r="CL8" s="634">
        <f>Qld!CL8</f>
        <v>2.5000000000000001E-2</v>
      </c>
      <c r="CM8" s="634">
        <f>Qld!CM8</f>
        <v>2.5000000000000001E-2</v>
      </c>
      <c r="CN8" s="634">
        <f>Qld!CN8</f>
        <v>2.5000000000000001E-2</v>
      </c>
      <c r="CO8" s="634">
        <f>Qld!CO8</f>
        <v>2.5000000000000001E-2</v>
      </c>
      <c r="CP8" s="634">
        <f>Qld!CP8</f>
        <v>2.5000000000000001E-2</v>
      </c>
      <c r="CQ8" s="635" t="s">
        <v>77</v>
      </c>
    </row>
    <row r="9" spans="1:95" s="98" customFormat="1" outlineLevel="1" x14ac:dyDescent="0.2">
      <c r="B9" s="98" t="s">
        <v>307</v>
      </c>
      <c r="C9" s="25"/>
      <c r="K9" s="634">
        <f>Qld!K9</f>
        <v>2.5215448451963329E-2</v>
      </c>
      <c r="L9" s="634">
        <f>Qld!L9</f>
        <v>3.1755915317558836E-2</v>
      </c>
      <c r="M9" s="634">
        <f>Qld!M9</f>
        <v>3.3494266747133405E-2</v>
      </c>
      <c r="N9" s="634">
        <f>Qld!N9</f>
        <v>4.1167883211678857E-2</v>
      </c>
      <c r="O9" s="634">
        <f>Qld!O9</f>
        <v>3.7296690970274771E-2</v>
      </c>
      <c r="P9" s="634">
        <f>Qld!P9</f>
        <v>2.6763990267639759E-2</v>
      </c>
      <c r="Q9" s="634">
        <f>Qld!Q9</f>
        <v>3.3438651922064411E-2</v>
      </c>
      <c r="R9" s="634">
        <f>Qld!R9</f>
        <v>1.9108280254777066E-2</v>
      </c>
      <c r="S9" s="634">
        <f>Qld!S9</f>
        <v>0.02</v>
      </c>
      <c r="T9" s="634">
        <f>Qld!T9</f>
        <v>3.2195121951219499E-2</v>
      </c>
      <c r="U9" s="634">
        <f>Qld!U9</f>
        <v>1.7999999999999999E-2</v>
      </c>
      <c r="V9" s="634">
        <f>Qld!V9</f>
        <v>1.4999999999999999E-2</v>
      </c>
      <c r="W9" s="634">
        <f>Qld!W9</f>
        <v>1.4999999999999999E-2</v>
      </c>
      <c r="X9" s="634">
        <f>Qld!X9</f>
        <v>2.5000000000000001E-2</v>
      </c>
      <c r="Y9" s="634">
        <f>Qld!Y9</f>
        <v>2.5000000000000001E-2</v>
      </c>
      <c r="Z9" s="634">
        <f>Qld!Z9</f>
        <v>2.5000000000000001E-2</v>
      </c>
      <c r="AA9" s="634">
        <f>Qld!AA9</f>
        <v>2.5000000000000001E-2</v>
      </c>
      <c r="AB9" s="634">
        <f>Qld!AB9</f>
        <v>2.5000000000000001E-2</v>
      </c>
      <c r="AC9" s="634">
        <f>Qld!AC9</f>
        <v>2.5000000000000001E-2</v>
      </c>
      <c r="AD9" s="634">
        <f>Qld!AD9</f>
        <v>2.5000000000000001E-2</v>
      </c>
      <c r="AE9" s="634">
        <f>Qld!AE9</f>
        <v>2.5000000000000001E-2</v>
      </c>
      <c r="AF9" s="634">
        <f>Qld!AF9</f>
        <v>2.5000000000000001E-2</v>
      </c>
      <c r="AG9" s="634">
        <f>Qld!AG9</f>
        <v>2.5000000000000001E-2</v>
      </c>
      <c r="AH9" s="634">
        <f>Qld!AH9</f>
        <v>2.5000000000000001E-2</v>
      </c>
      <c r="AI9" s="634">
        <f>Qld!AI9</f>
        <v>2.5000000000000001E-2</v>
      </c>
      <c r="AJ9" s="634">
        <f>Qld!AJ9</f>
        <v>2.5000000000000001E-2</v>
      </c>
      <c r="AK9" s="634">
        <f>Qld!AK9</f>
        <v>2.5000000000000001E-2</v>
      </c>
      <c r="AL9" s="634">
        <f>Qld!AL9</f>
        <v>2.5000000000000001E-2</v>
      </c>
      <c r="AM9" s="634">
        <f>Qld!AM9</f>
        <v>2.5000000000000001E-2</v>
      </c>
      <c r="AN9" s="634">
        <f>Qld!AN9</f>
        <v>2.5000000000000001E-2</v>
      </c>
      <c r="AO9" s="634">
        <f>Qld!AO9</f>
        <v>2.5000000000000001E-2</v>
      </c>
      <c r="AP9" s="634">
        <f>Qld!AP9</f>
        <v>2.5000000000000001E-2</v>
      </c>
      <c r="AQ9" s="634">
        <f>Qld!AQ9</f>
        <v>2.5000000000000001E-2</v>
      </c>
      <c r="AR9" s="634">
        <f>Qld!AR9</f>
        <v>2.5000000000000001E-2</v>
      </c>
      <c r="AS9" s="634">
        <f>Qld!AS9</f>
        <v>2.5000000000000001E-2</v>
      </c>
      <c r="AT9" s="634">
        <f>Qld!AT9</f>
        <v>2.5000000000000001E-2</v>
      </c>
      <c r="AU9" s="634">
        <f>Qld!AU9</f>
        <v>2.5000000000000001E-2</v>
      </c>
      <c r="AV9" s="634">
        <f>Qld!AV9</f>
        <v>2.5000000000000001E-2</v>
      </c>
      <c r="AW9" s="634">
        <f>Qld!AW9</f>
        <v>2.5000000000000001E-2</v>
      </c>
      <c r="AX9" s="634">
        <f>Qld!AX9</f>
        <v>2.5000000000000001E-2</v>
      </c>
      <c r="AY9" s="634">
        <f>Qld!AY9</f>
        <v>2.5000000000000001E-2</v>
      </c>
      <c r="AZ9" s="634">
        <f>Qld!AZ9</f>
        <v>2.5000000000000001E-2</v>
      </c>
      <c r="BA9" s="634">
        <f>Qld!BA9</f>
        <v>2.5000000000000001E-2</v>
      </c>
      <c r="BB9" s="634">
        <f>Qld!BB9</f>
        <v>2.5000000000000001E-2</v>
      </c>
      <c r="BC9" s="634">
        <f>Qld!BC9</f>
        <v>2.5000000000000001E-2</v>
      </c>
      <c r="BD9" s="634">
        <f>Qld!BD9</f>
        <v>2.5000000000000001E-2</v>
      </c>
      <c r="BE9" s="634">
        <f>Qld!BE9</f>
        <v>2.5000000000000001E-2</v>
      </c>
      <c r="BF9" s="634">
        <f>Qld!BF9</f>
        <v>2.5000000000000001E-2</v>
      </c>
      <c r="BG9" s="634">
        <f>Qld!BG9</f>
        <v>2.5000000000000001E-2</v>
      </c>
      <c r="BH9" s="634">
        <f>Qld!BH9</f>
        <v>2.5000000000000001E-2</v>
      </c>
      <c r="BI9" s="634">
        <f>Qld!BI9</f>
        <v>2.5000000000000001E-2</v>
      </c>
      <c r="BJ9" s="634">
        <f>Qld!BJ9</f>
        <v>2.5000000000000001E-2</v>
      </c>
      <c r="BK9" s="634">
        <f>Qld!BK9</f>
        <v>2.5000000000000001E-2</v>
      </c>
      <c r="BL9" s="634">
        <f>Qld!BL9</f>
        <v>2.5000000000000001E-2</v>
      </c>
      <c r="BM9" s="634">
        <f>Qld!BM9</f>
        <v>2.5000000000000001E-2</v>
      </c>
      <c r="BN9" s="634">
        <f>Qld!BN9</f>
        <v>2.5000000000000001E-2</v>
      </c>
      <c r="BO9" s="634">
        <f>Qld!BO9</f>
        <v>2.5000000000000001E-2</v>
      </c>
      <c r="BP9" s="634">
        <f>Qld!BP9</f>
        <v>2.5000000000000001E-2</v>
      </c>
      <c r="BQ9" s="634">
        <f>Qld!BQ9</f>
        <v>2.5000000000000001E-2</v>
      </c>
      <c r="BR9" s="634">
        <f>Qld!BR9</f>
        <v>2.5000000000000001E-2</v>
      </c>
      <c r="BS9" s="634">
        <f>Qld!BS9</f>
        <v>2.5000000000000001E-2</v>
      </c>
      <c r="BT9" s="634">
        <f>Qld!BT9</f>
        <v>2.5000000000000001E-2</v>
      </c>
      <c r="BU9" s="634">
        <f>Qld!BU9</f>
        <v>2.5000000000000001E-2</v>
      </c>
      <c r="BV9" s="634">
        <f>Qld!BV9</f>
        <v>2.5000000000000001E-2</v>
      </c>
      <c r="BW9" s="634">
        <f>Qld!BW9</f>
        <v>2.5000000000000001E-2</v>
      </c>
      <c r="BX9" s="634">
        <f>Qld!BX9</f>
        <v>2.5000000000000001E-2</v>
      </c>
      <c r="BY9" s="634">
        <f>Qld!BY9</f>
        <v>2.5000000000000001E-2</v>
      </c>
      <c r="BZ9" s="634">
        <f>Qld!BZ9</f>
        <v>2.5000000000000001E-2</v>
      </c>
      <c r="CA9" s="634">
        <f>Qld!CA9</f>
        <v>2.5000000000000001E-2</v>
      </c>
      <c r="CB9" s="634">
        <f>Qld!CB9</f>
        <v>2.5000000000000001E-2</v>
      </c>
      <c r="CC9" s="634">
        <f>Qld!CC9</f>
        <v>2.5000000000000001E-2</v>
      </c>
      <c r="CD9" s="634">
        <f>Qld!CD9</f>
        <v>2.5000000000000001E-2</v>
      </c>
      <c r="CE9" s="634">
        <f>Qld!CE9</f>
        <v>2.5000000000000001E-2</v>
      </c>
      <c r="CF9" s="634">
        <f>Qld!CF9</f>
        <v>2.5000000000000001E-2</v>
      </c>
      <c r="CG9" s="634">
        <f>Qld!CG9</f>
        <v>2.5000000000000001E-2</v>
      </c>
      <c r="CH9" s="634">
        <f>Qld!CH9</f>
        <v>2.5000000000000001E-2</v>
      </c>
      <c r="CI9" s="634">
        <f>Qld!CI9</f>
        <v>2.5000000000000001E-2</v>
      </c>
      <c r="CJ9" s="634">
        <f>Qld!CJ9</f>
        <v>2.5000000000000001E-2</v>
      </c>
      <c r="CK9" s="634">
        <f>Qld!CK9</f>
        <v>2.5000000000000001E-2</v>
      </c>
      <c r="CL9" s="634">
        <f>Qld!CL9</f>
        <v>2.5000000000000001E-2</v>
      </c>
      <c r="CM9" s="634">
        <f>Qld!CM9</f>
        <v>2.5000000000000001E-2</v>
      </c>
      <c r="CN9" s="634">
        <f>Qld!CN9</f>
        <v>2.5000000000000001E-2</v>
      </c>
      <c r="CO9" s="634">
        <f>Qld!CO9</f>
        <v>2.5000000000000001E-2</v>
      </c>
      <c r="CP9" s="634">
        <f>Qld!CP9</f>
        <v>2.5000000000000001E-2</v>
      </c>
      <c r="CQ9" s="635" t="s">
        <v>77</v>
      </c>
    </row>
    <row r="10" spans="1:95" s="98" customFormat="1" outlineLevel="1" x14ac:dyDescent="0.2">
      <c r="B10" s="98" t="s">
        <v>308</v>
      </c>
      <c r="C10" s="25"/>
      <c r="K10" s="634">
        <f>Qld!K10</f>
        <v>2.405498281786933E-2</v>
      </c>
      <c r="L10" s="634">
        <f>Qld!L10</f>
        <v>3.1116534472239055E-2</v>
      </c>
      <c r="M10" s="634">
        <f>Qld!M10</f>
        <v>2.6331360946745708E-2</v>
      </c>
      <c r="N10" s="634">
        <f>Qld!N10</f>
        <v>3.2862496396655949E-2</v>
      </c>
      <c r="O10" s="634">
        <f>Qld!O10</f>
        <v>3.1537817471392504E-2</v>
      </c>
      <c r="P10" s="634">
        <f>Qld!P10</f>
        <v>2.1915584415584499E-2</v>
      </c>
      <c r="Q10" s="634">
        <f>Qld!Q10</f>
        <v>3.2036007413290823E-2</v>
      </c>
      <c r="R10" s="634">
        <f>Qld!R10</f>
        <v>2.6423807080554251E-2</v>
      </c>
      <c r="S10" s="634">
        <f>Qld!S10</f>
        <v>2.0244938765308751E-2</v>
      </c>
      <c r="T10" s="634">
        <f>Qld!T10</f>
        <v>3.1280547409579598E-2</v>
      </c>
      <c r="U10" s="634">
        <f>Qld!U10</f>
        <v>1.4999999999999999E-2</v>
      </c>
      <c r="V10" s="634">
        <f>Qld!V10</f>
        <v>1.4999999999999999E-2</v>
      </c>
      <c r="W10" s="634">
        <f>Qld!W10</f>
        <v>1.4999999999999999E-2</v>
      </c>
      <c r="X10" s="634">
        <f>Qld!X10</f>
        <v>2.5000000000000001E-2</v>
      </c>
      <c r="Y10" s="634">
        <f>Qld!Y10</f>
        <v>2.5000000000000001E-2</v>
      </c>
      <c r="Z10" s="634">
        <f>Qld!Z10</f>
        <v>2.5000000000000001E-2</v>
      </c>
      <c r="AA10" s="634">
        <f>Qld!AA10</f>
        <v>2.5000000000000001E-2</v>
      </c>
      <c r="AB10" s="634">
        <f>Qld!AB10</f>
        <v>2.5000000000000001E-2</v>
      </c>
      <c r="AC10" s="634">
        <f>Qld!AC10</f>
        <v>2.5000000000000001E-2</v>
      </c>
      <c r="AD10" s="634">
        <f>Qld!AD10</f>
        <v>2.5000000000000001E-2</v>
      </c>
      <c r="AE10" s="634">
        <f>Qld!AE10</f>
        <v>2.5000000000000001E-2</v>
      </c>
      <c r="AF10" s="634">
        <f>Qld!AF10</f>
        <v>2.5000000000000001E-2</v>
      </c>
      <c r="AG10" s="634">
        <f>Qld!AG10</f>
        <v>2.5000000000000001E-2</v>
      </c>
      <c r="AH10" s="634">
        <f>Qld!AH10</f>
        <v>2.5000000000000001E-2</v>
      </c>
      <c r="AI10" s="634">
        <f>Qld!AI10</f>
        <v>2.5000000000000001E-2</v>
      </c>
      <c r="AJ10" s="634">
        <f>Qld!AJ10</f>
        <v>2.5000000000000001E-2</v>
      </c>
      <c r="AK10" s="634">
        <f>Qld!AK10</f>
        <v>2.5000000000000001E-2</v>
      </c>
      <c r="AL10" s="634">
        <f>Qld!AL10</f>
        <v>2.5000000000000001E-2</v>
      </c>
      <c r="AM10" s="634">
        <f>Qld!AM10</f>
        <v>2.5000000000000001E-2</v>
      </c>
      <c r="AN10" s="634">
        <f>Qld!AN10</f>
        <v>2.5000000000000001E-2</v>
      </c>
      <c r="AO10" s="634">
        <f>Qld!AO10</f>
        <v>2.5000000000000001E-2</v>
      </c>
      <c r="AP10" s="634">
        <f>Qld!AP10</f>
        <v>2.5000000000000001E-2</v>
      </c>
      <c r="AQ10" s="634">
        <f>Qld!AQ10</f>
        <v>2.5000000000000001E-2</v>
      </c>
      <c r="AR10" s="634">
        <f>Qld!AR10</f>
        <v>2.5000000000000001E-2</v>
      </c>
      <c r="AS10" s="634">
        <f>Qld!AS10</f>
        <v>2.5000000000000001E-2</v>
      </c>
      <c r="AT10" s="634">
        <f>Qld!AT10</f>
        <v>2.5000000000000001E-2</v>
      </c>
      <c r="AU10" s="634">
        <f>Qld!AU10</f>
        <v>2.5000000000000001E-2</v>
      </c>
      <c r="AV10" s="634">
        <f>Qld!AV10</f>
        <v>2.5000000000000001E-2</v>
      </c>
      <c r="AW10" s="634">
        <f>Qld!AW10</f>
        <v>2.5000000000000001E-2</v>
      </c>
      <c r="AX10" s="634">
        <f>Qld!AX10</f>
        <v>2.5000000000000001E-2</v>
      </c>
      <c r="AY10" s="634">
        <f>Qld!AY10</f>
        <v>2.5000000000000001E-2</v>
      </c>
      <c r="AZ10" s="634">
        <f>Qld!AZ10</f>
        <v>2.5000000000000001E-2</v>
      </c>
      <c r="BA10" s="634">
        <f>Qld!BA10</f>
        <v>2.5000000000000001E-2</v>
      </c>
      <c r="BB10" s="634">
        <f>Qld!BB10</f>
        <v>2.5000000000000001E-2</v>
      </c>
      <c r="BC10" s="634">
        <f>Qld!BC10</f>
        <v>2.5000000000000001E-2</v>
      </c>
      <c r="BD10" s="634">
        <f>Qld!BD10</f>
        <v>2.5000000000000001E-2</v>
      </c>
      <c r="BE10" s="634">
        <f>Qld!BE10</f>
        <v>2.5000000000000001E-2</v>
      </c>
      <c r="BF10" s="634">
        <f>Qld!BF10</f>
        <v>2.5000000000000001E-2</v>
      </c>
      <c r="BG10" s="634">
        <f>Qld!BG10</f>
        <v>2.5000000000000001E-2</v>
      </c>
      <c r="BH10" s="634">
        <f>Qld!BH10</f>
        <v>2.5000000000000001E-2</v>
      </c>
      <c r="BI10" s="634">
        <f>Qld!BI10</f>
        <v>2.5000000000000001E-2</v>
      </c>
      <c r="BJ10" s="634">
        <f>Qld!BJ10</f>
        <v>2.5000000000000001E-2</v>
      </c>
      <c r="BK10" s="634">
        <f>Qld!BK10</f>
        <v>2.5000000000000001E-2</v>
      </c>
      <c r="BL10" s="634">
        <f>Qld!BL10</f>
        <v>2.5000000000000001E-2</v>
      </c>
      <c r="BM10" s="634">
        <f>Qld!BM10</f>
        <v>2.5000000000000001E-2</v>
      </c>
      <c r="BN10" s="634">
        <f>Qld!BN10</f>
        <v>2.5000000000000001E-2</v>
      </c>
      <c r="BO10" s="634">
        <f>Qld!BO10</f>
        <v>2.5000000000000001E-2</v>
      </c>
      <c r="BP10" s="634">
        <f>Qld!BP10</f>
        <v>2.5000000000000001E-2</v>
      </c>
      <c r="BQ10" s="634">
        <f>Qld!BQ10</f>
        <v>2.5000000000000001E-2</v>
      </c>
      <c r="BR10" s="634">
        <f>Qld!BR10</f>
        <v>2.5000000000000001E-2</v>
      </c>
      <c r="BS10" s="634">
        <f>Qld!BS10</f>
        <v>2.5000000000000001E-2</v>
      </c>
      <c r="BT10" s="634">
        <f>Qld!BT10</f>
        <v>2.5000000000000001E-2</v>
      </c>
      <c r="BU10" s="634">
        <f>Qld!BU10</f>
        <v>2.5000000000000001E-2</v>
      </c>
      <c r="BV10" s="634">
        <f>Qld!BV10</f>
        <v>2.5000000000000001E-2</v>
      </c>
      <c r="BW10" s="634">
        <f>Qld!BW10</f>
        <v>2.5000000000000001E-2</v>
      </c>
      <c r="BX10" s="634">
        <f>Qld!BX10</f>
        <v>2.5000000000000001E-2</v>
      </c>
      <c r="BY10" s="634">
        <f>Qld!BY10</f>
        <v>2.5000000000000001E-2</v>
      </c>
      <c r="BZ10" s="634">
        <f>Qld!BZ10</f>
        <v>2.5000000000000001E-2</v>
      </c>
      <c r="CA10" s="634">
        <f>Qld!CA10</f>
        <v>2.5000000000000001E-2</v>
      </c>
      <c r="CB10" s="634">
        <f>Qld!CB10</f>
        <v>2.5000000000000001E-2</v>
      </c>
      <c r="CC10" s="634">
        <f>Qld!CC10</f>
        <v>2.5000000000000001E-2</v>
      </c>
      <c r="CD10" s="634">
        <f>Qld!CD10</f>
        <v>2.5000000000000001E-2</v>
      </c>
      <c r="CE10" s="634">
        <f>Qld!CE10</f>
        <v>2.5000000000000001E-2</v>
      </c>
      <c r="CF10" s="634">
        <f>Qld!CF10</f>
        <v>2.5000000000000001E-2</v>
      </c>
      <c r="CG10" s="634">
        <f>Qld!CG10</f>
        <v>2.5000000000000001E-2</v>
      </c>
      <c r="CH10" s="634">
        <f>Qld!CH10</f>
        <v>2.5000000000000001E-2</v>
      </c>
      <c r="CI10" s="634">
        <f>Qld!CI10</f>
        <v>2.5000000000000001E-2</v>
      </c>
      <c r="CJ10" s="634">
        <f>Qld!CJ10</f>
        <v>2.5000000000000001E-2</v>
      </c>
      <c r="CK10" s="634">
        <f>Qld!CK10</f>
        <v>2.5000000000000001E-2</v>
      </c>
      <c r="CL10" s="634">
        <f>Qld!CL10</f>
        <v>2.5000000000000001E-2</v>
      </c>
      <c r="CM10" s="634">
        <f>Qld!CM10</f>
        <v>2.5000000000000001E-2</v>
      </c>
      <c r="CN10" s="634">
        <f>Qld!CN10</f>
        <v>2.5000000000000001E-2</v>
      </c>
      <c r="CO10" s="634">
        <f>Qld!CO10</f>
        <v>2.5000000000000001E-2</v>
      </c>
      <c r="CP10" s="634">
        <f>Qld!CP10</f>
        <v>2.5000000000000001E-2</v>
      </c>
      <c r="CQ10" s="635" t="s">
        <v>77</v>
      </c>
    </row>
    <row r="11" spans="1:95" s="98" customFormat="1" outlineLevel="1" x14ac:dyDescent="0.2">
      <c r="B11" s="98" t="s">
        <v>309</v>
      </c>
      <c r="C11" s="25"/>
      <c r="K11" s="634">
        <f>Qld!K11</f>
        <v>3.1179684988749345E-2</v>
      </c>
      <c r="L11" s="634">
        <f>Qld!L11</f>
        <v>4.3017456359102368E-2</v>
      </c>
      <c r="M11" s="634">
        <f>Qld!M11</f>
        <v>3.9151225343693863E-2</v>
      </c>
      <c r="N11" s="634">
        <f>Qld!N11</f>
        <v>3.6525740580960475E-2</v>
      </c>
      <c r="O11" s="634">
        <f>Qld!O11</f>
        <v>3.0244173140954622E-2</v>
      </c>
      <c r="P11" s="634">
        <f>Qld!P11</f>
        <v>2.5047131699434511E-2</v>
      </c>
      <c r="Q11" s="634">
        <f>Qld!Q11</f>
        <v>2.8376248029427176E-2</v>
      </c>
      <c r="R11" s="634">
        <f>Qld!R11</f>
        <v>2.1716913643331726E-2</v>
      </c>
      <c r="S11" s="634">
        <f>Qld!S11</f>
        <v>2.2505626406601698E-2</v>
      </c>
      <c r="T11" s="634">
        <f>Qld!T11</f>
        <v>3.3009708737864199E-2</v>
      </c>
      <c r="U11" s="634">
        <f>Qld!U11</f>
        <v>1.7999999999999999E-2</v>
      </c>
      <c r="V11" s="634">
        <f>Qld!V11</f>
        <v>1.4999999999999999E-2</v>
      </c>
      <c r="W11" s="634">
        <f>Qld!W11</f>
        <v>1.4999999999999999E-2</v>
      </c>
      <c r="X11" s="634">
        <f>Qld!X11</f>
        <v>2.5000000000000001E-2</v>
      </c>
      <c r="Y11" s="634">
        <f>Qld!Y11</f>
        <v>2.5000000000000001E-2</v>
      </c>
      <c r="Z11" s="634">
        <f>Qld!Z11</f>
        <v>2.5000000000000001E-2</v>
      </c>
      <c r="AA11" s="634">
        <f>Qld!AA11</f>
        <v>2.5000000000000001E-2</v>
      </c>
      <c r="AB11" s="634">
        <f>Qld!AB11</f>
        <v>2.5000000000000001E-2</v>
      </c>
      <c r="AC11" s="634">
        <f>Qld!AC11</f>
        <v>2.5000000000000001E-2</v>
      </c>
      <c r="AD11" s="634">
        <f>Qld!AD11</f>
        <v>2.5000000000000001E-2</v>
      </c>
      <c r="AE11" s="634">
        <f>Qld!AE11</f>
        <v>2.5000000000000001E-2</v>
      </c>
      <c r="AF11" s="634">
        <f>Qld!AF11</f>
        <v>2.5000000000000001E-2</v>
      </c>
      <c r="AG11" s="634">
        <f>Qld!AG11</f>
        <v>2.5000000000000001E-2</v>
      </c>
      <c r="AH11" s="634">
        <f>Qld!AH11</f>
        <v>2.5000000000000001E-2</v>
      </c>
      <c r="AI11" s="634">
        <f>Qld!AI11</f>
        <v>2.5000000000000001E-2</v>
      </c>
      <c r="AJ11" s="634">
        <f>Qld!AJ11</f>
        <v>2.5000000000000001E-2</v>
      </c>
      <c r="AK11" s="634">
        <f>Qld!AK11</f>
        <v>2.5000000000000001E-2</v>
      </c>
      <c r="AL11" s="634">
        <f>Qld!AL11</f>
        <v>2.5000000000000001E-2</v>
      </c>
      <c r="AM11" s="634">
        <f>Qld!AM11</f>
        <v>2.5000000000000001E-2</v>
      </c>
      <c r="AN11" s="634">
        <f>Qld!AN11</f>
        <v>2.5000000000000001E-2</v>
      </c>
      <c r="AO11" s="634">
        <f>Qld!AO11</f>
        <v>2.5000000000000001E-2</v>
      </c>
      <c r="AP11" s="634">
        <f>Qld!AP11</f>
        <v>2.5000000000000001E-2</v>
      </c>
      <c r="AQ11" s="634">
        <f>Qld!AQ11</f>
        <v>2.5000000000000001E-2</v>
      </c>
      <c r="AR11" s="634">
        <f>Qld!AR11</f>
        <v>2.5000000000000001E-2</v>
      </c>
      <c r="AS11" s="634">
        <f>Qld!AS11</f>
        <v>2.5000000000000001E-2</v>
      </c>
      <c r="AT11" s="634">
        <f>Qld!AT11</f>
        <v>2.5000000000000001E-2</v>
      </c>
      <c r="AU11" s="634">
        <f>Qld!AU11</f>
        <v>2.5000000000000001E-2</v>
      </c>
      <c r="AV11" s="634">
        <f>Qld!AV11</f>
        <v>2.5000000000000001E-2</v>
      </c>
      <c r="AW11" s="634">
        <f>Qld!AW11</f>
        <v>2.5000000000000001E-2</v>
      </c>
      <c r="AX11" s="634">
        <f>Qld!AX11</f>
        <v>2.5000000000000001E-2</v>
      </c>
      <c r="AY11" s="634">
        <f>Qld!AY11</f>
        <v>2.5000000000000001E-2</v>
      </c>
      <c r="AZ11" s="634">
        <f>Qld!AZ11</f>
        <v>2.5000000000000001E-2</v>
      </c>
      <c r="BA11" s="634">
        <f>Qld!BA11</f>
        <v>2.5000000000000001E-2</v>
      </c>
      <c r="BB11" s="634">
        <f>Qld!BB11</f>
        <v>2.5000000000000001E-2</v>
      </c>
      <c r="BC11" s="634">
        <f>Qld!BC11</f>
        <v>2.5000000000000001E-2</v>
      </c>
      <c r="BD11" s="634">
        <f>Qld!BD11</f>
        <v>2.5000000000000001E-2</v>
      </c>
      <c r="BE11" s="634">
        <f>Qld!BE11</f>
        <v>2.5000000000000001E-2</v>
      </c>
      <c r="BF11" s="634">
        <f>Qld!BF11</f>
        <v>2.5000000000000001E-2</v>
      </c>
      <c r="BG11" s="634">
        <f>Qld!BG11</f>
        <v>2.5000000000000001E-2</v>
      </c>
      <c r="BH11" s="634">
        <f>Qld!BH11</f>
        <v>2.5000000000000001E-2</v>
      </c>
      <c r="BI11" s="634">
        <f>Qld!BI11</f>
        <v>2.5000000000000001E-2</v>
      </c>
      <c r="BJ11" s="634">
        <f>Qld!BJ11</f>
        <v>2.5000000000000001E-2</v>
      </c>
      <c r="BK11" s="634">
        <f>Qld!BK11</f>
        <v>2.5000000000000001E-2</v>
      </c>
      <c r="BL11" s="634">
        <f>Qld!BL11</f>
        <v>2.5000000000000001E-2</v>
      </c>
      <c r="BM11" s="634">
        <f>Qld!BM11</f>
        <v>2.5000000000000001E-2</v>
      </c>
      <c r="BN11" s="634">
        <f>Qld!BN11</f>
        <v>2.5000000000000001E-2</v>
      </c>
      <c r="BO11" s="634">
        <f>Qld!BO11</f>
        <v>2.5000000000000001E-2</v>
      </c>
      <c r="BP11" s="634">
        <f>Qld!BP11</f>
        <v>2.5000000000000001E-2</v>
      </c>
      <c r="BQ11" s="634">
        <f>Qld!BQ11</f>
        <v>2.5000000000000001E-2</v>
      </c>
      <c r="BR11" s="634">
        <f>Qld!BR11</f>
        <v>2.5000000000000001E-2</v>
      </c>
      <c r="BS11" s="634">
        <f>Qld!BS11</f>
        <v>2.5000000000000001E-2</v>
      </c>
      <c r="BT11" s="634">
        <f>Qld!BT11</f>
        <v>2.5000000000000001E-2</v>
      </c>
      <c r="BU11" s="634">
        <f>Qld!BU11</f>
        <v>2.5000000000000001E-2</v>
      </c>
      <c r="BV11" s="634">
        <f>Qld!BV11</f>
        <v>2.5000000000000001E-2</v>
      </c>
      <c r="BW11" s="634">
        <f>Qld!BW11</f>
        <v>2.5000000000000001E-2</v>
      </c>
      <c r="BX11" s="634">
        <f>Qld!BX11</f>
        <v>2.5000000000000001E-2</v>
      </c>
      <c r="BY11" s="634">
        <f>Qld!BY11</f>
        <v>2.5000000000000001E-2</v>
      </c>
      <c r="BZ11" s="634">
        <f>Qld!BZ11</f>
        <v>2.5000000000000001E-2</v>
      </c>
      <c r="CA11" s="634">
        <f>Qld!CA11</f>
        <v>2.5000000000000001E-2</v>
      </c>
      <c r="CB11" s="634">
        <f>Qld!CB11</f>
        <v>2.5000000000000001E-2</v>
      </c>
      <c r="CC11" s="634">
        <f>Qld!CC11</f>
        <v>2.5000000000000001E-2</v>
      </c>
      <c r="CD11" s="634">
        <f>Qld!CD11</f>
        <v>2.5000000000000001E-2</v>
      </c>
      <c r="CE11" s="634">
        <f>Qld!CE11</f>
        <v>2.5000000000000001E-2</v>
      </c>
      <c r="CF11" s="634">
        <f>Qld!CF11</f>
        <v>2.5000000000000001E-2</v>
      </c>
      <c r="CG11" s="634">
        <f>Qld!CG11</f>
        <v>2.5000000000000001E-2</v>
      </c>
      <c r="CH11" s="634">
        <f>Qld!CH11</f>
        <v>2.5000000000000001E-2</v>
      </c>
      <c r="CI11" s="634">
        <f>Qld!CI11</f>
        <v>2.5000000000000001E-2</v>
      </c>
      <c r="CJ11" s="634">
        <f>Qld!CJ11</f>
        <v>2.5000000000000001E-2</v>
      </c>
      <c r="CK11" s="634">
        <f>Qld!CK11</f>
        <v>2.5000000000000001E-2</v>
      </c>
      <c r="CL11" s="634">
        <f>Qld!CL11</f>
        <v>2.5000000000000001E-2</v>
      </c>
      <c r="CM11" s="634">
        <f>Qld!CM11</f>
        <v>2.5000000000000001E-2</v>
      </c>
      <c r="CN11" s="634">
        <f>Qld!CN11</f>
        <v>2.5000000000000001E-2</v>
      </c>
      <c r="CO11" s="634">
        <f>Qld!CO11</f>
        <v>2.5000000000000001E-2</v>
      </c>
      <c r="CP11" s="634">
        <f>Qld!CP11</f>
        <v>2.5000000000000001E-2</v>
      </c>
      <c r="CQ11" s="635" t="s">
        <v>77</v>
      </c>
    </row>
    <row r="12" spans="1:95" s="98" customFormat="1" outlineLevel="1" x14ac:dyDescent="0.2">
      <c r="B12" s="98" t="s">
        <v>310</v>
      </c>
      <c r="C12" s="25"/>
      <c r="K12" s="634">
        <f>Qld!K12</f>
        <v>3.1855090568394751E-2</v>
      </c>
      <c r="L12" s="634">
        <f>Qld!L12</f>
        <v>3.1779661016949179E-2</v>
      </c>
      <c r="M12" s="634">
        <f>Qld!M12</f>
        <v>2.55206805514816E-2</v>
      </c>
      <c r="N12" s="634">
        <f>Qld!N12</f>
        <v>2.9748283752860427E-2</v>
      </c>
      <c r="O12" s="634">
        <f>Qld!O12</f>
        <v>2.8611111111111143E-2</v>
      </c>
      <c r="P12" s="634">
        <f>Qld!P12</f>
        <v>2.619497704563889E-2</v>
      </c>
      <c r="Q12" s="634">
        <f>Qld!Q12</f>
        <v>2.8947368421052388E-2</v>
      </c>
      <c r="R12" s="634">
        <f>Qld!R12</f>
        <v>2.3273657289002658E-2</v>
      </c>
      <c r="S12" s="634">
        <f>Qld!S12</f>
        <v>1.124718820294901E-2</v>
      </c>
      <c r="T12" s="634">
        <f>Qld!T12</f>
        <v>2.7531956735496601E-2</v>
      </c>
      <c r="U12" s="634">
        <f>Qld!U12</f>
        <v>1.2E-2</v>
      </c>
      <c r="V12" s="634">
        <f>Qld!V12</f>
        <v>1.4999999999999999E-2</v>
      </c>
      <c r="W12" s="634">
        <f>Qld!W12</f>
        <v>1.4999999999999999E-2</v>
      </c>
      <c r="X12" s="634">
        <f>Qld!X12</f>
        <v>2.5000000000000001E-2</v>
      </c>
      <c r="Y12" s="634">
        <f>Qld!Y12</f>
        <v>2.5000000000000001E-2</v>
      </c>
      <c r="Z12" s="634">
        <f>Qld!Z12</f>
        <v>2.5000000000000001E-2</v>
      </c>
      <c r="AA12" s="634">
        <f>Qld!AA12</f>
        <v>2.5000000000000001E-2</v>
      </c>
      <c r="AB12" s="634">
        <f>Qld!AB12</f>
        <v>2.5000000000000001E-2</v>
      </c>
      <c r="AC12" s="634">
        <f>Qld!AC12</f>
        <v>2.5000000000000001E-2</v>
      </c>
      <c r="AD12" s="634">
        <f>Qld!AD12</f>
        <v>2.5000000000000001E-2</v>
      </c>
      <c r="AE12" s="634">
        <f>Qld!AE12</f>
        <v>2.5000000000000001E-2</v>
      </c>
      <c r="AF12" s="634">
        <f>Qld!AF12</f>
        <v>2.5000000000000001E-2</v>
      </c>
      <c r="AG12" s="634">
        <f>Qld!AG12</f>
        <v>2.5000000000000001E-2</v>
      </c>
      <c r="AH12" s="634">
        <f>Qld!AH12</f>
        <v>2.5000000000000001E-2</v>
      </c>
      <c r="AI12" s="634">
        <f>Qld!AI12</f>
        <v>2.5000000000000001E-2</v>
      </c>
      <c r="AJ12" s="634">
        <f>Qld!AJ12</f>
        <v>2.5000000000000001E-2</v>
      </c>
      <c r="AK12" s="634">
        <f>Qld!AK12</f>
        <v>2.5000000000000001E-2</v>
      </c>
      <c r="AL12" s="634">
        <f>Qld!AL12</f>
        <v>2.5000000000000001E-2</v>
      </c>
      <c r="AM12" s="634">
        <f>Qld!AM12</f>
        <v>2.5000000000000001E-2</v>
      </c>
      <c r="AN12" s="634">
        <f>Qld!AN12</f>
        <v>2.5000000000000001E-2</v>
      </c>
      <c r="AO12" s="634">
        <f>Qld!AO12</f>
        <v>2.5000000000000001E-2</v>
      </c>
      <c r="AP12" s="634">
        <f>Qld!AP12</f>
        <v>2.5000000000000001E-2</v>
      </c>
      <c r="AQ12" s="634">
        <f>Qld!AQ12</f>
        <v>2.5000000000000001E-2</v>
      </c>
      <c r="AR12" s="634">
        <f>Qld!AR12</f>
        <v>2.5000000000000001E-2</v>
      </c>
      <c r="AS12" s="634">
        <f>Qld!AS12</f>
        <v>2.5000000000000001E-2</v>
      </c>
      <c r="AT12" s="634">
        <f>Qld!AT12</f>
        <v>2.5000000000000001E-2</v>
      </c>
      <c r="AU12" s="634">
        <f>Qld!AU12</f>
        <v>2.5000000000000001E-2</v>
      </c>
      <c r="AV12" s="634">
        <f>Qld!AV12</f>
        <v>2.5000000000000001E-2</v>
      </c>
      <c r="AW12" s="634">
        <f>Qld!AW12</f>
        <v>2.5000000000000001E-2</v>
      </c>
      <c r="AX12" s="634">
        <f>Qld!AX12</f>
        <v>2.5000000000000001E-2</v>
      </c>
      <c r="AY12" s="634">
        <f>Qld!AY12</f>
        <v>2.5000000000000001E-2</v>
      </c>
      <c r="AZ12" s="634">
        <f>Qld!AZ12</f>
        <v>2.5000000000000001E-2</v>
      </c>
      <c r="BA12" s="634">
        <f>Qld!BA12</f>
        <v>2.5000000000000001E-2</v>
      </c>
      <c r="BB12" s="634">
        <f>Qld!BB12</f>
        <v>2.5000000000000001E-2</v>
      </c>
      <c r="BC12" s="634">
        <f>Qld!BC12</f>
        <v>2.5000000000000001E-2</v>
      </c>
      <c r="BD12" s="634">
        <f>Qld!BD12</f>
        <v>2.5000000000000001E-2</v>
      </c>
      <c r="BE12" s="634">
        <f>Qld!BE12</f>
        <v>2.5000000000000001E-2</v>
      </c>
      <c r="BF12" s="634">
        <f>Qld!BF12</f>
        <v>2.5000000000000001E-2</v>
      </c>
      <c r="BG12" s="634">
        <f>Qld!BG12</f>
        <v>2.5000000000000001E-2</v>
      </c>
      <c r="BH12" s="634">
        <f>Qld!BH12</f>
        <v>2.5000000000000001E-2</v>
      </c>
      <c r="BI12" s="634">
        <f>Qld!BI12</f>
        <v>2.5000000000000001E-2</v>
      </c>
      <c r="BJ12" s="634">
        <f>Qld!BJ12</f>
        <v>2.5000000000000001E-2</v>
      </c>
      <c r="BK12" s="634">
        <f>Qld!BK12</f>
        <v>2.5000000000000001E-2</v>
      </c>
      <c r="BL12" s="634">
        <f>Qld!BL12</f>
        <v>2.5000000000000001E-2</v>
      </c>
      <c r="BM12" s="634">
        <f>Qld!BM12</f>
        <v>2.5000000000000001E-2</v>
      </c>
      <c r="BN12" s="634">
        <f>Qld!BN12</f>
        <v>2.5000000000000001E-2</v>
      </c>
      <c r="BO12" s="634">
        <f>Qld!BO12</f>
        <v>2.5000000000000001E-2</v>
      </c>
      <c r="BP12" s="634">
        <f>Qld!BP12</f>
        <v>2.5000000000000001E-2</v>
      </c>
      <c r="BQ12" s="634">
        <f>Qld!BQ12</f>
        <v>2.5000000000000001E-2</v>
      </c>
      <c r="BR12" s="634">
        <f>Qld!BR12</f>
        <v>2.5000000000000001E-2</v>
      </c>
      <c r="BS12" s="634">
        <f>Qld!BS12</f>
        <v>2.5000000000000001E-2</v>
      </c>
      <c r="BT12" s="634">
        <f>Qld!BT12</f>
        <v>2.5000000000000001E-2</v>
      </c>
      <c r="BU12" s="634">
        <f>Qld!BU12</f>
        <v>2.5000000000000001E-2</v>
      </c>
      <c r="BV12" s="634">
        <f>Qld!BV12</f>
        <v>2.5000000000000001E-2</v>
      </c>
      <c r="BW12" s="634">
        <f>Qld!BW12</f>
        <v>2.5000000000000001E-2</v>
      </c>
      <c r="BX12" s="634">
        <f>Qld!BX12</f>
        <v>2.5000000000000001E-2</v>
      </c>
      <c r="BY12" s="634">
        <f>Qld!BY12</f>
        <v>2.5000000000000001E-2</v>
      </c>
      <c r="BZ12" s="634">
        <f>Qld!BZ12</f>
        <v>2.5000000000000001E-2</v>
      </c>
      <c r="CA12" s="634">
        <f>Qld!CA12</f>
        <v>2.5000000000000001E-2</v>
      </c>
      <c r="CB12" s="634">
        <f>Qld!CB12</f>
        <v>2.5000000000000001E-2</v>
      </c>
      <c r="CC12" s="634">
        <f>Qld!CC12</f>
        <v>2.5000000000000001E-2</v>
      </c>
      <c r="CD12" s="634">
        <f>Qld!CD12</f>
        <v>2.5000000000000001E-2</v>
      </c>
      <c r="CE12" s="634">
        <f>Qld!CE12</f>
        <v>2.5000000000000001E-2</v>
      </c>
      <c r="CF12" s="634">
        <f>Qld!CF12</f>
        <v>2.5000000000000001E-2</v>
      </c>
      <c r="CG12" s="634">
        <f>Qld!CG12</f>
        <v>2.5000000000000001E-2</v>
      </c>
      <c r="CH12" s="634">
        <f>Qld!CH12</f>
        <v>2.5000000000000001E-2</v>
      </c>
      <c r="CI12" s="634">
        <f>Qld!CI12</f>
        <v>2.5000000000000001E-2</v>
      </c>
      <c r="CJ12" s="634">
        <f>Qld!CJ12</f>
        <v>2.5000000000000001E-2</v>
      </c>
      <c r="CK12" s="634">
        <f>Qld!CK12</f>
        <v>2.5000000000000001E-2</v>
      </c>
      <c r="CL12" s="634">
        <f>Qld!CL12</f>
        <v>2.5000000000000001E-2</v>
      </c>
      <c r="CM12" s="634">
        <f>Qld!CM12</f>
        <v>2.5000000000000001E-2</v>
      </c>
      <c r="CN12" s="634">
        <f>Qld!CN12</f>
        <v>2.5000000000000001E-2</v>
      </c>
      <c r="CO12" s="634">
        <f>Qld!CO12</f>
        <v>2.5000000000000001E-2</v>
      </c>
      <c r="CP12" s="634">
        <f>Qld!CP12</f>
        <v>2.5000000000000001E-2</v>
      </c>
      <c r="CQ12" s="635" t="s">
        <v>77</v>
      </c>
    </row>
    <row r="13" spans="1:95" s="98" customFormat="1" outlineLevel="1" x14ac:dyDescent="0.2">
      <c r="B13" s="98" t="s">
        <v>311</v>
      </c>
      <c r="C13" s="25"/>
      <c r="K13" s="634">
        <f>Qld!K13</f>
        <v>2.1676761236850473E-2</v>
      </c>
      <c r="L13" s="634">
        <f>Qld!L13</f>
        <v>3.3697347893915763E-2</v>
      </c>
      <c r="M13" s="634">
        <f>Qld!M13</f>
        <v>4.4068819800784587E-2</v>
      </c>
      <c r="N13" s="634">
        <f>Qld!N13</f>
        <v>3.4403006649320611E-2</v>
      </c>
      <c r="O13" s="634">
        <f>Qld!O13</f>
        <v>3.4097261039687021E-2</v>
      </c>
      <c r="P13" s="634">
        <f>Qld!P13</f>
        <v>3.1081081081081097E-2</v>
      </c>
      <c r="Q13" s="634">
        <f>Qld!Q13</f>
        <v>2.6736566186107424E-2</v>
      </c>
      <c r="R13" s="634">
        <f>Qld!R13</f>
        <v>2.1189685984171591E-2</v>
      </c>
      <c r="S13" s="634">
        <f>Qld!S13</f>
        <v>3.0749999999999833E-2</v>
      </c>
      <c r="T13" s="634">
        <f>Qld!T13</f>
        <v>3.3460803059273299E-2</v>
      </c>
      <c r="U13" s="634">
        <f>Qld!U13</f>
        <v>1.4E-2</v>
      </c>
      <c r="V13" s="634">
        <f>Qld!V13</f>
        <v>1.4999999999999999E-2</v>
      </c>
      <c r="W13" s="634">
        <f>Qld!W13</f>
        <v>1.4999999999999999E-2</v>
      </c>
      <c r="X13" s="634">
        <f>Qld!X13</f>
        <v>2.5000000000000001E-2</v>
      </c>
      <c r="Y13" s="634">
        <f>Qld!Y13</f>
        <v>2.5000000000000001E-2</v>
      </c>
      <c r="Z13" s="634">
        <f>Qld!Z13</f>
        <v>2.5000000000000001E-2</v>
      </c>
      <c r="AA13" s="634">
        <f>Qld!AA13</f>
        <v>2.5000000000000001E-2</v>
      </c>
      <c r="AB13" s="634">
        <f>Qld!AB13</f>
        <v>2.5000000000000001E-2</v>
      </c>
      <c r="AC13" s="634">
        <f>Qld!AC13</f>
        <v>2.5000000000000001E-2</v>
      </c>
      <c r="AD13" s="634">
        <f>Qld!AD13</f>
        <v>2.5000000000000001E-2</v>
      </c>
      <c r="AE13" s="634">
        <f>Qld!AE13</f>
        <v>2.5000000000000001E-2</v>
      </c>
      <c r="AF13" s="634">
        <f>Qld!AF13</f>
        <v>2.5000000000000001E-2</v>
      </c>
      <c r="AG13" s="634">
        <f>Qld!AG13</f>
        <v>2.5000000000000001E-2</v>
      </c>
      <c r="AH13" s="634">
        <f>Qld!AH13</f>
        <v>2.5000000000000001E-2</v>
      </c>
      <c r="AI13" s="634">
        <f>Qld!AI13</f>
        <v>2.5000000000000001E-2</v>
      </c>
      <c r="AJ13" s="634">
        <f>Qld!AJ13</f>
        <v>2.5000000000000001E-2</v>
      </c>
      <c r="AK13" s="634">
        <f>Qld!AK13</f>
        <v>2.5000000000000001E-2</v>
      </c>
      <c r="AL13" s="634">
        <f>Qld!AL13</f>
        <v>2.5000000000000001E-2</v>
      </c>
      <c r="AM13" s="634">
        <f>Qld!AM13</f>
        <v>2.5000000000000001E-2</v>
      </c>
      <c r="AN13" s="634">
        <f>Qld!AN13</f>
        <v>2.5000000000000001E-2</v>
      </c>
      <c r="AO13" s="634">
        <f>Qld!AO13</f>
        <v>2.5000000000000001E-2</v>
      </c>
      <c r="AP13" s="634">
        <f>Qld!AP13</f>
        <v>2.5000000000000001E-2</v>
      </c>
      <c r="AQ13" s="634">
        <f>Qld!AQ13</f>
        <v>2.5000000000000001E-2</v>
      </c>
      <c r="AR13" s="634">
        <f>Qld!AR13</f>
        <v>2.5000000000000001E-2</v>
      </c>
      <c r="AS13" s="634">
        <f>Qld!AS13</f>
        <v>2.5000000000000001E-2</v>
      </c>
      <c r="AT13" s="634">
        <f>Qld!AT13</f>
        <v>2.5000000000000001E-2</v>
      </c>
      <c r="AU13" s="634">
        <f>Qld!AU13</f>
        <v>2.5000000000000001E-2</v>
      </c>
      <c r="AV13" s="634">
        <f>Qld!AV13</f>
        <v>2.5000000000000001E-2</v>
      </c>
      <c r="AW13" s="634">
        <f>Qld!AW13</f>
        <v>2.5000000000000001E-2</v>
      </c>
      <c r="AX13" s="634">
        <f>Qld!AX13</f>
        <v>2.5000000000000001E-2</v>
      </c>
      <c r="AY13" s="634">
        <f>Qld!AY13</f>
        <v>2.5000000000000001E-2</v>
      </c>
      <c r="AZ13" s="634">
        <f>Qld!AZ13</f>
        <v>2.5000000000000001E-2</v>
      </c>
      <c r="BA13" s="634">
        <f>Qld!BA13</f>
        <v>2.5000000000000001E-2</v>
      </c>
      <c r="BB13" s="634">
        <f>Qld!BB13</f>
        <v>2.5000000000000001E-2</v>
      </c>
      <c r="BC13" s="634">
        <f>Qld!BC13</f>
        <v>2.5000000000000001E-2</v>
      </c>
      <c r="BD13" s="634">
        <f>Qld!BD13</f>
        <v>2.5000000000000001E-2</v>
      </c>
      <c r="BE13" s="634">
        <f>Qld!BE13</f>
        <v>2.5000000000000001E-2</v>
      </c>
      <c r="BF13" s="634">
        <f>Qld!BF13</f>
        <v>2.5000000000000001E-2</v>
      </c>
      <c r="BG13" s="634">
        <f>Qld!BG13</f>
        <v>2.5000000000000001E-2</v>
      </c>
      <c r="BH13" s="634">
        <f>Qld!BH13</f>
        <v>2.5000000000000001E-2</v>
      </c>
      <c r="BI13" s="634">
        <f>Qld!BI13</f>
        <v>2.5000000000000001E-2</v>
      </c>
      <c r="BJ13" s="634">
        <f>Qld!BJ13</f>
        <v>2.5000000000000001E-2</v>
      </c>
      <c r="BK13" s="634">
        <f>Qld!BK13</f>
        <v>2.5000000000000001E-2</v>
      </c>
      <c r="BL13" s="634">
        <f>Qld!BL13</f>
        <v>2.5000000000000001E-2</v>
      </c>
      <c r="BM13" s="634">
        <f>Qld!BM13</f>
        <v>2.5000000000000001E-2</v>
      </c>
      <c r="BN13" s="634">
        <f>Qld!BN13</f>
        <v>2.5000000000000001E-2</v>
      </c>
      <c r="BO13" s="634">
        <f>Qld!BO13</f>
        <v>2.5000000000000001E-2</v>
      </c>
      <c r="BP13" s="634">
        <f>Qld!BP13</f>
        <v>2.5000000000000001E-2</v>
      </c>
      <c r="BQ13" s="634">
        <f>Qld!BQ13</f>
        <v>2.5000000000000001E-2</v>
      </c>
      <c r="BR13" s="634">
        <f>Qld!BR13</f>
        <v>2.5000000000000001E-2</v>
      </c>
      <c r="BS13" s="634">
        <f>Qld!BS13</f>
        <v>2.5000000000000001E-2</v>
      </c>
      <c r="BT13" s="634">
        <f>Qld!BT13</f>
        <v>2.5000000000000001E-2</v>
      </c>
      <c r="BU13" s="634">
        <f>Qld!BU13</f>
        <v>2.5000000000000001E-2</v>
      </c>
      <c r="BV13" s="634">
        <f>Qld!BV13</f>
        <v>2.5000000000000001E-2</v>
      </c>
      <c r="BW13" s="634">
        <f>Qld!BW13</f>
        <v>2.5000000000000001E-2</v>
      </c>
      <c r="BX13" s="634">
        <f>Qld!BX13</f>
        <v>2.5000000000000001E-2</v>
      </c>
      <c r="BY13" s="634">
        <f>Qld!BY13</f>
        <v>2.5000000000000001E-2</v>
      </c>
      <c r="BZ13" s="634">
        <f>Qld!BZ13</f>
        <v>2.5000000000000001E-2</v>
      </c>
      <c r="CA13" s="634">
        <f>Qld!CA13</f>
        <v>2.5000000000000001E-2</v>
      </c>
      <c r="CB13" s="634">
        <f>Qld!CB13</f>
        <v>2.5000000000000001E-2</v>
      </c>
      <c r="CC13" s="634">
        <f>Qld!CC13</f>
        <v>2.5000000000000001E-2</v>
      </c>
      <c r="CD13" s="634">
        <f>Qld!CD13</f>
        <v>2.5000000000000001E-2</v>
      </c>
      <c r="CE13" s="634">
        <f>Qld!CE13</f>
        <v>2.5000000000000001E-2</v>
      </c>
      <c r="CF13" s="634">
        <f>Qld!CF13</f>
        <v>2.5000000000000001E-2</v>
      </c>
      <c r="CG13" s="634">
        <f>Qld!CG13</f>
        <v>2.5000000000000001E-2</v>
      </c>
      <c r="CH13" s="634">
        <f>Qld!CH13</f>
        <v>2.5000000000000001E-2</v>
      </c>
      <c r="CI13" s="634">
        <f>Qld!CI13</f>
        <v>2.5000000000000001E-2</v>
      </c>
      <c r="CJ13" s="634">
        <f>Qld!CJ13</f>
        <v>2.5000000000000001E-2</v>
      </c>
      <c r="CK13" s="634">
        <f>Qld!CK13</f>
        <v>2.5000000000000001E-2</v>
      </c>
      <c r="CL13" s="634">
        <f>Qld!CL13</f>
        <v>2.5000000000000001E-2</v>
      </c>
      <c r="CM13" s="634">
        <f>Qld!CM13</f>
        <v>2.5000000000000001E-2</v>
      </c>
      <c r="CN13" s="634">
        <f>Qld!CN13</f>
        <v>2.5000000000000001E-2</v>
      </c>
      <c r="CO13" s="634">
        <f>Qld!CO13</f>
        <v>2.5000000000000001E-2</v>
      </c>
      <c r="CP13" s="634">
        <f>Qld!CP13</f>
        <v>2.5000000000000001E-2</v>
      </c>
      <c r="CQ13" s="635" t="s">
        <v>77</v>
      </c>
    </row>
    <row r="14" spans="1:95" s="98" customFormat="1" outlineLevel="1" x14ac:dyDescent="0.2">
      <c r="B14" s="98" t="s">
        <v>312</v>
      </c>
      <c r="C14" s="25"/>
      <c r="K14" s="634">
        <f>Qld!K14</f>
        <v>2.2927135678391997E-2</v>
      </c>
      <c r="L14" s="634">
        <f>Qld!L14</f>
        <v>3.5615597175314706E-2</v>
      </c>
      <c r="M14" s="634">
        <f>Qld!M14</f>
        <v>2.9350726356359269E-2</v>
      </c>
      <c r="N14" s="634">
        <f>Qld!N14</f>
        <v>3.6002304147465525E-2</v>
      </c>
      <c r="O14" s="634">
        <f>Qld!O14</f>
        <v>3.4195162635529464E-2</v>
      </c>
      <c r="P14" s="634">
        <f>Qld!P14</f>
        <v>2.123655913978495E-2</v>
      </c>
      <c r="Q14" s="634">
        <f>Qld!Q14</f>
        <v>2.737562516451697E-2</v>
      </c>
      <c r="R14" s="634">
        <f>Qld!R14</f>
        <v>2.4596464258262785E-2</v>
      </c>
      <c r="S14" s="634">
        <f>Qld!S14</f>
        <v>1.9254813703426077E-2</v>
      </c>
      <c r="T14" s="634">
        <f>Qld!T14</f>
        <v>2.2439024390243902E-2</v>
      </c>
      <c r="U14" s="634">
        <f>Qld!U14</f>
        <v>1.0999999999999999E-2</v>
      </c>
      <c r="V14" s="634">
        <f>Qld!V14</f>
        <v>1.4999999999999999E-2</v>
      </c>
      <c r="W14" s="634">
        <f>Qld!W14</f>
        <v>1.4999999999999999E-2</v>
      </c>
      <c r="X14" s="634">
        <f>Qld!X14</f>
        <v>2.5000000000000001E-2</v>
      </c>
      <c r="Y14" s="634">
        <f>Qld!Y14</f>
        <v>2.5000000000000001E-2</v>
      </c>
      <c r="Z14" s="634">
        <f>Qld!Z14</f>
        <v>2.5000000000000001E-2</v>
      </c>
      <c r="AA14" s="634">
        <f>Qld!AA14</f>
        <v>2.5000000000000001E-2</v>
      </c>
      <c r="AB14" s="634">
        <f>Qld!AB14</f>
        <v>2.5000000000000001E-2</v>
      </c>
      <c r="AC14" s="634">
        <f>Qld!AC14</f>
        <v>2.5000000000000001E-2</v>
      </c>
      <c r="AD14" s="634">
        <f>Qld!AD14</f>
        <v>2.5000000000000001E-2</v>
      </c>
      <c r="AE14" s="634">
        <f>Qld!AE14</f>
        <v>2.5000000000000001E-2</v>
      </c>
      <c r="AF14" s="634">
        <f>Qld!AF14</f>
        <v>2.5000000000000001E-2</v>
      </c>
      <c r="AG14" s="634">
        <f>Qld!AG14</f>
        <v>2.5000000000000001E-2</v>
      </c>
      <c r="AH14" s="634">
        <f>Qld!AH14</f>
        <v>2.5000000000000001E-2</v>
      </c>
      <c r="AI14" s="634">
        <f>Qld!AI14</f>
        <v>2.5000000000000001E-2</v>
      </c>
      <c r="AJ14" s="634">
        <f>Qld!AJ14</f>
        <v>2.5000000000000001E-2</v>
      </c>
      <c r="AK14" s="634">
        <f>Qld!AK14</f>
        <v>2.5000000000000001E-2</v>
      </c>
      <c r="AL14" s="634">
        <f>Qld!AL14</f>
        <v>2.5000000000000001E-2</v>
      </c>
      <c r="AM14" s="634">
        <f>Qld!AM14</f>
        <v>2.5000000000000001E-2</v>
      </c>
      <c r="AN14" s="634">
        <f>Qld!AN14</f>
        <v>2.5000000000000001E-2</v>
      </c>
      <c r="AO14" s="634">
        <f>Qld!AO14</f>
        <v>2.5000000000000001E-2</v>
      </c>
      <c r="AP14" s="634">
        <f>Qld!AP14</f>
        <v>2.5000000000000001E-2</v>
      </c>
      <c r="AQ14" s="634">
        <f>Qld!AQ14</f>
        <v>2.5000000000000001E-2</v>
      </c>
      <c r="AR14" s="634">
        <f>Qld!AR14</f>
        <v>2.5000000000000001E-2</v>
      </c>
      <c r="AS14" s="634">
        <f>Qld!AS14</f>
        <v>2.5000000000000001E-2</v>
      </c>
      <c r="AT14" s="634">
        <f>Qld!AT14</f>
        <v>2.5000000000000001E-2</v>
      </c>
      <c r="AU14" s="634">
        <f>Qld!AU14</f>
        <v>2.5000000000000001E-2</v>
      </c>
      <c r="AV14" s="634">
        <f>Qld!AV14</f>
        <v>2.5000000000000001E-2</v>
      </c>
      <c r="AW14" s="634">
        <f>Qld!AW14</f>
        <v>2.5000000000000001E-2</v>
      </c>
      <c r="AX14" s="634">
        <f>Qld!AX14</f>
        <v>2.5000000000000001E-2</v>
      </c>
      <c r="AY14" s="634">
        <f>Qld!AY14</f>
        <v>2.5000000000000001E-2</v>
      </c>
      <c r="AZ14" s="634">
        <f>Qld!AZ14</f>
        <v>2.5000000000000001E-2</v>
      </c>
      <c r="BA14" s="634">
        <f>Qld!BA14</f>
        <v>2.5000000000000001E-2</v>
      </c>
      <c r="BB14" s="634">
        <f>Qld!BB14</f>
        <v>2.5000000000000001E-2</v>
      </c>
      <c r="BC14" s="634">
        <f>Qld!BC14</f>
        <v>2.5000000000000001E-2</v>
      </c>
      <c r="BD14" s="634">
        <f>Qld!BD14</f>
        <v>2.5000000000000001E-2</v>
      </c>
      <c r="BE14" s="634">
        <f>Qld!BE14</f>
        <v>2.5000000000000001E-2</v>
      </c>
      <c r="BF14" s="634">
        <f>Qld!BF14</f>
        <v>2.5000000000000001E-2</v>
      </c>
      <c r="BG14" s="634">
        <f>Qld!BG14</f>
        <v>2.5000000000000001E-2</v>
      </c>
      <c r="BH14" s="634">
        <f>Qld!BH14</f>
        <v>2.5000000000000001E-2</v>
      </c>
      <c r="BI14" s="634">
        <f>Qld!BI14</f>
        <v>2.5000000000000001E-2</v>
      </c>
      <c r="BJ14" s="634">
        <f>Qld!BJ14</f>
        <v>2.5000000000000001E-2</v>
      </c>
      <c r="BK14" s="634">
        <f>Qld!BK14</f>
        <v>2.5000000000000001E-2</v>
      </c>
      <c r="BL14" s="634">
        <f>Qld!BL14</f>
        <v>2.5000000000000001E-2</v>
      </c>
      <c r="BM14" s="634">
        <f>Qld!BM14</f>
        <v>2.5000000000000001E-2</v>
      </c>
      <c r="BN14" s="634">
        <f>Qld!BN14</f>
        <v>2.5000000000000001E-2</v>
      </c>
      <c r="BO14" s="634">
        <f>Qld!BO14</f>
        <v>2.5000000000000001E-2</v>
      </c>
      <c r="BP14" s="634">
        <f>Qld!BP14</f>
        <v>2.5000000000000001E-2</v>
      </c>
      <c r="BQ14" s="634">
        <f>Qld!BQ14</f>
        <v>2.5000000000000001E-2</v>
      </c>
      <c r="BR14" s="634">
        <f>Qld!BR14</f>
        <v>2.5000000000000001E-2</v>
      </c>
      <c r="BS14" s="634">
        <f>Qld!BS14</f>
        <v>2.5000000000000001E-2</v>
      </c>
      <c r="BT14" s="634">
        <f>Qld!BT14</f>
        <v>2.5000000000000001E-2</v>
      </c>
      <c r="BU14" s="634">
        <f>Qld!BU14</f>
        <v>2.5000000000000001E-2</v>
      </c>
      <c r="BV14" s="634">
        <f>Qld!BV14</f>
        <v>2.5000000000000001E-2</v>
      </c>
      <c r="BW14" s="634">
        <f>Qld!BW14</f>
        <v>2.5000000000000001E-2</v>
      </c>
      <c r="BX14" s="634">
        <f>Qld!BX14</f>
        <v>2.5000000000000001E-2</v>
      </c>
      <c r="BY14" s="634">
        <f>Qld!BY14</f>
        <v>2.5000000000000001E-2</v>
      </c>
      <c r="BZ14" s="634">
        <f>Qld!BZ14</f>
        <v>2.5000000000000001E-2</v>
      </c>
      <c r="CA14" s="634">
        <f>Qld!CA14</f>
        <v>2.5000000000000001E-2</v>
      </c>
      <c r="CB14" s="634">
        <f>Qld!CB14</f>
        <v>2.5000000000000001E-2</v>
      </c>
      <c r="CC14" s="634">
        <f>Qld!CC14</f>
        <v>2.5000000000000001E-2</v>
      </c>
      <c r="CD14" s="634">
        <f>Qld!CD14</f>
        <v>2.5000000000000001E-2</v>
      </c>
      <c r="CE14" s="634">
        <f>Qld!CE14</f>
        <v>2.5000000000000001E-2</v>
      </c>
      <c r="CF14" s="634">
        <f>Qld!CF14</f>
        <v>2.5000000000000001E-2</v>
      </c>
      <c r="CG14" s="634">
        <f>Qld!CG14</f>
        <v>2.5000000000000001E-2</v>
      </c>
      <c r="CH14" s="634">
        <f>Qld!CH14</f>
        <v>2.5000000000000001E-2</v>
      </c>
      <c r="CI14" s="634">
        <f>Qld!CI14</f>
        <v>2.5000000000000001E-2</v>
      </c>
      <c r="CJ14" s="634">
        <f>Qld!CJ14</f>
        <v>2.5000000000000001E-2</v>
      </c>
      <c r="CK14" s="634">
        <f>Qld!CK14</f>
        <v>2.5000000000000001E-2</v>
      </c>
      <c r="CL14" s="634">
        <f>Qld!CL14</f>
        <v>2.5000000000000001E-2</v>
      </c>
      <c r="CM14" s="634">
        <f>Qld!CM14</f>
        <v>2.5000000000000001E-2</v>
      </c>
      <c r="CN14" s="634">
        <f>Qld!CN14</f>
        <v>2.5000000000000001E-2</v>
      </c>
      <c r="CO14" s="634">
        <f>Qld!CO14</f>
        <v>2.5000000000000001E-2</v>
      </c>
      <c r="CP14" s="634">
        <f>Qld!CP14</f>
        <v>2.5000000000000001E-2</v>
      </c>
      <c r="CQ14" s="635" t="s">
        <v>77</v>
      </c>
    </row>
    <row r="15" spans="1:95" s="98" customFormat="1" outlineLevel="1" x14ac:dyDescent="0.2">
      <c r="B15" s="532" t="s">
        <v>313</v>
      </c>
      <c r="C15" s="25"/>
      <c r="D15" s="532"/>
      <c r="E15" s="532"/>
      <c r="F15" s="532"/>
      <c r="G15" s="532"/>
      <c r="H15" s="532"/>
      <c r="I15" s="532"/>
      <c r="J15" s="532"/>
      <c r="K15" s="636">
        <f>Qld!K15</f>
        <v>2.4107701941139759E-2</v>
      </c>
      <c r="L15" s="636">
        <f>Qld!L15</f>
        <v>3.2100275145215518E-2</v>
      </c>
      <c r="M15" s="636">
        <f>Qld!M15</f>
        <v>2.962085308056861E-2</v>
      </c>
      <c r="N15" s="636">
        <f>Qld!N15</f>
        <v>3.3659378596087475E-2</v>
      </c>
      <c r="O15" s="636">
        <f>Qld!O15</f>
        <v>3.1171722794322454E-2</v>
      </c>
      <c r="P15" s="636">
        <f>Qld!P15</f>
        <v>2.3211875843454743E-2</v>
      </c>
      <c r="Q15" s="636">
        <f>Qld!Q15</f>
        <v>3.1126351886045844E-2</v>
      </c>
      <c r="R15" s="636">
        <f>Qld!R15</f>
        <v>2.3023791250959436E-2</v>
      </c>
      <c r="S15" s="636">
        <f>Qld!S15</f>
        <v>2.2755688922230677E-2</v>
      </c>
      <c r="T15" s="636">
        <f>Qld!T15</f>
        <v>3.0155642023346401E-2</v>
      </c>
      <c r="U15" s="636">
        <f>Qld!U15</f>
        <v>2.5000000000000001E-2</v>
      </c>
      <c r="V15" s="636">
        <f>Qld!V15</f>
        <v>1.4999999999999999E-2</v>
      </c>
      <c r="W15" s="636">
        <f>Qld!W15</f>
        <v>1.4999999999999999E-2</v>
      </c>
      <c r="X15" s="636">
        <f>Qld!X15</f>
        <v>2.5000000000000001E-2</v>
      </c>
      <c r="Y15" s="636">
        <f>Qld!Y15</f>
        <v>2.5000000000000001E-2</v>
      </c>
      <c r="Z15" s="636">
        <f>Qld!Z15</f>
        <v>2.5000000000000001E-2</v>
      </c>
      <c r="AA15" s="636">
        <f>Qld!AA15</f>
        <v>2.5000000000000001E-2</v>
      </c>
      <c r="AB15" s="636">
        <f>Qld!AB15</f>
        <v>2.5000000000000001E-2</v>
      </c>
      <c r="AC15" s="636">
        <f>Qld!AC15</f>
        <v>2.5000000000000001E-2</v>
      </c>
      <c r="AD15" s="636">
        <f>Qld!AD15</f>
        <v>2.5000000000000001E-2</v>
      </c>
      <c r="AE15" s="636">
        <f>Qld!AE15</f>
        <v>2.5000000000000001E-2</v>
      </c>
      <c r="AF15" s="636">
        <f>Qld!AF15</f>
        <v>2.5000000000000001E-2</v>
      </c>
      <c r="AG15" s="636">
        <f>Qld!AG15</f>
        <v>2.5000000000000001E-2</v>
      </c>
      <c r="AH15" s="636">
        <f>Qld!AH15</f>
        <v>2.5000000000000001E-2</v>
      </c>
      <c r="AI15" s="636">
        <f>Qld!AI15</f>
        <v>2.5000000000000001E-2</v>
      </c>
      <c r="AJ15" s="636">
        <f>Qld!AJ15</f>
        <v>2.5000000000000001E-2</v>
      </c>
      <c r="AK15" s="636">
        <f>Qld!AK15</f>
        <v>2.5000000000000001E-2</v>
      </c>
      <c r="AL15" s="636">
        <f>Qld!AL15</f>
        <v>2.5000000000000001E-2</v>
      </c>
      <c r="AM15" s="636">
        <f>Qld!AM15</f>
        <v>2.5000000000000001E-2</v>
      </c>
      <c r="AN15" s="636">
        <f>Qld!AN15</f>
        <v>2.5000000000000001E-2</v>
      </c>
      <c r="AO15" s="636">
        <f>Qld!AO15</f>
        <v>2.5000000000000001E-2</v>
      </c>
      <c r="AP15" s="636">
        <f>Qld!AP15</f>
        <v>2.5000000000000001E-2</v>
      </c>
      <c r="AQ15" s="636">
        <f>Qld!AQ15</f>
        <v>2.5000000000000001E-2</v>
      </c>
      <c r="AR15" s="636">
        <f>Qld!AR15</f>
        <v>2.5000000000000001E-2</v>
      </c>
      <c r="AS15" s="636">
        <f>Qld!AS15</f>
        <v>2.5000000000000001E-2</v>
      </c>
      <c r="AT15" s="636">
        <f>Qld!AT15</f>
        <v>2.5000000000000001E-2</v>
      </c>
      <c r="AU15" s="636">
        <f>Qld!AU15</f>
        <v>2.5000000000000001E-2</v>
      </c>
      <c r="AV15" s="636">
        <f>Qld!AV15</f>
        <v>2.5000000000000001E-2</v>
      </c>
      <c r="AW15" s="636">
        <f>Qld!AW15</f>
        <v>2.5000000000000001E-2</v>
      </c>
      <c r="AX15" s="636">
        <f>Qld!AX15</f>
        <v>2.5000000000000001E-2</v>
      </c>
      <c r="AY15" s="636">
        <f>Qld!AY15</f>
        <v>2.5000000000000001E-2</v>
      </c>
      <c r="AZ15" s="636">
        <f>Qld!AZ15</f>
        <v>2.5000000000000001E-2</v>
      </c>
      <c r="BA15" s="636">
        <f>Qld!BA15</f>
        <v>2.5000000000000001E-2</v>
      </c>
      <c r="BB15" s="636">
        <f>Qld!BB15</f>
        <v>2.5000000000000001E-2</v>
      </c>
      <c r="BC15" s="636">
        <f>Qld!BC15</f>
        <v>2.5000000000000001E-2</v>
      </c>
      <c r="BD15" s="636">
        <f>Qld!BD15</f>
        <v>2.5000000000000001E-2</v>
      </c>
      <c r="BE15" s="636">
        <f>Qld!BE15</f>
        <v>2.5000000000000001E-2</v>
      </c>
      <c r="BF15" s="636">
        <f>Qld!BF15</f>
        <v>2.5000000000000001E-2</v>
      </c>
      <c r="BG15" s="636">
        <f>Qld!BG15</f>
        <v>2.5000000000000001E-2</v>
      </c>
      <c r="BH15" s="636">
        <f>Qld!BH15</f>
        <v>2.5000000000000001E-2</v>
      </c>
      <c r="BI15" s="636">
        <f>Qld!BI15</f>
        <v>2.5000000000000001E-2</v>
      </c>
      <c r="BJ15" s="636">
        <f>Qld!BJ15</f>
        <v>2.5000000000000001E-2</v>
      </c>
      <c r="BK15" s="636">
        <f>Qld!BK15</f>
        <v>2.5000000000000001E-2</v>
      </c>
      <c r="BL15" s="636">
        <f>Qld!BL15</f>
        <v>2.5000000000000001E-2</v>
      </c>
      <c r="BM15" s="636">
        <f>Qld!BM15</f>
        <v>2.5000000000000001E-2</v>
      </c>
      <c r="BN15" s="636">
        <f>Qld!BN15</f>
        <v>2.5000000000000001E-2</v>
      </c>
      <c r="BO15" s="636">
        <f>Qld!BO15</f>
        <v>2.5000000000000001E-2</v>
      </c>
      <c r="BP15" s="636">
        <f>Qld!BP15</f>
        <v>2.5000000000000001E-2</v>
      </c>
      <c r="BQ15" s="636">
        <f>Qld!BQ15</f>
        <v>2.5000000000000001E-2</v>
      </c>
      <c r="BR15" s="636">
        <f>Qld!BR15</f>
        <v>2.5000000000000001E-2</v>
      </c>
      <c r="BS15" s="636">
        <f>Qld!BS15</f>
        <v>2.5000000000000001E-2</v>
      </c>
      <c r="BT15" s="636">
        <f>Qld!BT15</f>
        <v>2.5000000000000001E-2</v>
      </c>
      <c r="BU15" s="636">
        <f>Qld!BU15</f>
        <v>2.5000000000000001E-2</v>
      </c>
      <c r="BV15" s="636">
        <f>Qld!BV15</f>
        <v>2.5000000000000001E-2</v>
      </c>
      <c r="BW15" s="636">
        <f>Qld!BW15</f>
        <v>2.5000000000000001E-2</v>
      </c>
      <c r="BX15" s="636">
        <f>Qld!BX15</f>
        <v>2.5000000000000001E-2</v>
      </c>
      <c r="BY15" s="636">
        <f>Qld!BY15</f>
        <v>2.5000000000000001E-2</v>
      </c>
      <c r="BZ15" s="636">
        <f>Qld!BZ15</f>
        <v>2.5000000000000001E-2</v>
      </c>
      <c r="CA15" s="636">
        <f>Qld!CA15</f>
        <v>2.5000000000000001E-2</v>
      </c>
      <c r="CB15" s="636">
        <f>Qld!CB15</f>
        <v>2.5000000000000001E-2</v>
      </c>
      <c r="CC15" s="636">
        <f>Qld!CC15</f>
        <v>2.5000000000000001E-2</v>
      </c>
      <c r="CD15" s="636">
        <f>Qld!CD15</f>
        <v>2.5000000000000001E-2</v>
      </c>
      <c r="CE15" s="636">
        <f>Qld!CE15</f>
        <v>2.5000000000000001E-2</v>
      </c>
      <c r="CF15" s="636">
        <f>Qld!CF15</f>
        <v>2.5000000000000001E-2</v>
      </c>
      <c r="CG15" s="636">
        <f>Qld!CG15</f>
        <v>2.5000000000000001E-2</v>
      </c>
      <c r="CH15" s="636">
        <f>Qld!CH15</f>
        <v>2.5000000000000001E-2</v>
      </c>
      <c r="CI15" s="636">
        <f>Qld!CI15</f>
        <v>2.5000000000000001E-2</v>
      </c>
      <c r="CJ15" s="636">
        <f>Qld!CJ15</f>
        <v>2.5000000000000001E-2</v>
      </c>
      <c r="CK15" s="636">
        <f>Qld!CK15</f>
        <v>2.5000000000000001E-2</v>
      </c>
      <c r="CL15" s="636">
        <f>Qld!CL15</f>
        <v>2.5000000000000001E-2</v>
      </c>
      <c r="CM15" s="636">
        <f>Qld!CM15</f>
        <v>2.5000000000000001E-2</v>
      </c>
      <c r="CN15" s="636">
        <f>Qld!CN15</f>
        <v>2.5000000000000001E-2</v>
      </c>
      <c r="CO15" s="636">
        <f>Qld!CO15</f>
        <v>2.5000000000000001E-2</v>
      </c>
      <c r="CP15" s="636">
        <f>Qld!CP15</f>
        <v>2.5000000000000001E-2</v>
      </c>
      <c r="CQ15" s="635" t="s">
        <v>77</v>
      </c>
    </row>
    <row r="16" spans="1:95" x14ac:dyDescent="0.2">
      <c r="CQ16" s="23" t="s">
        <v>77</v>
      </c>
    </row>
    <row r="17" spans="2:95" s="233" customFormat="1" x14ac:dyDescent="0.2">
      <c r="B17" s="728" t="s">
        <v>339</v>
      </c>
      <c r="C17" s="312"/>
      <c r="D17" s="312"/>
      <c r="E17" s="312"/>
      <c r="F17" s="312">
        <f t="shared" ref="F17:AK17" si="4">Fiscal_Year</f>
        <v>36707</v>
      </c>
      <c r="G17" s="312">
        <f t="shared" si="4"/>
        <v>37072</v>
      </c>
      <c r="H17" s="312">
        <f t="shared" si="4"/>
        <v>37437</v>
      </c>
      <c r="I17" s="312">
        <f t="shared" si="4"/>
        <v>37802</v>
      </c>
      <c r="J17" s="312">
        <f t="shared" si="4"/>
        <v>38168</v>
      </c>
      <c r="K17" s="312">
        <f t="shared" si="4"/>
        <v>38533</v>
      </c>
      <c r="L17" s="312">
        <f t="shared" si="4"/>
        <v>38898</v>
      </c>
      <c r="M17" s="312">
        <f t="shared" si="4"/>
        <v>39263</v>
      </c>
      <c r="N17" s="312">
        <f t="shared" si="4"/>
        <v>39629</v>
      </c>
      <c r="O17" s="312">
        <f t="shared" si="4"/>
        <v>39994</v>
      </c>
      <c r="P17" s="312">
        <f t="shared" si="4"/>
        <v>40359</v>
      </c>
      <c r="Q17" s="312">
        <f t="shared" si="4"/>
        <v>40724</v>
      </c>
      <c r="R17" s="312">
        <f t="shared" si="4"/>
        <v>41090</v>
      </c>
      <c r="S17" s="312">
        <f t="shared" si="4"/>
        <v>41455</v>
      </c>
      <c r="T17" s="312">
        <f t="shared" si="4"/>
        <v>41820</v>
      </c>
      <c r="U17" s="312">
        <f t="shared" si="4"/>
        <v>42185</v>
      </c>
      <c r="V17" s="312">
        <f t="shared" si="4"/>
        <v>42551</v>
      </c>
      <c r="W17" s="312">
        <f t="shared" si="4"/>
        <v>42916</v>
      </c>
      <c r="X17" s="312">
        <f t="shared" si="4"/>
        <v>43281</v>
      </c>
      <c r="Y17" s="312">
        <f t="shared" si="4"/>
        <v>43646</v>
      </c>
      <c r="Z17" s="312">
        <f t="shared" si="4"/>
        <v>44012</v>
      </c>
      <c r="AA17" s="312">
        <f t="shared" si="4"/>
        <v>44377</v>
      </c>
      <c r="AB17" s="312">
        <f t="shared" si="4"/>
        <v>44742</v>
      </c>
      <c r="AC17" s="312">
        <f t="shared" si="4"/>
        <v>45107</v>
      </c>
      <c r="AD17" s="312">
        <f t="shared" si="4"/>
        <v>45473</v>
      </c>
      <c r="AE17" s="312">
        <f t="shared" si="4"/>
        <v>45838</v>
      </c>
      <c r="AF17" s="312">
        <f t="shared" si="4"/>
        <v>46203</v>
      </c>
      <c r="AG17" s="312">
        <f t="shared" si="4"/>
        <v>46568</v>
      </c>
      <c r="AH17" s="312">
        <f t="shared" si="4"/>
        <v>46934</v>
      </c>
      <c r="AI17" s="312">
        <f t="shared" si="4"/>
        <v>47299</v>
      </c>
      <c r="AJ17" s="312">
        <f t="shared" si="4"/>
        <v>47664</v>
      </c>
      <c r="AK17" s="312">
        <f t="shared" si="4"/>
        <v>48029</v>
      </c>
      <c r="AL17" s="312">
        <f t="shared" ref="AL17:CP17" si="5">Fiscal_Year</f>
        <v>48395</v>
      </c>
      <c r="AM17" s="312">
        <f t="shared" si="5"/>
        <v>48760</v>
      </c>
      <c r="AN17" s="312">
        <f t="shared" si="5"/>
        <v>49125</v>
      </c>
      <c r="AO17" s="312">
        <f t="shared" si="5"/>
        <v>49490</v>
      </c>
      <c r="AP17" s="312">
        <f t="shared" si="5"/>
        <v>49856</v>
      </c>
      <c r="AQ17" s="312">
        <f t="shared" si="5"/>
        <v>50221</v>
      </c>
      <c r="AR17" s="312">
        <f t="shared" si="5"/>
        <v>50586</v>
      </c>
      <c r="AS17" s="312">
        <f t="shared" si="5"/>
        <v>50951</v>
      </c>
      <c r="AT17" s="312">
        <f t="shared" si="5"/>
        <v>51317</v>
      </c>
      <c r="AU17" s="312">
        <f t="shared" si="5"/>
        <v>51682</v>
      </c>
      <c r="AV17" s="312">
        <f t="shared" si="5"/>
        <v>52047</v>
      </c>
      <c r="AW17" s="312">
        <f t="shared" si="5"/>
        <v>52412</v>
      </c>
      <c r="AX17" s="312">
        <f t="shared" si="5"/>
        <v>52778</v>
      </c>
      <c r="AY17" s="312">
        <f t="shared" si="5"/>
        <v>53143</v>
      </c>
      <c r="AZ17" s="312">
        <f t="shared" si="5"/>
        <v>53508</v>
      </c>
      <c r="BA17" s="312">
        <f t="shared" si="5"/>
        <v>53873</v>
      </c>
      <c r="BB17" s="312">
        <f t="shared" si="5"/>
        <v>54239</v>
      </c>
      <c r="BC17" s="312">
        <f t="shared" si="5"/>
        <v>54604</v>
      </c>
      <c r="BD17" s="312">
        <f t="shared" si="5"/>
        <v>54969</v>
      </c>
      <c r="BE17" s="312">
        <f t="shared" si="5"/>
        <v>55334</v>
      </c>
      <c r="BF17" s="312">
        <f t="shared" si="5"/>
        <v>55700</v>
      </c>
      <c r="BG17" s="312">
        <f t="shared" si="5"/>
        <v>56065</v>
      </c>
      <c r="BH17" s="312">
        <f t="shared" si="5"/>
        <v>56430</v>
      </c>
      <c r="BI17" s="312">
        <f t="shared" si="5"/>
        <v>56795</v>
      </c>
      <c r="BJ17" s="312">
        <f t="shared" si="5"/>
        <v>57161</v>
      </c>
      <c r="BK17" s="312">
        <f t="shared" si="5"/>
        <v>57526</v>
      </c>
      <c r="BL17" s="312">
        <f t="shared" si="5"/>
        <v>57891</v>
      </c>
      <c r="BM17" s="312">
        <f t="shared" si="5"/>
        <v>58256</v>
      </c>
      <c r="BN17" s="312">
        <f t="shared" si="5"/>
        <v>58622</v>
      </c>
      <c r="BO17" s="312">
        <f t="shared" si="5"/>
        <v>58987</v>
      </c>
      <c r="BP17" s="312">
        <f t="shared" si="5"/>
        <v>59352</v>
      </c>
      <c r="BQ17" s="312">
        <f t="shared" si="5"/>
        <v>59717</v>
      </c>
      <c r="BR17" s="312">
        <f t="shared" si="5"/>
        <v>60083</v>
      </c>
      <c r="BS17" s="312">
        <f t="shared" si="5"/>
        <v>60448</v>
      </c>
      <c r="BT17" s="312">
        <f t="shared" si="5"/>
        <v>60813</v>
      </c>
      <c r="BU17" s="312">
        <f t="shared" si="5"/>
        <v>61178</v>
      </c>
      <c r="BV17" s="312">
        <f t="shared" si="5"/>
        <v>61544</v>
      </c>
      <c r="BW17" s="312">
        <f t="shared" si="5"/>
        <v>61909</v>
      </c>
      <c r="BX17" s="312">
        <f t="shared" si="5"/>
        <v>62274</v>
      </c>
      <c r="BY17" s="312">
        <f t="shared" si="5"/>
        <v>62639</v>
      </c>
      <c r="BZ17" s="312">
        <f t="shared" si="5"/>
        <v>63005</v>
      </c>
      <c r="CA17" s="312">
        <f t="shared" si="5"/>
        <v>63370</v>
      </c>
      <c r="CB17" s="312">
        <f t="shared" si="5"/>
        <v>63735</v>
      </c>
      <c r="CC17" s="312">
        <f t="shared" si="5"/>
        <v>64100</v>
      </c>
      <c r="CD17" s="312">
        <f t="shared" si="5"/>
        <v>64466</v>
      </c>
      <c r="CE17" s="312">
        <f t="shared" si="5"/>
        <v>64831</v>
      </c>
      <c r="CF17" s="312">
        <f t="shared" si="5"/>
        <v>65196</v>
      </c>
      <c r="CG17" s="312">
        <f t="shared" si="5"/>
        <v>65561</v>
      </c>
      <c r="CH17" s="312">
        <f t="shared" si="5"/>
        <v>65927</v>
      </c>
      <c r="CI17" s="312">
        <f t="shared" si="5"/>
        <v>66292</v>
      </c>
      <c r="CJ17" s="312">
        <f t="shared" si="5"/>
        <v>66657</v>
      </c>
      <c r="CK17" s="312">
        <f t="shared" si="5"/>
        <v>67022</v>
      </c>
      <c r="CL17" s="312">
        <f t="shared" si="5"/>
        <v>67388</v>
      </c>
      <c r="CM17" s="312">
        <f t="shared" si="5"/>
        <v>67753</v>
      </c>
      <c r="CN17" s="312">
        <f t="shared" si="5"/>
        <v>68118</v>
      </c>
      <c r="CO17" s="312">
        <f t="shared" si="5"/>
        <v>68483</v>
      </c>
      <c r="CP17" s="312">
        <f t="shared" si="5"/>
        <v>68849</v>
      </c>
      <c r="CQ17" s="23" t="s">
        <v>77</v>
      </c>
    </row>
    <row r="18" spans="2:95" ht="5.0999999999999996" customHeight="1" x14ac:dyDescent="0.2">
      <c r="CQ18" s="23" t="s">
        <v>77</v>
      </c>
    </row>
    <row r="19" spans="2:95" outlineLevel="1" x14ac:dyDescent="0.2">
      <c r="B19" s="8" t="s">
        <v>343</v>
      </c>
      <c r="K19" s="625" t="str">
        <f>+APA!K28</f>
        <v>n.a.</v>
      </c>
      <c r="L19" s="625" t="str">
        <f>+APA!L28</f>
        <v>n.a.</v>
      </c>
      <c r="M19" s="625">
        <f>+APA!M28</f>
        <v>128.72499999999999</v>
      </c>
      <c r="N19" s="625">
        <f>+APA!N28</f>
        <v>148.774</v>
      </c>
      <c r="O19" s="625">
        <f>+APA!O28</f>
        <v>136.815</v>
      </c>
      <c r="P19" s="625">
        <f>+APA!P28</f>
        <v>144.14500000000001</v>
      </c>
      <c r="Q19" s="625">
        <f>+APA!Q28</f>
        <v>143.643</v>
      </c>
      <c r="R19" s="625">
        <f>+APA!R28</f>
        <v>174.166</v>
      </c>
      <c r="S19" s="625">
        <f>+APA!S28</f>
        <v>196.87799999999999</v>
      </c>
      <c r="T19" s="625">
        <f>+APA!T28</f>
        <v>237.56399999999999</v>
      </c>
      <c r="U19" s="625">
        <f>+APA!U28</f>
        <v>265.97199999999998</v>
      </c>
      <c r="V19" s="625">
        <f>+APA!V28</f>
        <v>260.48099999999999</v>
      </c>
      <c r="W19" s="625">
        <f>+APA!W28</f>
        <v>291.72800000000001</v>
      </c>
      <c r="X19" s="51">
        <f>SUM(X55:X63)</f>
        <v>320.33959133958422</v>
      </c>
      <c r="Y19" s="51">
        <f t="shared" ref="Y19:BD19" si="6">SUM(Y55:Y63)</f>
        <v>357.90259362307381</v>
      </c>
      <c r="Z19" s="51">
        <f t="shared" si="6"/>
        <v>383.41280572559765</v>
      </c>
      <c r="AA19" s="51">
        <f t="shared" si="6"/>
        <v>393.68208956858717</v>
      </c>
      <c r="AB19" s="51">
        <f t="shared" si="6"/>
        <v>402.05687171014137</v>
      </c>
      <c r="AC19" s="51">
        <f t="shared" si="6"/>
        <v>410.65534560328172</v>
      </c>
      <c r="AD19" s="51">
        <f t="shared" si="6"/>
        <v>419.03534531100854</v>
      </c>
      <c r="AE19" s="51">
        <f t="shared" si="6"/>
        <v>412.02210186322918</v>
      </c>
      <c r="AF19" s="51">
        <f t="shared" si="6"/>
        <v>382.53328320834709</v>
      </c>
      <c r="AG19" s="51">
        <f t="shared" si="6"/>
        <v>368.19545829922754</v>
      </c>
      <c r="AH19" s="51">
        <f t="shared" si="6"/>
        <v>375.71611252404568</v>
      </c>
      <c r="AI19" s="51">
        <f t="shared" si="6"/>
        <v>383.36582980799915</v>
      </c>
      <c r="AJ19" s="51">
        <f t="shared" si="6"/>
        <v>385.09826273047048</v>
      </c>
      <c r="AK19" s="51">
        <f t="shared" si="6"/>
        <v>365.83327906949302</v>
      </c>
      <c r="AL19" s="51">
        <f t="shared" si="6"/>
        <v>373.2522928009119</v>
      </c>
      <c r="AM19" s="51">
        <f t="shared" si="6"/>
        <v>380.85910782937037</v>
      </c>
      <c r="AN19" s="51">
        <f t="shared" si="6"/>
        <v>375.77079439172519</v>
      </c>
      <c r="AO19" s="51">
        <f t="shared" si="6"/>
        <v>383.46002980148569</v>
      </c>
      <c r="AP19" s="51">
        <f t="shared" si="6"/>
        <v>391.34290238447176</v>
      </c>
      <c r="AQ19" s="51">
        <f t="shared" si="6"/>
        <v>399.42381673989667</v>
      </c>
      <c r="AR19" s="51">
        <f t="shared" si="6"/>
        <v>407.70678188537016</v>
      </c>
      <c r="AS19" s="51">
        <f t="shared" si="6"/>
        <v>416.19691371850314</v>
      </c>
      <c r="AT19" s="51">
        <f t="shared" si="6"/>
        <v>424.89893753692962</v>
      </c>
      <c r="AU19" s="51">
        <f t="shared" si="6"/>
        <v>433.81669061813153</v>
      </c>
      <c r="AV19" s="51">
        <f t="shared" si="6"/>
        <v>442.95562486048084</v>
      </c>
      <c r="AW19" s="51">
        <f t="shared" si="6"/>
        <v>395.06789940044416</v>
      </c>
      <c r="AX19" s="51">
        <f t="shared" si="6"/>
        <v>403.30475523691678</v>
      </c>
      <c r="AY19" s="51">
        <f t="shared" si="6"/>
        <v>411.74606851275666</v>
      </c>
      <c r="AZ19" s="51">
        <f t="shared" si="6"/>
        <v>420.39651030175116</v>
      </c>
      <c r="BA19" s="51">
        <f t="shared" si="6"/>
        <v>429.26036225791927</v>
      </c>
      <c r="BB19" s="51">
        <f t="shared" si="6"/>
        <v>438.34301922291547</v>
      </c>
      <c r="BC19" s="51">
        <f t="shared" si="6"/>
        <v>447.64899189527944</v>
      </c>
      <c r="BD19" s="51">
        <f t="shared" si="6"/>
        <v>457.18340956299647</v>
      </c>
      <c r="BE19" s="51">
        <f t="shared" ref="BE19:CP19" si="7">SUM(BE55:BE63)</f>
        <v>466.95152290086787</v>
      </c>
      <c r="BF19" s="51">
        <f t="shared" si="7"/>
        <v>476.95870683422731</v>
      </c>
      <c r="BG19" s="51">
        <f t="shared" si="7"/>
        <v>487.21046347057427</v>
      </c>
      <c r="BH19" s="51">
        <f t="shared" si="7"/>
        <v>497.71242510073358</v>
      </c>
      <c r="BI19" s="51">
        <f t="shared" si="7"/>
        <v>508.47035727118873</v>
      </c>
      <c r="BJ19" s="51">
        <f t="shared" si="7"/>
        <v>519.48966192927458</v>
      </c>
      <c r="BK19" s="51">
        <f t="shared" si="7"/>
        <v>530.77688064295569</v>
      </c>
      <c r="BL19" s="51">
        <f t="shared" si="7"/>
        <v>542.33769789695907</v>
      </c>
      <c r="BM19" s="51">
        <f t="shared" si="7"/>
        <v>554.17844446706818</v>
      </c>
      <c r="BN19" s="51">
        <f t="shared" si="7"/>
        <v>566.30610087443233</v>
      </c>
      <c r="BO19" s="51">
        <f t="shared" si="7"/>
        <v>578.72680092178666</v>
      </c>
      <c r="BP19" s="51">
        <f t="shared" si="7"/>
        <v>591.44733531352404</v>
      </c>
      <c r="BQ19" s="51">
        <f t="shared" si="7"/>
        <v>604.47465536160678</v>
      </c>
      <c r="BR19" s="51">
        <f t="shared" si="7"/>
        <v>617.81587677935033</v>
      </c>
      <c r="BS19" s="51">
        <f t="shared" si="7"/>
        <v>569.49272131826581</v>
      </c>
      <c r="BT19" s="51">
        <f t="shared" si="7"/>
        <v>582.01111262812219</v>
      </c>
      <c r="BU19" s="51">
        <f t="shared" si="7"/>
        <v>594.83081442453772</v>
      </c>
      <c r="BV19" s="51">
        <f t="shared" si="7"/>
        <v>607.9588094068846</v>
      </c>
      <c r="BW19" s="51">
        <f t="shared" si="7"/>
        <v>621.40174531583455</v>
      </c>
      <c r="BX19" s="51">
        <f t="shared" si="7"/>
        <v>635.16693883150128</v>
      </c>
      <c r="BY19" s="51">
        <f t="shared" si="7"/>
        <v>649.26187956399201</v>
      </c>
      <c r="BZ19" s="51">
        <f t="shared" si="7"/>
        <v>663.69473413855565</v>
      </c>
      <c r="CA19" s="51">
        <f t="shared" si="7"/>
        <v>678.47335037757284</v>
      </c>
      <c r="CB19" s="51">
        <f t="shared" si="7"/>
        <v>693.60526158168125</v>
      </c>
      <c r="CC19" s="51">
        <f t="shared" si="7"/>
        <v>709.09819091238535</v>
      </c>
      <c r="CD19" s="51">
        <f t="shared" si="7"/>
        <v>640.8931644200311</v>
      </c>
      <c r="CE19" s="51">
        <f t="shared" si="7"/>
        <v>655.13796904863079</v>
      </c>
      <c r="CF19" s="51">
        <f t="shared" si="7"/>
        <v>669.72272630782254</v>
      </c>
      <c r="CG19" s="51">
        <f t="shared" si="7"/>
        <v>684.65533852960243</v>
      </c>
      <c r="CH19" s="51">
        <f t="shared" si="7"/>
        <v>699.94339468080273</v>
      </c>
      <c r="CI19" s="51">
        <f t="shared" si="7"/>
        <v>715.5956747719224</v>
      </c>
      <c r="CJ19" s="51">
        <f t="shared" si="7"/>
        <v>731.62065437044271</v>
      </c>
      <c r="CK19" s="51">
        <f t="shared" si="7"/>
        <v>748.02650922110411</v>
      </c>
      <c r="CL19" s="51">
        <f t="shared" si="7"/>
        <v>764.82211997567879</v>
      </c>
      <c r="CM19" s="51">
        <f t="shared" si="7"/>
        <v>782.01657703483511</v>
      </c>
      <c r="CN19" s="51">
        <f t="shared" si="7"/>
        <v>799.61968550475081</v>
      </c>
      <c r="CO19" s="51">
        <f t="shared" si="7"/>
        <v>817.64097027119487</v>
      </c>
      <c r="CP19" s="51">
        <f t="shared" si="7"/>
        <v>836.08918119386317</v>
      </c>
      <c r="CQ19" s="23">
        <f>SUM(CQ55:CQ62)</f>
        <v>0</v>
      </c>
    </row>
    <row r="20" spans="2:95" outlineLevel="1" x14ac:dyDescent="0.2">
      <c r="B20" s="8" t="s">
        <v>342</v>
      </c>
      <c r="K20" s="625" t="str">
        <f>+APA!K29</f>
        <v>n.a.</v>
      </c>
      <c r="L20" s="625" t="str">
        <f>+APA!L29</f>
        <v>n.a.</v>
      </c>
      <c r="M20" s="625">
        <f>+APA!M29</f>
        <v>15.153</v>
      </c>
      <c r="N20" s="625">
        <f>+APA!N29</f>
        <v>18.434999999999999</v>
      </c>
      <c r="O20" s="625">
        <f>+APA!O29</f>
        <v>17.388000000000002</v>
      </c>
      <c r="P20" s="625">
        <f>+APA!P29</f>
        <v>11.242000000000001</v>
      </c>
      <c r="Q20" s="625">
        <f>+APA!Q29</f>
        <v>13.85</v>
      </c>
      <c r="R20" s="625">
        <f>+APA!R29</f>
        <v>21.734000000000002</v>
      </c>
      <c r="S20" s="625">
        <f>+APA!S29</f>
        <v>23.001000000000001</v>
      </c>
      <c r="T20" s="625">
        <f>+APA!T29</f>
        <v>24.848299999999998</v>
      </c>
      <c r="U20" s="625">
        <f>+APA!U29</f>
        <v>27.876999999999999</v>
      </c>
      <c r="V20" s="625">
        <f>+APA!V29</f>
        <v>28.843</v>
      </c>
      <c r="W20" s="625">
        <f>+APA!W29</f>
        <v>30.931999999999999</v>
      </c>
      <c r="X20" s="51">
        <f t="shared" ref="X20:BD20" si="8">+X54</f>
        <v>22.4</v>
      </c>
      <c r="Y20" s="51">
        <f t="shared" si="8"/>
        <v>22.5</v>
      </c>
      <c r="Z20" s="51">
        <f t="shared" si="8"/>
        <v>22.8</v>
      </c>
      <c r="AA20" s="51">
        <f t="shared" si="8"/>
        <v>22.9</v>
      </c>
      <c r="AB20" s="51">
        <f t="shared" si="8"/>
        <v>23.75299335923598</v>
      </c>
      <c r="AC20" s="51">
        <f t="shared" si="8"/>
        <v>24.14756092782957</v>
      </c>
      <c r="AD20" s="51">
        <f t="shared" si="8"/>
        <v>24.549501308111235</v>
      </c>
      <c r="AE20" s="51">
        <f t="shared" si="8"/>
        <v>24.960009289184519</v>
      </c>
      <c r="AF20" s="51">
        <f t="shared" si="8"/>
        <v>25.378253445455194</v>
      </c>
      <c r="AG20" s="51">
        <f t="shared" si="8"/>
        <v>25.806426856843142</v>
      </c>
      <c r="AH20" s="51">
        <f t="shared" si="8"/>
        <v>26.241696589464983</v>
      </c>
      <c r="AI20" s="51">
        <f t="shared" si="8"/>
        <v>26.687274669025605</v>
      </c>
      <c r="AJ20" s="51">
        <f t="shared" si="8"/>
        <v>27.141347318034938</v>
      </c>
      <c r="AK20" s="51">
        <f t="shared" si="8"/>
        <v>27.605125685851011</v>
      </c>
      <c r="AL20" s="51">
        <f t="shared" si="8"/>
        <v>28.078805463618835</v>
      </c>
      <c r="AM20" s="51">
        <f t="shared" si="8"/>
        <v>28.561597371208375</v>
      </c>
      <c r="AN20" s="51">
        <f t="shared" si="8"/>
        <v>29.053717150124701</v>
      </c>
      <c r="AO20" s="51">
        <f t="shared" si="8"/>
        <v>29.557405931786057</v>
      </c>
      <c r="AP20" s="51">
        <f t="shared" si="8"/>
        <v>30.070859490955964</v>
      </c>
      <c r="AQ20" s="51">
        <f t="shared" si="8"/>
        <v>30.595329613339427</v>
      </c>
      <c r="AR20" s="51">
        <f t="shared" si="8"/>
        <v>31.130033106571037</v>
      </c>
      <c r="AS20" s="51">
        <f t="shared" si="8"/>
        <v>31.676232925509154</v>
      </c>
      <c r="AT20" s="51">
        <f t="shared" si="8"/>
        <v>32.234177562017472</v>
      </c>
      <c r="AU20" s="51">
        <f t="shared" si="8"/>
        <v>32.803111307300689</v>
      </c>
      <c r="AV20" s="51">
        <f t="shared" si="8"/>
        <v>33.386314890111088</v>
      </c>
      <c r="AW20" s="51">
        <f t="shared" si="8"/>
        <v>33.979014503863695</v>
      </c>
      <c r="AX20" s="51">
        <f t="shared" si="8"/>
        <v>34.585523693583355</v>
      </c>
      <c r="AY20" s="51">
        <f t="shared" si="8"/>
        <v>35.205111893262924</v>
      </c>
      <c r="AZ20" s="51">
        <f t="shared" si="8"/>
        <v>35.837045078080308</v>
      </c>
      <c r="BA20" s="51">
        <f t="shared" si="8"/>
        <v>36.482636544519899</v>
      </c>
      <c r="BB20" s="51">
        <f t="shared" si="8"/>
        <v>37.142186328206371</v>
      </c>
      <c r="BC20" s="51">
        <f t="shared" si="8"/>
        <v>37.814981370772941</v>
      </c>
      <c r="BD20" s="51">
        <f t="shared" si="8"/>
        <v>38.502366560047058</v>
      </c>
      <c r="BE20" s="51">
        <f t="shared" ref="BE20:CP20" si="9">+BE54</f>
        <v>39.20565378727747</v>
      </c>
      <c r="BF20" s="51">
        <f t="shared" si="9"/>
        <v>39.922142374631839</v>
      </c>
      <c r="BG20" s="51">
        <f t="shared" si="9"/>
        <v>40.656230624684788</v>
      </c>
      <c r="BH20" s="51">
        <f t="shared" si="9"/>
        <v>41.403203400205925</v>
      </c>
      <c r="BI20" s="51">
        <f t="shared" si="9"/>
        <v>42.16845504860737</v>
      </c>
      <c r="BJ20" s="51">
        <f t="shared" si="9"/>
        <v>42.948317487572908</v>
      </c>
      <c r="BK20" s="51">
        <f t="shared" si="9"/>
        <v>43.746192021092767</v>
      </c>
      <c r="BL20" s="51">
        <f t="shared" si="9"/>
        <v>44.561438179753125</v>
      </c>
      <c r="BM20" s="51">
        <f t="shared" si="9"/>
        <v>45.394465049758161</v>
      </c>
      <c r="BN20" s="51">
        <f t="shared" si="9"/>
        <v>46.244640371580211</v>
      </c>
      <c r="BO20" s="51">
        <f t="shared" si="9"/>
        <v>47.113392003390835</v>
      </c>
      <c r="BP20" s="51">
        <f t="shared" si="9"/>
        <v>48.001137278554289</v>
      </c>
      <c r="BQ20" s="51">
        <f t="shared" si="9"/>
        <v>48.908303486251356</v>
      </c>
      <c r="BR20" s="51">
        <f t="shared" si="9"/>
        <v>49.834317985082464</v>
      </c>
      <c r="BS20" s="51">
        <f t="shared" si="9"/>
        <v>50.781638819113041</v>
      </c>
      <c r="BT20" s="51">
        <f t="shared" si="9"/>
        <v>51.749734718786343</v>
      </c>
      <c r="BU20" s="51">
        <f t="shared" si="9"/>
        <v>52.738044859413066</v>
      </c>
      <c r="BV20" s="51">
        <f t="shared" si="9"/>
        <v>53.748070240230945</v>
      </c>
      <c r="BW20" s="51">
        <f t="shared" si="9"/>
        <v>54.780303082668318</v>
      </c>
      <c r="BX20" s="51">
        <f t="shared" si="9"/>
        <v>55.836257476902539</v>
      </c>
      <c r="BY20" s="51">
        <f t="shared" si="9"/>
        <v>56.913419041444854</v>
      </c>
      <c r="BZ20" s="51">
        <f t="shared" si="9"/>
        <v>58.015346452279857</v>
      </c>
      <c r="CA20" s="51">
        <f t="shared" si="9"/>
        <v>59.140560370877118</v>
      </c>
      <c r="CB20" s="51">
        <f t="shared" si="9"/>
        <v>60.292634863031928</v>
      </c>
      <c r="CC20" s="51">
        <f t="shared" si="9"/>
        <v>61.468116713670618</v>
      </c>
      <c r="CD20" s="51">
        <f t="shared" si="9"/>
        <v>62.669586487684356</v>
      </c>
      <c r="CE20" s="51">
        <f t="shared" si="9"/>
        <v>63.89866897735638</v>
      </c>
      <c r="CF20" s="51">
        <f t="shared" si="9"/>
        <v>65.153932291422535</v>
      </c>
      <c r="CG20" s="51">
        <f t="shared" si="9"/>
        <v>66.437029932601845</v>
      </c>
      <c r="CH20" s="51">
        <f t="shared" si="9"/>
        <v>67.749589778473279</v>
      </c>
      <c r="CI20" s="51">
        <f t="shared" si="9"/>
        <v>69.090254933494322</v>
      </c>
      <c r="CJ20" s="51">
        <f t="shared" si="9"/>
        <v>70.461724589509004</v>
      </c>
      <c r="CK20" s="51">
        <f t="shared" si="9"/>
        <v>71.863653156287114</v>
      </c>
      <c r="CL20" s="51">
        <f t="shared" si="9"/>
        <v>73.295751884764599</v>
      </c>
      <c r="CM20" s="51">
        <f t="shared" si="9"/>
        <v>74.759728512355395</v>
      </c>
      <c r="CN20" s="51">
        <f t="shared" si="9"/>
        <v>76.256328159494387</v>
      </c>
      <c r="CO20" s="51">
        <f t="shared" si="9"/>
        <v>77.787323614783304</v>
      </c>
      <c r="CP20" s="51">
        <f t="shared" si="9"/>
        <v>79.352455008967951</v>
      </c>
      <c r="CQ20" s="23" t="s">
        <v>77</v>
      </c>
    </row>
    <row r="21" spans="2:95" outlineLevel="1" x14ac:dyDescent="0.2">
      <c r="B21" s="485" t="s">
        <v>12</v>
      </c>
      <c r="D21" s="485"/>
      <c r="E21" s="485"/>
      <c r="F21" s="485"/>
      <c r="G21" s="485"/>
      <c r="H21" s="485"/>
      <c r="I21" s="485"/>
      <c r="J21" s="485"/>
      <c r="K21" s="85">
        <f>SUM(K19:K20)</f>
        <v>0</v>
      </c>
      <c r="L21" s="85">
        <f t="shared" ref="L21:BD21" si="10">SUM(L19:L20)</f>
        <v>0</v>
      </c>
      <c r="M21" s="85">
        <f t="shared" si="10"/>
        <v>143.87799999999999</v>
      </c>
      <c r="N21" s="85">
        <f t="shared" si="10"/>
        <v>167.209</v>
      </c>
      <c r="O21" s="85">
        <f t="shared" si="10"/>
        <v>154.203</v>
      </c>
      <c r="P21" s="85">
        <f t="shared" si="10"/>
        <v>155.387</v>
      </c>
      <c r="Q21" s="85">
        <f t="shared" si="10"/>
        <v>157.49299999999999</v>
      </c>
      <c r="R21" s="85">
        <f t="shared" si="10"/>
        <v>195.9</v>
      </c>
      <c r="S21" s="85">
        <f t="shared" si="10"/>
        <v>219.87899999999999</v>
      </c>
      <c r="T21" s="85">
        <f t="shared" si="10"/>
        <v>262.41230000000002</v>
      </c>
      <c r="U21" s="85">
        <f t="shared" si="10"/>
        <v>293.84899999999999</v>
      </c>
      <c r="V21" s="85">
        <f t="shared" si="10"/>
        <v>289.32400000000001</v>
      </c>
      <c r="W21" s="85">
        <f t="shared" si="10"/>
        <v>322.66000000000003</v>
      </c>
      <c r="X21" s="85">
        <f t="shared" si="10"/>
        <v>342.73959133958419</v>
      </c>
      <c r="Y21" s="85">
        <f t="shared" si="10"/>
        <v>380.40259362307381</v>
      </c>
      <c r="Z21" s="85">
        <f t="shared" si="10"/>
        <v>406.21280572559766</v>
      </c>
      <c r="AA21" s="85">
        <f t="shared" si="10"/>
        <v>416.58208956858715</v>
      </c>
      <c r="AB21" s="85">
        <f t="shared" si="10"/>
        <v>425.80986506937734</v>
      </c>
      <c r="AC21" s="85">
        <f t="shared" si="10"/>
        <v>434.80290653111126</v>
      </c>
      <c r="AD21" s="85">
        <f t="shared" si="10"/>
        <v>443.58484661911979</v>
      </c>
      <c r="AE21" s="85">
        <f t="shared" si="10"/>
        <v>436.98211115241372</v>
      </c>
      <c r="AF21" s="85">
        <f t="shared" si="10"/>
        <v>407.91153665380227</v>
      </c>
      <c r="AG21" s="85">
        <f t="shared" si="10"/>
        <v>394.00188515607067</v>
      </c>
      <c r="AH21" s="85">
        <f t="shared" si="10"/>
        <v>401.95780911351068</v>
      </c>
      <c r="AI21" s="85">
        <f t="shared" si="10"/>
        <v>410.05310447702476</v>
      </c>
      <c r="AJ21" s="85">
        <f t="shared" si="10"/>
        <v>412.23961004850543</v>
      </c>
      <c r="AK21" s="85">
        <f t="shared" si="10"/>
        <v>393.43840475534404</v>
      </c>
      <c r="AL21" s="85">
        <f t="shared" si="10"/>
        <v>401.33109826453074</v>
      </c>
      <c r="AM21" s="85">
        <f t="shared" si="10"/>
        <v>409.42070520057877</v>
      </c>
      <c r="AN21" s="85">
        <f t="shared" si="10"/>
        <v>404.82451154184992</v>
      </c>
      <c r="AO21" s="85">
        <f t="shared" si="10"/>
        <v>413.01743573327172</v>
      </c>
      <c r="AP21" s="85">
        <f t="shared" si="10"/>
        <v>421.41376187542772</v>
      </c>
      <c r="AQ21" s="85">
        <f t="shared" si="10"/>
        <v>430.01914635323607</v>
      </c>
      <c r="AR21" s="85">
        <f t="shared" si="10"/>
        <v>438.8368149919412</v>
      </c>
      <c r="AS21" s="85">
        <f t="shared" si="10"/>
        <v>447.87314664401231</v>
      </c>
      <c r="AT21" s="85">
        <f t="shared" si="10"/>
        <v>457.13311509894709</v>
      </c>
      <c r="AU21" s="85">
        <f t="shared" si="10"/>
        <v>466.61980192543223</v>
      </c>
      <c r="AV21" s="85">
        <f t="shared" si="10"/>
        <v>476.34193975059191</v>
      </c>
      <c r="AW21" s="85">
        <f t="shared" si="10"/>
        <v>429.04691390430787</v>
      </c>
      <c r="AX21" s="85">
        <f t="shared" si="10"/>
        <v>437.89027893050013</v>
      </c>
      <c r="AY21" s="85">
        <f t="shared" si="10"/>
        <v>446.9511804060196</v>
      </c>
      <c r="AZ21" s="85">
        <f t="shared" si="10"/>
        <v>456.2335553798315</v>
      </c>
      <c r="BA21" s="85">
        <f t="shared" si="10"/>
        <v>465.74299880243916</v>
      </c>
      <c r="BB21" s="85">
        <f t="shared" si="10"/>
        <v>475.48520555112185</v>
      </c>
      <c r="BC21" s="85">
        <f t="shared" si="10"/>
        <v>485.46397326605239</v>
      </c>
      <c r="BD21" s="85">
        <f t="shared" si="10"/>
        <v>495.68577612304352</v>
      </c>
      <c r="BE21" s="85">
        <f t="shared" ref="BE21:CP21" si="11">SUM(BE19:BE20)</f>
        <v>506.15717668814534</v>
      </c>
      <c r="BF21" s="85">
        <f t="shared" si="11"/>
        <v>516.8808492088591</v>
      </c>
      <c r="BG21" s="85">
        <f t="shared" si="11"/>
        <v>527.86669409525905</v>
      </c>
      <c r="BH21" s="85">
        <f t="shared" si="11"/>
        <v>539.11562850093947</v>
      </c>
      <c r="BI21" s="85">
        <f t="shared" si="11"/>
        <v>550.6388123197961</v>
      </c>
      <c r="BJ21" s="85">
        <f t="shared" si="11"/>
        <v>562.4379794168475</v>
      </c>
      <c r="BK21" s="85">
        <f t="shared" si="11"/>
        <v>574.52307266404841</v>
      </c>
      <c r="BL21" s="85">
        <f t="shared" si="11"/>
        <v>586.89913607671224</v>
      </c>
      <c r="BM21" s="85">
        <f t="shared" si="11"/>
        <v>599.57290951682637</v>
      </c>
      <c r="BN21" s="85">
        <f t="shared" si="11"/>
        <v>612.55074124601254</v>
      </c>
      <c r="BO21" s="85">
        <f t="shared" si="11"/>
        <v>625.84019292517746</v>
      </c>
      <c r="BP21" s="85">
        <f t="shared" si="11"/>
        <v>639.44847259207836</v>
      </c>
      <c r="BQ21" s="85">
        <f t="shared" si="11"/>
        <v>653.38295884785816</v>
      </c>
      <c r="BR21" s="85">
        <f t="shared" si="11"/>
        <v>667.65019476443285</v>
      </c>
      <c r="BS21" s="85">
        <f t="shared" si="11"/>
        <v>620.27436013737884</v>
      </c>
      <c r="BT21" s="85">
        <f t="shared" si="11"/>
        <v>633.76084734690858</v>
      </c>
      <c r="BU21" s="85">
        <f t="shared" si="11"/>
        <v>647.56885928395081</v>
      </c>
      <c r="BV21" s="85">
        <f t="shared" si="11"/>
        <v>661.70687964711556</v>
      </c>
      <c r="BW21" s="85">
        <f t="shared" si="11"/>
        <v>676.18204839850284</v>
      </c>
      <c r="BX21" s="85">
        <f t="shared" si="11"/>
        <v>691.00319630840386</v>
      </c>
      <c r="BY21" s="85">
        <f t="shared" si="11"/>
        <v>706.17529860543686</v>
      </c>
      <c r="BZ21" s="85">
        <f t="shared" si="11"/>
        <v>721.71008059083556</v>
      </c>
      <c r="CA21" s="85">
        <f t="shared" si="11"/>
        <v>737.61391074844994</v>
      </c>
      <c r="CB21" s="85">
        <f t="shared" si="11"/>
        <v>753.89789644471318</v>
      </c>
      <c r="CC21" s="85">
        <f t="shared" si="11"/>
        <v>770.56630762605596</v>
      </c>
      <c r="CD21" s="85">
        <f t="shared" si="11"/>
        <v>703.56275090771544</v>
      </c>
      <c r="CE21" s="85">
        <f t="shared" si="11"/>
        <v>719.03663802598714</v>
      </c>
      <c r="CF21" s="85">
        <f t="shared" si="11"/>
        <v>734.87665859924505</v>
      </c>
      <c r="CG21" s="85">
        <f t="shared" si="11"/>
        <v>751.09236846220426</v>
      </c>
      <c r="CH21" s="85">
        <f t="shared" si="11"/>
        <v>767.69298445927598</v>
      </c>
      <c r="CI21" s="85">
        <f t="shared" si="11"/>
        <v>784.6859297054167</v>
      </c>
      <c r="CJ21" s="85">
        <f t="shared" si="11"/>
        <v>802.08237895995171</v>
      </c>
      <c r="CK21" s="85">
        <f t="shared" si="11"/>
        <v>819.89016237739122</v>
      </c>
      <c r="CL21" s="85">
        <f t="shared" si="11"/>
        <v>838.11787186044342</v>
      </c>
      <c r="CM21" s="85">
        <f t="shared" si="11"/>
        <v>856.77630554719053</v>
      </c>
      <c r="CN21" s="85">
        <f t="shared" si="11"/>
        <v>875.87601366424519</v>
      </c>
      <c r="CO21" s="85">
        <f t="shared" si="11"/>
        <v>895.42829388597818</v>
      </c>
      <c r="CP21" s="85">
        <f t="shared" si="11"/>
        <v>915.44163620283109</v>
      </c>
      <c r="CQ21" s="23" t="s">
        <v>77</v>
      </c>
    </row>
    <row r="22" spans="2:95" outlineLevel="1" x14ac:dyDescent="0.2">
      <c r="CQ22" s="23" t="s">
        <v>77</v>
      </c>
    </row>
    <row r="23" spans="2:95" outlineLevel="1" x14ac:dyDescent="0.2">
      <c r="B23" s="8" t="s">
        <v>344</v>
      </c>
      <c r="K23" s="625" t="str">
        <f>+APA!K48</f>
        <v>n.a.</v>
      </c>
      <c r="L23" s="625" t="str">
        <f>+APA!L48</f>
        <v>n.a.</v>
      </c>
      <c r="M23" s="625">
        <f>+APA!M48</f>
        <v>100.68899999999999</v>
      </c>
      <c r="N23" s="625">
        <f>+APA!N48</f>
        <v>111.05200000000001</v>
      </c>
      <c r="O23" s="625">
        <f>+APA!O48</f>
        <v>97.885999999999996</v>
      </c>
      <c r="P23" s="625">
        <f>+APA!P48</f>
        <v>100.8</v>
      </c>
      <c r="Q23" s="625">
        <f>+APA!Q48</f>
        <v>94.222999999999999</v>
      </c>
      <c r="R23" s="625">
        <f>+APA!R48</f>
        <v>117.39700000000001</v>
      </c>
      <c r="S23" s="625">
        <f>+APA!S48</f>
        <v>135.97999999999999</v>
      </c>
      <c r="T23" s="625">
        <f>+APA!T48</f>
        <v>188.947</v>
      </c>
      <c r="U23" s="625">
        <f>+APA!U48</f>
        <v>212.60400000000001</v>
      </c>
      <c r="V23" s="625">
        <f>+APA!V48</f>
        <v>217.55799999999999</v>
      </c>
      <c r="W23" s="51">
        <f>SUM(W82:W90)</f>
        <v>234.7</v>
      </c>
      <c r="X23" s="51">
        <f>SUM(X82:X90)</f>
        <v>252.30690875255277</v>
      </c>
      <c r="Y23" s="51">
        <f>SUM(Y82:Y90)</f>
        <v>278.49349022391937</v>
      </c>
      <c r="Z23" s="51">
        <f t="shared" ref="Z23:BD23" si="12">SUM(Z82:Z90)</f>
        <v>299.62199404162772</v>
      </c>
      <c r="AA23" s="51">
        <f t="shared" si="12"/>
        <v>307.84188860510091</v>
      </c>
      <c r="AB23" s="51">
        <f t="shared" si="12"/>
        <v>314.54629349465284</v>
      </c>
      <c r="AC23" s="51">
        <f t="shared" si="12"/>
        <v>321.42976626488138</v>
      </c>
      <c r="AD23" s="51">
        <f t="shared" si="12"/>
        <v>328.10915746986717</v>
      </c>
      <c r="AE23" s="51">
        <f t="shared" si="12"/>
        <v>319.35134045382131</v>
      </c>
      <c r="AF23" s="51">
        <f t="shared" si="12"/>
        <v>304.76520293817737</v>
      </c>
      <c r="AG23" s="51">
        <f t="shared" si="12"/>
        <v>288.74680559051114</v>
      </c>
      <c r="AH23" s="51">
        <f t="shared" si="12"/>
        <v>294.54343557620314</v>
      </c>
      <c r="AI23" s="51">
        <f t="shared" si="12"/>
        <v>300.42466295784232</v>
      </c>
      <c r="AJ23" s="51">
        <f t="shared" si="12"/>
        <v>301.88079429985436</v>
      </c>
      <c r="AK23" s="51">
        <f t="shared" si="12"/>
        <v>287.1990391133175</v>
      </c>
      <c r="AL23" s="51">
        <f t="shared" si="12"/>
        <v>292.71205709114241</v>
      </c>
      <c r="AM23" s="51">
        <f t="shared" si="12"/>
        <v>298.56456907308007</v>
      </c>
      <c r="AN23" s="51">
        <f t="shared" si="12"/>
        <v>291.67704617923141</v>
      </c>
      <c r="AO23" s="51">
        <f t="shared" si="12"/>
        <v>297.52131884893191</v>
      </c>
      <c r="AP23" s="51">
        <f t="shared" si="12"/>
        <v>303.51230316359135</v>
      </c>
      <c r="AQ23" s="51">
        <f t="shared" si="12"/>
        <v>309.65330549543825</v>
      </c>
      <c r="AR23" s="51">
        <f t="shared" si="12"/>
        <v>315.9473100253133</v>
      </c>
      <c r="AS23" s="51">
        <f t="shared" si="12"/>
        <v>322.39818056183151</v>
      </c>
      <c r="AT23" s="51">
        <f t="shared" si="12"/>
        <v>329.00946240335963</v>
      </c>
      <c r="AU23" s="51">
        <f t="shared" si="12"/>
        <v>335.78398424381584</v>
      </c>
      <c r="AV23" s="51">
        <f t="shared" si="12"/>
        <v>342.72586012331743</v>
      </c>
      <c r="AW23" s="51">
        <f t="shared" si="12"/>
        <v>307.66804252812915</v>
      </c>
      <c r="AX23" s="51">
        <f t="shared" si="12"/>
        <v>313.96285935464385</v>
      </c>
      <c r="AY23" s="51">
        <f t="shared" si="12"/>
        <v>320.41332234083075</v>
      </c>
      <c r="AZ23" s="51">
        <f t="shared" si="12"/>
        <v>327.02295721490009</v>
      </c>
      <c r="BA23" s="51">
        <f t="shared" si="12"/>
        <v>333.79497257899607</v>
      </c>
      <c r="BB23" s="51">
        <f t="shared" si="12"/>
        <v>340.73346184795469</v>
      </c>
      <c r="BC23" s="51">
        <f t="shared" si="12"/>
        <v>347.84180523368229</v>
      </c>
      <c r="BD23" s="51">
        <f t="shared" si="12"/>
        <v>355.12387177622708</v>
      </c>
      <c r="BE23" s="51">
        <f t="shared" ref="BE23:CP23" si="13">SUM(BE82:BE90)</f>
        <v>362.58362142264025</v>
      </c>
      <c r="BF23" s="51">
        <f t="shared" si="13"/>
        <v>370.22510715474891</v>
      </c>
      <c r="BG23" s="51">
        <f t="shared" si="13"/>
        <v>378.05247716698909</v>
      </c>
      <c r="BH23" s="51">
        <f t="shared" si="13"/>
        <v>386.06997709547562</v>
      </c>
      <c r="BI23" s="51">
        <f t="shared" si="13"/>
        <v>394.28195229951103</v>
      </c>
      <c r="BJ23" s="51">
        <f t="shared" si="13"/>
        <v>402.69245019676634</v>
      </c>
      <c r="BK23" s="51">
        <f t="shared" si="13"/>
        <v>411.30642265339395</v>
      </c>
      <c r="BL23" s="51">
        <f t="shared" si="13"/>
        <v>420.12812843036238</v>
      </c>
      <c r="BM23" s="51">
        <f t="shared" si="13"/>
        <v>429.1623356873356</v>
      </c>
      <c r="BN23" s="51">
        <f t="shared" si="13"/>
        <v>438.4143245454456</v>
      </c>
      <c r="BO23" s="51">
        <f t="shared" si="13"/>
        <v>447.88868971034503</v>
      </c>
      <c r="BP23" s="51">
        <f t="shared" si="13"/>
        <v>457.59054315695352</v>
      </c>
      <c r="BQ23" s="51">
        <f t="shared" si="13"/>
        <v>467.52511687734903</v>
      </c>
      <c r="BR23" s="51">
        <f t="shared" si="13"/>
        <v>477.69776569328587</v>
      </c>
      <c r="BS23" s="51">
        <f t="shared" si="13"/>
        <v>445.38682472714135</v>
      </c>
      <c r="BT23" s="51">
        <f t="shared" si="13"/>
        <v>455.06109729676893</v>
      </c>
      <c r="BU23" s="51">
        <f t="shared" si="13"/>
        <v>464.9673483113171</v>
      </c>
      <c r="BV23" s="51">
        <f t="shared" si="13"/>
        <v>475.11092390703192</v>
      </c>
      <c r="BW23" s="51">
        <f t="shared" si="13"/>
        <v>485.49689593734456</v>
      </c>
      <c r="BX23" s="51">
        <f t="shared" si="13"/>
        <v>496.13086492600206</v>
      </c>
      <c r="BY23" s="51">
        <f t="shared" si="13"/>
        <v>507.01856308981098</v>
      </c>
      <c r="BZ23" s="51">
        <f t="shared" si="13"/>
        <v>518.16625743263603</v>
      </c>
      <c r="CA23" s="51">
        <f t="shared" si="13"/>
        <v>529.57995291233101</v>
      </c>
      <c r="CB23" s="51">
        <f t="shared" si="13"/>
        <v>541.26539568232181</v>
      </c>
      <c r="CC23" s="51">
        <f t="shared" si="13"/>
        <v>553.22847640959765</v>
      </c>
      <c r="CD23" s="51">
        <f t="shared" si="13"/>
        <v>506.02676491020463</v>
      </c>
      <c r="CE23" s="51">
        <f t="shared" si="13"/>
        <v>517.18424181364833</v>
      </c>
      <c r="CF23" s="51">
        <f t="shared" si="13"/>
        <v>528.60749721507125</v>
      </c>
      <c r="CG23" s="51">
        <f t="shared" si="13"/>
        <v>540.30269305954096</v>
      </c>
      <c r="CH23" s="51">
        <f t="shared" si="13"/>
        <v>552.27573647538429</v>
      </c>
      <c r="CI23" s="51">
        <f t="shared" si="13"/>
        <v>564.53348319513009</v>
      </c>
      <c r="CJ23" s="51">
        <f t="shared" si="13"/>
        <v>577.08254105731567</v>
      </c>
      <c r="CK23" s="51">
        <f t="shared" si="13"/>
        <v>589.92927359106716</v>
      </c>
      <c r="CL23" s="51">
        <f t="shared" si="13"/>
        <v>603.08060368541078</v>
      </c>
      <c r="CM23" s="51">
        <f t="shared" si="13"/>
        <v>616.54361734532017</v>
      </c>
      <c r="CN23" s="51">
        <f t="shared" si="13"/>
        <v>630.32596753654479</v>
      </c>
      <c r="CO23" s="51">
        <f t="shared" si="13"/>
        <v>644.43507812132452</v>
      </c>
      <c r="CP23" s="51">
        <f t="shared" si="13"/>
        <v>658.87774788713432</v>
      </c>
      <c r="CQ23" s="23" t="s">
        <v>77</v>
      </c>
    </row>
    <row r="24" spans="2:95" outlineLevel="1" x14ac:dyDescent="0.2">
      <c r="B24" s="8" t="s">
        <v>345</v>
      </c>
      <c r="K24" s="625" t="str">
        <f>+APA!K49</f>
        <v>n.a.</v>
      </c>
      <c r="L24" s="625" t="str">
        <f>+APA!L49</f>
        <v>n.a.</v>
      </c>
      <c r="M24" s="625">
        <f>+APA!M49</f>
        <v>4.4000000000000004</v>
      </c>
      <c r="N24" s="625">
        <f>+APA!N49</f>
        <v>3.0150000000000001</v>
      </c>
      <c r="O24" s="625">
        <f>+APA!O49</f>
        <v>2.97</v>
      </c>
      <c r="P24" s="625">
        <f>+APA!P49</f>
        <v>1.9379999999999999</v>
      </c>
      <c r="Q24" s="625">
        <f>+APA!Q49</f>
        <v>5.5780000000000003</v>
      </c>
      <c r="R24" s="625">
        <f>+APA!R49</f>
        <v>8.5410000000000004</v>
      </c>
      <c r="S24" s="625">
        <f>+APA!S49</f>
        <v>11.747999999999999</v>
      </c>
      <c r="T24" s="625">
        <f>+APA!T49</f>
        <v>15.214</v>
      </c>
      <c r="U24" s="625">
        <f>+APA!U49</f>
        <v>17.954000000000001</v>
      </c>
      <c r="V24" s="625">
        <f>+APA!V49</f>
        <v>17.46</v>
      </c>
      <c r="W24" s="51">
        <f t="shared" ref="W24:BD24" si="14">+W81</f>
        <v>18.8</v>
      </c>
      <c r="X24" s="51">
        <f t="shared" si="14"/>
        <v>18.96</v>
      </c>
      <c r="Y24" s="51">
        <f t="shared" si="14"/>
        <v>19.040000000000003</v>
      </c>
      <c r="Z24" s="51">
        <f t="shared" si="14"/>
        <v>19.280000000000005</v>
      </c>
      <c r="AA24" s="51">
        <f t="shared" si="14"/>
        <v>19.360000000000003</v>
      </c>
      <c r="AB24" s="51">
        <f t="shared" si="14"/>
        <v>20.042394687388789</v>
      </c>
      <c r="AC24" s="51">
        <f t="shared" si="14"/>
        <v>20.358048742263662</v>
      </c>
      <c r="AD24" s="51">
        <f t="shared" si="14"/>
        <v>20.679601046488994</v>
      </c>
      <c r="AE24" s="51">
        <f t="shared" si="14"/>
        <v>21.008007431347622</v>
      </c>
      <c r="AF24" s="51">
        <f t="shared" si="14"/>
        <v>21.342602756364162</v>
      </c>
      <c r="AG24" s="51">
        <f t="shared" si="14"/>
        <v>21.685141485474521</v>
      </c>
      <c r="AH24" s="51">
        <f t="shared" si="14"/>
        <v>22.033357271571994</v>
      </c>
      <c r="AI24" s="51">
        <f t="shared" si="14"/>
        <v>22.389819735220492</v>
      </c>
      <c r="AJ24" s="51">
        <f t="shared" si="14"/>
        <v>22.753077854427957</v>
      </c>
      <c r="AK24" s="51">
        <f t="shared" si="14"/>
        <v>23.10091163029001</v>
      </c>
      <c r="AL24" s="51">
        <f t="shared" si="14"/>
        <v>23.479855452504271</v>
      </c>
      <c r="AM24" s="51">
        <f t="shared" si="14"/>
        <v>23.866088978575903</v>
      </c>
      <c r="AN24" s="51">
        <f t="shared" si="14"/>
        <v>24.259784801708964</v>
      </c>
      <c r="AO24" s="51">
        <f t="shared" si="14"/>
        <v>24.662735827038048</v>
      </c>
      <c r="AP24" s="51">
        <f t="shared" si="14"/>
        <v>25.073498674373973</v>
      </c>
      <c r="AQ24" s="51">
        <f t="shared" si="14"/>
        <v>25.493074772280742</v>
      </c>
      <c r="AR24" s="51">
        <f t="shared" si="14"/>
        <v>25.92083756686603</v>
      </c>
      <c r="AS24" s="51">
        <f t="shared" si="14"/>
        <v>26.357797422016525</v>
      </c>
      <c r="AT24" s="51">
        <f t="shared" si="14"/>
        <v>26.804153131223178</v>
      </c>
      <c r="AU24" s="51">
        <f t="shared" si="14"/>
        <v>27.259300127449752</v>
      </c>
      <c r="AV24" s="51">
        <f t="shared" si="14"/>
        <v>27.725862993698069</v>
      </c>
      <c r="AW24" s="51">
        <f t="shared" si="14"/>
        <v>28.200022684700155</v>
      </c>
      <c r="AX24" s="51">
        <f t="shared" si="14"/>
        <v>28.685230036475883</v>
      </c>
      <c r="AY24" s="51">
        <f t="shared" si="14"/>
        <v>29.180900596219537</v>
      </c>
      <c r="AZ24" s="51">
        <f t="shared" si="14"/>
        <v>29.686447144073444</v>
      </c>
      <c r="BA24" s="51">
        <f t="shared" si="14"/>
        <v>30.202920317225118</v>
      </c>
      <c r="BB24" s="51">
        <f t="shared" si="14"/>
        <v>30.730560144174294</v>
      </c>
      <c r="BC24" s="51">
        <f t="shared" si="14"/>
        <v>31.26879617822755</v>
      </c>
      <c r="BD24" s="51">
        <f t="shared" si="14"/>
        <v>31.818704329646845</v>
      </c>
      <c r="BE24" s="51">
        <f t="shared" ref="BE24:CP24" si="15">+BE81</f>
        <v>32.381334111431173</v>
      </c>
      <c r="BF24" s="51">
        <f t="shared" si="15"/>
        <v>32.95452498131467</v>
      </c>
      <c r="BG24" s="51">
        <f t="shared" si="15"/>
        <v>33.541795581357029</v>
      </c>
      <c r="BH24" s="51">
        <f t="shared" si="15"/>
        <v>34.139373801773935</v>
      </c>
      <c r="BI24" s="51">
        <f t="shared" si="15"/>
        <v>34.75157512049509</v>
      </c>
      <c r="BJ24" s="51">
        <f t="shared" si="15"/>
        <v>35.37546507166752</v>
      </c>
      <c r="BK24" s="51">
        <f t="shared" si="15"/>
        <v>36.013764698483406</v>
      </c>
      <c r="BL24" s="51">
        <f t="shared" si="15"/>
        <v>36.66596162541169</v>
      </c>
      <c r="BM24" s="51">
        <f t="shared" si="15"/>
        <v>37.332383121415717</v>
      </c>
      <c r="BN24" s="51">
        <f t="shared" si="15"/>
        <v>38.012523378873354</v>
      </c>
      <c r="BO24" s="51">
        <f t="shared" si="15"/>
        <v>38.707524684321854</v>
      </c>
      <c r="BP24" s="51">
        <f t="shared" si="15"/>
        <v>39.417720904452615</v>
      </c>
      <c r="BQ24" s="51">
        <f t="shared" si="15"/>
        <v>40.143453870610266</v>
      </c>
      <c r="BR24" s="51">
        <f t="shared" si="15"/>
        <v>40.88426546967515</v>
      </c>
      <c r="BS24" s="51">
        <f t="shared" si="15"/>
        <v>41.642122136899609</v>
      </c>
      <c r="BT24" s="51">
        <f t="shared" si="15"/>
        <v>42.416598856638252</v>
      </c>
      <c r="BU24" s="51">
        <f t="shared" si="15"/>
        <v>43.207246969139632</v>
      </c>
      <c r="BV24" s="51">
        <f t="shared" si="15"/>
        <v>44.015267273793938</v>
      </c>
      <c r="BW24" s="51">
        <f t="shared" si="15"/>
        <v>44.84105354774384</v>
      </c>
      <c r="BX24" s="51">
        <f t="shared" si="15"/>
        <v>45.685817063131218</v>
      </c>
      <c r="BY24" s="51">
        <f t="shared" si="15"/>
        <v>46.547546314765071</v>
      </c>
      <c r="BZ24" s="51">
        <f t="shared" si="15"/>
        <v>47.429088243433071</v>
      </c>
      <c r="CA24" s="51">
        <f t="shared" si="15"/>
        <v>48.32925937831088</v>
      </c>
      <c r="CB24" s="51">
        <f t="shared" si="15"/>
        <v>49.250918972034725</v>
      </c>
      <c r="CC24" s="51">
        <f t="shared" si="15"/>
        <v>50.19130445254568</v>
      </c>
      <c r="CD24" s="51">
        <f t="shared" si="15"/>
        <v>51.152480271756673</v>
      </c>
      <c r="CE24" s="51">
        <f t="shared" si="15"/>
        <v>52.135746263494291</v>
      </c>
      <c r="CF24" s="51">
        <f t="shared" si="15"/>
        <v>53.139956914747216</v>
      </c>
      <c r="CG24" s="51">
        <f t="shared" si="15"/>
        <v>54.166435027690667</v>
      </c>
      <c r="CH24" s="51">
        <f t="shared" si="15"/>
        <v>55.216482904387817</v>
      </c>
      <c r="CI24" s="51">
        <f t="shared" si="15"/>
        <v>56.289015028404648</v>
      </c>
      <c r="CJ24" s="51">
        <f t="shared" si="15"/>
        <v>57.386190753216397</v>
      </c>
      <c r="CK24" s="51">
        <f t="shared" si="15"/>
        <v>58.507733606638887</v>
      </c>
      <c r="CL24" s="51">
        <f t="shared" si="15"/>
        <v>59.653412589420874</v>
      </c>
      <c r="CM24" s="51">
        <f t="shared" si="15"/>
        <v>60.824593891493514</v>
      </c>
      <c r="CN24" s="51">
        <f t="shared" si="15"/>
        <v>62.021873609204711</v>
      </c>
      <c r="CO24" s="51">
        <f t="shared" si="15"/>
        <v>63.246669973435843</v>
      </c>
      <c r="CP24" s="51">
        <f t="shared" si="15"/>
        <v>64.49877508878356</v>
      </c>
      <c r="CQ24" s="23" t="s">
        <v>77</v>
      </c>
    </row>
    <row r="25" spans="2:95" outlineLevel="1" x14ac:dyDescent="0.2">
      <c r="B25" s="485" t="s">
        <v>348</v>
      </c>
      <c r="D25" s="485"/>
      <c r="E25" s="485"/>
      <c r="F25" s="485"/>
      <c r="G25" s="485"/>
      <c r="H25" s="485"/>
      <c r="I25" s="485"/>
      <c r="J25" s="485"/>
      <c r="K25" s="85">
        <f t="shared" ref="K25:BD25" si="16">SUM(K23:K24)</f>
        <v>0</v>
      </c>
      <c r="L25" s="85">
        <f t="shared" si="16"/>
        <v>0</v>
      </c>
      <c r="M25" s="85">
        <f t="shared" si="16"/>
        <v>105.089</v>
      </c>
      <c r="N25" s="85">
        <f t="shared" si="16"/>
        <v>114.06700000000001</v>
      </c>
      <c r="O25" s="85">
        <f t="shared" si="16"/>
        <v>100.85599999999999</v>
      </c>
      <c r="P25" s="85">
        <f t="shared" si="16"/>
        <v>102.738</v>
      </c>
      <c r="Q25" s="85">
        <f t="shared" si="16"/>
        <v>99.801000000000002</v>
      </c>
      <c r="R25" s="85">
        <f t="shared" si="16"/>
        <v>125.938</v>
      </c>
      <c r="S25" s="85">
        <f t="shared" si="16"/>
        <v>147.72799999999998</v>
      </c>
      <c r="T25" s="85">
        <f t="shared" si="16"/>
        <v>204.161</v>
      </c>
      <c r="U25" s="85">
        <f t="shared" si="16"/>
        <v>230.55800000000002</v>
      </c>
      <c r="V25" s="85">
        <f t="shared" si="16"/>
        <v>235.018</v>
      </c>
      <c r="W25" s="85">
        <f t="shared" si="16"/>
        <v>253.5</v>
      </c>
      <c r="X25" s="85">
        <f t="shared" si="16"/>
        <v>271.26690875255275</v>
      </c>
      <c r="Y25" s="85">
        <f t="shared" si="16"/>
        <v>297.53349022391939</v>
      </c>
      <c r="Z25" s="85">
        <f>SUM(Z23:Z24)</f>
        <v>318.90199404162774</v>
      </c>
      <c r="AA25" s="85">
        <f t="shared" si="16"/>
        <v>327.20188860510092</v>
      </c>
      <c r="AB25" s="85">
        <f t="shared" si="16"/>
        <v>334.58868818204161</v>
      </c>
      <c r="AC25" s="85">
        <f t="shared" si="16"/>
        <v>341.78781500714501</v>
      </c>
      <c r="AD25" s="85">
        <f t="shared" si="16"/>
        <v>348.78875851635615</v>
      </c>
      <c r="AE25" s="85">
        <f t="shared" si="16"/>
        <v>340.35934788516892</v>
      </c>
      <c r="AF25" s="85">
        <f t="shared" si="16"/>
        <v>326.10780569454153</v>
      </c>
      <c r="AG25" s="85">
        <f t="shared" si="16"/>
        <v>310.43194707598565</v>
      </c>
      <c r="AH25" s="85">
        <f t="shared" si="16"/>
        <v>316.57679284777515</v>
      </c>
      <c r="AI25" s="85">
        <f t="shared" si="16"/>
        <v>322.81448269306281</v>
      </c>
      <c r="AJ25" s="85">
        <f t="shared" si="16"/>
        <v>324.6338721542823</v>
      </c>
      <c r="AK25" s="85">
        <f t="shared" si="16"/>
        <v>310.2999507436075</v>
      </c>
      <c r="AL25" s="85">
        <f t="shared" si="16"/>
        <v>316.19191254364671</v>
      </c>
      <c r="AM25" s="85">
        <f t="shared" si="16"/>
        <v>322.430658051656</v>
      </c>
      <c r="AN25" s="85">
        <f t="shared" si="16"/>
        <v>315.93683098094039</v>
      </c>
      <c r="AO25" s="85">
        <f t="shared" si="16"/>
        <v>322.18405467596995</v>
      </c>
      <c r="AP25" s="85">
        <f t="shared" si="16"/>
        <v>328.58580183796533</v>
      </c>
      <c r="AQ25" s="85">
        <f t="shared" si="16"/>
        <v>335.146380267719</v>
      </c>
      <c r="AR25" s="85">
        <f t="shared" si="16"/>
        <v>341.86814759217935</v>
      </c>
      <c r="AS25" s="85">
        <f t="shared" si="16"/>
        <v>348.75597798384803</v>
      </c>
      <c r="AT25" s="85">
        <f t="shared" si="16"/>
        <v>355.81361553458282</v>
      </c>
      <c r="AU25" s="85">
        <f t="shared" si="16"/>
        <v>363.0432843712656</v>
      </c>
      <c r="AV25" s="85">
        <f t="shared" si="16"/>
        <v>370.45172311701549</v>
      </c>
      <c r="AW25" s="85">
        <f t="shared" si="16"/>
        <v>335.86806521282932</v>
      </c>
      <c r="AX25" s="85">
        <f t="shared" si="16"/>
        <v>342.64808939111975</v>
      </c>
      <c r="AY25" s="85">
        <f t="shared" si="16"/>
        <v>349.59422293705029</v>
      </c>
      <c r="AZ25" s="85">
        <f t="shared" si="16"/>
        <v>356.70940435897353</v>
      </c>
      <c r="BA25" s="85">
        <f t="shared" si="16"/>
        <v>363.99789289622117</v>
      </c>
      <c r="BB25" s="85">
        <f t="shared" si="16"/>
        <v>371.46402199212901</v>
      </c>
      <c r="BC25" s="85">
        <f t="shared" si="16"/>
        <v>379.11060141190984</v>
      </c>
      <c r="BD25" s="85">
        <f t="shared" si="16"/>
        <v>386.94257610587391</v>
      </c>
      <c r="BE25" s="85">
        <f t="shared" ref="BE25:CP25" si="17">SUM(BE23:BE24)</f>
        <v>394.96495553407141</v>
      </c>
      <c r="BF25" s="85">
        <f t="shared" si="17"/>
        <v>403.17963213606356</v>
      </c>
      <c r="BG25" s="85">
        <f t="shared" si="17"/>
        <v>411.5942727483461</v>
      </c>
      <c r="BH25" s="85">
        <f t="shared" si="17"/>
        <v>420.20935089724958</v>
      </c>
      <c r="BI25" s="85">
        <f t="shared" si="17"/>
        <v>429.03352742000612</v>
      </c>
      <c r="BJ25" s="85">
        <f t="shared" si="17"/>
        <v>438.06791526843386</v>
      </c>
      <c r="BK25" s="85">
        <f t="shared" si="17"/>
        <v>447.32018735187734</v>
      </c>
      <c r="BL25" s="85">
        <f t="shared" si="17"/>
        <v>456.79409005577406</v>
      </c>
      <c r="BM25" s="85">
        <f t="shared" si="17"/>
        <v>466.49471880875132</v>
      </c>
      <c r="BN25" s="85">
        <f t="shared" si="17"/>
        <v>476.42684792431896</v>
      </c>
      <c r="BO25" s="85">
        <f t="shared" si="17"/>
        <v>486.5962143946669</v>
      </c>
      <c r="BP25" s="85">
        <f t="shared" si="17"/>
        <v>497.00826406140612</v>
      </c>
      <c r="BQ25" s="85">
        <f t="shared" si="17"/>
        <v>507.66857074795928</v>
      </c>
      <c r="BR25" s="85">
        <f t="shared" si="17"/>
        <v>518.58203116296102</v>
      </c>
      <c r="BS25" s="85">
        <f t="shared" si="17"/>
        <v>487.02894686404096</v>
      </c>
      <c r="BT25" s="85">
        <f t="shared" si="17"/>
        <v>497.47769615340718</v>
      </c>
      <c r="BU25" s="85">
        <f t="shared" si="17"/>
        <v>508.17459528045674</v>
      </c>
      <c r="BV25" s="85">
        <f t="shared" si="17"/>
        <v>519.1261911808258</v>
      </c>
      <c r="BW25" s="85">
        <f t="shared" si="17"/>
        <v>530.33794948508842</v>
      </c>
      <c r="BX25" s="85">
        <f t="shared" si="17"/>
        <v>541.81668198913326</v>
      </c>
      <c r="BY25" s="85">
        <f t="shared" si="17"/>
        <v>553.56610940457608</v>
      </c>
      <c r="BZ25" s="85">
        <f t="shared" si="17"/>
        <v>565.59534567606909</v>
      </c>
      <c r="CA25" s="85">
        <f t="shared" si="17"/>
        <v>577.9092122906419</v>
      </c>
      <c r="CB25" s="85">
        <f t="shared" si="17"/>
        <v>590.51631465435651</v>
      </c>
      <c r="CC25" s="85">
        <f t="shared" si="17"/>
        <v>603.41978086214328</v>
      </c>
      <c r="CD25" s="85">
        <f t="shared" si="17"/>
        <v>557.17924518196128</v>
      </c>
      <c r="CE25" s="85">
        <f t="shared" si="17"/>
        <v>569.31998807714263</v>
      </c>
      <c r="CF25" s="85">
        <f t="shared" si="17"/>
        <v>581.74745412981849</v>
      </c>
      <c r="CG25" s="85">
        <f t="shared" si="17"/>
        <v>594.46912808723164</v>
      </c>
      <c r="CH25" s="85">
        <f t="shared" si="17"/>
        <v>607.49221937977211</v>
      </c>
      <c r="CI25" s="85">
        <f t="shared" si="17"/>
        <v>620.82249822353469</v>
      </c>
      <c r="CJ25" s="85">
        <f t="shared" si="17"/>
        <v>634.46873181053206</v>
      </c>
      <c r="CK25" s="85">
        <f t="shared" si="17"/>
        <v>648.43700719770607</v>
      </c>
      <c r="CL25" s="85">
        <f t="shared" si="17"/>
        <v>662.73401627483167</v>
      </c>
      <c r="CM25" s="85">
        <f t="shared" si="17"/>
        <v>677.36821123681364</v>
      </c>
      <c r="CN25" s="85">
        <f t="shared" si="17"/>
        <v>692.3478411457495</v>
      </c>
      <c r="CO25" s="85">
        <f t="shared" si="17"/>
        <v>707.68174809476034</v>
      </c>
      <c r="CP25" s="85">
        <f t="shared" si="17"/>
        <v>723.37652297591785</v>
      </c>
      <c r="CQ25" s="23" t="s">
        <v>77</v>
      </c>
    </row>
    <row r="26" spans="2:95" outlineLevel="1" x14ac:dyDescent="0.2">
      <c r="B26" s="24"/>
      <c r="D26" s="24"/>
      <c r="E26" s="24"/>
      <c r="F26" s="24"/>
      <c r="G26" s="24"/>
      <c r="H26" s="24"/>
      <c r="I26" s="24"/>
      <c r="J26" s="24"/>
      <c r="K26" s="236"/>
      <c r="L26" s="236"/>
      <c r="M26" s="236"/>
      <c r="N26" s="236"/>
      <c r="O26" s="236"/>
      <c r="P26" s="236"/>
      <c r="Q26" s="236"/>
      <c r="R26" s="236"/>
      <c r="S26" s="236"/>
      <c r="T26" s="236"/>
      <c r="U26" s="236"/>
      <c r="V26" s="236"/>
      <c r="W26" s="236"/>
      <c r="X26" s="236"/>
      <c r="Y26" s="236"/>
      <c r="Z26" s="236"/>
      <c r="AA26" s="236"/>
      <c r="AB26" s="236"/>
      <c r="AC26" s="236"/>
      <c r="AD26" s="236"/>
      <c r="AE26" s="236"/>
      <c r="AF26" s="236"/>
      <c r="AG26" s="236"/>
      <c r="AH26" s="236"/>
      <c r="AI26" s="236"/>
      <c r="AJ26" s="236"/>
      <c r="AK26" s="236"/>
      <c r="AL26" s="236"/>
      <c r="AM26" s="236"/>
      <c r="AN26" s="236"/>
      <c r="AO26" s="236"/>
      <c r="AP26" s="236"/>
      <c r="AQ26" s="236"/>
      <c r="AR26" s="236"/>
      <c r="AS26" s="236"/>
      <c r="AT26" s="236"/>
      <c r="AU26" s="236"/>
      <c r="AV26" s="236"/>
      <c r="AW26" s="236"/>
      <c r="AX26" s="236"/>
      <c r="AY26" s="236"/>
      <c r="AZ26" s="236"/>
      <c r="BA26" s="236"/>
      <c r="BB26" s="236"/>
      <c r="BC26" s="236"/>
      <c r="BD26" s="236"/>
      <c r="BE26" s="236"/>
      <c r="BF26" s="236"/>
      <c r="BG26" s="236"/>
      <c r="BH26" s="236"/>
      <c r="BI26" s="236"/>
      <c r="BJ26" s="236"/>
      <c r="BK26" s="236"/>
      <c r="BL26" s="236"/>
      <c r="BM26" s="236"/>
      <c r="BN26" s="236"/>
      <c r="BO26" s="236"/>
      <c r="BP26" s="236"/>
      <c r="BQ26" s="236"/>
      <c r="BR26" s="236"/>
      <c r="BS26" s="236"/>
      <c r="BT26" s="236"/>
      <c r="BU26" s="236"/>
      <c r="BV26" s="236"/>
      <c r="BW26" s="236"/>
      <c r="BX26" s="236"/>
      <c r="BY26" s="236"/>
      <c r="BZ26" s="236"/>
      <c r="CA26" s="236"/>
      <c r="CB26" s="236"/>
      <c r="CC26" s="236"/>
      <c r="CD26" s="236"/>
      <c r="CE26" s="236"/>
      <c r="CF26" s="236"/>
      <c r="CG26" s="236"/>
      <c r="CH26" s="236"/>
      <c r="CI26" s="236"/>
      <c r="CJ26" s="236"/>
      <c r="CK26" s="236"/>
      <c r="CL26" s="236"/>
      <c r="CM26" s="236"/>
      <c r="CN26" s="236"/>
      <c r="CO26" s="236"/>
      <c r="CP26" s="236"/>
      <c r="CQ26" s="23" t="s">
        <v>77</v>
      </c>
    </row>
    <row r="27" spans="2:95" outlineLevel="1" x14ac:dyDescent="0.2">
      <c r="B27" s="731" t="s">
        <v>582</v>
      </c>
      <c r="E27" s="511" t="s">
        <v>585</v>
      </c>
      <c r="F27" s="24"/>
      <c r="G27" s="24"/>
      <c r="H27" s="24"/>
      <c r="I27" s="24"/>
      <c r="J27" s="24"/>
      <c r="K27" s="23">
        <f t="shared" ref="K27:V31" si="18">SUMIF($E$54:$E$63,$E27,K$81:K$90)</f>
        <v>0</v>
      </c>
      <c r="L27" s="23">
        <f t="shared" si="18"/>
        <v>0</v>
      </c>
      <c r="M27" s="23">
        <f t="shared" si="18"/>
        <v>0</v>
      </c>
      <c r="N27" s="23">
        <f t="shared" si="18"/>
        <v>84.5</v>
      </c>
      <c r="O27" s="23">
        <f t="shared" si="18"/>
        <v>88.3</v>
      </c>
      <c r="P27" s="23">
        <f t="shared" si="18"/>
        <v>93.2</v>
      </c>
      <c r="Q27" s="23">
        <f t="shared" si="18"/>
        <v>91.3</v>
      </c>
      <c r="R27" s="23">
        <f t="shared" si="18"/>
        <v>97.9</v>
      </c>
      <c r="S27" s="23">
        <f t="shared" si="18"/>
        <v>105.69999999999999</v>
      </c>
      <c r="T27" s="23">
        <f t="shared" si="18"/>
        <v>125.68379166666305</v>
      </c>
      <c r="U27" s="23">
        <f t="shared" si="18"/>
        <v>140.1</v>
      </c>
      <c r="V27" s="23">
        <f t="shared" si="18"/>
        <v>134.30000000000001</v>
      </c>
      <c r="W27" s="23">
        <f t="shared" ref="W27:X31" si="19">SUMIF($E$54:$E$63,$E27,W$81:W$90)</f>
        <v>129</v>
      </c>
      <c r="X27" s="23">
        <f t="shared" si="19"/>
        <v>138.71962083863949</v>
      </c>
      <c r="Y27" s="23">
        <f t="shared" ref="Y27:BE31" si="20">SUMIF($E$54:$E$63,$E27,Y$81:Y$90)</f>
        <v>140.82773219824497</v>
      </c>
      <c r="Z27" s="23">
        <f t="shared" si="20"/>
        <v>144.7650541513982</v>
      </c>
      <c r="AA27" s="23">
        <f t="shared" si="20"/>
        <v>148.39986230370238</v>
      </c>
      <c r="AB27" s="23">
        <f t="shared" si="20"/>
        <v>151.00494830919482</v>
      </c>
      <c r="AC27" s="23">
        <f t="shared" si="20"/>
        <v>153.30281872356386</v>
      </c>
      <c r="AD27" s="23">
        <f t="shared" si="20"/>
        <v>155.56034281127168</v>
      </c>
      <c r="AE27" s="23">
        <f t="shared" si="20"/>
        <v>157.88208486296662</v>
      </c>
      <c r="AF27" s="23">
        <f t="shared" si="20"/>
        <v>160.2681684221011</v>
      </c>
      <c r="AG27" s="23">
        <f t="shared" si="20"/>
        <v>162.72156487493956</v>
      </c>
      <c r="AH27" s="23">
        <f t="shared" si="20"/>
        <v>165.24125369129484</v>
      </c>
      <c r="AI27" s="23">
        <f t="shared" si="20"/>
        <v>167.83107987501415</v>
      </c>
      <c r="AJ27" s="23">
        <f t="shared" si="20"/>
        <v>170.49049804147364</v>
      </c>
      <c r="AK27" s="23">
        <f t="shared" si="20"/>
        <v>173.19902478726848</v>
      </c>
      <c r="AL27" s="23">
        <f t="shared" si="20"/>
        <v>176.00416277648321</v>
      </c>
      <c r="AM27" s="23">
        <f t="shared" si="20"/>
        <v>178.8834923577563</v>
      </c>
      <c r="AN27" s="23">
        <f t="shared" si="20"/>
        <v>181.83901998753717</v>
      </c>
      <c r="AO27" s="23">
        <f t="shared" si="20"/>
        <v>184.87320637960283</v>
      </c>
      <c r="AP27" s="23">
        <f t="shared" si="20"/>
        <v>187.98651069943034</v>
      </c>
      <c r="AQ27" s="23">
        <f t="shared" si="20"/>
        <v>191.18147246867468</v>
      </c>
      <c r="AR27" s="23">
        <f t="shared" si="20"/>
        <v>194.45863960357767</v>
      </c>
      <c r="AS27" s="23">
        <f t="shared" si="20"/>
        <v>197.82103416449189</v>
      </c>
      <c r="AT27" s="23">
        <f t="shared" si="20"/>
        <v>201.2705047371295</v>
      </c>
      <c r="AU27" s="23">
        <f t="shared" si="20"/>
        <v>204.80733553246375</v>
      </c>
      <c r="AV27" s="23">
        <f t="shared" si="20"/>
        <v>208.43627980842365</v>
      </c>
      <c r="AW27" s="23">
        <f t="shared" si="20"/>
        <v>212.15568802430965</v>
      </c>
      <c r="AX27" s="23">
        <f t="shared" si="20"/>
        <v>215.97002230517825</v>
      </c>
      <c r="AY27" s="23">
        <f t="shared" si="20"/>
        <v>219.88095224918163</v>
      </c>
      <c r="AZ27" s="23">
        <f t="shared" si="20"/>
        <v>223.88978844995415</v>
      </c>
      <c r="BA27" s="23">
        <f t="shared" si="20"/>
        <v>227.99912414502921</v>
      </c>
      <c r="BB27" s="23">
        <f t="shared" si="20"/>
        <v>232.21158779869279</v>
      </c>
      <c r="BC27" s="23">
        <f t="shared" si="20"/>
        <v>236.52824430890422</v>
      </c>
      <c r="BD27" s="23">
        <f t="shared" si="20"/>
        <v>240.95225293829793</v>
      </c>
      <c r="BE27" s="23">
        <f t="shared" si="20"/>
        <v>245.48679568484545</v>
      </c>
      <c r="BF27" s="23">
        <f t="shared" ref="BE27:CP31" si="21">SUMIF($E$54:$E$63,$E27,BF$81:BF$90)</f>
        <v>250.13189477537611</v>
      </c>
      <c r="BG27" s="23">
        <f t="shared" si="21"/>
        <v>254.89330308396219</v>
      </c>
      <c r="BH27" s="23">
        <f t="shared" si="21"/>
        <v>259.76953540246006</v>
      </c>
      <c r="BI27" s="23">
        <f t="shared" si="21"/>
        <v>264.76724801535522</v>
      </c>
      <c r="BJ27" s="23">
        <f t="shared" si="21"/>
        <v>269.88550243280417</v>
      </c>
      <c r="BK27" s="23">
        <f t="shared" si="21"/>
        <v>275.12987213794332</v>
      </c>
      <c r="BL27" s="23">
        <f t="shared" si="21"/>
        <v>280.50195498425285</v>
      </c>
      <c r="BM27" s="23">
        <f t="shared" si="21"/>
        <v>286.00464761528195</v>
      </c>
      <c r="BN27" s="23">
        <f t="shared" si="21"/>
        <v>291.6404741321935</v>
      </c>
      <c r="BO27" s="23">
        <f t="shared" si="21"/>
        <v>297.41286868601014</v>
      </c>
      <c r="BP27" s="23">
        <f t="shared" si="21"/>
        <v>303.32492041876452</v>
      </c>
      <c r="BQ27" s="23">
        <f t="shared" si="21"/>
        <v>309.37979133760382</v>
      </c>
      <c r="BR27" s="23">
        <f t="shared" si="21"/>
        <v>315.57990993054165</v>
      </c>
      <c r="BS27" s="23">
        <f t="shared" si="21"/>
        <v>321.93019722026344</v>
      </c>
      <c r="BT27" s="23">
        <f t="shared" si="21"/>
        <v>328.43285236277762</v>
      </c>
      <c r="BU27" s="23">
        <f t="shared" si="21"/>
        <v>335.09092208995543</v>
      </c>
      <c r="BV27" s="23">
        <f t="shared" si="21"/>
        <v>341.90877548724791</v>
      </c>
      <c r="BW27" s="23">
        <f t="shared" si="21"/>
        <v>348.889649226404</v>
      </c>
      <c r="BX27" s="23">
        <f t="shared" si="21"/>
        <v>356.03807383739968</v>
      </c>
      <c r="BY27" s="23">
        <f t="shared" si="21"/>
        <v>363.355435232324</v>
      </c>
      <c r="BZ27" s="23">
        <f t="shared" si="21"/>
        <v>370.84845776742662</v>
      </c>
      <c r="CA27" s="23">
        <f t="shared" si="21"/>
        <v>378.5195172677881</v>
      </c>
      <c r="CB27" s="23">
        <f t="shared" si="21"/>
        <v>386.37471608920737</v>
      </c>
      <c r="CC27" s="23">
        <f t="shared" si="21"/>
        <v>394.41462054247012</v>
      </c>
      <c r="CD27" s="23">
        <f t="shared" si="21"/>
        <v>402.64551176112764</v>
      </c>
      <c r="CE27" s="23">
        <f t="shared" si="21"/>
        <v>411.07259612634459</v>
      </c>
      <c r="CF27" s="23">
        <f t="shared" si="21"/>
        <v>419.69872665397713</v>
      </c>
      <c r="CG27" s="23">
        <f t="shared" si="21"/>
        <v>428.52931882251016</v>
      </c>
      <c r="CH27" s="23">
        <f t="shared" si="21"/>
        <v>437.56946397493954</v>
      </c>
      <c r="CI27" s="23">
        <f t="shared" si="21"/>
        <v>446.82276427004996</v>
      </c>
      <c r="CJ27" s="23">
        <f t="shared" si="21"/>
        <v>456.29576769420805</v>
      </c>
      <c r="CK27" s="23">
        <f t="shared" si="21"/>
        <v>465.99228974417741</v>
      </c>
      <c r="CL27" s="23">
        <f t="shared" si="21"/>
        <v>475.91669716039218</v>
      </c>
      <c r="CM27" s="23">
        <f t="shared" si="21"/>
        <v>486.07506213552</v>
      </c>
      <c r="CN27" s="23">
        <f t="shared" si="21"/>
        <v>496.47319758300506</v>
      </c>
      <c r="CO27" s="23">
        <f t="shared" si="21"/>
        <v>507.11745197688663</v>
      </c>
      <c r="CP27" s="23">
        <f t="shared" si="21"/>
        <v>518.01186376450573</v>
      </c>
      <c r="CQ27" s="23" t="s">
        <v>77</v>
      </c>
    </row>
    <row r="28" spans="2:95" outlineLevel="1" x14ac:dyDescent="0.2">
      <c r="B28" s="731" t="s">
        <v>581</v>
      </c>
      <c r="E28" s="511" t="s">
        <v>574</v>
      </c>
      <c r="F28" s="24"/>
      <c r="G28" s="24"/>
      <c r="H28" s="24"/>
      <c r="I28" s="24"/>
      <c r="J28" s="24"/>
      <c r="K28" s="236">
        <f t="shared" si="18"/>
        <v>0</v>
      </c>
      <c r="L28" s="236">
        <f t="shared" si="18"/>
        <v>0</v>
      </c>
      <c r="M28" s="236">
        <f t="shared" si="18"/>
        <v>0</v>
      </c>
      <c r="N28" s="236">
        <f t="shared" si="18"/>
        <v>0</v>
      </c>
      <c r="O28" s="236">
        <f t="shared" si="18"/>
        <v>0</v>
      </c>
      <c r="P28" s="236">
        <f t="shared" si="18"/>
        <v>0</v>
      </c>
      <c r="Q28" s="236">
        <f t="shared" si="18"/>
        <v>0</v>
      </c>
      <c r="R28" s="236">
        <f t="shared" si="18"/>
        <v>0</v>
      </c>
      <c r="S28" s="236">
        <f t="shared" si="18"/>
        <v>0</v>
      </c>
      <c r="T28" s="236">
        <f t="shared" si="18"/>
        <v>0</v>
      </c>
      <c r="U28" s="236">
        <f t="shared" si="18"/>
        <v>0</v>
      </c>
      <c r="V28" s="236">
        <f t="shared" si="18"/>
        <v>0</v>
      </c>
      <c r="W28" s="236">
        <f t="shared" si="19"/>
        <v>0</v>
      </c>
      <c r="X28" s="236">
        <f t="shared" si="19"/>
        <v>0</v>
      </c>
      <c r="Y28" s="236">
        <f t="shared" ref="Y28:AL28" si="22">SUMIF($E$54:$E$63,$E28,Y$81:Y$90)</f>
        <v>0</v>
      </c>
      <c r="Z28" s="236">
        <f t="shared" si="22"/>
        <v>0</v>
      </c>
      <c r="AA28" s="236">
        <f t="shared" si="22"/>
        <v>0</v>
      </c>
      <c r="AB28" s="236">
        <f t="shared" si="22"/>
        <v>0</v>
      </c>
      <c r="AC28" s="236">
        <f t="shared" si="22"/>
        <v>0</v>
      </c>
      <c r="AD28" s="236">
        <f t="shared" si="22"/>
        <v>0</v>
      </c>
      <c r="AE28" s="236">
        <f t="shared" si="22"/>
        <v>0</v>
      </c>
      <c r="AF28" s="236">
        <f t="shared" si="22"/>
        <v>0</v>
      </c>
      <c r="AG28" s="236">
        <f t="shared" si="22"/>
        <v>0</v>
      </c>
      <c r="AH28" s="236">
        <f t="shared" si="22"/>
        <v>0</v>
      </c>
      <c r="AI28" s="236">
        <f t="shared" si="22"/>
        <v>0</v>
      </c>
      <c r="AJ28" s="236">
        <f t="shared" si="22"/>
        <v>0</v>
      </c>
      <c r="AK28" s="236">
        <f t="shared" si="22"/>
        <v>0</v>
      </c>
      <c r="AL28" s="236">
        <f t="shared" si="22"/>
        <v>0</v>
      </c>
      <c r="AM28" s="236">
        <f t="shared" si="20"/>
        <v>0</v>
      </c>
      <c r="AN28" s="236">
        <f t="shared" si="20"/>
        <v>0</v>
      </c>
      <c r="AO28" s="236">
        <f t="shared" si="20"/>
        <v>0</v>
      </c>
      <c r="AP28" s="236">
        <f t="shared" si="20"/>
        <v>0</v>
      </c>
      <c r="AQ28" s="236">
        <f t="shared" si="20"/>
        <v>0</v>
      </c>
      <c r="AR28" s="236">
        <f t="shared" si="20"/>
        <v>0</v>
      </c>
      <c r="AS28" s="236">
        <f t="shared" si="20"/>
        <v>0</v>
      </c>
      <c r="AT28" s="236">
        <f t="shared" si="20"/>
        <v>0</v>
      </c>
      <c r="AU28" s="236">
        <f t="shared" si="20"/>
        <v>0</v>
      </c>
      <c r="AV28" s="236">
        <f t="shared" si="20"/>
        <v>0</v>
      </c>
      <c r="AW28" s="236">
        <f t="shared" si="20"/>
        <v>0</v>
      </c>
      <c r="AX28" s="236">
        <f t="shared" si="20"/>
        <v>0</v>
      </c>
      <c r="AY28" s="236">
        <f t="shared" si="20"/>
        <v>0</v>
      </c>
      <c r="AZ28" s="236">
        <f t="shared" si="20"/>
        <v>0</v>
      </c>
      <c r="BA28" s="236">
        <f t="shared" si="20"/>
        <v>0</v>
      </c>
      <c r="BB28" s="236">
        <f t="shared" si="20"/>
        <v>0</v>
      </c>
      <c r="BC28" s="236">
        <f t="shared" si="20"/>
        <v>0</v>
      </c>
      <c r="BD28" s="236">
        <f t="shared" si="20"/>
        <v>0</v>
      </c>
      <c r="BE28" s="236">
        <f t="shared" si="21"/>
        <v>0</v>
      </c>
      <c r="BF28" s="236">
        <f t="shared" si="21"/>
        <v>0</v>
      </c>
      <c r="BG28" s="236">
        <f t="shared" si="21"/>
        <v>0</v>
      </c>
      <c r="BH28" s="236">
        <f t="shared" si="21"/>
        <v>0</v>
      </c>
      <c r="BI28" s="236">
        <f t="shared" si="21"/>
        <v>0</v>
      </c>
      <c r="BJ28" s="236">
        <f t="shared" si="21"/>
        <v>0</v>
      </c>
      <c r="BK28" s="236">
        <f t="shared" si="21"/>
        <v>0</v>
      </c>
      <c r="BL28" s="236">
        <f t="shared" si="21"/>
        <v>0</v>
      </c>
      <c r="BM28" s="236">
        <f t="shared" si="21"/>
        <v>0</v>
      </c>
      <c r="BN28" s="236">
        <f t="shared" si="21"/>
        <v>0</v>
      </c>
      <c r="BO28" s="236">
        <f t="shared" si="21"/>
        <v>0</v>
      </c>
      <c r="BP28" s="236">
        <f t="shared" si="21"/>
        <v>0</v>
      </c>
      <c r="BQ28" s="236">
        <f t="shared" si="21"/>
        <v>0</v>
      </c>
      <c r="BR28" s="236">
        <f t="shared" si="21"/>
        <v>0</v>
      </c>
      <c r="BS28" s="236">
        <f t="shared" si="21"/>
        <v>0</v>
      </c>
      <c r="BT28" s="236">
        <f t="shared" si="21"/>
        <v>0</v>
      </c>
      <c r="BU28" s="236">
        <f t="shared" si="21"/>
        <v>0</v>
      </c>
      <c r="BV28" s="236">
        <f t="shared" si="21"/>
        <v>0</v>
      </c>
      <c r="BW28" s="236">
        <f t="shared" si="21"/>
        <v>0</v>
      </c>
      <c r="BX28" s="236">
        <f t="shared" si="21"/>
        <v>0</v>
      </c>
      <c r="BY28" s="236">
        <f t="shared" si="21"/>
        <v>0</v>
      </c>
      <c r="BZ28" s="236">
        <f t="shared" si="21"/>
        <v>0</v>
      </c>
      <c r="CA28" s="236">
        <f t="shared" si="21"/>
        <v>0</v>
      </c>
      <c r="CB28" s="236">
        <f t="shared" si="21"/>
        <v>0</v>
      </c>
      <c r="CC28" s="236">
        <f t="shared" si="21"/>
        <v>0</v>
      </c>
      <c r="CD28" s="236">
        <f t="shared" si="21"/>
        <v>0</v>
      </c>
      <c r="CE28" s="236">
        <f t="shared" si="21"/>
        <v>0</v>
      </c>
      <c r="CF28" s="236">
        <f t="shared" si="21"/>
        <v>0</v>
      </c>
      <c r="CG28" s="236">
        <f t="shared" si="21"/>
        <v>0</v>
      </c>
      <c r="CH28" s="236">
        <f t="shared" si="21"/>
        <v>0</v>
      </c>
      <c r="CI28" s="236">
        <f t="shared" si="21"/>
        <v>0</v>
      </c>
      <c r="CJ28" s="236">
        <f t="shared" si="21"/>
        <v>0</v>
      </c>
      <c r="CK28" s="236">
        <f t="shared" si="21"/>
        <v>0</v>
      </c>
      <c r="CL28" s="236">
        <f t="shared" si="21"/>
        <v>0</v>
      </c>
      <c r="CM28" s="236">
        <f t="shared" si="21"/>
        <v>0</v>
      </c>
      <c r="CN28" s="236">
        <f t="shared" si="21"/>
        <v>0</v>
      </c>
      <c r="CO28" s="236">
        <f t="shared" si="21"/>
        <v>0</v>
      </c>
      <c r="CP28" s="236">
        <f t="shared" si="21"/>
        <v>0</v>
      </c>
      <c r="CQ28" s="23" t="s">
        <v>77</v>
      </c>
    </row>
    <row r="29" spans="2:95" outlineLevel="1" x14ac:dyDescent="0.2">
      <c r="B29" s="510" t="s">
        <v>587</v>
      </c>
      <c r="D29" s="24"/>
      <c r="E29" s="512">
        <f>E58</f>
        <v>0.1</v>
      </c>
      <c r="F29" s="24"/>
      <c r="G29" s="24"/>
      <c r="H29" s="24"/>
      <c r="I29" s="24"/>
      <c r="J29" s="24"/>
      <c r="K29" s="236">
        <f t="shared" si="18"/>
        <v>0</v>
      </c>
      <c r="L29" s="236">
        <f t="shared" si="18"/>
        <v>0</v>
      </c>
      <c r="M29" s="236">
        <f t="shared" si="18"/>
        <v>0</v>
      </c>
      <c r="N29" s="236">
        <f t="shared" si="18"/>
        <v>29.6</v>
      </c>
      <c r="O29" s="236">
        <f t="shared" si="18"/>
        <v>12.6</v>
      </c>
      <c r="P29" s="236">
        <f t="shared" si="18"/>
        <v>9.5</v>
      </c>
      <c r="Q29" s="236">
        <f t="shared" si="18"/>
        <v>8.5</v>
      </c>
      <c r="R29" s="236">
        <f t="shared" si="18"/>
        <v>8</v>
      </c>
      <c r="S29" s="236">
        <f t="shared" si="18"/>
        <v>24.8</v>
      </c>
      <c r="T29" s="236">
        <f t="shared" si="18"/>
        <v>36.380416666667429</v>
      </c>
      <c r="U29" s="236">
        <f t="shared" si="18"/>
        <v>40.200000000000003</v>
      </c>
      <c r="V29" s="236">
        <f t="shared" si="18"/>
        <v>48.34</v>
      </c>
      <c r="W29" s="236">
        <f t="shared" si="19"/>
        <v>64.8</v>
      </c>
      <c r="X29" s="236">
        <f t="shared" si="19"/>
        <v>66.42</v>
      </c>
      <c r="Y29" s="236">
        <f t="shared" si="20"/>
        <v>72.9405</v>
      </c>
      <c r="Z29" s="236">
        <f t="shared" si="20"/>
        <v>82.661512500000001</v>
      </c>
      <c r="AA29" s="236">
        <f t="shared" si="20"/>
        <v>84.728050312499988</v>
      </c>
      <c r="AB29" s="236">
        <f t="shared" si="20"/>
        <v>86.846251570312475</v>
      </c>
      <c r="AC29" s="236">
        <f t="shared" si="20"/>
        <v>89.017407859570284</v>
      </c>
      <c r="AD29" s="236">
        <f t="shared" si="20"/>
        <v>91.104607962202508</v>
      </c>
      <c r="AE29" s="236">
        <f t="shared" si="20"/>
        <v>77.634206143486637</v>
      </c>
      <c r="AF29" s="236">
        <f t="shared" si="20"/>
        <v>79.449690186576461</v>
      </c>
      <c r="AG29" s="236">
        <f t="shared" si="20"/>
        <v>59.216605578477335</v>
      </c>
      <c r="AH29" s="236">
        <f t="shared" si="20"/>
        <v>60.688158727935118</v>
      </c>
      <c r="AI29" s="236">
        <f t="shared" si="20"/>
        <v>62.131466967416003</v>
      </c>
      <c r="AJ29" s="236">
        <f t="shared" si="20"/>
        <v>63.575820106881494</v>
      </c>
      <c r="AK29" s="236">
        <f t="shared" si="20"/>
        <v>65.053694903384027</v>
      </c>
      <c r="AL29" s="236">
        <f t="shared" si="20"/>
        <v>66.565867953027592</v>
      </c>
      <c r="AM29" s="236">
        <f t="shared" si="20"/>
        <v>68.113133807492389</v>
      </c>
      <c r="AN29" s="236">
        <f t="shared" si="20"/>
        <v>56.808609165066585</v>
      </c>
      <c r="AO29" s="236">
        <f t="shared" si="20"/>
        <v>58.122435401902941</v>
      </c>
      <c r="AP29" s="236">
        <f t="shared" si="20"/>
        <v>59.466580556093319</v>
      </c>
      <c r="AQ29" s="236">
        <f t="shared" si="20"/>
        <v>60.8417425905306</v>
      </c>
      <c r="AR29" s="236">
        <f t="shared" si="20"/>
        <v>62.248635491941513</v>
      </c>
      <c r="AS29" s="236">
        <f t="shared" si="20"/>
        <v>63.687989637633081</v>
      </c>
      <c r="AT29" s="236">
        <f t="shared" si="20"/>
        <v>65.160552170603779</v>
      </c>
      <c r="AU29" s="236">
        <f t="shared" si="20"/>
        <v>66.667087383209449</v>
      </c>
      <c r="AV29" s="236">
        <f t="shared" si="20"/>
        <v>68.20837710957835</v>
      </c>
      <c r="AW29" s="236">
        <f t="shared" si="20"/>
        <v>63.667191402837609</v>
      </c>
      <c r="AX29" s="236">
        <f t="shared" si="20"/>
        <v>65.142429976320003</v>
      </c>
      <c r="AY29" s="236">
        <f t="shared" si="20"/>
        <v>66.651784035364244</v>
      </c>
      <c r="AZ29" s="236">
        <f t="shared" si="20"/>
        <v>68.196040786988434</v>
      </c>
      <c r="BA29" s="236">
        <f t="shared" si="20"/>
        <v>69.77600555848332</v>
      </c>
      <c r="BB29" s="236">
        <f t="shared" si="20"/>
        <v>71.392502213371301</v>
      </c>
      <c r="BC29" s="236">
        <f t="shared" si="20"/>
        <v>73.046373576884719</v>
      </c>
      <c r="BD29" s="236">
        <f t="shared" si="20"/>
        <v>74.738481871180227</v>
      </c>
      <c r="BE29" s="236">
        <f t="shared" si="21"/>
        <v>76.469709160511371</v>
      </c>
      <c r="BF29" s="236">
        <f t="shared" si="21"/>
        <v>78.240957806586394</v>
      </c>
      <c r="BG29" s="236">
        <f t="shared" si="21"/>
        <v>80.05315093434352</v>
      </c>
      <c r="BH29" s="236">
        <f t="shared" si="21"/>
        <v>81.907232908381133</v>
      </c>
      <c r="BI29" s="236">
        <f t="shared" si="21"/>
        <v>83.804169820285836</v>
      </c>
      <c r="BJ29" s="236">
        <f t="shared" si="21"/>
        <v>85.744949987106523</v>
      </c>
      <c r="BK29" s="236">
        <f t="shared" si="21"/>
        <v>87.730584461228943</v>
      </c>
      <c r="BL29" s="236">
        <f t="shared" si="21"/>
        <v>89.762107551909963</v>
      </c>
      <c r="BM29" s="236">
        <f t="shared" si="21"/>
        <v>91.840577358737832</v>
      </c>
      <c r="BN29" s="236">
        <f t="shared" si="21"/>
        <v>93.967076317289639</v>
      </c>
      <c r="BO29" s="236">
        <f t="shared" si="21"/>
        <v>96.142711757264067</v>
      </c>
      <c r="BP29" s="236">
        <f t="shared" si="21"/>
        <v>98.368616473373862</v>
      </c>
      <c r="BQ29" s="236">
        <f t="shared" si="21"/>
        <v>100.64594930928814</v>
      </c>
      <c r="BR29" s="236">
        <f t="shared" si="21"/>
        <v>102.97589575492219</v>
      </c>
      <c r="BS29" s="236">
        <f t="shared" si="21"/>
        <v>62.632523149660358</v>
      </c>
      <c r="BT29" s="236">
        <f t="shared" si="21"/>
        <v>64.080666255747602</v>
      </c>
      <c r="BU29" s="236">
        <f t="shared" si="21"/>
        <v>65.562218277636489</v>
      </c>
      <c r="BV29" s="236">
        <f t="shared" si="21"/>
        <v>67.077948065003085</v>
      </c>
      <c r="BW29" s="236">
        <f t="shared" si="21"/>
        <v>68.628642112401479</v>
      </c>
      <c r="BX29" s="236">
        <f t="shared" si="21"/>
        <v>70.215104962946953</v>
      </c>
      <c r="BY29" s="236">
        <f t="shared" si="21"/>
        <v>71.838159621202266</v>
      </c>
      <c r="BZ29" s="236">
        <f t="shared" si="21"/>
        <v>73.498647975475791</v>
      </c>
      <c r="CA29" s="236">
        <f t="shared" si="21"/>
        <v>75.19743122974505</v>
      </c>
      <c r="CB29" s="236">
        <f t="shared" si="21"/>
        <v>76.935390345424494</v>
      </c>
      <c r="CC29" s="236">
        <f t="shared" si="21"/>
        <v>78.713426493200657</v>
      </c>
      <c r="CD29" s="236">
        <f t="shared" si="21"/>
        <v>21.083192754452906</v>
      </c>
      <c r="CE29" s="236">
        <f t="shared" si="21"/>
        <v>21.563022782061296</v>
      </c>
      <c r="CF29" s="236">
        <f t="shared" si="21"/>
        <v>22.053726377817643</v>
      </c>
      <c r="CG29" s="236">
        <f t="shared" si="21"/>
        <v>22.555548729090262</v>
      </c>
      <c r="CH29" s="236">
        <f t="shared" si="21"/>
        <v>23.068740519950591</v>
      </c>
      <c r="CI29" s="236">
        <f t="shared" si="21"/>
        <v>23.593558053557469</v>
      </c>
      <c r="CJ29" s="236">
        <f t="shared" si="21"/>
        <v>24.130263377243956</v>
      </c>
      <c r="CK29" s="236">
        <f t="shared" si="21"/>
        <v>24.679124410365866</v>
      </c>
      <c r="CL29" s="236">
        <f t="shared" si="21"/>
        <v>25.240415074972223</v>
      </c>
      <c r="CM29" s="236">
        <f t="shared" si="21"/>
        <v>25.814415429359485</v>
      </c>
      <c r="CN29" s="236">
        <f t="shared" si="21"/>
        <v>26.401411804572366</v>
      </c>
      <c r="CO29" s="236">
        <f t="shared" si="21"/>
        <v>27.001696943915693</v>
      </c>
      <c r="CP29" s="236">
        <f t="shared" si="21"/>
        <v>27.615570145543039</v>
      </c>
      <c r="CQ29" s="23" t="s">
        <v>77</v>
      </c>
    </row>
    <row r="30" spans="2:95" outlineLevel="1" x14ac:dyDescent="0.2">
      <c r="B30" s="510" t="s">
        <v>583</v>
      </c>
      <c r="D30" s="24"/>
      <c r="E30" s="511" t="s">
        <v>586</v>
      </c>
      <c r="F30" s="24"/>
      <c r="G30" s="24"/>
      <c r="H30" s="24"/>
      <c r="I30" s="24"/>
      <c r="J30" s="24"/>
      <c r="K30" s="236">
        <f t="shared" si="18"/>
        <v>0</v>
      </c>
      <c r="L30" s="236">
        <f t="shared" si="18"/>
        <v>0</v>
      </c>
      <c r="M30" s="236">
        <f t="shared" si="18"/>
        <v>0</v>
      </c>
      <c r="N30" s="236">
        <f t="shared" si="18"/>
        <v>0</v>
      </c>
      <c r="O30" s="236">
        <f t="shared" si="18"/>
        <v>0</v>
      </c>
      <c r="P30" s="236">
        <f t="shared" si="18"/>
        <v>0</v>
      </c>
      <c r="Q30" s="236">
        <f t="shared" si="18"/>
        <v>0</v>
      </c>
      <c r="R30" s="236">
        <f t="shared" si="18"/>
        <v>0</v>
      </c>
      <c r="S30" s="236">
        <f t="shared" si="18"/>
        <v>0</v>
      </c>
      <c r="T30" s="236">
        <f t="shared" si="18"/>
        <v>22.093958333335529</v>
      </c>
      <c r="U30" s="236">
        <f t="shared" si="18"/>
        <v>28.2</v>
      </c>
      <c r="V30" s="236">
        <f t="shared" si="18"/>
        <v>32</v>
      </c>
      <c r="W30" s="236">
        <f t="shared" si="19"/>
        <v>34.4</v>
      </c>
      <c r="X30" s="236">
        <f t="shared" si="19"/>
        <v>35.246004560445499</v>
      </c>
      <c r="Y30" s="236">
        <f t="shared" si="20"/>
        <v>36.113159234902135</v>
      </c>
      <c r="Z30" s="236">
        <f t="shared" si="20"/>
        <v>37.001992776220185</v>
      </c>
      <c r="AA30" s="236">
        <f t="shared" si="20"/>
        <v>37.913047156071187</v>
      </c>
      <c r="AB30" s="236">
        <f t="shared" si="20"/>
        <v>38.846877895418459</v>
      </c>
      <c r="AC30" s="236">
        <f t="shared" si="20"/>
        <v>39.804054403249417</v>
      </c>
      <c r="AD30" s="236">
        <f t="shared" si="20"/>
        <v>40.736105027749815</v>
      </c>
      <c r="AE30" s="236">
        <f t="shared" si="20"/>
        <v>41.690291854582092</v>
      </c>
      <c r="AF30" s="236">
        <f t="shared" si="20"/>
        <v>42.667140618551642</v>
      </c>
      <c r="AG30" s="236">
        <f t="shared" si="20"/>
        <v>43.667189540665468</v>
      </c>
      <c r="AH30" s="236">
        <f t="shared" si="20"/>
        <v>44.690989624679496</v>
      </c>
      <c r="AI30" s="236">
        <f t="shared" si="20"/>
        <v>45.739104960688856</v>
      </c>
      <c r="AJ30" s="236">
        <f t="shared" si="20"/>
        <v>46.812113035928441</v>
      </c>
      <c r="AK30" s="236">
        <f t="shared" si="20"/>
        <v>47.910605052954963</v>
      </c>
      <c r="AL30" s="236">
        <f t="shared" si="20"/>
        <v>49.035186255385867</v>
      </c>
      <c r="AM30" s="236">
        <f t="shared" si="20"/>
        <v>50.186476261374501</v>
      </c>
      <c r="AN30" s="236">
        <f t="shared" si="20"/>
        <v>51.36510940500537</v>
      </c>
      <c r="AO30" s="236">
        <f t="shared" si="20"/>
        <v>52.571735085797471</v>
      </c>
      <c r="AP30" s="236">
        <f t="shared" si="20"/>
        <v>53.807018126508382</v>
      </c>
      <c r="AQ30" s="236">
        <f t="shared" si="20"/>
        <v>55.071639139436179</v>
      </c>
      <c r="AR30" s="236">
        <f t="shared" si="20"/>
        <v>56.366294901421014</v>
      </c>
      <c r="AS30" s="236">
        <f t="shared" si="20"/>
        <v>57.691698737752986</v>
      </c>
      <c r="AT30" s="236">
        <f t="shared" si="20"/>
        <v>59.048580915197846</v>
      </c>
      <c r="AU30" s="236">
        <f t="shared" si="20"/>
        <v>60.437689044357015</v>
      </c>
      <c r="AV30" s="236">
        <f t="shared" si="20"/>
        <v>61.859788491583714</v>
      </c>
      <c r="AW30" s="236">
        <f t="shared" si="20"/>
        <v>63.315662800682055</v>
      </c>
      <c r="AX30" s="236">
        <f t="shared" si="20"/>
        <v>64.806114124621473</v>
      </c>
      <c r="AY30" s="236">
        <f t="shared" si="20"/>
        <v>66.331963667504453</v>
      </c>
      <c r="AZ30" s="236">
        <f t="shared" si="20"/>
        <v>67.894052137030911</v>
      </c>
      <c r="BA30" s="236">
        <f t="shared" si="20"/>
        <v>69.49324020770861</v>
      </c>
      <c r="BB30" s="236">
        <f t="shared" si="20"/>
        <v>71.130408995064911</v>
      </c>
      <c r="BC30" s="236">
        <f t="shared" si="20"/>
        <v>72.806460541120927</v>
      </c>
      <c r="BD30" s="236">
        <f t="shared" si="20"/>
        <v>74.522318311395765</v>
      </c>
      <c r="BE30" s="236">
        <f t="shared" si="21"/>
        <v>76.278927703714629</v>
      </c>
      <c r="BF30" s="236">
        <f t="shared" si="21"/>
        <v>78.077256569101067</v>
      </c>
      <c r="BG30" s="236">
        <f t="shared" si="21"/>
        <v>79.918295745040439</v>
      </c>
      <c r="BH30" s="236">
        <f t="shared" si="21"/>
        <v>81.803059601408364</v>
      </c>
      <c r="BI30" s="236">
        <f t="shared" si="21"/>
        <v>83.732586599365035</v>
      </c>
      <c r="BJ30" s="236">
        <f t="shared" si="21"/>
        <v>85.70793986352318</v>
      </c>
      <c r="BK30" s="236">
        <f t="shared" si="21"/>
        <v>87.730207767705082</v>
      </c>
      <c r="BL30" s="236">
        <f t="shared" si="21"/>
        <v>89.800504534611292</v>
      </c>
      <c r="BM30" s="236">
        <f t="shared" si="21"/>
        <v>91.919970849731527</v>
      </c>
      <c r="BN30" s="236">
        <f t="shared" si="21"/>
        <v>94.089774489835861</v>
      </c>
      <c r="BO30" s="236">
        <f t="shared" si="21"/>
        <v>96.31111096639269</v>
      </c>
      <c r="BP30" s="236">
        <f t="shared" si="21"/>
        <v>98.585204184267738</v>
      </c>
      <c r="BQ30" s="236">
        <f t="shared" si="21"/>
        <v>100.91330711606732</v>
      </c>
      <c r="BR30" s="236">
        <f t="shared" si="21"/>
        <v>103.29670249249715</v>
      </c>
      <c r="BS30" s="236">
        <f t="shared" si="21"/>
        <v>105.73670350911716</v>
      </c>
      <c r="BT30" s="236">
        <f t="shared" si="21"/>
        <v>108.23465454988191</v>
      </c>
      <c r="BU30" s="236">
        <f t="shared" si="21"/>
        <v>110.79193192786481</v>
      </c>
      <c r="BV30" s="236">
        <f t="shared" si="21"/>
        <v>113.40994464357482</v>
      </c>
      <c r="BW30" s="236">
        <f t="shared" si="21"/>
        <v>116.09013516128293</v>
      </c>
      <c r="BX30" s="236">
        <f t="shared" si="21"/>
        <v>118.83398020378661</v>
      </c>
      <c r="BY30" s="236">
        <f t="shared" si="21"/>
        <v>121.64299156604974</v>
      </c>
      <c r="BZ30" s="236">
        <f t="shared" si="21"/>
        <v>124.51871694816663</v>
      </c>
      <c r="CA30" s="236">
        <f t="shared" si="21"/>
        <v>127.4627408081088</v>
      </c>
      <c r="CB30" s="236">
        <f t="shared" si="21"/>
        <v>130.47668523472461</v>
      </c>
      <c r="CC30" s="236">
        <f t="shared" si="21"/>
        <v>133.56221084147253</v>
      </c>
      <c r="CD30" s="236">
        <f t="shared" si="21"/>
        <v>136.72101768138074</v>
      </c>
      <c r="CE30" s="236">
        <f t="shared" si="21"/>
        <v>139.95484618373675</v>
      </c>
      <c r="CF30" s="236">
        <f t="shared" si="21"/>
        <v>143.2654781130237</v>
      </c>
      <c r="CG30" s="236">
        <f t="shared" si="21"/>
        <v>146.65473755063124</v>
      </c>
      <c r="CH30" s="236">
        <f t="shared" si="21"/>
        <v>150.12449189988195</v>
      </c>
      <c r="CI30" s="236">
        <f t="shared" si="21"/>
        <v>153.67665291492736</v>
      </c>
      <c r="CJ30" s="236">
        <f t="shared" si="21"/>
        <v>157.3131777540801</v>
      </c>
      <c r="CK30" s="236">
        <f t="shared" si="21"/>
        <v>161.03607005816272</v>
      </c>
      <c r="CL30" s="236">
        <f t="shared" si="21"/>
        <v>164.84738105446732</v>
      </c>
      <c r="CM30" s="236">
        <f t="shared" si="21"/>
        <v>168.74921068693413</v>
      </c>
      <c r="CN30" s="236">
        <f t="shared" si="21"/>
        <v>172.74370877317205</v>
      </c>
      <c r="CO30" s="236">
        <f t="shared" si="21"/>
        <v>176.8330761889581</v>
      </c>
      <c r="CP30" s="236">
        <f t="shared" si="21"/>
        <v>181.01956608086908</v>
      </c>
      <c r="CQ30" s="23" t="s">
        <v>77</v>
      </c>
    </row>
    <row r="31" spans="2:95" outlineLevel="1" x14ac:dyDescent="0.2">
      <c r="B31" s="510" t="s">
        <v>584</v>
      </c>
      <c r="D31" s="24"/>
      <c r="E31" s="511" t="s">
        <v>579</v>
      </c>
      <c r="F31" s="24"/>
      <c r="G31" s="24"/>
      <c r="H31" s="24"/>
      <c r="I31" s="24"/>
      <c r="J31" s="24"/>
      <c r="K31" s="236">
        <f t="shared" si="18"/>
        <v>0</v>
      </c>
      <c r="L31" s="236">
        <f t="shared" si="18"/>
        <v>0</v>
      </c>
      <c r="M31" s="236">
        <f t="shared" si="18"/>
        <v>0</v>
      </c>
      <c r="N31" s="236">
        <f t="shared" si="18"/>
        <v>0</v>
      </c>
      <c r="O31" s="236">
        <f t="shared" si="18"/>
        <v>0</v>
      </c>
      <c r="P31" s="236">
        <f t="shared" si="18"/>
        <v>0</v>
      </c>
      <c r="Q31" s="236">
        <f t="shared" si="18"/>
        <v>0</v>
      </c>
      <c r="R31" s="236">
        <f t="shared" si="18"/>
        <v>20</v>
      </c>
      <c r="S31" s="236">
        <f t="shared" si="18"/>
        <v>17.2</v>
      </c>
      <c r="T31" s="236">
        <f t="shared" si="18"/>
        <v>19.955833333333963</v>
      </c>
      <c r="U31" s="236">
        <f t="shared" si="18"/>
        <v>22.1</v>
      </c>
      <c r="V31" s="236">
        <f t="shared" si="18"/>
        <v>20.399999999999999</v>
      </c>
      <c r="W31" s="236">
        <f t="shared" si="19"/>
        <v>25.3</v>
      </c>
      <c r="X31" s="236">
        <f t="shared" si="19"/>
        <v>30.88128335346779</v>
      </c>
      <c r="Y31" s="236">
        <f t="shared" si="20"/>
        <v>47.652098790772271</v>
      </c>
      <c r="Z31" s="236">
        <f>SUMIF($E$54:$E$63,$E31,Z$81:Z$90)</f>
        <v>54.473434614009363</v>
      </c>
      <c r="AA31" s="236">
        <f t="shared" si="20"/>
        <v>56.160928832827395</v>
      </c>
      <c r="AB31" s="236">
        <f t="shared" si="20"/>
        <v>57.890610407115872</v>
      </c>
      <c r="AC31" s="236">
        <f t="shared" si="20"/>
        <v>59.663534020761546</v>
      </c>
      <c r="AD31" s="236">
        <f t="shared" si="20"/>
        <v>61.387702715132129</v>
      </c>
      <c r="AE31" s="236">
        <f t="shared" si="20"/>
        <v>63.152765024133579</v>
      </c>
      <c r="AF31" s="236">
        <f t="shared" si="20"/>
        <v>43.722806467312253</v>
      </c>
      <c r="AG31" s="236">
        <f t="shared" si="20"/>
        <v>44.826587081903298</v>
      </c>
      <c r="AH31" s="236">
        <f t="shared" si="20"/>
        <v>45.956390803865688</v>
      </c>
      <c r="AI31" s="236">
        <f t="shared" si="20"/>
        <v>47.112830889943851</v>
      </c>
      <c r="AJ31" s="236">
        <f t="shared" si="20"/>
        <v>43.755440969998709</v>
      </c>
      <c r="AK31" s="236">
        <f t="shared" si="20"/>
        <v>24.136626</v>
      </c>
      <c r="AL31" s="236">
        <f t="shared" si="20"/>
        <v>24.586695558749998</v>
      </c>
      <c r="AM31" s="236">
        <f t="shared" si="20"/>
        <v>25.247555625032806</v>
      </c>
      <c r="AN31" s="236">
        <f t="shared" si="20"/>
        <v>25.924092423331238</v>
      </c>
      <c r="AO31" s="236">
        <f t="shared" si="20"/>
        <v>26.616677808666704</v>
      </c>
      <c r="AP31" s="236">
        <f t="shared" si="20"/>
        <v>27.325692455933261</v>
      </c>
      <c r="AQ31" s="236">
        <f t="shared" si="20"/>
        <v>28.051526069077514</v>
      </c>
      <c r="AR31" s="236">
        <f t="shared" si="20"/>
        <v>28.794577595239176</v>
      </c>
      <c r="AS31" s="236">
        <f t="shared" si="20"/>
        <v>29.555255443970058</v>
      </c>
      <c r="AT31" s="236">
        <f t="shared" si="20"/>
        <v>30.333977711651734</v>
      </c>
      <c r="AU31" s="236">
        <f t="shared" si="20"/>
        <v>31.131172411235376</v>
      </c>
      <c r="AV31" s="236">
        <f t="shared" si="20"/>
        <v>31.947277707429777</v>
      </c>
      <c r="AW31" s="236">
        <f t="shared" si="20"/>
        <v>-3.2704770149999973</v>
      </c>
      <c r="AX31" s="236">
        <f t="shared" si="20"/>
        <v>-3.2704770149999973</v>
      </c>
      <c r="AY31" s="236">
        <f t="shared" si="20"/>
        <v>-3.2704770149999973</v>
      </c>
      <c r="AZ31" s="236">
        <f t="shared" si="20"/>
        <v>-3.2704770149999973</v>
      </c>
      <c r="BA31" s="236">
        <f t="shared" si="20"/>
        <v>-3.2704770149999973</v>
      </c>
      <c r="BB31" s="236">
        <f t="shared" si="20"/>
        <v>-3.2704770149999973</v>
      </c>
      <c r="BC31" s="236">
        <f t="shared" si="20"/>
        <v>-3.2704770149999973</v>
      </c>
      <c r="BD31" s="236">
        <f t="shared" si="20"/>
        <v>-3.2704770149999973</v>
      </c>
      <c r="BE31" s="236">
        <f t="shared" si="21"/>
        <v>-3.2704770149999973</v>
      </c>
      <c r="BF31" s="236">
        <f t="shared" si="21"/>
        <v>-3.2704770149999973</v>
      </c>
      <c r="BG31" s="236">
        <f t="shared" si="21"/>
        <v>-3.2704770149999973</v>
      </c>
      <c r="BH31" s="236">
        <f t="shared" si="21"/>
        <v>-3.2704770149999973</v>
      </c>
      <c r="BI31" s="236">
        <f t="shared" si="21"/>
        <v>-3.2704770149999973</v>
      </c>
      <c r="BJ31" s="236">
        <f t="shared" si="21"/>
        <v>-3.2704770149999973</v>
      </c>
      <c r="BK31" s="236">
        <f t="shared" si="21"/>
        <v>-3.2704770149999973</v>
      </c>
      <c r="BL31" s="236">
        <f t="shared" si="21"/>
        <v>-3.2704770149999973</v>
      </c>
      <c r="BM31" s="236">
        <f t="shared" si="21"/>
        <v>-3.2704770149999973</v>
      </c>
      <c r="BN31" s="236">
        <f t="shared" si="21"/>
        <v>-3.2704770149999973</v>
      </c>
      <c r="BO31" s="236">
        <f t="shared" si="21"/>
        <v>-3.2704770149999973</v>
      </c>
      <c r="BP31" s="236">
        <f t="shared" si="21"/>
        <v>-3.2704770149999973</v>
      </c>
      <c r="BQ31" s="236">
        <f t="shared" si="21"/>
        <v>-3.2704770149999973</v>
      </c>
      <c r="BR31" s="236">
        <f t="shared" si="21"/>
        <v>-3.2704770149999973</v>
      </c>
      <c r="BS31" s="236">
        <f t="shared" si="21"/>
        <v>-3.2704770149999973</v>
      </c>
      <c r="BT31" s="236">
        <f t="shared" si="21"/>
        <v>-3.2704770149999973</v>
      </c>
      <c r="BU31" s="236">
        <f t="shared" si="21"/>
        <v>-3.2704770149999973</v>
      </c>
      <c r="BV31" s="236">
        <f t="shared" si="21"/>
        <v>-3.2704770149999973</v>
      </c>
      <c r="BW31" s="236">
        <f t="shared" si="21"/>
        <v>-3.2704770149999973</v>
      </c>
      <c r="BX31" s="236">
        <f t="shared" si="21"/>
        <v>-3.2704770149999973</v>
      </c>
      <c r="BY31" s="236">
        <f t="shared" si="21"/>
        <v>-3.2704770149999973</v>
      </c>
      <c r="BZ31" s="236">
        <f t="shared" si="21"/>
        <v>-3.2704770149999973</v>
      </c>
      <c r="CA31" s="236">
        <f t="shared" si="21"/>
        <v>-3.2704770149999973</v>
      </c>
      <c r="CB31" s="236">
        <f t="shared" si="21"/>
        <v>-3.2704770149999973</v>
      </c>
      <c r="CC31" s="236">
        <f t="shared" si="21"/>
        <v>-3.2704770149999973</v>
      </c>
      <c r="CD31" s="236">
        <f t="shared" si="21"/>
        <v>-3.2704770149999973</v>
      </c>
      <c r="CE31" s="236">
        <f t="shared" si="21"/>
        <v>-3.2704770149999973</v>
      </c>
      <c r="CF31" s="236">
        <f t="shared" si="21"/>
        <v>-3.2704770149999973</v>
      </c>
      <c r="CG31" s="236">
        <f t="shared" si="21"/>
        <v>-3.2704770149999973</v>
      </c>
      <c r="CH31" s="236">
        <f t="shared" si="21"/>
        <v>-3.2704770149999973</v>
      </c>
      <c r="CI31" s="236">
        <f t="shared" si="21"/>
        <v>-3.2704770149999973</v>
      </c>
      <c r="CJ31" s="236">
        <f t="shared" si="21"/>
        <v>-3.2704770149999973</v>
      </c>
      <c r="CK31" s="236">
        <f t="shared" si="21"/>
        <v>-3.2704770149999973</v>
      </c>
      <c r="CL31" s="236">
        <f t="shared" si="21"/>
        <v>-3.2704770149999973</v>
      </c>
      <c r="CM31" s="236">
        <f t="shared" si="21"/>
        <v>-3.2704770149999973</v>
      </c>
      <c r="CN31" s="236">
        <f t="shared" si="21"/>
        <v>-3.2704770149999973</v>
      </c>
      <c r="CO31" s="236">
        <f t="shared" si="21"/>
        <v>-3.2704770149999973</v>
      </c>
      <c r="CP31" s="236">
        <f t="shared" si="21"/>
        <v>-3.2704770149999973</v>
      </c>
      <c r="CQ31" s="23" t="s">
        <v>77</v>
      </c>
    </row>
    <row r="32" spans="2:95" outlineLevel="1" x14ac:dyDescent="0.2">
      <c r="B32" s="311" t="s">
        <v>46</v>
      </c>
      <c r="D32" s="24"/>
      <c r="E32" s="24"/>
      <c r="F32" s="24"/>
      <c r="G32" s="24"/>
      <c r="H32" s="24"/>
      <c r="I32" s="24"/>
      <c r="J32" s="24"/>
      <c r="K32" s="245" t="b">
        <f t="shared" ref="K32:V32" si="23">IF(ABS(K25-SUM(K27:K31)&lt;0.1),TRUE,K25-SUM(K27:K31))</f>
        <v>1</v>
      </c>
      <c r="L32" s="245" t="b">
        <f t="shared" si="23"/>
        <v>1</v>
      </c>
      <c r="M32" s="245">
        <f t="shared" si="23"/>
        <v>105.089</v>
      </c>
      <c r="N32" s="245" t="b">
        <f t="shared" si="23"/>
        <v>1</v>
      </c>
      <c r="O32" s="245" t="b">
        <f t="shared" si="23"/>
        <v>1</v>
      </c>
      <c r="P32" s="245" t="b">
        <f t="shared" si="23"/>
        <v>1</v>
      </c>
      <c r="Q32" s="245" t="b">
        <f t="shared" si="23"/>
        <v>1</v>
      </c>
      <c r="R32" s="245" t="b">
        <f t="shared" si="23"/>
        <v>1</v>
      </c>
      <c r="S32" s="245" t="b">
        <f t="shared" si="23"/>
        <v>1</v>
      </c>
      <c r="T32" s="245" t="b">
        <f t="shared" si="23"/>
        <v>1</v>
      </c>
      <c r="U32" s="245" t="b">
        <f t="shared" si="23"/>
        <v>1</v>
      </c>
      <c r="V32" s="245" t="b">
        <f t="shared" si="23"/>
        <v>1</v>
      </c>
      <c r="W32" s="245" t="b">
        <f>IF(ABS(W25-SUM(W27:W31)&lt;0.1),TRUE,W25-SUM(W27:W31))</f>
        <v>1</v>
      </c>
      <c r="X32" s="245" t="b">
        <f t="shared" ref="X32:BD32" si="24">IF(ABS(X25-SUM(X27:X31)&lt;0.1),TRUE,X25-SUM(X27:X31))</f>
        <v>1</v>
      </c>
      <c r="Y32" s="245" t="b">
        <f t="shared" si="24"/>
        <v>1</v>
      </c>
      <c r="Z32" s="245" t="b">
        <f t="shared" si="24"/>
        <v>1</v>
      </c>
      <c r="AA32" s="245" t="b">
        <f t="shared" si="24"/>
        <v>1</v>
      </c>
      <c r="AB32" s="245" t="b">
        <f t="shared" si="24"/>
        <v>1</v>
      </c>
      <c r="AC32" s="245" t="b">
        <f t="shared" si="24"/>
        <v>1</v>
      </c>
      <c r="AD32" s="245" t="b">
        <f t="shared" si="24"/>
        <v>1</v>
      </c>
      <c r="AE32" s="245" t="b">
        <f t="shared" si="24"/>
        <v>1</v>
      </c>
      <c r="AF32" s="245" t="b">
        <f t="shared" si="24"/>
        <v>1</v>
      </c>
      <c r="AG32" s="245" t="b">
        <f t="shared" si="24"/>
        <v>1</v>
      </c>
      <c r="AH32" s="245" t="b">
        <f t="shared" si="24"/>
        <v>1</v>
      </c>
      <c r="AI32" s="245" t="b">
        <f t="shared" si="24"/>
        <v>1</v>
      </c>
      <c r="AJ32" s="245" t="b">
        <f t="shared" si="24"/>
        <v>1</v>
      </c>
      <c r="AK32" s="245" t="b">
        <f t="shared" si="24"/>
        <v>1</v>
      </c>
      <c r="AL32" s="245" t="b">
        <f t="shared" si="24"/>
        <v>1</v>
      </c>
      <c r="AM32" s="245" t="b">
        <f t="shared" si="24"/>
        <v>1</v>
      </c>
      <c r="AN32" s="245" t="b">
        <f t="shared" si="24"/>
        <v>1</v>
      </c>
      <c r="AO32" s="245" t="b">
        <f t="shared" si="24"/>
        <v>1</v>
      </c>
      <c r="AP32" s="245" t="b">
        <f t="shared" si="24"/>
        <v>1</v>
      </c>
      <c r="AQ32" s="245" t="b">
        <f t="shared" si="24"/>
        <v>1</v>
      </c>
      <c r="AR32" s="245" t="b">
        <f t="shared" si="24"/>
        <v>1</v>
      </c>
      <c r="AS32" s="245" t="b">
        <f t="shared" si="24"/>
        <v>1</v>
      </c>
      <c r="AT32" s="245" t="b">
        <f t="shared" si="24"/>
        <v>1</v>
      </c>
      <c r="AU32" s="245" t="b">
        <f t="shared" si="24"/>
        <v>1</v>
      </c>
      <c r="AV32" s="245" t="b">
        <f t="shared" si="24"/>
        <v>1</v>
      </c>
      <c r="AW32" s="245" t="b">
        <f t="shared" si="24"/>
        <v>1</v>
      </c>
      <c r="AX32" s="245" t="b">
        <f t="shared" si="24"/>
        <v>1</v>
      </c>
      <c r="AY32" s="245" t="b">
        <f t="shared" si="24"/>
        <v>1</v>
      </c>
      <c r="AZ32" s="245" t="b">
        <f t="shared" si="24"/>
        <v>1</v>
      </c>
      <c r="BA32" s="245" t="b">
        <f t="shared" si="24"/>
        <v>1</v>
      </c>
      <c r="BB32" s="245" t="b">
        <f t="shared" si="24"/>
        <v>1</v>
      </c>
      <c r="BC32" s="245" t="b">
        <f t="shared" si="24"/>
        <v>1</v>
      </c>
      <c r="BD32" s="245" t="b">
        <f t="shared" si="24"/>
        <v>1</v>
      </c>
      <c r="BE32" s="245" t="b">
        <f t="shared" ref="BE32:CP32" si="25">IF(ABS(BE25-SUM(BE27:BE31)&lt;0.1),TRUE,BE25-SUM(BE27:BE31))</f>
        <v>1</v>
      </c>
      <c r="BF32" s="245" t="b">
        <f t="shared" si="25"/>
        <v>1</v>
      </c>
      <c r="BG32" s="245" t="b">
        <f t="shared" si="25"/>
        <v>1</v>
      </c>
      <c r="BH32" s="245" t="b">
        <f t="shared" si="25"/>
        <v>1</v>
      </c>
      <c r="BI32" s="245" t="b">
        <f t="shared" si="25"/>
        <v>1</v>
      </c>
      <c r="BJ32" s="245" t="b">
        <f t="shared" si="25"/>
        <v>1</v>
      </c>
      <c r="BK32" s="245" t="b">
        <f t="shared" si="25"/>
        <v>1</v>
      </c>
      <c r="BL32" s="245" t="b">
        <f t="shared" si="25"/>
        <v>1</v>
      </c>
      <c r="BM32" s="245" t="b">
        <f t="shared" si="25"/>
        <v>1</v>
      </c>
      <c r="BN32" s="245" t="b">
        <f t="shared" si="25"/>
        <v>1</v>
      </c>
      <c r="BO32" s="245" t="b">
        <f t="shared" si="25"/>
        <v>1</v>
      </c>
      <c r="BP32" s="245" t="b">
        <f t="shared" si="25"/>
        <v>1</v>
      </c>
      <c r="BQ32" s="245" t="b">
        <f t="shared" si="25"/>
        <v>1</v>
      </c>
      <c r="BR32" s="245" t="b">
        <f t="shared" si="25"/>
        <v>1</v>
      </c>
      <c r="BS32" s="245" t="b">
        <f t="shared" si="25"/>
        <v>1</v>
      </c>
      <c r="BT32" s="245" t="b">
        <f t="shared" si="25"/>
        <v>1</v>
      </c>
      <c r="BU32" s="245" t="b">
        <f t="shared" si="25"/>
        <v>1</v>
      </c>
      <c r="BV32" s="245" t="b">
        <f t="shared" si="25"/>
        <v>1</v>
      </c>
      <c r="BW32" s="245" t="b">
        <f t="shared" si="25"/>
        <v>1</v>
      </c>
      <c r="BX32" s="245" t="b">
        <f t="shared" si="25"/>
        <v>1</v>
      </c>
      <c r="BY32" s="245" t="b">
        <f t="shared" si="25"/>
        <v>1</v>
      </c>
      <c r="BZ32" s="245" t="b">
        <f t="shared" si="25"/>
        <v>1</v>
      </c>
      <c r="CA32" s="245" t="b">
        <f t="shared" si="25"/>
        <v>1</v>
      </c>
      <c r="CB32" s="245" t="b">
        <f t="shared" si="25"/>
        <v>1</v>
      </c>
      <c r="CC32" s="245" t="b">
        <f t="shared" si="25"/>
        <v>1</v>
      </c>
      <c r="CD32" s="245" t="b">
        <f t="shared" si="25"/>
        <v>1</v>
      </c>
      <c r="CE32" s="245" t="b">
        <f t="shared" si="25"/>
        <v>1</v>
      </c>
      <c r="CF32" s="245" t="b">
        <f t="shared" si="25"/>
        <v>1</v>
      </c>
      <c r="CG32" s="245" t="b">
        <f t="shared" si="25"/>
        <v>1</v>
      </c>
      <c r="CH32" s="245" t="b">
        <f t="shared" si="25"/>
        <v>1</v>
      </c>
      <c r="CI32" s="245" t="b">
        <f t="shared" si="25"/>
        <v>1</v>
      </c>
      <c r="CJ32" s="245" t="b">
        <f t="shared" si="25"/>
        <v>1</v>
      </c>
      <c r="CK32" s="245" t="b">
        <f t="shared" si="25"/>
        <v>1</v>
      </c>
      <c r="CL32" s="245" t="b">
        <f t="shared" si="25"/>
        <v>1</v>
      </c>
      <c r="CM32" s="245" t="b">
        <f t="shared" si="25"/>
        <v>1</v>
      </c>
      <c r="CN32" s="245" t="b">
        <f t="shared" si="25"/>
        <v>1</v>
      </c>
      <c r="CO32" s="245" t="b">
        <f t="shared" si="25"/>
        <v>1</v>
      </c>
      <c r="CP32" s="245" t="b">
        <f t="shared" si="25"/>
        <v>1</v>
      </c>
      <c r="CQ32" s="23" t="s">
        <v>77</v>
      </c>
    </row>
    <row r="33" spans="2:95" outlineLevel="1" x14ac:dyDescent="0.2">
      <c r="B33" s="24"/>
      <c r="D33" s="24"/>
      <c r="E33" s="24"/>
      <c r="F33" s="24"/>
      <c r="G33" s="24"/>
      <c r="H33" s="24"/>
      <c r="I33" s="24"/>
      <c r="J33" s="24"/>
      <c r="K33" s="236"/>
      <c r="L33" s="236"/>
      <c r="M33" s="236"/>
      <c r="N33" s="236"/>
      <c r="O33" s="236"/>
      <c r="P33" s="236"/>
      <c r="Q33" s="236"/>
      <c r="R33" s="236"/>
      <c r="S33" s="236"/>
      <c r="T33" s="236"/>
      <c r="U33" s="236"/>
      <c r="V33" s="236"/>
      <c r="W33" s="236"/>
      <c r="X33" s="236"/>
      <c r="Y33" s="236"/>
      <c r="Z33" s="236"/>
      <c r="AA33" s="236"/>
      <c r="AB33" s="236"/>
      <c r="AC33" s="236"/>
      <c r="AD33" s="236"/>
      <c r="AE33" s="236"/>
      <c r="AF33" s="236"/>
      <c r="AG33" s="236"/>
      <c r="AH33" s="236"/>
      <c r="AI33" s="236"/>
      <c r="AJ33" s="236"/>
      <c r="AK33" s="236"/>
      <c r="AL33" s="236"/>
      <c r="AM33" s="236"/>
      <c r="AN33" s="236"/>
      <c r="AO33" s="236"/>
      <c r="AP33" s="236"/>
      <c r="AQ33" s="236"/>
      <c r="AR33" s="236"/>
      <c r="AS33" s="236"/>
      <c r="AT33" s="236"/>
      <c r="AU33" s="236"/>
      <c r="AV33" s="236"/>
      <c r="AW33" s="236"/>
      <c r="AX33" s="236"/>
      <c r="AY33" s="236"/>
      <c r="AZ33" s="236"/>
      <c r="BA33" s="236"/>
      <c r="BB33" s="236"/>
      <c r="BC33" s="236"/>
      <c r="BD33" s="236"/>
      <c r="BE33" s="236"/>
      <c r="BF33" s="236"/>
      <c r="BG33" s="236"/>
      <c r="BH33" s="236"/>
      <c r="BI33" s="236"/>
      <c r="BJ33" s="236"/>
      <c r="BK33" s="236"/>
      <c r="BL33" s="236"/>
      <c r="BM33" s="236"/>
      <c r="BN33" s="236"/>
      <c r="BO33" s="236"/>
      <c r="BP33" s="236"/>
      <c r="BQ33" s="236"/>
      <c r="BR33" s="236"/>
      <c r="BS33" s="236"/>
      <c r="BT33" s="236"/>
      <c r="BU33" s="236"/>
      <c r="BV33" s="236"/>
      <c r="BW33" s="236"/>
      <c r="BX33" s="236"/>
      <c r="BY33" s="236"/>
      <c r="BZ33" s="236"/>
      <c r="CA33" s="236"/>
      <c r="CB33" s="236"/>
      <c r="CC33" s="236"/>
      <c r="CD33" s="236"/>
      <c r="CE33" s="236"/>
      <c r="CF33" s="236"/>
      <c r="CG33" s="236"/>
      <c r="CH33" s="236"/>
      <c r="CI33" s="236"/>
      <c r="CJ33" s="236"/>
      <c r="CK33" s="236"/>
      <c r="CL33" s="236"/>
      <c r="CM33" s="236"/>
      <c r="CN33" s="236"/>
      <c r="CO33" s="236"/>
      <c r="CP33" s="236"/>
      <c r="CQ33" s="23" t="s">
        <v>77</v>
      </c>
    </row>
    <row r="34" spans="2:95" s="98" customFormat="1" outlineLevel="1" x14ac:dyDescent="0.2">
      <c r="B34" s="98" t="s">
        <v>346</v>
      </c>
      <c r="C34" s="24"/>
      <c r="K34" s="93" t="str">
        <f t="shared" ref="K34:BD34" si="26">IF(ISERROR(+K23/K19),"n.a.",+K23/K19)</f>
        <v>n.a.</v>
      </c>
      <c r="L34" s="93" t="str">
        <f t="shared" si="26"/>
        <v>n.a.</v>
      </c>
      <c r="M34" s="93">
        <f t="shared" si="26"/>
        <v>0.78220236939211496</v>
      </c>
      <c r="N34" s="93">
        <f t="shared" si="26"/>
        <v>0.74644763197870601</v>
      </c>
      <c r="O34" s="93">
        <f t="shared" si="26"/>
        <v>0.71546248583854111</v>
      </c>
      <c r="P34" s="93">
        <f t="shared" si="26"/>
        <v>0.69929584793090283</v>
      </c>
      <c r="Q34" s="93">
        <f t="shared" si="26"/>
        <v>0.65595260472142747</v>
      </c>
      <c r="R34" s="93">
        <f t="shared" si="26"/>
        <v>0.67405234087020438</v>
      </c>
      <c r="S34" s="93">
        <f t="shared" si="26"/>
        <v>0.6906815388209957</v>
      </c>
      <c r="T34" s="93">
        <f t="shared" si="26"/>
        <v>0.79535198935865703</v>
      </c>
      <c r="U34" s="93">
        <f t="shared" si="26"/>
        <v>0.79934729971575968</v>
      </c>
      <c r="V34" s="93">
        <f t="shared" si="26"/>
        <v>0.83521638814347299</v>
      </c>
      <c r="W34" s="93">
        <f t="shared" si="26"/>
        <v>0.80451653595129702</v>
      </c>
      <c r="X34" s="93">
        <f>IF(ISERROR(+X23/X19),"n.a.",+X23/X19)</f>
        <v>0.7876232459979895</v>
      </c>
      <c r="Y34" s="93">
        <f t="shared" si="26"/>
        <v>0.77812649359343733</v>
      </c>
      <c r="Z34" s="93">
        <f t="shared" si="26"/>
        <v>0.78146058130375107</v>
      </c>
      <c r="AA34" s="93">
        <f t="shared" si="26"/>
        <v>0.78195553407686536</v>
      </c>
      <c r="AB34" s="93">
        <f t="shared" si="26"/>
        <v>0.78234278687175796</v>
      </c>
      <c r="AC34" s="93">
        <f t="shared" si="26"/>
        <v>0.78272393067884782</v>
      </c>
      <c r="AD34" s="93">
        <f t="shared" si="26"/>
        <v>0.78301069621309427</v>
      </c>
      <c r="AE34" s="93">
        <f t="shared" si="26"/>
        <v>0.77508303319085059</v>
      </c>
      <c r="AF34" s="93">
        <f t="shared" si="26"/>
        <v>0.79670244738465468</v>
      </c>
      <c r="AG34" s="93">
        <f t="shared" si="26"/>
        <v>0.78422152984801474</v>
      </c>
      <c r="AH34" s="93">
        <f t="shared" si="26"/>
        <v>0.78395210042356778</v>
      </c>
      <c r="AI34" s="93">
        <f t="shared" si="26"/>
        <v>0.78365007937275943</v>
      </c>
      <c r="AJ34" s="93">
        <f t="shared" si="26"/>
        <v>0.78390588459013677</v>
      </c>
      <c r="AK34" s="93">
        <f t="shared" si="26"/>
        <v>0.78505443748533799</v>
      </c>
      <c r="AL34" s="93">
        <f t="shared" si="26"/>
        <v>0.78422038588058007</v>
      </c>
      <c r="AM34" s="93">
        <f t="shared" si="26"/>
        <v>0.78392393127917714</v>
      </c>
      <c r="AN34" s="93">
        <f t="shared" si="26"/>
        <v>0.77620999431682924</v>
      </c>
      <c r="AO34" s="93">
        <f t="shared" si="26"/>
        <v>0.77588613082556845</v>
      </c>
      <c r="AP34" s="93">
        <f t="shared" si="26"/>
        <v>0.77556613730382185</v>
      </c>
      <c r="AQ34" s="93">
        <f t="shared" si="26"/>
        <v>0.77524997888917413</v>
      </c>
      <c r="AR34" s="93">
        <f t="shared" si="26"/>
        <v>0.77493758765618048</v>
      </c>
      <c r="AS34" s="93">
        <f t="shared" si="26"/>
        <v>0.77462895551380073</v>
      </c>
      <c r="AT34" s="93">
        <f t="shared" si="26"/>
        <v>0.77432404117217668</v>
      </c>
      <c r="AU34" s="93">
        <f t="shared" si="26"/>
        <v>0.77402274164548157</v>
      </c>
      <c r="AV34" s="93">
        <f t="shared" si="26"/>
        <v>0.77372504352160987</v>
      </c>
      <c r="AW34" s="93">
        <f t="shared" si="26"/>
        <v>0.77877256794350236</v>
      </c>
      <c r="AX34" s="93">
        <f t="shared" si="26"/>
        <v>0.77847547116128091</v>
      </c>
      <c r="AY34" s="93">
        <f t="shared" si="26"/>
        <v>0.77818186218067975</v>
      </c>
      <c r="AZ34" s="93">
        <f t="shared" si="26"/>
        <v>0.77789170271696684</v>
      </c>
      <c r="BA34" s="93">
        <f t="shared" si="26"/>
        <v>0.77760492681697169</v>
      </c>
      <c r="BB34" s="93">
        <f t="shared" si="26"/>
        <v>0.77732151969021701</v>
      </c>
      <c r="BC34" s="93">
        <f t="shared" si="26"/>
        <v>0.77704141309683661</v>
      </c>
      <c r="BD34" s="93">
        <f t="shared" si="26"/>
        <v>0.77676456395405058</v>
      </c>
      <c r="BE34" s="93">
        <f t="shared" ref="BE34:CP34" si="27">IF(ISERROR(+BE23/BE19),"n.a.",+BE23/BE19)</f>
        <v>0.77649092815918586</v>
      </c>
      <c r="BF34" s="93">
        <f t="shared" si="27"/>
        <v>0.77622046070211492</v>
      </c>
      <c r="BG34" s="93">
        <f t="shared" si="27"/>
        <v>0.77595311577256809</v>
      </c>
      <c r="BH34" s="93">
        <f t="shared" si="27"/>
        <v>0.77568884686239792</v>
      </c>
      <c r="BI34" s="93">
        <f t="shared" si="27"/>
        <v>0.77542760686287915</v>
      </c>
      <c r="BJ34" s="93">
        <f t="shared" si="27"/>
        <v>0.77516932425806484</v>
      </c>
      <c r="BK34" s="93">
        <f t="shared" si="27"/>
        <v>0.7749139754451223</v>
      </c>
      <c r="BL34" s="93">
        <f t="shared" si="27"/>
        <v>0.77466148869884432</v>
      </c>
      <c r="BM34" s="93">
        <f t="shared" si="27"/>
        <v>0.77441181621570343</v>
      </c>
      <c r="BN34" s="93">
        <f t="shared" si="27"/>
        <v>0.77416493283136234</v>
      </c>
      <c r="BO34" s="93">
        <f t="shared" si="27"/>
        <v>0.77392076709935531</v>
      </c>
      <c r="BP34" s="93">
        <f t="shared" si="27"/>
        <v>0.77367927089296373</v>
      </c>
      <c r="BQ34" s="93">
        <f t="shared" si="27"/>
        <v>0.77344039610340276</v>
      </c>
      <c r="BR34" s="93">
        <f t="shared" si="27"/>
        <v>0.77320409469485529</v>
      </c>
      <c r="BS34" s="93">
        <f t="shared" si="27"/>
        <v>0.78207641301570419</v>
      </c>
      <c r="BT34" s="93">
        <f t="shared" si="27"/>
        <v>0.78187699070194838</v>
      </c>
      <c r="BU34" s="93">
        <f t="shared" si="27"/>
        <v>0.78167999544735156</v>
      </c>
      <c r="BV34" s="93">
        <f t="shared" si="27"/>
        <v>0.78148538446304106</v>
      </c>
      <c r="BW34" s="93">
        <f t="shared" si="27"/>
        <v>0.78129309999054675</v>
      </c>
      <c r="BX34" s="93">
        <f t="shared" si="27"/>
        <v>0.78110309997985727</v>
      </c>
      <c r="BY34" s="93">
        <f t="shared" si="27"/>
        <v>0.78091534255837769</v>
      </c>
      <c r="BZ34" s="93">
        <f t="shared" si="27"/>
        <v>0.78072980058398578</v>
      </c>
      <c r="CA34" s="93">
        <f t="shared" si="27"/>
        <v>0.78054643210027019</v>
      </c>
      <c r="CB34" s="93">
        <f t="shared" si="27"/>
        <v>0.7803651812675596</v>
      </c>
      <c r="CC34" s="93">
        <f t="shared" si="27"/>
        <v>0.78018599327938964</v>
      </c>
      <c r="CD34" s="93">
        <f t="shared" si="27"/>
        <v>0.78956492751506835</v>
      </c>
      <c r="CE34" s="93">
        <f t="shared" si="27"/>
        <v>0.78942797738419257</v>
      </c>
      <c r="CF34" s="93">
        <f t="shared" si="27"/>
        <v>0.78929305584309684</v>
      </c>
      <c r="CG34" s="93">
        <f t="shared" si="27"/>
        <v>0.78916012576476813</v>
      </c>
      <c r="CH34" s="93">
        <f t="shared" si="27"/>
        <v>0.7890291424597845</v>
      </c>
      <c r="CI34" s="93">
        <f t="shared" si="27"/>
        <v>0.78890007737268752</v>
      </c>
      <c r="CJ34" s="93">
        <f t="shared" si="27"/>
        <v>0.78877289427250163</v>
      </c>
      <c r="CK34" s="93">
        <f t="shared" si="27"/>
        <v>0.78864754967753947</v>
      </c>
      <c r="CL34" s="93">
        <f t="shared" si="27"/>
        <v>0.78852400830743319</v>
      </c>
      <c r="CM34" s="93">
        <f t="shared" si="27"/>
        <v>0.78840223526087239</v>
      </c>
      <c r="CN34" s="93">
        <f t="shared" si="27"/>
        <v>0.78828220335603505</v>
      </c>
      <c r="CO34" s="93">
        <f t="shared" si="27"/>
        <v>0.78816387822099776</v>
      </c>
      <c r="CP34" s="93">
        <f t="shared" si="27"/>
        <v>0.78804721159806634</v>
      </c>
      <c r="CQ34" s="23" t="s">
        <v>77</v>
      </c>
    </row>
    <row r="35" spans="2:95" s="98" customFormat="1" outlineLevel="1" x14ac:dyDescent="0.2">
      <c r="B35" s="98" t="s">
        <v>347</v>
      </c>
      <c r="C35" s="24"/>
      <c r="K35" s="93" t="str">
        <f t="shared" ref="K35:BD35" si="28">IF(ISERROR(+K24/K20),"n.a.",+K24/K20)</f>
        <v>n.a.</v>
      </c>
      <c r="L35" s="93" t="str">
        <f t="shared" si="28"/>
        <v>n.a.</v>
      </c>
      <c r="M35" s="93">
        <f t="shared" si="28"/>
        <v>0.2903715435887283</v>
      </c>
      <c r="N35" s="93">
        <f t="shared" si="28"/>
        <v>0.16354759967453217</v>
      </c>
      <c r="O35" s="93">
        <f t="shared" si="28"/>
        <v>0.17080745341614906</v>
      </c>
      <c r="P35" s="93">
        <f t="shared" si="28"/>
        <v>0.17238925458103538</v>
      </c>
      <c r="Q35" s="93">
        <f t="shared" si="28"/>
        <v>0.40274368231046936</v>
      </c>
      <c r="R35" s="93">
        <f t="shared" si="28"/>
        <v>0.39297874298334406</v>
      </c>
      <c r="S35" s="93">
        <f t="shared" si="28"/>
        <v>0.51076040172166426</v>
      </c>
      <c r="T35" s="93">
        <f t="shared" si="28"/>
        <v>0.61227528643810647</v>
      </c>
      <c r="U35" s="93">
        <f t="shared" si="28"/>
        <v>0.64404347670122331</v>
      </c>
      <c r="V35" s="93">
        <f t="shared" si="28"/>
        <v>0.60534618451617384</v>
      </c>
      <c r="W35" s="93">
        <f t="shared" si="28"/>
        <v>0.60778481831113418</v>
      </c>
      <c r="X35" s="93">
        <f t="shared" si="28"/>
        <v>0.84642857142857153</v>
      </c>
      <c r="Y35" s="93">
        <f t="shared" si="28"/>
        <v>0.84622222222222232</v>
      </c>
      <c r="Z35" s="93">
        <f t="shared" si="28"/>
        <v>0.84561403508771948</v>
      </c>
      <c r="AA35" s="93">
        <f t="shared" si="28"/>
        <v>0.84541484716157222</v>
      </c>
      <c r="AB35" s="93">
        <f t="shared" si="28"/>
        <v>0.84378395532180861</v>
      </c>
      <c r="AC35" s="93">
        <f t="shared" si="28"/>
        <v>0.84306853197754761</v>
      </c>
      <c r="AD35" s="93">
        <f t="shared" si="28"/>
        <v>0.84236338599906246</v>
      </c>
      <c r="AE35" s="93">
        <f t="shared" si="28"/>
        <v>0.84166665115988759</v>
      </c>
      <c r="AF35" s="93">
        <f t="shared" si="28"/>
        <v>0.84097996744477521</v>
      </c>
      <c r="AG35" s="93">
        <f t="shared" si="28"/>
        <v>0.84030003865971969</v>
      </c>
      <c r="AH35" s="93">
        <f t="shared" si="28"/>
        <v>0.83963158389757186</v>
      </c>
      <c r="AI35" s="93">
        <f t="shared" si="28"/>
        <v>0.83896988407014361</v>
      </c>
      <c r="AJ35" s="93">
        <f t="shared" si="28"/>
        <v>0.83831792091282609</v>
      </c>
      <c r="AK35" s="93">
        <f t="shared" si="28"/>
        <v>0.83683414062955586</v>
      </c>
      <c r="AL35" s="93">
        <f t="shared" si="28"/>
        <v>0.8362127613628958</v>
      </c>
      <c r="AM35" s="93">
        <f t="shared" si="28"/>
        <v>0.8356006377512416</v>
      </c>
      <c r="AN35" s="93">
        <f t="shared" si="28"/>
        <v>0.83499762444699233</v>
      </c>
      <c r="AO35" s="93">
        <f t="shared" si="28"/>
        <v>0.83440122871255507</v>
      </c>
      <c r="AP35" s="93">
        <f t="shared" si="28"/>
        <v>0.83381383501575723</v>
      </c>
      <c r="AQ35" s="93">
        <f t="shared" si="28"/>
        <v>0.83323419274966315</v>
      </c>
      <c r="AR35" s="93">
        <f t="shared" si="28"/>
        <v>0.83266334726109137</v>
      </c>
      <c r="AS35" s="93">
        <f t="shared" si="28"/>
        <v>0.83210012642602948</v>
      </c>
      <c r="AT35" s="93">
        <f t="shared" si="28"/>
        <v>0.83154450209417907</v>
      </c>
      <c r="AU35" s="93">
        <f t="shared" si="28"/>
        <v>0.8309973975359739</v>
      </c>
      <c r="AV35" s="93">
        <f t="shared" si="28"/>
        <v>0.83045592437967375</v>
      </c>
      <c r="AW35" s="93">
        <f t="shared" si="28"/>
        <v>0.82992467840683193</v>
      </c>
      <c r="AX35" s="93">
        <f t="shared" si="28"/>
        <v>0.82939990415116505</v>
      </c>
      <c r="AY35" s="93">
        <f t="shared" si="28"/>
        <v>0.82888248401800368</v>
      </c>
      <c r="AZ35" s="93">
        <f t="shared" si="28"/>
        <v>0.82837318421186268</v>
      </c>
      <c r="BA35" s="93">
        <f t="shared" si="28"/>
        <v>0.82787109644250578</v>
      </c>
      <c r="BB35" s="93">
        <f t="shared" si="28"/>
        <v>0.82737617739096347</v>
      </c>
      <c r="BC35" s="93">
        <f t="shared" si="28"/>
        <v>0.82688910703510454</v>
      </c>
      <c r="BD35" s="93">
        <f t="shared" si="28"/>
        <v>0.82640905410381493</v>
      </c>
      <c r="BE35" s="93">
        <f t="shared" ref="BE35:CP35" si="29">IF(ISERROR(+BE24/BE20),"n.a.",+BE24/BE20)</f>
        <v>0.82593531757246608</v>
      </c>
      <c r="BF35" s="93">
        <f t="shared" si="29"/>
        <v>0.82546985259627048</v>
      </c>
      <c r="BG35" s="93">
        <f t="shared" si="29"/>
        <v>0.82500996934506354</v>
      </c>
      <c r="BH35" s="93">
        <f t="shared" si="29"/>
        <v>0.82455875386695654</v>
      </c>
      <c r="BI35" s="93">
        <f t="shared" si="29"/>
        <v>0.82411307410805357</v>
      </c>
      <c r="BJ35" s="93">
        <f t="shared" si="29"/>
        <v>0.82367522504003576</v>
      </c>
      <c r="BK35" s="93">
        <f t="shared" si="29"/>
        <v>0.82324341924707245</v>
      </c>
      <c r="BL35" s="93">
        <f t="shared" si="29"/>
        <v>0.82281818368400839</v>
      </c>
      <c r="BM35" s="93">
        <f t="shared" si="29"/>
        <v>0.82239945069282416</v>
      </c>
      <c r="BN35" s="93">
        <f t="shared" si="29"/>
        <v>0.82198765248121752</v>
      </c>
      <c r="BO35" s="93">
        <f t="shared" si="29"/>
        <v>0.82158220918451386</v>
      </c>
      <c r="BP35" s="93">
        <f t="shared" si="29"/>
        <v>0.82118306230347315</v>
      </c>
      <c r="BQ35" s="93">
        <f t="shared" si="29"/>
        <v>0.82079015236942365</v>
      </c>
      <c r="BR35" s="93">
        <f t="shared" si="29"/>
        <v>0.82040383259410821</v>
      </c>
      <c r="BS35" s="93">
        <f t="shared" si="29"/>
        <v>0.82002320337142154</v>
      </c>
      <c r="BT35" s="93">
        <f t="shared" si="29"/>
        <v>0.81964862403903405</v>
      </c>
      <c r="BU35" s="93">
        <f t="shared" si="29"/>
        <v>0.8192804091300645</v>
      </c>
      <c r="BV35" s="93">
        <f t="shared" si="29"/>
        <v>0.8189180946788317</v>
      </c>
      <c r="BW35" s="93">
        <f t="shared" si="29"/>
        <v>0.81856161839913022</v>
      </c>
      <c r="BX35" s="93">
        <f t="shared" si="29"/>
        <v>0.81821058802212532</v>
      </c>
      <c r="BY35" s="93">
        <f t="shared" si="29"/>
        <v>0.81786592861111962</v>
      </c>
      <c r="BZ35" s="93">
        <f t="shared" si="29"/>
        <v>0.81752658811484569</v>
      </c>
      <c r="CA35" s="93">
        <f t="shared" si="29"/>
        <v>0.81719312558475343</v>
      </c>
      <c r="CB35" s="93">
        <f t="shared" si="29"/>
        <v>0.81686459853544457</v>
      </c>
      <c r="CC35" s="93">
        <f t="shared" si="29"/>
        <v>0.81654208939482675</v>
      </c>
      <c r="CD35" s="93">
        <f t="shared" si="29"/>
        <v>0.81622495278166562</v>
      </c>
      <c r="CE35" s="93">
        <f t="shared" si="29"/>
        <v>0.81591286794987095</v>
      </c>
      <c r="CF35" s="93">
        <f t="shared" si="29"/>
        <v>0.81560628876644259</v>
      </c>
      <c r="CG35" s="93">
        <f t="shared" si="29"/>
        <v>0.81530488468013562</v>
      </c>
      <c r="CH35" s="93">
        <f t="shared" si="29"/>
        <v>0.81500837252201752</v>
      </c>
      <c r="CI35" s="93">
        <f t="shared" si="29"/>
        <v>0.81471714183987254</v>
      </c>
      <c r="CJ35" s="93">
        <f t="shared" si="29"/>
        <v>0.81443068683789477</v>
      </c>
      <c r="CK35" s="93">
        <f t="shared" si="29"/>
        <v>0.81414917050484281</v>
      </c>
      <c r="CL35" s="93">
        <f t="shared" si="29"/>
        <v>0.81387271506823233</v>
      </c>
      <c r="CM35" s="93">
        <f t="shared" si="29"/>
        <v>0.81360105369351565</v>
      </c>
      <c r="CN35" s="93">
        <f t="shared" si="29"/>
        <v>0.81333412067104105</v>
      </c>
      <c r="CO35" s="93">
        <f t="shared" si="29"/>
        <v>0.81307168101893601</v>
      </c>
      <c r="CP35" s="93">
        <f t="shared" si="29"/>
        <v>0.81281385788876082</v>
      </c>
      <c r="CQ35" s="23" t="s">
        <v>77</v>
      </c>
    </row>
    <row r="36" spans="2:95" outlineLevel="1" x14ac:dyDescent="0.2">
      <c r="B36" s="532" t="s">
        <v>455</v>
      </c>
      <c r="D36" s="485"/>
      <c r="E36" s="485"/>
      <c r="F36" s="485"/>
      <c r="G36" s="485"/>
      <c r="H36" s="485"/>
      <c r="I36" s="485"/>
      <c r="J36" s="485"/>
      <c r="K36" s="94" t="str">
        <f t="shared" ref="K36:BD36" si="30">IF(ISERROR(+K25/K21),"n.a.",+K25/K21)</f>
        <v>n.a.</v>
      </c>
      <c r="L36" s="94" t="str">
        <f t="shared" si="30"/>
        <v>n.a.</v>
      </c>
      <c r="M36" s="94">
        <f t="shared" si="30"/>
        <v>0.73040353632939026</v>
      </c>
      <c r="N36" s="94">
        <f t="shared" si="30"/>
        <v>0.68218217918891932</v>
      </c>
      <c r="O36" s="94">
        <f t="shared" si="30"/>
        <v>0.65404693812701431</v>
      </c>
      <c r="P36" s="94">
        <f t="shared" si="30"/>
        <v>0.66117500176977484</v>
      </c>
      <c r="Q36" s="94">
        <f t="shared" si="30"/>
        <v>0.6336853066485495</v>
      </c>
      <c r="R36" s="94">
        <f t="shared" si="30"/>
        <v>0.6428688106176621</v>
      </c>
      <c r="S36" s="94">
        <f t="shared" si="30"/>
        <v>0.67186043232868986</v>
      </c>
      <c r="T36" s="94">
        <f t="shared" si="30"/>
        <v>0.77801612195769787</v>
      </c>
      <c r="U36" s="94">
        <f t="shared" si="30"/>
        <v>0.78461386630548358</v>
      </c>
      <c r="V36" s="94">
        <f t="shared" si="30"/>
        <v>0.81230039678699306</v>
      </c>
      <c r="W36" s="94">
        <f t="shared" si="30"/>
        <v>0.7856567284448025</v>
      </c>
      <c r="X36" s="94">
        <f t="shared" si="30"/>
        <v>0.79146651162276505</v>
      </c>
      <c r="Y36" s="94">
        <f t="shared" si="30"/>
        <v>0.78215421033310251</v>
      </c>
      <c r="Z36" s="94">
        <f t="shared" si="30"/>
        <v>0.78506140019881709</v>
      </c>
      <c r="AA36" s="94">
        <f t="shared" si="30"/>
        <v>0.78544396602348299</v>
      </c>
      <c r="AB36" s="94">
        <f t="shared" si="30"/>
        <v>0.78577016558206547</v>
      </c>
      <c r="AC36" s="94">
        <f t="shared" si="30"/>
        <v>0.78607527657520204</v>
      </c>
      <c r="AD36" s="94">
        <f t="shared" si="30"/>
        <v>0.78629547689630741</v>
      </c>
      <c r="AE36" s="94">
        <f t="shared" si="30"/>
        <v>0.77888622714456146</v>
      </c>
      <c r="AF36" s="94">
        <f t="shared" si="30"/>
        <v>0.79945717733232879</v>
      </c>
      <c r="AG36" s="94">
        <f t="shared" si="30"/>
        <v>0.78789457302474175</v>
      </c>
      <c r="AH36" s="94">
        <f t="shared" si="30"/>
        <v>0.78758711902117962</v>
      </c>
      <c r="AI36" s="94">
        <f t="shared" si="30"/>
        <v>0.78725042968465098</v>
      </c>
      <c r="AJ36" s="94">
        <f t="shared" si="30"/>
        <v>0.78748830592985675</v>
      </c>
      <c r="AK36" s="94">
        <f t="shared" si="30"/>
        <v>0.78868749718666786</v>
      </c>
      <c r="AL36" s="94">
        <f t="shared" si="30"/>
        <v>0.78785799034998794</v>
      </c>
      <c r="AM36" s="94">
        <f t="shared" si="30"/>
        <v>0.78752894994329714</v>
      </c>
      <c r="AN36" s="94">
        <f t="shared" si="30"/>
        <v>0.78042910439794233</v>
      </c>
      <c r="AO36" s="94">
        <f t="shared" si="30"/>
        <v>0.78007373733257512</v>
      </c>
      <c r="AP36" s="94">
        <f t="shared" si="30"/>
        <v>0.7797225234782369</v>
      </c>
      <c r="AQ36" s="94">
        <f t="shared" si="30"/>
        <v>0.77937548388232802</v>
      </c>
      <c r="AR36" s="94">
        <f t="shared" si="30"/>
        <v>0.77903251485055425</v>
      </c>
      <c r="AS36" s="94">
        <f t="shared" si="30"/>
        <v>0.77869365599865581</v>
      </c>
      <c r="AT36" s="94">
        <f t="shared" si="30"/>
        <v>0.77835887137068704</v>
      </c>
      <c r="AU36" s="94">
        <f t="shared" si="30"/>
        <v>0.77802802811459215</v>
      </c>
      <c r="AV36" s="94">
        <f t="shared" si="30"/>
        <v>0.77770125240490162</v>
      </c>
      <c r="AW36" s="94">
        <f t="shared" si="30"/>
        <v>0.78282363612977623</v>
      </c>
      <c r="AX36" s="94">
        <f t="shared" si="30"/>
        <v>0.78249759329666058</v>
      </c>
      <c r="AY36" s="94">
        <f t="shared" si="30"/>
        <v>0.78217541034229232</v>
      </c>
      <c r="AZ36" s="94">
        <f t="shared" si="30"/>
        <v>0.7818570119464352</v>
      </c>
      <c r="BA36" s="94">
        <f t="shared" si="30"/>
        <v>0.78154238245591612</v>
      </c>
      <c r="BB36" s="94">
        <f t="shared" si="30"/>
        <v>0.78123150343147951</v>
      </c>
      <c r="BC36" s="94">
        <f t="shared" si="30"/>
        <v>0.78092427510402107</v>
      </c>
      <c r="BD36" s="94">
        <f t="shared" si="30"/>
        <v>0.78062069711240534</v>
      </c>
      <c r="BE36" s="94">
        <f t="shared" ref="BE36:CP36" si="31">IF(ISERROR(+BE25/BE21),"n.a.",+BE25/BE21)</f>
        <v>0.78032076541595319</v>
      </c>
      <c r="BF36" s="94">
        <f t="shared" si="31"/>
        <v>0.78002431847334386</v>
      </c>
      <c r="BG36" s="94">
        <f t="shared" si="31"/>
        <v>0.7797314688584418</v>
      </c>
      <c r="BH36" s="94">
        <f t="shared" si="31"/>
        <v>0.77944197623370759</v>
      </c>
      <c r="BI36" s="94">
        <f t="shared" si="31"/>
        <v>0.77915598722967438</v>
      </c>
      <c r="BJ36" s="94">
        <f t="shared" si="31"/>
        <v>0.77887328256643651</v>
      </c>
      <c r="BK36" s="94">
        <f t="shared" si="31"/>
        <v>0.77859394798134973</v>
      </c>
      <c r="BL36" s="94">
        <f t="shared" si="31"/>
        <v>0.77831787776914974</v>
      </c>
      <c r="BM36" s="94">
        <f t="shared" si="31"/>
        <v>0.77804502405667753</v>
      </c>
      <c r="BN36" s="94">
        <f t="shared" si="31"/>
        <v>0.77777531858863014</v>
      </c>
      <c r="BO36" s="94">
        <f t="shared" si="31"/>
        <v>0.77750873129499065</v>
      </c>
      <c r="BP36" s="94">
        <f t="shared" si="31"/>
        <v>0.77724521265447022</v>
      </c>
      <c r="BQ36" s="94">
        <f t="shared" si="31"/>
        <v>0.77698471298234628</v>
      </c>
      <c r="BR36" s="94">
        <f t="shared" si="31"/>
        <v>0.77672714728396419</v>
      </c>
      <c r="BS36" s="94">
        <f t="shared" si="31"/>
        <v>0.78518310309678674</v>
      </c>
      <c r="BT36" s="94">
        <f t="shared" si="31"/>
        <v>0.784961232988723</v>
      </c>
      <c r="BU36" s="94">
        <f t="shared" si="31"/>
        <v>0.78474217528367674</v>
      </c>
      <c r="BV36" s="94">
        <f t="shared" si="31"/>
        <v>0.78452590890043761</v>
      </c>
      <c r="BW36" s="94">
        <f t="shared" si="31"/>
        <v>0.78431237673517429</v>
      </c>
      <c r="BX36" s="94">
        <f t="shared" si="31"/>
        <v>0.78410155681438165</v>
      </c>
      <c r="BY36" s="94">
        <f t="shared" si="31"/>
        <v>0.78389333427233265</v>
      </c>
      <c r="BZ36" s="94">
        <f t="shared" si="31"/>
        <v>0.78368774510262973</v>
      </c>
      <c r="CA36" s="94">
        <f t="shared" si="31"/>
        <v>0.78348469825391831</v>
      </c>
      <c r="CB36" s="94">
        <f t="shared" si="31"/>
        <v>0.78328420524736375</v>
      </c>
      <c r="CC36" s="94">
        <f t="shared" si="31"/>
        <v>0.78308612106483855</v>
      </c>
      <c r="CD36" s="94">
        <f t="shared" si="31"/>
        <v>0.79193965920325571</v>
      </c>
      <c r="CE36" s="94">
        <f t="shared" si="31"/>
        <v>0.79178161162987426</v>
      </c>
      <c r="CF36" s="94">
        <f t="shared" si="31"/>
        <v>0.79162597875770402</v>
      </c>
      <c r="CG36" s="94">
        <f t="shared" si="31"/>
        <v>0.79147273098294824</v>
      </c>
      <c r="CH36" s="94">
        <f t="shared" si="31"/>
        <v>0.79132183265639566</v>
      </c>
      <c r="CI36" s="94">
        <f t="shared" si="31"/>
        <v>0.79117322577276383</v>
      </c>
      <c r="CJ36" s="94">
        <f t="shared" si="31"/>
        <v>0.79102689256587111</v>
      </c>
      <c r="CK36" s="94">
        <f t="shared" si="31"/>
        <v>0.79088277546527486</v>
      </c>
      <c r="CL36" s="94">
        <f t="shared" si="31"/>
        <v>0.79074082360718922</v>
      </c>
      <c r="CM36" s="94">
        <f t="shared" si="31"/>
        <v>0.79060100851435688</v>
      </c>
      <c r="CN36" s="94">
        <f t="shared" si="31"/>
        <v>0.79046329656785341</v>
      </c>
      <c r="CO36" s="94">
        <f t="shared" si="31"/>
        <v>0.79032765987722398</v>
      </c>
      <c r="CP36" s="94">
        <f t="shared" si="31"/>
        <v>0.7901940379032989</v>
      </c>
      <c r="CQ36" s="23" t="s">
        <v>77</v>
      </c>
    </row>
    <row r="37" spans="2:95" s="98" customFormat="1" outlineLevel="1" x14ac:dyDescent="0.2">
      <c r="C37" s="24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3"/>
      <c r="AF37" s="93"/>
      <c r="AG37" s="93"/>
      <c r="AH37" s="93"/>
      <c r="AI37" s="93"/>
      <c r="AJ37" s="93"/>
      <c r="AK37" s="93"/>
      <c r="AL37" s="93"/>
      <c r="AM37" s="93"/>
      <c r="AN37" s="93"/>
      <c r="AO37" s="93"/>
      <c r="AP37" s="93"/>
      <c r="AQ37" s="93"/>
      <c r="AR37" s="93"/>
      <c r="AS37" s="93"/>
      <c r="AT37" s="93"/>
      <c r="AU37" s="93"/>
      <c r="AV37" s="93"/>
      <c r="AW37" s="93"/>
      <c r="AX37" s="93"/>
      <c r="AY37" s="93"/>
      <c r="AZ37" s="93"/>
      <c r="BA37" s="93"/>
      <c r="BB37" s="93"/>
      <c r="BC37" s="93"/>
      <c r="BD37" s="93"/>
      <c r="BE37" s="93"/>
      <c r="BF37" s="93"/>
      <c r="BG37" s="93"/>
      <c r="BH37" s="93"/>
      <c r="BI37" s="93"/>
      <c r="BJ37" s="93"/>
      <c r="BK37" s="93"/>
      <c r="BL37" s="93"/>
      <c r="BM37" s="93"/>
      <c r="BN37" s="93"/>
      <c r="BO37" s="93"/>
      <c r="BP37" s="93"/>
      <c r="BQ37" s="93"/>
      <c r="BR37" s="93"/>
      <c r="BS37" s="93"/>
      <c r="BT37" s="93"/>
      <c r="BU37" s="93"/>
      <c r="BV37" s="93"/>
      <c r="BW37" s="93"/>
      <c r="BX37" s="93"/>
      <c r="BY37" s="93"/>
      <c r="BZ37" s="93"/>
      <c r="CA37" s="93"/>
      <c r="CB37" s="93"/>
      <c r="CC37" s="93"/>
      <c r="CD37" s="93"/>
      <c r="CE37" s="93"/>
      <c r="CF37" s="93"/>
      <c r="CG37" s="93"/>
      <c r="CH37" s="93"/>
      <c r="CI37" s="93"/>
      <c r="CJ37" s="93"/>
      <c r="CK37" s="93"/>
      <c r="CL37" s="93"/>
      <c r="CM37" s="93"/>
      <c r="CN37" s="93"/>
      <c r="CO37" s="93"/>
      <c r="CP37" s="93"/>
      <c r="CQ37" s="23" t="s">
        <v>77</v>
      </c>
    </row>
    <row r="38" spans="2:95" outlineLevel="1" x14ac:dyDescent="0.2">
      <c r="B38" s="485" t="s">
        <v>316</v>
      </c>
      <c r="D38" s="485"/>
      <c r="E38" s="485"/>
      <c r="F38" s="485"/>
      <c r="G38" s="485"/>
      <c r="H38" s="485"/>
      <c r="I38" s="485"/>
      <c r="J38" s="485"/>
      <c r="K38" s="85"/>
      <c r="L38" s="85"/>
      <c r="M38" s="85"/>
      <c r="N38" s="315"/>
      <c r="O38" s="315"/>
      <c r="P38" s="315"/>
      <c r="Q38" s="315"/>
      <c r="R38" s="315"/>
      <c r="S38" s="315"/>
      <c r="T38" s="533">
        <v>0.9</v>
      </c>
      <c r="U38" s="533">
        <v>0.9</v>
      </c>
      <c r="V38" s="533">
        <v>0.9</v>
      </c>
      <c r="W38" s="533">
        <v>0.9</v>
      </c>
      <c r="X38" s="160">
        <v>1</v>
      </c>
      <c r="Y38" s="160">
        <f>X38</f>
        <v>1</v>
      </c>
      <c r="Z38" s="160">
        <f t="shared" ref="Z38:AC38" si="32">Y38</f>
        <v>1</v>
      </c>
      <c r="AA38" s="160">
        <f t="shared" si="32"/>
        <v>1</v>
      </c>
      <c r="AB38" s="160">
        <f t="shared" si="32"/>
        <v>1</v>
      </c>
      <c r="AC38" s="160">
        <f t="shared" si="32"/>
        <v>1</v>
      </c>
      <c r="AD38" s="671">
        <v>0.95</v>
      </c>
      <c r="AE38" s="861">
        <f t="shared" ref="AE38:BD38" si="33">AD38</f>
        <v>0.95</v>
      </c>
      <c r="AF38" s="861">
        <f t="shared" si="33"/>
        <v>0.95</v>
      </c>
      <c r="AG38" s="861">
        <f t="shared" si="33"/>
        <v>0.95</v>
      </c>
      <c r="AH38" s="861">
        <f t="shared" si="33"/>
        <v>0.95</v>
      </c>
      <c r="AI38" s="861">
        <f t="shared" si="33"/>
        <v>0.95</v>
      </c>
      <c r="AJ38" s="861">
        <f t="shared" si="33"/>
        <v>0.95</v>
      </c>
      <c r="AK38" s="861">
        <f t="shared" si="33"/>
        <v>0.95</v>
      </c>
      <c r="AL38" s="861">
        <f t="shared" si="33"/>
        <v>0.95</v>
      </c>
      <c r="AM38" s="861">
        <f t="shared" si="33"/>
        <v>0.95</v>
      </c>
      <c r="AN38" s="861">
        <f t="shared" si="33"/>
        <v>0.95</v>
      </c>
      <c r="AO38" s="861">
        <f t="shared" si="33"/>
        <v>0.95</v>
      </c>
      <c r="AP38" s="861">
        <f t="shared" si="33"/>
        <v>0.95</v>
      </c>
      <c r="AQ38" s="861">
        <f t="shared" si="33"/>
        <v>0.95</v>
      </c>
      <c r="AR38" s="861">
        <f t="shared" si="33"/>
        <v>0.95</v>
      </c>
      <c r="AS38" s="861">
        <f t="shared" si="33"/>
        <v>0.95</v>
      </c>
      <c r="AT38" s="861">
        <f t="shared" si="33"/>
        <v>0.95</v>
      </c>
      <c r="AU38" s="861">
        <f t="shared" si="33"/>
        <v>0.95</v>
      </c>
      <c r="AV38" s="861">
        <f t="shared" si="33"/>
        <v>0.95</v>
      </c>
      <c r="AW38" s="861">
        <f t="shared" si="33"/>
        <v>0.95</v>
      </c>
      <c r="AX38" s="861">
        <f t="shared" si="33"/>
        <v>0.95</v>
      </c>
      <c r="AY38" s="861">
        <f t="shared" si="33"/>
        <v>0.95</v>
      </c>
      <c r="AZ38" s="861">
        <f t="shared" si="33"/>
        <v>0.95</v>
      </c>
      <c r="BA38" s="861">
        <f t="shared" si="33"/>
        <v>0.95</v>
      </c>
      <c r="BB38" s="861">
        <f t="shared" si="33"/>
        <v>0.95</v>
      </c>
      <c r="BC38" s="861">
        <f t="shared" si="33"/>
        <v>0.95</v>
      </c>
      <c r="BD38" s="861">
        <f t="shared" si="33"/>
        <v>0.95</v>
      </c>
      <c r="BE38" s="861">
        <f t="shared" ref="BE38:CP38" si="34">BD38</f>
        <v>0.95</v>
      </c>
      <c r="BF38" s="861">
        <f t="shared" si="34"/>
        <v>0.95</v>
      </c>
      <c r="BG38" s="861">
        <f t="shared" si="34"/>
        <v>0.95</v>
      </c>
      <c r="BH38" s="861">
        <f t="shared" si="34"/>
        <v>0.95</v>
      </c>
      <c r="BI38" s="861">
        <f t="shared" si="34"/>
        <v>0.95</v>
      </c>
      <c r="BJ38" s="861">
        <f t="shared" si="34"/>
        <v>0.95</v>
      </c>
      <c r="BK38" s="861">
        <f t="shared" si="34"/>
        <v>0.95</v>
      </c>
      <c r="BL38" s="861">
        <f t="shared" si="34"/>
        <v>0.95</v>
      </c>
      <c r="BM38" s="861">
        <f t="shared" si="34"/>
        <v>0.95</v>
      </c>
      <c r="BN38" s="861">
        <f t="shared" si="34"/>
        <v>0.95</v>
      </c>
      <c r="BO38" s="861">
        <f t="shared" si="34"/>
        <v>0.95</v>
      </c>
      <c r="BP38" s="861">
        <f t="shared" si="34"/>
        <v>0.95</v>
      </c>
      <c r="BQ38" s="861">
        <f t="shared" si="34"/>
        <v>0.95</v>
      </c>
      <c r="BR38" s="861">
        <f t="shared" si="34"/>
        <v>0.95</v>
      </c>
      <c r="BS38" s="861">
        <f t="shared" si="34"/>
        <v>0.95</v>
      </c>
      <c r="BT38" s="861">
        <f t="shared" si="34"/>
        <v>0.95</v>
      </c>
      <c r="BU38" s="861">
        <f t="shared" si="34"/>
        <v>0.95</v>
      </c>
      <c r="BV38" s="861">
        <f t="shared" si="34"/>
        <v>0.95</v>
      </c>
      <c r="BW38" s="861">
        <f t="shared" si="34"/>
        <v>0.95</v>
      </c>
      <c r="BX38" s="861">
        <f t="shared" si="34"/>
        <v>0.95</v>
      </c>
      <c r="BY38" s="861">
        <f t="shared" si="34"/>
        <v>0.95</v>
      </c>
      <c r="BZ38" s="861">
        <f t="shared" si="34"/>
        <v>0.95</v>
      </c>
      <c r="CA38" s="861">
        <f t="shared" si="34"/>
        <v>0.95</v>
      </c>
      <c r="CB38" s="861">
        <f t="shared" si="34"/>
        <v>0.95</v>
      </c>
      <c r="CC38" s="861">
        <f t="shared" si="34"/>
        <v>0.95</v>
      </c>
      <c r="CD38" s="861">
        <f t="shared" si="34"/>
        <v>0.95</v>
      </c>
      <c r="CE38" s="861">
        <f t="shared" si="34"/>
        <v>0.95</v>
      </c>
      <c r="CF38" s="861">
        <f t="shared" si="34"/>
        <v>0.95</v>
      </c>
      <c r="CG38" s="861">
        <f t="shared" si="34"/>
        <v>0.95</v>
      </c>
      <c r="CH38" s="861">
        <f t="shared" si="34"/>
        <v>0.95</v>
      </c>
      <c r="CI38" s="861">
        <f t="shared" si="34"/>
        <v>0.95</v>
      </c>
      <c r="CJ38" s="861">
        <f t="shared" si="34"/>
        <v>0.95</v>
      </c>
      <c r="CK38" s="861">
        <f t="shared" si="34"/>
        <v>0.95</v>
      </c>
      <c r="CL38" s="861">
        <f t="shared" si="34"/>
        <v>0.95</v>
      </c>
      <c r="CM38" s="861">
        <f t="shared" si="34"/>
        <v>0.95</v>
      </c>
      <c r="CN38" s="861">
        <f t="shared" si="34"/>
        <v>0.95</v>
      </c>
      <c r="CO38" s="861">
        <f t="shared" si="34"/>
        <v>0.95</v>
      </c>
      <c r="CP38" s="861">
        <f t="shared" si="34"/>
        <v>0.95</v>
      </c>
      <c r="CQ38" s="23" t="s">
        <v>77</v>
      </c>
    </row>
    <row r="39" spans="2:95" outlineLevel="1" x14ac:dyDescent="0.2">
      <c r="B39" s="24"/>
      <c r="D39" s="24"/>
      <c r="E39" s="24"/>
      <c r="F39" s="24"/>
      <c r="G39" s="24"/>
      <c r="H39" s="24"/>
      <c r="I39" s="24"/>
      <c r="J39" s="24"/>
      <c r="K39" s="236"/>
      <c r="L39" s="236"/>
      <c r="M39" s="236"/>
      <c r="N39" s="540"/>
      <c r="O39" s="540"/>
      <c r="P39" s="540"/>
      <c r="Q39" s="540"/>
      <c r="R39" s="540"/>
      <c r="S39" s="540"/>
      <c r="T39" s="541"/>
      <c r="U39" s="541"/>
      <c r="V39" s="541"/>
      <c r="W39" s="541"/>
      <c r="X39" s="541"/>
      <c r="Y39" s="541"/>
      <c r="Z39" s="541"/>
      <c r="AA39" s="541"/>
      <c r="AB39" s="541"/>
      <c r="AC39" s="541"/>
      <c r="AD39" s="541"/>
      <c r="AE39" s="541"/>
      <c r="AF39" s="541"/>
      <c r="AG39" s="541"/>
      <c r="AH39" s="541"/>
      <c r="AI39" s="541"/>
      <c r="AJ39" s="541"/>
      <c r="AK39" s="541"/>
      <c r="AL39" s="541"/>
      <c r="AM39" s="541"/>
      <c r="AN39" s="541"/>
      <c r="AO39" s="541"/>
      <c r="AP39" s="541"/>
      <c r="AQ39" s="541"/>
      <c r="AR39" s="541"/>
      <c r="AS39" s="541"/>
      <c r="AT39" s="541"/>
      <c r="AU39" s="541"/>
      <c r="AV39" s="541"/>
      <c r="AW39" s="541"/>
      <c r="AX39" s="541"/>
      <c r="AY39" s="541"/>
      <c r="AZ39" s="541"/>
      <c r="BA39" s="541"/>
      <c r="BB39" s="541"/>
      <c r="BC39" s="541"/>
      <c r="BD39" s="541"/>
      <c r="BE39" s="541"/>
      <c r="BF39" s="541"/>
      <c r="BG39" s="541"/>
      <c r="BH39" s="541"/>
      <c r="BI39" s="541"/>
      <c r="BJ39" s="541"/>
      <c r="BK39" s="541"/>
      <c r="BL39" s="541"/>
      <c r="BM39" s="541"/>
      <c r="BN39" s="541"/>
      <c r="BO39" s="541"/>
      <c r="BP39" s="541"/>
      <c r="BQ39" s="541"/>
      <c r="BR39" s="541"/>
      <c r="BS39" s="541"/>
      <c r="BT39" s="541"/>
      <c r="BU39" s="541"/>
      <c r="BV39" s="541"/>
      <c r="BW39" s="541"/>
      <c r="BX39" s="541"/>
      <c r="BY39" s="541"/>
      <c r="BZ39" s="541"/>
      <c r="CA39" s="541"/>
      <c r="CB39" s="541"/>
      <c r="CC39" s="541"/>
      <c r="CD39" s="541"/>
      <c r="CE39" s="541"/>
      <c r="CF39" s="541"/>
      <c r="CG39" s="541"/>
      <c r="CH39" s="541"/>
      <c r="CI39" s="541"/>
      <c r="CJ39" s="541"/>
      <c r="CK39" s="541"/>
      <c r="CL39" s="541"/>
      <c r="CM39" s="541"/>
      <c r="CN39" s="541"/>
      <c r="CO39" s="541"/>
      <c r="CP39" s="541"/>
      <c r="CQ39" s="23" t="s">
        <v>77</v>
      </c>
    </row>
    <row r="40" spans="2:95" outlineLevel="1" x14ac:dyDescent="0.2">
      <c r="B40" s="358" t="s">
        <v>578</v>
      </c>
      <c r="CQ40" s="362" t="s">
        <v>77</v>
      </c>
    </row>
    <row r="41" spans="2:95" outlineLevel="1" x14ac:dyDescent="0.2">
      <c r="B41" s="358" t="s">
        <v>580</v>
      </c>
      <c r="D41" s="617">
        <f>Valuation!$D$14</f>
        <v>0.8322059038275248</v>
      </c>
      <c r="E41" s="617"/>
      <c r="F41" s="485"/>
      <c r="G41" s="485"/>
      <c r="H41" s="485"/>
      <c r="I41" s="485"/>
      <c r="J41" s="485"/>
      <c r="K41" s="85"/>
      <c r="L41" s="85"/>
      <c r="M41" s="85"/>
      <c r="N41" s="315"/>
      <c r="O41" s="315"/>
      <c r="P41" s="315"/>
      <c r="Q41" s="315"/>
      <c r="R41" s="315"/>
      <c r="S41" s="315"/>
      <c r="T41" s="315"/>
      <c r="U41" s="315"/>
      <c r="V41" s="315"/>
      <c r="W41" s="315"/>
      <c r="X41" s="31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  <c r="AL41" s="85"/>
      <c r="AM41" s="85"/>
      <c r="AN41" s="85"/>
      <c r="AO41" s="85"/>
      <c r="AP41" s="85"/>
      <c r="AQ41" s="85"/>
      <c r="AR41" s="85"/>
      <c r="AS41" s="85"/>
      <c r="AT41" s="85"/>
      <c r="AU41" s="85"/>
      <c r="AV41" s="85"/>
      <c r="AW41" s="85"/>
      <c r="AX41" s="85"/>
      <c r="AY41" s="85"/>
      <c r="AZ41" s="85"/>
      <c r="BA41" s="85"/>
      <c r="BB41" s="85"/>
      <c r="BC41" s="85"/>
      <c r="BD41" s="85"/>
      <c r="BE41" s="85"/>
      <c r="BF41" s="85"/>
      <c r="BG41" s="85"/>
      <c r="BH41" s="85"/>
      <c r="BI41" s="85"/>
      <c r="BJ41" s="85"/>
      <c r="BK41" s="85"/>
      <c r="BL41" s="85"/>
      <c r="BM41" s="85"/>
      <c r="BN41" s="85"/>
      <c r="BO41" s="85"/>
      <c r="BP41" s="85"/>
      <c r="BQ41" s="85"/>
      <c r="BR41" s="85"/>
      <c r="BS41" s="85"/>
      <c r="BT41" s="85"/>
      <c r="BU41" s="85"/>
      <c r="BV41" s="85"/>
      <c r="BW41" s="85"/>
      <c r="BX41" s="85"/>
      <c r="BY41" s="85"/>
      <c r="BZ41" s="85"/>
      <c r="CA41" s="85"/>
      <c r="CB41" s="85"/>
      <c r="CC41" s="85"/>
      <c r="CD41" s="85"/>
      <c r="CE41" s="85"/>
      <c r="CF41" s="85"/>
      <c r="CG41" s="85"/>
      <c r="CH41" s="85"/>
      <c r="CI41" s="85"/>
      <c r="CJ41" s="85"/>
      <c r="CK41" s="85"/>
      <c r="CL41" s="85"/>
      <c r="CM41" s="85"/>
      <c r="CN41" s="85"/>
      <c r="CO41" s="85"/>
      <c r="CP41" s="85"/>
      <c r="CQ41" s="362" t="s">
        <v>77</v>
      </c>
    </row>
    <row r="42" spans="2:95" outlineLevel="1" x14ac:dyDescent="0.2">
      <c r="B42" s="91" t="s">
        <v>341</v>
      </c>
      <c r="U42" s="447"/>
      <c r="V42" s="447"/>
      <c r="W42" s="447"/>
      <c r="X42" s="675"/>
      <c r="Y42" s="675"/>
      <c r="Z42" s="675"/>
      <c r="AA42" s="675"/>
      <c r="AB42" s="675"/>
      <c r="AC42" s="675"/>
      <c r="AD42" s="675"/>
      <c r="AE42" s="675"/>
      <c r="AF42" s="675"/>
      <c r="AG42" s="675"/>
      <c r="AH42" s="675"/>
      <c r="AI42" s="675"/>
      <c r="AJ42" s="675"/>
      <c r="AK42" s="675"/>
      <c r="AL42" s="675"/>
      <c r="AM42" s="675"/>
      <c r="AN42" s="675"/>
      <c r="AO42" s="675"/>
      <c r="AP42" s="675"/>
      <c r="AQ42" s="675"/>
      <c r="AR42" s="666"/>
      <c r="AS42" s="675"/>
      <c r="AT42" s="675"/>
      <c r="AU42" s="675"/>
      <c r="AV42" s="675"/>
      <c r="AW42" s="675"/>
      <c r="AX42" s="675"/>
      <c r="AY42" s="675"/>
      <c r="AZ42" s="675"/>
      <c r="BA42" s="675"/>
      <c r="BB42" s="675"/>
      <c r="BC42" s="675"/>
      <c r="BD42" s="675"/>
      <c r="BE42" s="675"/>
      <c r="BF42" s="675"/>
      <c r="BG42" s="675"/>
      <c r="BH42" s="675"/>
      <c r="BI42" s="675"/>
      <c r="BJ42" s="675"/>
      <c r="BK42" s="675"/>
      <c r="BL42" s="675"/>
      <c r="BM42" s="675"/>
      <c r="BN42" s="675"/>
      <c r="BO42" s="675"/>
      <c r="BP42" s="675"/>
      <c r="BQ42" s="675"/>
      <c r="BR42" s="675"/>
      <c r="BS42" s="675"/>
      <c r="BT42" s="675"/>
      <c r="BU42" s="675"/>
      <c r="BV42" s="675"/>
      <c r="BW42" s="675"/>
      <c r="BX42" s="675"/>
      <c r="BY42" s="675"/>
      <c r="BZ42" s="675"/>
      <c r="CA42" s="675"/>
      <c r="CB42" s="675"/>
      <c r="CC42" s="675"/>
      <c r="CD42" s="675"/>
      <c r="CE42" s="675"/>
      <c r="CF42" s="675"/>
      <c r="CG42" s="675"/>
      <c r="CH42" s="675"/>
      <c r="CI42" s="675"/>
      <c r="CJ42" s="675"/>
      <c r="CK42" s="675"/>
      <c r="CL42" s="675"/>
      <c r="CM42" s="675"/>
      <c r="CN42" s="675"/>
      <c r="CO42" s="675"/>
      <c r="CP42" s="675"/>
      <c r="CQ42" s="362" t="s">
        <v>77</v>
      </c>
    </row>
    <row r="43" spans="2:95" outlineLevel="1" x14ac:dyDescent="0.2">
      <c r="B43" s="8" t="s">
        <v>337</v>
      </c>
      <c r="U43" s="447"/>
      <c r="V43" s="447"/>
      <c r="W43" s="447"/>
      <c r="X43" s="675"/>
      <c r="Y43" s="675"/>
      <c r="Z43" s="675"/>
      <c r="AA43" s="675"/>
      <c r="AB43" s="675"/>
      <c r="AC43" s="675"/>
      <c r="AD43" s="675"/>
      <c r="AE43" s="675"/>
      <c r="AF43" s="675">
        <v>1</v>
      </c>
      <c r="AG43" s="675"/>
      <c r="AH43" s="675"/>
      <c r="AI43" s="675"/>
      <c r="AJ43" s="675"/>
      <c r="AK43" s="675">
        <v>2</v>
      </c>
      <c r="AL43" s="675"/>
      <c r="AM43" s="675"/>
      <c r="AN43" s="675"/>
      <c r="AO43" s="675"/>
      <c r="AP43" s="675"/>
      <c r="AQ43" s="675"/>
      <c r="AR43" s="675"/>
      <c r="AS43" s="675"/>
      <c r="AT43" s="675"/>
      <c r="AU43" s="675"/>
      <c r="AV43" s="675"/>
      <c r="AW43" s="675"/>
      <c r="AX43" s="675"/>
      <c r="AY43" s="675"/>
      <c r="AZ43" s="675"/>
      <c r="BA43" s="666"/>
      <c r="BB43" s="675"/>
      <c r="BC43" s="675"/>
      <c r="BD43" s="675"/>
      <c r="BE43" s="675"/>
      <c r="BF43" s="675"/>
      <c r="BG43" s="675"/>
      <c r="BH43" s="675"/>
      <c r="BI43" s="675"/>
      <c r="BJ43" s="675"/>
      <c r="BK43" s="675"/>
      <c r="BL43" s="675"/>
      <c r="BM43" s="675"/>
      <c r="BN43" s="675"/>
      <c r="BO43" s="675"/>
      <c r="BP43" s="675"/>
      <c r="BQ43" s="675"/>
      <c r="BR43" s="675"/>
      <c r="BS43" s="675"/>
      <c r="BT43" s="675"/>
      <c r="BU43" s="675"/>
      <c r="BV43" s="666"/>
      <c r="BW43" s="675"/>
      <c r="BX43" s="675"/>
      <c r="BY43" s="675"/>
      <c r="BZ43" s="675"/>
      <c r="CA43" s="675"/>
      <c r="CB43" s="675"/>
      <c r="CC43" s="675"/>
      <c r="CD43" s="675"/>
      <c r="CE43" s="675"/>
      <c r="CF43" s="675"/>
      <c r="CG43" s="675"/>
      <c r="CH43" s="675"/>
      <c r="CI43" s="675"/>
      <c r="CJ43" s="675"/>
      <c r="CK43" s="675"/>
      <c r="CL43" s="675"/>
      <c r="CM43" s="675"/>
      <c r="CN43" s="675"/>
      <c r="CO43" s="675"/>
      <c r="CP43" s="675"/>
      <c r="CQ43" s="362" t="s">
        <v>77</v>
      </c>
    </row>
    <row r="44" spans="2:95" outlineLevel="1" x14ac:dyDescent="0.2">
      <c r="B44" s="8" t="s">
        <v>594</v>
      </c>
      <c r="U44" s="447"/>
      <c r="V44" s="447"/>
      <c r="W44" s="447"/>
      <c r="X44" s="675"/>
      <c r="Y44" s="675"/>
      <c r="Z44" s="675"/>
      <c r="AA44" s="675"/>
      <c r="AB44" s="675"/>
      <c r="AC44" s="675"/>
      <c r="AD44" s="675"/>
      <c r="AE44" s="675"/>
      <c r="AF44" s="675"/>
      <c r="AG44" s="675"/>
      <c r="AH44" s="675"/>
      <c r="AI44" s="675"/>
      <c r="AJ44" s="675">
        <v>1</v>
      </c>
      <c r="AK44" s="675"/>
      <c r="AL44" s="675"/>
      <c r="AM44" s="675"/>
      <c r="AN44" s="675"/>
      <c r="AO44" s="675"/>
      <c r="AP44" s="675"/>
      <c r="AQ44" s="675"/>
      <c r="AR44" s="675"/>
      <c r="AS44" s="675"/>
      <c r="AT44" s="675"/>
      <c r="AU44" s="675"/>
      <c r="AV44" s="675"/>
      <c r="AW44" s="675">
        <v>2</v>
      </c>
      <c r="AX44" s="675"/>
      <c r="AY44" s="675"/>
      <c r="AZ44" s="675"/>
      <c r="BA44" s="675"/>
      <c r="BB44" s="675"/>
      <c r="BC44" s="675"/>
      <c r="BD44" s="675"/>
      <c r="BE44" s="675"/>
      <c r="BF44" s="675"/>
      <c r="BG44" s="675"/>
      <c r="BH44" s="675"/>
      <c r="BI44" s="675"/>
      <c r="BJ44" s="675"/>
      <c r="BK44" s="675"/>
      <c r="BL44" s="675"/>
      <c r="BM44" s="675"/>
      <c r="BN44" s="675"/>
      <c r="BO44" s="675"/>
      <c r="BP44" s="675"/>
      <c r="BQ44" s="675"/>
      <c r="BR44" s="675"/>
      <c r="BS44" s="675"/>
      <c r="BT44" s="675"/>
      <c r="BU44" s="675"/>
      <c r="BV44" s="675"/>
      <c r="BW44" s="675"/>
      <c r="BX44" s="675"/>
      <c r="BY44" s="675"/>
      <c r="BZ44" s="675"/>
      <c r="CA44" s="675"/>
      <c r="CB44" s="675"/>
      <c r="CC44" s="675"/>
      <c r="CD44" s="675"/>
      <c r="CE44" s="675"/>
      <c r="CF44" s="675"/>
      <c r="CG44" s="675"/>
      <c r="CH44" s="675"/>
      <c r="CI44" s="675"/>
      <c r="CJ44" s="675"/>
      <c r="CK44" s="675"/>
      <c r="CL44" s="675"/>
      <c r="CM44" s="675"/>
      <c r="CN44" s="675"/>
      <c r="CO44" s="675"/>
      <c r="CP44" s="675"/>
      <c r="CQ44" s="362" t="s">
        <v>77</v>
      </c>
    </row>
    <row r="45" spans="2:95" outlineLevel="1" x14ac:dyDescent="0.2">
      <c r="B45" s="8" t="s">
        <v>566</v>
      </c>
      <c r="U45" s="447"/>
      <c r="V45" s="447"/>
      <c r="W45" s="447"/>
      <c r="X45" s="675"/>
      <c r="Y45" s="675"/>
      <c r="Z45" s="675"/>
      <c r="AA45" s="675"/>
      <c r="AB45" s="675"/>
      <c r="AC45" s="675"/>
      <c r="AD45" s="675"/>
      <c r="AE45" s="675"/>
      <c r="AF45" s="675"/>
      <c r="AG45" s="666"/>
      <c r="AH45" s="675"/>
      <c r="AI45" s="675"/>
      <c r="AJ45" s="675"/>
      <c r="AK45" s="675">
        <v>1</v>
      </c>
      <c r="AL45" s="675"/>
      <c r="AM45" s="675"/>
      <c r="AN45" s="675"/>
      <c r="AO45" s="675"/>
      <c r="AP45" s="675"/>
      <c r="AQ45" s="675"/>
      <c r="AR45" s="675"/>
      <c r="AS45" s="675"/>
      <c r="AT45" s="675"/>
      <c r="AU45" s="675"/>
      <c r="AV45" s="675"/>
      <c r="AW45" s="675">
        <v>2</v>
      </c>
      <c r="AX45" s="675"/>
      <c r="AY45" s="675"/>
      <c r="AZ45" s="675"/>
      <c r="BA45" s="675"/>
      <c r="BB45" s="675"/>
      <c r="BC45" s="675"/>
      <c r="BD45" s="675"/>
      <c r="BE45" s="675"/>
      <c r="BF45" s="675"/>
      <c r="BG45" s="675"/>
      <c r="BH45" s="675"/>
      <c r="BI45" s="675"/>
      <c r="BJ45" s="675"/>
      <c r="BK45" s="675"/>
      <c r="BL45" s="675"/>
      <c r="BM45" s="675"/>
      <c r="BN45" s="675"/>
      <c r="BO45" s="675"/>
      <c r="BP45" s="675"/>
      <c r="BQ45" s="675"/>
      <c r="BR45" s="675"/>
      <c r="BS45" s="675"/>
      <c r="BT45" s="675"/>
      <c r="BU45" s="675"/>
      <c r="BV45" s="675"/>
      <c r="BW45" s="675"/>
      <c r="BX45" s="675"/>
      <c r="BY45" s="675"/>
      <c r="BZ45" s="675"/>
      <c r="CA45" s="675"/>
      <c r="CB45" s="675"/>
      <c r="CC45" s="675"/>
      <c r="CD45" s="675"/>
      <c r="CE45" s="675"/>
      <c r="CF45" s="675"/>
      <c r="CG45" s="675"/>
      <c r="CH45" s="666"/>
      <c r="CI45" s="675"/>
      <c r="CJ45" s="675"/>
      <c r="CK45" s="675"/>
      <c r="CL45" s="675"/>
      <c r="CM45" s="675"/>
      <c r="CN45" s="675"/>
      <c r="CO45" s="675"/>
      <c r="CP45" s="675"/>
      <c r="CQ45" s="362" t="s">
        <v>77</v>
      </c>
    </row>
    <row r="46" spans="2:95" outlineLevel="1" x14ac:dyDescent="0.2">
      <c r="B46" s="8" t="s">
        <v>340</v>
      </c>
      <c r="U46" s="447"/>
      <c r="V46" s="447"/>
      <c r="W46" s="447"/>
      <c r="X46" s="675"/>
      <c r="Y46" s="675"/>
      <c r="Z46" s="675"/>
      <c r="AA46" s="675"/>
      <c r="AB46" s="675"/>
      <c r="AC46" s="675"/>
      <c r="AD46" s="666"/>
      <c r="AE46" s="675"/>
      <c r="AF46" s="675"/>
      <c r="AG46" s="675"/>
      <c r="AH46" s="675"/>
      <c r="AI46" s="675"/>
      <c r="AJ46" s="675"/>
      <c r="AK46" s="666"/>
      <c r="AL46" s="675"/>
      <c r="AM46" s="675"/>
      <c r="AN46" s="666"/>
      <c r="AO46" s="675"/>
      <c r="AP46" s="675"/>
      <c r="AQ46" s="675"/>
      <c r="AR46" s="675"/>
      <c r="AS46" s="675"/>
      <c r="AT46" s="675"/>
      <c r="AU46" s="675"/>
      <c r="AV46" s="675"/>
      <c r="AW46" s="675"/>
      <c r="AX46" s="675"/>
      <c r="AY46" s="675"/>
      <c r="AZ46" s="675"/>
      <c r="BA46" s="675"/>
      <c r="BB46" s="675"/>
      <c r="BC46" s="675"/>
      <c r="BD46" s="675"/>
      <c r="BE46" s="675"/>
      <c r="BF46" s="675"/>
      <c r="BG46" s="675"/>
      <c r="BH46" s="675"/>
      <c r="BI46" s="675"/>
      <c r="BJ46" s="675"/>
      <c r="BK46" s="675"/>
      <c r="BL46" s="675"/>
      <c r="BM46" s="675"/>
      <c r="BN46" s="675"/>
      <c r="BO46" s="675"/>
      <c r="BP46" s="675"/>
      <c r="BQ46" s="675"/>
      <c r="BR46" s="675"/>
      <c r="BS46" s="675"/>
      <c r="BT46" s="675"/>
      <c r="BU46" s="666"/>
      <c r="BV46" s="675"/>
      <c r="BW46" s="675"/>
      <c r="BX46" s="675"/>
      <c r="BY46" s="675"/>
      <c r="BZ46" s="675"/>
      <c r="CA46" s="675"/>
      <c r="CB46" s="675"/>
      <c r="CC46" s="675"/>
      <c r="CD46" s="675"/>
      <c r="CE46" s="675"/>
      <c r="CF46" s="675"/>
      <c r="CG46" s="666"/>
      <c r="CH46" s="666"/>
      <c r="CI46" s="675"/>
      <c r="CJ46" s="675"/>
      <c r="CK46" s="675"/>
      <c r="CL46" s="675"/>
      <c r="CM46" s="675"/>
      <c r="CN46" s="675"/>
      <c r="CO46" s="675"/>
      <c r="CP46" s="675"/>
      <c r="CQ46" s="362" t="s">
        <v>77</v>
      </c>
    </row>
    <row r="47" spans="2:95" outlineLevel="1" x14ac:dyDescent="0.2">
      <c r="B47" s="8" t="s">
        <v>335</v>
      </c>
      <c r="U47" s="447"/>
      <c r="V47" s="447"/>
      <c r="W47" s="447"/>
      <c r="X47" s="675"/>
      <c r="Y47" s="675"/>
      <c r="Z47" s="675"/>
      <c r="AA47" s="675"/>
      <c r="AB47" s="675"/>
      <c r="AC47" s="675"/>
      <c r="AD47" s="675"/>
      <c r="AE47" s="675"/>
      <c r="AF47" s="675"/>
      <c r="AG47" s="675"/>
      <c r="AH47" s="675"/>
      <c r="AI47" s="675"/>
      <c r="AJ47" s="666"/>
      <c r="AK47" s="675"/>
      <c r="AL47" s="675"/>
      <c r="AM47" s="675">
        <v>1</v>
      </c>
      <c r="AN47" s="675">
        <v>2</v>
      </c>
      <c r="AO47" s="675"/>
      <c r="AP47" s="675"/>
      <c r="AQ47" s="675"/>
      <c r="AR47" s="666"/>
      <c r="AS47" s="675"/>
      <c r="AT47" s="675"/>
      <c r="AU47" s="675"/>
      <c r="AV47" s="675"/>
      <c r="AW47" s="675"/>
      <c r="AX47" s="675"/>
      <c r="AY47" s="675"/>
      <c r="AZ47" s="675"/>
      <c r="BA47" s="675"/>
      <c r="BB47" s="675"/>
      <c r="BC47" s="675"/>
      <c r="BD47" s="675"/>
      <c r="BE47" s="675"/>
      <c r="BF47" s="675"/>
      <c r="BG47" s="675"/>
      <c r="BH47" s="675"/>
      <c r="BI47" s="675"/>
      <c r="BJ47" s="675"/>
      <c r="BK47" s="675"/>
      <c r="BL47" s="675"/>
      <c r="BM47" s="675"/>
      <c r="BN47" s="675"/>
      <c r="BO47" s="675"/>
      <c r="BP47" s="675"/>
      <c r="BQ47" s="675"/>
      <c r="BR47" s="675"/>
      <c r="BS47" s="675"/>
      <c r="BT47" s="675"/>
      <c r="BU47" s="675"/>
      <c r="BV47" s="675"/>
      <c r="BW47" s="675"/>
      <c r="BX47" s="675"/>
      <c r="BY47" s="675"/>
      <c r="BZ47" s="675"/>
      <c r="CA47" s="675"/>
      <c r="CB47" s="675"/>
      <c r="CC47" s="675"/>
      <c r="CD47" s="675"/>
      <c r="CE47" s="675"/>
      <c r="CF47" s="675"/>
      <c r="CG47" s="675"/>
      <c r="CH47" s="675"/>
      <c r="CI47" s="675"/>
      <c r="CJ47" s="675"/>
      <c r="CK47" s="675"/>
      <c r="CL47" s="675"/>
      <c r="CM47" s="675"/>
      <c r="CN47" s="675"/>
      <c r="CO47" s="675"/>
      <c r="CP47" s="675"/>
      <c r="CQ47" s="362" t="s">
        <v>77</v>
      </c>
    </row>
    <row r="48" spans="2:95" outlineLevel="1" x14ac:dyDescent="0.2">
      <c r="B48" s="8" t="s">
        <v>349</v>
      </c>
      <c r="U48" s="447"/>
      <c r="V48" s="447"/>
      <c r="W48" s="447"/>
      <c r="X48" s="675"/>
      <c r="Y48" s="676"/>
      <c r="Z48" s="676"/>
      <c r="AA48" s="676"/>
      <c r="AB48" s="676"/>
      <c r="AC48" s="676"/>
      <c r="AD48" s="676"/>
      <c r="AE48" s="676">
        <v>1</v>
      </c>
      <c r="AF48" s="676"/>
      <c r="AG48" s="676"/>
      <c r="AH48" s="676">
        <v>1</v>
      </c>
      <c r="AI48" s="676">
        <v>1</v>
      </c>
      <c r="AJ48" s="676"/>
      <c r="AK48" s="676"/>
      <c r="AL48" s="676"/>
      <c r="AM48" s="676"/>
      <c r="AN48" s="666"/>
      <c r="AO48" s="668"/>
      <c r="AP48" s="676"/>
      <c r="AQ48" s="676"/>
      <c r="AR48" s="676"/>
      <c r="AS48" s="676"/>
      <c r="AT48" s="676"/>
      <c r="AU48" s="676"/>
      <c r="AV48" s="676"/>
      <c r="AW48" s="676"/>
      <c r="AX48" s="676"/>
      <c r="AY48" s="676"/>
      <c r="AZ48" s="676"/>
      <c r="BA48" s="676"/>
      <c r="BB48" s="676"/>
      <c r="BC48" s="676"/>
      <c r="BD48" s="676"/>
      <c r="BE48" s="676"/>
      <c r="BF48" s="676"/>
      <c r="BG48" s="676"/>
      <c r="BH48" s="676"/>
      <c r="BI48" s="676"/>
      <c r="BJ48" s="676"/>
      <c r="BK48" s="676"/>
      <c r="BL48" s="676"/>
      <c r="BM48" s="676"/>
      <c r="BN48" s="676"/>
      <c r="BO48" s="676"/>
      <c r="BP48" s="676"/>
      <c r="BQ48" s="676"/>
      <c r="BR48" s="676"/>
      <c r="BS48" s="676">
        <v>2</v>
      </c>
      <c r="BT48" s="676"/>
      <c r="BU48" s="676"/>
      <c r="BV48" s="676">
        <v>2</v>
      </c>
      <c r="BW48" s="676"/>
      <c r="BX48" s="676"/>
      <c r="BY48" s="676"/>
      <c r="BZ48" s="676"/>
      <c r="CA48" s="676"/>
      <c r="CB48" s="676"/>
      <c r="CC48" s="676"/>
      <c r="CD48" s="676"/>
      <c r="CE48" s="676"/>
      <c r="CF48" s="676"/>
      <c r="CG48" s="676">
        <v>2</v>
      </c>
      <c r="CH48" s="676"/>
      <c r="CI48" s="676"/>
      <c r="CJ48" s="676"/>
      <c r="CK48" s="676"/>
      <c r="CL48" s="676"/>
      <c r="CM48" s="676"/>
      <c r="CN48" s="676"/>
      <c r="CO48" s="676"/>
      <c r="CP48" s="676"/>
      <c r="CQ48" s="362" t="s">
        <v>77</v>
      </c>
    </row>
    <row r="49" spans="2:95" outlineLevel="1" x14ac:dyDescent="0.2">
      <c r="B49" s="91" t="s">
        <v>336</v>
      </c>
      <c r="U49" s="447"/>
      <c r="V49" s="447"/>
      <c r="W49" s="447"/>
      <c r="X49" s="676"/>
      <c r="Y49" s="676"/>
      <c r="Z49" s="676"/>
      <c r="AA49" s="676"/>
      <c r="AB49" s="676"/>
      <c r="AC49" s="676"/>
      <c r="AD49" s="676"/>
      <c r="AE49" s="676"/>
      <c r="AF49" s="676"/>
      <c r="AG49" s="676"/>
      <c r="AH49" s="676"/>
      <c r="AI49" s="676"/>
      <c r="AJ49" s="676"/>
      <c r="AK49" s="676"/>
      <c r="AL49" s="676"/>
      <c r="AM49" s="676"/>
      <c r="AN49" s="676"/>
      <c r="AO49" s="676"/>
      <c r="AP49" s="676"/>
      <c r="AQ49" s="676"/>
      <c r="AR49" s="666"/>
      <c r="AS49" s="676"/>
      <c r="AT49" s="676"/>
      <c r="AU49" s="676"/>
      <c r="AV49" s="676"/>
      <c r="AW49" s="676"/>
      <c r="AX49" s="676"/>
      <c r="AY49" s="676"/>
      <c r="AZ49" s="676"/>
      <c r="BA49" s="676"/>
      <c r="BB49" s="676"/>
      <c r="BC49" s="676"/>
      <c r="BD49" s="676"/>
      <c r="BE49" s="676"/>
      <c r="BF49" s="676"/>
      <c r="BG49" s="676"/>
      <c r="BH49" s="676"/>
      <c r="BI49" s="676"/>
      <c r="BJ49" s="676"/>
      <c r="BK49" s="676"/>
      <c r="BL49" s="676"/>
      <c r="BM49" s="676"/>
      <c r="BN49" s="676"/>
      <c r="BO49" s="676"/>
      <c r="BP49" s="676"/>
      <c r="BQ49" s="676"/>
      <c r="BR49" s="676"/>
      <c r="BS49" s="676"/>
      <c r="BT49" s="676">
        <v>2</v>
      </c>
      <c r="BU49" s="676"/>
      <c r="BV49" s="676"/>
      <c r="BW49" s="676"/>
      <c r="BX49" s="676"/>
      <c r="BY49" s="676"/>
      <c r="BZ49" s="676"/>
      <c r="CA49" s="676">
        <v>2</v>
      </c>
      <c r="CB49" s="676"/>
      <c r="CC49" s="676"/>
      <c r="CD49" s="676"/>
      <c r="CE49" s="676"/>
      <c r="CF49" s="676"/>
      <c r="CG49" s="676"/>
      <c r="CH49" s="676"/>
      <c r="CI49" s="676"/>
      <c r="CJ49" s="676"/>
      <c r="CK49" s="676"/>
      <c r="CL49" s="676"/>
      <c r="CM49" s="676"/>
      <c r="CN49" s="676"/>
      <c r="CO49" s="676"/>
      <c r="CP49" s="666"/>
      <c r="CQ49" s="362" t="s">
        <v>77</v>
      </c>
    </row>
    <row r="50" spans="2:95" outlineLevel="1" x14ac:dyDescent="0.2">
      <c r="B50" s="8" t="s">
        <v>289</v>
      </c>
      <c r="U50" s="447"/>
      <c r="V50" s="447"/>
      <c r="W50" s="447"/>
      <c r="X50" s="676"/>
      <c r="Y50" s="676"/>
      <c r="Z50" s="676"/>
      <c r="AA50" s="676"/>
      <c r="AB50" s="676"/>
      <c r="AC50" s="676"/>
      <c r="AD50" s="676"/>
      <c r="AE50" s="676"/>
      <c r="AF50" s="676"/>
      <c r="AG50" s="676">
        <v>1</v>
      </c>
      <c r="AH50" s="676"/>
      <c r="AI50" s="676"/>
      <c r="AJ50" s="676"/>
      <c r="AK50" s="666"/>
      <c r="AL50" s="676"/>
      <c r="AM50" s="676"/>
      <c r="AN50" s="676"/>
      <c r="AO50" s="676"/>
      <c r="AP50" s="676"/>
      <c r="AQ50" s="676"/>
      <c r="AR50" s="676"/>
      <c r="AS50" s="676"/>
      <c r="AT50" s="676"/>
      <c r="AU50" s="676"/>
      <c r="AV50" s="676"/>
      <c r="AW50" s="666"/>
      <c r="AX50" s="676"/>
      <c r="AY50" s="676"/>
      <c r="AZ50" s="676"/>
      <c r="BA50" s="676"/>
      <c r="BB50" s="676"/>
      <c r="BC50" s="676"/>
      <c r="BD50" s="676"/>
      <c r="BE50" s="676"/>
      <c r="BF50" s="676"/>
      <c r="BG50" s="676"/>
      <c r="BH50" s="676"/>
      <c r="BI50" s="676"/>
      <c r="BJ50" s="676"/>
      <c r="BK50" s="676"/>
      <c r="BL50" s="676"/>
      <c r="BM50" s="676"/>
      <c r="BN50" s="676"/>
      <c r="BO50" s="676"/>
      <c r="BP50" s="676"/>
      <c r="BQ50" s="676"/>
      <c r="BR50" s="676"/>
      <c r="BS50" s="676"/>
      <c r="BT50" s="676"/>
      <c r="BU50" s="676"/>
      <c r="BV50" s="676"/>
      <c r="BW50" s="676"/>
      <c r="BX50" s="676"/>
      <c r="BY50" s="676"/>
      <c r="BZ50" s="676"/>
      <c r="CA50" s="676"/>
      <c r="CB50" s="676"/>
      <c r="CC50" s="676"/>
      <c r="CD50" s="676">
        <v>2</v>
      </c>
      <c r="CE50" s="676"/>
      <c r="CF50" s="676"/>
      <c r="CG50" s="676"/>
      <c r="CH50" s="676"/>
      <c r="CI50" s="676"/>
      <c r="CJ50" s="676"/>
      <c r="CK50" s="676"/>
      <c r="CL50" s="676"/>
      <c r="CM50" s="676"/>
      <c r="CN50" s="676"/>
      <c r="CO50" s="676"/>
      <c r="CP50" s="676"/>
      <c r="CQ50" s="362" t="s">
        <v>77</v>
      </c>
    </row>
    <row r="51" spans="2:95" outlineLevel="1" x14ac:dyDescent="0.2">
      <c r="B51" s="12" t="s">
        <v>569</v>
      </c>
      <c r="U51" s="447"/>
      <c r="V51" s="447"/>
      <c r="W51" s="447"/>
      <c r="X51" s="675"/>
      <c r="Y51" s="675"/>
      <c r="Z51" s="675"/>
      <c r="AA51" s="675"/>
      <c r="AB51" s="675"/>
      <c r="AC51" s="675"/>
      <c r="AD51" s="675"/>
      <c r="AE51" s="675"/>
      <c r="AF51" s="675"/>
      <c r="AG51" s="675"/>
      <c r="AH51" s="675"/>
      <c r="AI51" s="675"/>
      <c r="AJ51" s="675"/>
      <c r="AK51" s="675"/>
      <c r="AL51" s="675"/>
      <c r="AM51" s="675"/>
      <c r="AN51" s="675">
        <v>1</v>
      </c>
      <c r="AO51" s="675"/>
      <c r="AP51" s="675"/>
      <c r="AQ51" s="675"/>
      <c r="AR51" s="666"/>
      <c r="AS51" s="675"/>
      <c r="AT51" s="675"/>
      <c r="AU51" s="675"/>
      <c r="AV51" s="675"/>
      <c r="AW51" s="675">
        <v>2</v>
      </c>
      <c r="AX51" s="675"/>
      <c r="AY51" s="675"/>
      <c r="AZ51" s="675"/>
      <c r="BA51" s="675"/>
      <c r="BB51" s="675"/>
      <c r="BC51" s="675"/>
      <c r="BD51" s="675"/>
      <c r="BE51" s="675"/>
      <c r="BF51" s="675"/>
      <c r="BG51" s="675"/>
      <c r="BH51" s="675"/>
      <c r="BI51" s="675"/>
      <c r="BJ51" s="675"/>
      <c r="BK51" s="675"/>
      <c r="BL51" s="675"/>
      <c r="BM51" s="675"/>
      <c r="BN51" s="675"/>
      <c r="BO51" s="675"/>
      <c r="BP51" s="675"/>
      <c r="BQ51" s="675"/>
      <c r="BR51" s="675"/>
      <c r="BS51" s="675"/>
      <c r="BT51" s="675"/>
      <c r="BU51" s="675"/>
      <c r="BV51" s="675"/>
      <c r="BW51" s="675"/>
      <c r="BX51" s="675"/>
      <c r="BY51" s="675"/>
      <c r="BZ51" s="675"/>
      <c r="CA51" s="675"/>
      <c r="CB51" s="675"/>
      <c r="CC51" s="675"/>
      <c r="CD51" s="675"/>
      <c r="CE51" s="675"/>
      <c r="CF51" s="675"/>
      <c r="CG51" s="675"/>
      <c r="CH51" s="675"/>
      <c r="CI51" s="675"/>
      <c r="CJ51" s="675"/>
      <c r="CK51" s="675"/>
      <c r="CL51" s="675"/>
      <c r="CM51" s="675"/>
      <c r="CN51" s="675"/>
      <c r="CO51" s="675"/>
      <c r="CP51" s="675">
        <v>2</v>
      </c>
      <c r="CQ51" s="362" t="s">
        <v>77</v>
      </c>
    </row>
    <row r="52" spans="2:95" outlineLevel="1" x14ac:dyDescent="0.2">
      <c r="CQ52" s="362" t="s">
        <v>77</v>
      </c>
    </row>
    <row r="53" spans="2:95" outlineLevel="1" x14ac:dyDescent="0.2">
      <c r="B53" s="358" t="s">
        <v>315</v>
      </c>
      <c r="D53" s="218"/>
      <c r="E53" s="218"/>
      <c r="F53" s="218"/>
      <c r="G53" s="218"/>
      <c r="H53" s="218"/>
      <c r="I53" s="218"/>
      <c r="J53" s="218"/>
      <c r="K53" s="66"/>
      <c r="L53" s="66"/>
      <c r="M53" s="66"/>
      <c r="N53" s="248"/>
      <c r="O53" s="248"/>
      <c r="P53" s="248"/>
      <c r="Q53" s="248"/>
      <c r="R53" s="248"/>
      <c r="S53" s="248"/>
      <c r="T53" s="248"/>
      <c r="U53" s="248"/>
      <c r="V53" s="248"/>
      <c r="W53" s="248"/>
      <c r="X53" s="248"/>
      <c r="Y53" s="66"/>
      <c r="Z53" s="66"/>
      <c r="AA53" s="66"/>
      <c r="AB53" s="66"/>
      <c r="AC53" s="66"/>
      <c r="AD53" s="66"/>
      <c r="AE53" s="66"/>
      <c r="AF53" s="66"/>
      <c r="AG53" s="66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  <c r="AX53" s="66"/>
      <c r="AY53" s="66"/>
      <c r="AZ53" s="66"/>
      <c r="BA53" s="66"/>
      <c r="BB53" s="66"/>
      <c r="BC53" s="66"/>
      <c r="BD53" s="66"/>
      <c r="BE53" s="66"/>
      <c r="BF53" s="66"/>
      <c r="BG53" s="66"/>
      <c r="BH53" s="66"/>
      <c r="BI53" s="66"/>
      <c r="BJ53" s="66"/>
      <c r="BK53" s="66"/>
      <c r="BL53" s="66"/>
      <c r="BM53" s="66"/>
      <c r="BN53" s="66"/>
      <c r="BO53" s="66"/>
      <c r="BP53" s="66"/>
      <c r="BQ53" s="66"/>
      <c r="BR53" s="66"/>
      <c r="BS53" s="66"/>
      <c r="BT53" s="66"/>
      <c r="BU53" s="66"/>
      <c r="BV53" s="66"/>
      <c r="BW53" s="66"/>
      <c r="BX53" s="66"/>
      <c r="BY53" s="66"/>
      <c r="BZ53" s="66"/>
      <c r="CA53" s="66"/>
      <c r="CB53" s="66"/>
      <c r="CC53" s="66"/>
      <c r="CD53" s="66"/>
      <c r="CE53" s="66"/>
      <c r="CF53" s="66"/>
      <c r="CG53" s="66"/>
      <c r="CH53" s="66"/>
      <c r="CI53" s="66"/>
      <c r="CJ53" s="66"/>
      <c r="CK53" s="66"/>
      <c r="CL53" s="66"/>
      <c r="CM53" s="66"/>
      <c r="CN53" s="66"/>
      <c r="CO53" s="66"/>
      <c r="CP53" s="66"/>
      <c r="CQ53" s="362" t="s">
        <v>77</v>
      </c>
    </row>
    <row r="54" spans="2:95" outlineLevel="1" x14ac:dyDescent="0.2">
      <c r="B54" s="91" t="s">
        <v>341</v>
      </c>
      <c r="D54" s="309">
        <v>0.83578009089300898</v>
      </c>
      <c r="E54" s="511" t="s">
        <v>585</v>
      </c>
      <c r="K54" s="9" t="str">
        <f t="shared" ref="K54:S54" si="35">IF(ISERROR(+K81/K$35),"n.a.",+K81/K$35)</f>
        <v>n.a.</v>
      </c>
      <c r="L54" s="9" t="str">
        <f t="shared" si="35"/>
        <v>n.a.</v>
      </c>
      <c r="M54" s="9" t="str">
        <f t="shared" si="35"/>
        <v>n.a.</v>
      </c>
      <c r="N54" s="9">
        <f t="shared" si="35"/>
        <v>18.343283582089548</v>
      </c>
      <c r="O54" s="9">
        <f t="shared" si="35"/>
        <v>19.32</v>
      </c>
      <c r="P54" s="9">
        <f t="shared" si="35"/>
        <v>13.921981424148608</v>
      </c>
      <c r="Q54" s="9">
        <f t="shared" si="35"/>
        <v>14.40121907493725</v>
      </c>
      <c r="R54" s="9">
        <f t="shared" si="35"/>
        <v>20.357335206650276</v>
      </c>
      <c r="S54" s="9">
        <f t="shared" si="35"/>
        <v>22.711235955056178</v>
      </c>
      <c r="T54" s="51">
        <f t="shared" ref="T54:BD54" si="36">+T199</f>
        <v>29.5</v>
      </c>
      <c r="U54" s="51">
        <f>+U199</f>
        <v>29.5</v>
      </c>
      <c r="V54" s="51">
        <f>+V199</f>
        <v>27.535532190047793</v>
      </c>
      <c r="W54" s="51">
        <f>+W199</f>
        <v>22.2</v>
      </c>
      <c r="X54" s="272">
        <f t="shared" si="36"/>
        <v>22.4</v>
      </c>
      <c r="Y54" s="272">
        <f>+Y199</f>
        <v>22.5</v>
      </c>
      <c r="Z54" s="272">
        <f t="shared" si="36"/>
        <v>22.8</v>
      </c>
      <c r="AA54" s="272">
        <f t="shared" si="36"/>
        <v>22.9</v>
      </c>
      <c r="AB54" s="272">
        <f t="shared" si="36"/>
        <v>23.75299335923598</v>
      </c>
      <c r="AC54" s="272">
        <f t="shared" si="36"/>
        <v>24.14756092782957</v>
      </c>
      <c r="AD54" s="272">
        <f t="shared" si="36"/>
        <v>24.549501308111235</v>
      </c>
      <c r="AE54" s="272">
        <f t="shared" si="36"/>
        <v>24.960009289184519</v>
      </c>
      <c r="AF54" s="272">
        <f t="shared" si="36"/>
        <v>25.378253445455194</v>
      </c>
      <c r="AG54" s="272">
        <f t="shared" si="36"/>
        <v>25.806426856843142</v>
      </c>
      <c r="AH54" s="272">
        <f t="shared" si="36"/>
        <v>26.241696589464983</v>
      </c>
      <c r="AI54" s="272">
        <f t="shared" si="36"/>
        <v>26.687274669025605</v>
      </c>
      <c r="AJ54" s="272">
        <f t="shared" si="36"/>
        <v>27.141347318034938</v>
      </c>
      <c r="AK54" s="272">
        <f t="shared" si="36"/>
        <v>27.605125685851011</v>
      </c>
      <c r="AL54" s="272">
        <f t="shared" si="36"/>
        <v>28.078805463618835</v>
      </c>
      <c r="AM54" s="272">
        <f t="shared" si="36"/>
        <v>28.561597371208375</v>
      </c>
      <c r="AN54" s="272">
        <f t="shared" si="36"/>
        <v>29.053717150124701</v>
      </c>
      <c r="AO54" s="272">
        <f t="shared" si="36"/>
        <v>29.557405931786057</v>
      </c>
      <c r="AP54" s="272">
        <f t="shared" si="36"/>
        <v>30.070859490955964</v>
      </c>
      <c r="AQ54" s="272">
        <f t="shared" si="36"/>
        <v>30.595329613339427</v>
      </c>
      <c r="AR54" s="272">
        <f t="shared" si="36"/>
        <v>31.130033106571037</v>
      </c>
      <c r="AS54" s="272">
        <f t="shared" si="36"/>
        <v>31.676232925509154</v>
      </c>
      <c r="AT54" s="272">
        <f t="shared" si="36"/>
        <v>32.234177562017472</v>
      </c>
      <c r="AU54" s="272">
        <f t="shared" si="36"/>
        <v>32.803111307300689</v>
      </c>
      <c r="AV54" s="272">
        <f t="shared" si="36"/>
        <v>33.386314890111088</v>
      </c>
      <c r="AW54" s="272">
        <f t="shared" si="36"/>
        <v>33.979014503863695</v>
      </c>
      <c r="AX54" s="272">
        <f t="shared" si="36"/>
        <v>34.585523693583355</v>
      </c>
      <c r="AY54" s="272">
        <f t="shared" si="36"/>
        <v>35.205111893262924</v>
      </c>
      <c r="AZ54" s="272">
        <f t="shared" si="36"/>
        <v>35.837045078080308</v>
      </c>
      <c r="BA54" s="272">
        <f t="shared" si="36"/>
        <v>36.482636544519899</v>
      </c>
      <c r="BB54" s="272">
        <f t="shared" si="36"/>
        <v>37.142186328206371</v>
      </c>
      <c r="BC54" s="272">
        <f t="shared" si="36"/>
        <v>37.814981370772941</v>
      </c>
      <c r="BD54" s="272">
        <f t="shared" si="36"/>
        <v>38.502366560047058</v>
      </c>
      <c r="BE54" s="272">
        <f t="shared" ref="BE54:CP54" si="37">+BE199</f>
        <v>39.20565378727747</v>
      </c>
      <c r="BF54" s="272">
        <f t="shared" si="37"/>
        <v>39.922142374631839</v>
      </c>
      <c r="BG54" s="272">
        <f t="shared" si="37"/>
        <v>40.656230624684788</v>
      </c>
      <c r="BH54" s="272">
        <f t="shared" si="37"/>
        <v>41.403203400205925</v>
      </c>
      <c r="BI54" s="272">
        <f t="shared" si="37"/>
        <v>42.16845504860737</v>
      </c>
      <c r="BJ54" s="272">
        <f t="shared" si="37"/>
        <v>42.948317487572908</v>
      </c>
      <c r="BK54" s="272">
        <f t="shared" si="37"/>
        <v>43.746192021092767</v>
      </c>
      <c r="BL54" s="272">
        <f t="shared" si="37"/>
        <v>44.561438179753125</v>
      </c>
      <c r="BM54" s="272">
        <f t="shared" si="37"/>
        <v>45.394465049758161</v>
      </c>
      <c r="BN54" s="272">
        <f t="shared" si="37"/>
        <v>46.244640371580211</v>
      </c>
      <c r="BO54" s="272">
        <f t="shared" si="37"/>
        <v>47.113392003390835</v>
      </c>
      <c r="BP54" s="272">
        <f t="shared" si="37"/>
        <v>48.001137278554289</v>
      </c>
      <c r="BQ54" s="272">
        <f t="shared" si="37"/>
        <v>48.908303486251356</v>
      </c>
      <c r="BR54" s="272">
        <f t="shared" si="37"/>
        <v>49.834317985082464</v>
      </c>
      <c r="BS54" s="272">
        <f t="shared" si="37"/>
        <v>50.781638819113041</v>
      </c>
      <c r="BT54" s="272">
        <f t="shared" si="37"/>
        <v>51.749734718786343</v>
      </c>
      <c r="BU54" s="272">
        <f t="shared" si="37"/>
        <v>52.738044859413066</v>
      </c>
      <c r="BV54" s="272">
        <f t="shared" si="37"/>
        <v>53.748070240230945</v>
      </c>
      <c r="BW54" s="272">
        <f t="shared" si="37"/>
        <v>54.780303082668318</v>
      </c>
      <c r="BX54" s="272">
        <f t="shared" si="37"/>
        <v>55.836257476902539</v>
      </c>
      <c r="BY54" s="272">
        <f t="shared" si="37"/>
        <v>56.913419041444854</v>
      </c>
      <c r="BZ54" s="272">
        <f t="shared" si="37"/>
        <v>58.015346452279857</v>
      </c>
      <c r="CA54" s="272">
        <f t="shared" si="37"/>
        <v>59.140560370877118</v>
      </c>
      <c r="CB54" s="272">
        <f t="shared" si="37"/>
        <v>60.292634863031928</v>
      </c>
      <c r="CC54" s="272">
        <f t="shared" si="37"/>
        <v>61.468116713670618</v>
      </c>
      <c r="CD54" s="272">
        <f t="shared" si="37"/>
        <v>62.669586487684356</v>
      </c>
      <c r="CE54" s="272">
        <f t="shared" si="37"/>
        <v>63.89866897735638</v>
      </c>
      <c r="CF54" s="272">
        <f t="shared" si="37"/>
        <v>65.153932291422535</v>
      </c>
      <c r="CG54" s="272">
        <f t="shared" si="37"/>
        <v>66.437029932601845</v>
      </c>
      <c r="CH54" s="272">
        <f t="shared" si="37"/>
        <v>67.749589778473279</v>
      </c>
      <c r="CI54" s="272">
        <f t="shared" si="37"/>
        <v>69.090254933494322</v>
      </c>
      <c r="CJ54" s="272">
        <f t="shared" si="37"/>
        <v>70.461724589509004</v>
      </c>
      <c r="CK54" s="272">
        <f t="shared" si="37"/>
        <v>71.863653156287114</v>
      </c>
      <c r="CL54" s="272">
        <f t="shared" si="37"/>
        <v>73.295751884764599</v>
      </c>
      <c r="CM54" s="272">
        <f t="shared" si="37"/>
        <v>74.759728512355395</v>
      </c>
      <c r="CN54" s="272">
        <f t="shared" si="37"/>
        <v>76.256328159494387</v>
      </c>
      <c r="CO54" s="272">
        <f t="shared" si="37"/>
        <v>77.787323614783304</v>
      </c>
      <c r="CP54" s="272">
        <f t="shared" si="37"/>
        <v>79.352455008967951</v>
      </c>
      <c r="CQ54" s="362" t="s">
        <v>77</v>
      </c>
    </row>
    <row r="55" spans="2:95" outlineLevel="1" x14ac:dyDescent="0.2">
      <c r="B55" s="8" t="s">
        <v>337</v>
      </c>
      <c r="D55" s="309">
        <v>0.75</v>
      </c>
      <c r="E55" s="511" t="s">
        <v>579</v>
      </c>
      <c r="K55" s="9" t="str">
        <f t="shared" ref="K55:S55" si="38">IF(ISERROR(+K82/K$34),"n.a.",+K82/K$34)</f>
        <v>n.a.</v>
      </c>
      <c r="L55" s="9" t="str">
        <f t="shared" si="38"/>
        <v>n.a.</v>
      </c>
      <c r="M55" s="9" t="str">
        <f t="shared" si="38"/>
        <v>n.a.</v>
      </c>
      <c r="N55" s="9">
        <f t="shared" si="38"/>
        <v>0</v>
      </c>
      <c r="O55" s="9">
        <f t="shared" si="38"/>
        <v>0</v>
      </c>
      <c r="P55" s="9">
        <f t="shared" si="38"/>
        <v>0</v>
      </c>
      <c r="Q55" s="9">
        <f t="shared" si="38"/>
        <v>0</v>
      </c>
      <c r="R55" s="9">
        <f>IF(ISERROR(+R82/R$34),"n.a.",+R82/R$34)</f>
        <v>29.671286319071182</v>
      </c>
      <c r="S55" s="9">
        <f t="shared" si="38"/>
        <v>24.902938667451096</v>
      </c>
      <c r="T55" s="51">
        <f>+S55*(1+T$9*T$38)-0.5</f>
        <v>25.12451650005919</v>
      </c>
      <c r="U55" s="51">
        <f>+T55*(1+U$9*U$38)+5.1</f>
        <v>30.631533667360152</v>
      </c>
      <c r="V55" s="51">
        <f>+U55*(1+V$9*V$38)</f>
        <v>31.045059371869517</v>
      </c>
      <c r="W55" s="51">
        <f>+V55*(1+W$9*W$38)+12.6</f>
        <v>44.064167673389754</v>
      </c>
      <c r="X55" s="272">
        <f t="shared" ref="X55:AE55" si="39">+W55*(1+X$9*X$38)</f>
        <v>45.165771865224492</v>
      </c>
      <c r="Y55" s="272">
        <f t="shared" si="39"/>
        <v>46.294916161855099</v>
      </c>
      <c r="Z55" s="272">
        <f t="shared" si="39"/>
        <v>47.452289065901475</v>
      </c>
      <c r="AA55" s="272">
        <f t="shared" si="39"/>
        <v>48.638596292549011</v>
      </c>
      <c r="AB55" s="272">
        <f t="shared" si="39"/>
        <v>49.854561199862729</v>
      </c>
      <c r="AC55" s="272">
        <f t="shared" si="39"/>
        <v>51.100925229859293</v>
      </c>
      <c r="AD55" s="272">
        <f t="shared" si="39"/>
        <v>52.314572204068448</v>
      </c>
      <c r="AE55" s="284">
        <f t="shared" si="39"/>
        <v>53.557043293915072</v>
      </c>
      <c r="AF55" s="618">
        <f>IF(AF43=0,AE55*(1+AF$11*AF$38),IF(AF43=1,AF210*Valuation!$D$18/10^3,IF(AF43=2,)))</f>
        <v>16.899999999999999</v>
      </c>
      <c r="AG55" s="618">
        <f>IF(AG43=0,AF55*(1+AG$11*AG$38),IF(AG43=1,AG210*Valuation!$D$18/10^3,IF(AG43=2,)))</f>
        <v>17.301374999999997</v>
      </c>
      <c r="AH55" s="618">
        <f>IF(AH43=0,AG55*(1+AH$11*AH$38),IF(AH43=1,AH210*Valuation!$D$18/10^3,IF(AH43=2,)))</f>
        <v>17.712282656249997</v>
      </c>
      <c r="AI55" s="618">
        <f>IF(AI43=0,AH55*(1+AI$11*AI$38),IF(AI43=1,AI210*Valuation!$D$18/10^3,IF(AI43=2,)))</f>
        <v>18.132949369335932</v>
      </c>
      <c r="AJ55" s="618">
        <f>IF(AJ43=0,AI55*(1+AJ$11*AJ$38),IF(AJ43=1,AJ210*Valuation!$D$18/10^3,IF(AJ43=2,)))</f>
        <v>18.563606916857658</v>
      </c>
      <c r="AK55" s="618">
        <f>IF(AK43=0,AJ55*(1+AK$11*AK$38),IF(AK43=1,AK210*Valuation!$D$18/10^3,IF(AK43=2,)))</f>
        <v>0</v>
      </c>
      <c r="AL55" s="618">
        <f>IF(AL43=0,AK55*(1+AL$11*AL$38),IF(AL43=1,AL210*Valuation!$D$18/10^3,IF(AL43=2,)))</f>
        <v>0</v>
      </c>
      <c r="AM55" s="618">
        <f>IF(AM43=0,AL55*(1+AM$11*AM$38),IF(AM43=1,AM210*Valuation!$D$18/10^3,IF(AM43=2,)))</f>
        <v>0</v>
      </c>
      <c r="AN55" s="618">
        <f>IF(AN43=0,AM55*(1+AN$11*AN$38),IF(AN43=1,AN210*Valuation!$D$18/10^3,IF(AN43=2,)))</f>
        <v>0</v>
      </c>
      <c r="AO55" s="618">
        <f>IF(AO43=0,AN55*(1+AO$11*AO$38),IF(AO43=1,AO210*Valuation!$D$18/10^3,IF(AO43=2,)))</f>
        <v>0</v>
      </c>
      <c r="AP55" s="618">
        <f>IF(AP43=0,AO55*(1+AP$11*AP$38),IF(AP43=1,AP210*Valuation!$D$18/10^3,IF(AP43=2,)))</f>
        <v>0</v>
      </c>
      <c r="AQ55" s="618">
        <f>IF(AQ43=0,AP55*(1+AQ$11*AQ$38),IF(AQ43=1,AQ210*Valuation!$D$18/10^3,IF(AQ43=2,)))</f>
        <v>0</v>
      </c>
      <c r="AR55" s="618">
        <f>IF(AR43=0,AQ55*(1+AR$11*AR$38),IF(AR43=1,AR210*Valuation!$D$18/10^3,IF(AR43=2,)))</f>
        <v>0</v>
      </c>
      <c r="AS55" s="618">
        <f>IF(AS43=0,AR55*(1+AS$11*AS$38),IF(AS43=1,AS210*Valuation!$D$18/10^3,IF(AS43=2,)))</f>
        <v>0</v>
      </c>
      <c r="AT55" s="618">
        <f>IF(AT43=0,AS55*(1+AT$11*AT$38),IF(AT43=1,AT210*Valuation!$D$18/10^3,IF(AT43=2,)))</f>
        <v>0</v>
      </c>
      <c r="AU55" s="618">
        <f>IF(AU43=0,AT55*(1+AU$11*AU$38),IF(AU43=1,AU210*Valuation!$D$18/10^3,IF(AU43=2,)))</f>
        <v>0</v>
      </c>
      <c r="AV55" s="618">
        <f>IF(AV43=0,AU55*(1+AV$11*AV$38),IF(AV43=1,AV210*Valuation!$D$18/10^3,IF(AV43=2,)))</f>
        <v>0</v>
      </c>
      <c r="AW55" s="618">
        <f>IF(AW43=0,AV55*(1+AW$11*AW$38),IF(AW43=1,AW210*Valuation!$D$18/10^3,IF(AW43=2,)))</f>
        <v>0</v>
      </c>
      <c r="AX55" s="618">
        <f>IF(AX43=0,AW55*(1+AX$11*AX$38),IF(AX43=1,AX210*Valuation!$D$18/10^3,IF(AX43=2,)))</f>
        <v>0</v>
      </c>
      <c r="AY55" s="618">
        <f>IF(AY43=0,AX55*(1+AY$11*AY$38),IF(AY43=1,AY210*Valuation!$D$18/10^3,IF(AY43=2,)))</f>
        <v>0</v>
      </c>
      <c r="AZ55" s="618">
        <f>IF(AZ43=0,AY55*(1+AZ$11*AZ$38),IF(AZ43=1,AZ210*Valuation!$D$18/10^3,IF(AZ43=2,)))</f>
        <v>0</v>
      </c>
      <c r="BA55" s="618">
        <f>IF(BA43=0,AZ55*(1+BA$11*BA$38),IF(BA43=1,BA210*Valuation!$D$18/10^3,IF(BA43=2,)))</f>
        <v>0</v>
      </c>
      <c r="BB55" s="618">
        <f>IF(BB43=0,BA55*(1+BB$11*BB$38),IF(BB43=1,BB210*Valuation!$D$18/10^3,IF(BB43=2,)))</f>
        <v>0</v>
      </c>
      <c r="BC55" s="618">
        <f>IF(BC43=0,BB55*(1+BC$11*BC$38),IF(BC43=1,BC210*Valuation!$D$18/10^3,IF(BC43=2,)))</f>
        <v>0</v>
      </c>
      <c r="BD55" s="618">
        <f>IF(BD43=0,BC55*(1+BD$11*BD$38),IF(BD43=1,BD210*Valuation!$D$18/10^3,IF(BD43=2,)))</f>
        <v>0</v>
      </c>
      <c r="BE55" s="618">
        <f>IF(BE43=0,BD55*(1+BE$11*BE$38),IF(BE43=1,BE210*Valuation!$D$18/10^3,IF(BE43=2,)))</f>
        <v>0</v>
      </c>
      <c r="BF55" s="618">
        <f>IF(BF43=0,BE55*(1+BF$11*BF$38),IF(BF43=1,BF210*Valuation!$D$18/10^3,IF(BF43=2,)))</f>
        <v>0</v>
      </c>
      <c r="BG55" s="618">
        <f>IF(BG43=0,BF55*(1+BG$11*BG$38),IF(BG43=1,BG210*Valuation!$D$18/10^3,IF(BG43=2,)))</f>
        <v>0</v>
      </c>
      <c r="BH55" s="618">
        <f>IF(BH43=0,BG55*(1+BH$11*BH$38),IF(BH43=1,BH210*Valuation!$D$18/10^3,IF(BH43=2,)))</f>
        <v>0</v>
      </c>
      <c r="BI55" s="618">
        <f>IF(BI43=0,BH55*(1+BI$11*BI$38),IF(BI43=1,BI210*Valuation!$D$18/10^3,IF(BI43=2,)))</f>
        <v>0</v>
      </c>
      <c r="BJ55" s="618">
        <f>IF(BJ43=0,BI55*(1+BJ$11*BJ$38),IF(BJ43=1,BJ210*Valuation!$D$18/10^3,IF(BJ43=2,)))</f>
        <v>0</v>
      </c>
      <c r="BK55" s="618">
        <f>IF(BK43=0,BJ55*(1+BK$11*BK$38),IF(BK43=1,BK210*Valuation!$D$18/10^3,IF(BK43=2,)))</f>
        <v>0</v>
      </c>
      <c r="BL55" s="618">
        <f>IF(BL43=0,BK55*(1+BL$11*BL$38),IF(BL43=1,BL210*Valuation!$D$18/10^3,IF(BL43=2,)))</f>
        <v>0</v>
      </c>
      <c r="BM55" s="618">
        <f>IF(BM43=0,BL55*(1+BM$11*BM$38),IF(BM43=1,BM210*Valuation!$D$18/10^3,IF(BM43=2,)))</f>
        <v>0</v>
      </c>
      <c r="BN55" s="618">
        <f>IF(BN43=0,BM55*(1+BN$11*BN$38),IF(BN43=1,BN210*Valuation!$D$18/10^3,IF(BN43=2,)))</f>
        <v>0</v>
      </c>
      <c r="BO55" s="618">
        <f>IF(BO43=0,BN55*(1+BO$11*BO$38),IF(BO43=1,BO210*Valuation!$D$18/10^3,IF(BO43=2,)))</f>
        <v>0</v>
      </c>
      <c r="BP55" s="618">
        <f>IF(BP43=0,BO55*(1+BP$11*BP$38),IF(BP43=1,BP210*Valuation!$D$18/10^3,IF(BP43=2,)))</f>
        <v>0</v>
      </c>
      <c r="BQ55" s="618">
        <f>IF(BQ43=0,BP55*(1+BQ$11*BQ$38),IF(BQ43=1,BQ210*Valuation!$D$18/10^3,IF(BQ43=2,)))</f>
        <v>0</v>
      </c>
      <c r="BR55" s="618">
        <f>IF(BR43=0,BQ55*(1+BR$11*BR$38),IF(BR43=1,BR210*Valuation!$D$18/10^3,IF(BR43=2,)))</f>
        <v>0</v>
      </c>
      <c r="BS55" s="618">
        <f>IF(BS43=0,BR55*(1+BS$11*BS$38),IF(BS43=1,BS210*Valuation!$D$18/10^3,IF(BS43=2,)))</f>
        <v>0</v>
      </c>
      <c r="BT55" s="618">
        <f>IF(BT43=0,BS55*(1+BT$11*BT$38),IF(BT43=1,BT210*Valuation!$D$18/10^3,IF(BT43=2,)))</f>
        <v>0</v>
      </c>
      <c r="BU55" s="618">
        <f>IF(BU43=0,BT55*(1+BU$11*BU$38),IF(BU43=1,BU210*Valuation!$D$18/10^3,IF(BU43=2,)))</f>
        <v>0</v>
      </c>
      <c r="BV55" s="618">
        <f>IF(BV43=0,BU55*(1+BV$11*BV$38),IF(BV43=1,BV210*Valuation!$D$18/10^3,IF(BV43=2,)))</f>
        <v>0</v>
      </c>
      <c r="BW55" s="618">
        <f>IF(BW43=0,BV55*(1+BW$11*BW$38),IF(BW43=1,BW210*Valuation!$D$18/10^3,IF(BW43=2,)))</f>
        <v>0</v>
      </c>
      <c r="BX55" s="618">
        <f>IF(BX43=0,BW55*(1+BX$11*BX$38),IF(BX43=1,BX210*Valuation!$D$18/10^3,IF(BX43=2,)))</f>
        <v>0</v>
      </c>
      <c r="BY55" s="618">
        <f>IF(BY43=0,BX55*(1+BY$11*BY$38),IF(BY43=1,BY210*Valuation!$D$18/10^3,IF(BY43=2,)))</f>
        <v>0</v>
      </c>
      <c r="BZ55" s="618">
        <f>IF(BZ43=0,BY55*(1+BZ$11*BZ$38),IF(BZ43=1,BZ210*Valuation!$D$18/10^3,IF(BZ43=2,)))</f>
        <v>0</v>
      </c>
      <c r="CA55" s="618">
        <f>IF(CA43=0,BZ55*(1+CA$11*CA$38),IF(CA43=1,CA210*Valuation!$D$18/10^3,IF(CA43=2,)))</f>
        <v>0</v>
      </c>
      <c r="CB55" s="618">
        <f>IF(CB43=0,CA55*(1+CB$11*CB$38),IF(CB43=1,CB210*Valuation!$D$18/10^3,IF(CB43=2,)))</f>
        <v>0</v>
      </c>
      <c r="CC55" s="618">
        <f>IF(CC43=0,CB55*(1+CC$11*CC$38),IF(CC43=1,CC210*Valuation!$D$18/10^3,IF(CC43=2,)))</f>
        <v>0</v>
      </c>
      <c r="CD55" s="618">
        <f>IF(CD43=0,CC55*(1+CD$11*CD$38),IF(CD43=1,CD210*Valuation!$D$18/10^3,IF(CD43=2,)))</f>
        <v>0</v>
      </c>
      <c r="CE55" s="618">
        <f>IF(CE43=0,CD55*(1+CE$11*CE$38),IF(CE43=1,CE210*Valuation!$D$18/10^3,IF(CE43=2,)))</f>
        <v>0</v>
      </c>
      <c r="CF55" s="618">
        <f>IF(CF43=0,CE55*(1+CF$11*CF$38),IF(CF43=1,CF210*Valuation!$D$18/10^3,IF(CF43=2,)))</f>
        <v>0</v>
      </c>
      <c r="CG55" s="618">
        <f>IF(CG43=0,CF55*(1+CG$11*CG$38),IF(CG43=1,CG210*Valuation!$D$18/10^3,IF(CG43=2,)))</f>
        <v>0</v>
      </c>
      <c r="CH55" s="618">
        <f>IF(CH43=0,CG55*(1+CH$11*CH$38),IF(CH43=1,CH210*Valuation!$D$18/10^3,IF(CH43=2,)))</f>
        <v>0</v>
      </c>
      <c r="CI55" s="618">
        <f>IF(CI43=0,CH55*(1+CI$11*CI$38),IF(CI43=1,CI210*Valuation!$D$18/10^3,IF(CI43=2,)))</f>
        <v>0</v>
      </c>
      <c r="CJ55" s="618">
        <f>IF(CJ43=0,CI55*(1+CJ$11*CJ$38),IF(CJ43=1,CJ210*Valuation!$D$18/10^3,IF(CJ43=2,)))</f>
        <v>0</v>
      </c>
      <c r="CK55" s="618">
        <f>IF(CK43=0,CJ55*(1+CK$11*CK$38),IF(CK43=1,CK210*Valuation!$D$18/10^3,IF(CK43=2,)))</f>
        <v>0</v>
      </c>
      <c r="CL55" s="618">
        <f>IF(CL43=0,CK55*(1+CL$11*CL$38),IF(CL43=1,CL210*Valuation!$D$18/10^3,IF(CL43=2,)))</f>
        <v>0</v>
      </c>
      <c r="CM55" s="618">
        <f>IF(CM43=0,CL55*(1+CM$11*CM$38),IF(CM43=1,CM210*Valuation!$D$18/10^3,IF(CM43=2,)))</f>
        <v>0</v>
      </c>
      <c r="CN55" s="618">
        <f>IF(CN43=0,CM55*(1+CN$11*CN$38),IF(CN43=1,CN210*Valuation!$D$18/10^3,IF(CN43=2,)))</f>
        <v>0</v>
      </c>
      <c r="CO55" s="618">
        <f>IF(CO43=0,CN55*(1+CO$11*CO$38),IF(CO43=1,CO210*Valuation!$D$18/10^3,IF(CO43=2,)))</f>
        <v>0</v>
      </c>
      <c r="CP55" s="618">
        <f>IF(CP43=0,CO55*(1+CP$11*CP$38),IF(CP43=1,CP210*Valuation!$D$18/10^3,IF(CP43=2,)))</f>
        <v>0</v>
      </c>
      <c r="CQ55" s="362" t="s">
        <v>77</v>
      </c>
    </row>
    <row r="56" spans="2:95" outlineLevel="1" x14ac:dyDescent="0.2">
      <c r="B56" s="8" t="s">
        <v>594</v>
      </c>
      <c r="D56" s="309">
        <v>0.75</v>
      </c>
      <c r="E56" s="511" t="s">
        <v>579</v>
      </c>
      <c r="X56" s="257">
        <f>X83/D56</f>
        <v>6.2666666666666666</v>
      </c>
      <c r="Y56" s="51">
        <f>IF(Y44=0,X56*(1+Y$11*Y$38),IF(Y44=1,-Y70/(1-PERCENTILE($D56:$E56,$D$41)),IF(Y44=2,)))</f>
        <v>6.4233333333333329</v>
      </c>
      <c r="Z56" s="51">
        <f t="shared" ref="Z56:AI56" si="40">IF(Z44=0,Y56*(1+Z$11*Z$38),IF(Z44=1,-Z70/(1-PERCENTILE($D56:$E56,$D$41)),IF(Z44=2,)))</f>
        <v>6.5839166666666653</v>
      </c>
      <c r="AA56" s="51">
        <f t="shared" si="40"/>
        <v>6.7485145833333311</v>
      </c>
      <c r="AB56" s="51">
        <f t="shared" si="40"/>
        <v>6.9172274479166642</v>
      </c>
      <c r="AC56" s="51">
        <f t="shared" si="40"/>
        <v>7.0901581341145805</v>
      </c>
      <c r="AD56" s="51">
        <f t="shared" si="40"/>
        <v>7.2585493897998017</v>
      </c>
      <c r="AE56" s="51">
        <f t="shared" si="40"/>
        <v>7.4309399378075467</v>
      </c>
      <c r="AF56" s="51">
        <f t="shared" si="40"/>
        <v>7.6074247613304751</v>
      </c>
      <c r="AG56" s="51">
        <f t="shared" si="40"/>
        <v>7.7881010994120734</v>
      </c>
      <c r="AH56" s="51">
        <f t="shared" si="40"/>
        <v>7.9730685005231097</v>
      </c>
      <c r="AI56" s="51">
        <f t="shared" si="40"/>
        <v>8.1624288774105338</v>
      </c>
      <c r="AJ56" s="618">
        <f>IF(AJ44=0,AI56*(1+AJ$11*AJ$38),IF(AJ44=1,AJ222*Valuation!$D$18/10^3,IF(AJ44=2,)))</f>
        <v>2.2776000000000001</v>
      </c>
      <c r="AK56" s="618">
        <f>IF(AK44=0,AJ56*(1+AK$11*AK$38),IF(AK44=1,AK222*Valuation!$D$18/10^3,IF(AK44=2,)))</f>
        <v>2.331693</v>
      </c>
      <c r="AL56" s="618">
        <f>IF(AL44=0,AK56*(1+AL$11*AL$38),IF(AL44=1,AL222*Valuation!$D$18/10^3,IF(AL44=2,)))</f>
        <v>2.38707070875</v>
      </c>
      <c r="AM56" s="618">
        <f>IF(AM44=0,AL56*(1+AM$11*AM$38),IF(AM44=1,AM222*Valuation!$D$18/10^3,IF(AM44=2,)))</f>
        <v>2.4437636380828125</v>
      </c>
      <c r="AN56" s="618">
        <f>IF(AN44=0,AM56*(1+AN$11*AN$38),IF(AN44=1,AN222*Valuation!$D$18/10^3,IF(AN44=2,)))</f>
        <v>2.5018030244872791</v>
      </c>
      <c r="AO56" s="618">
        <f>IF(AO44=0,AN56*(1+AO$11*AO$38),IF(AO44=1,AO222*Valuation!$D$18/10^3,IF(AO44=2,)))</f>
        <v>2.5612208463188519</v>
      </c>
      <c r="AP56" s="618">
        <f>IF(AP44=0,AO56*(1+AP$11*AP$38),IF(AP44=1,AP222*Valuation!$D$18/10^3,IF(AP44=2,)))</f>
        <v>2.6220498414189244</v>
      </c>
      <c r="AQ56" s="618">
        <f>IF(AQ44=0,AP56*(1+AQ$11*AQ$38),IF(AQ44=1,AQ222*Valuation!$D$18/10^3,IF(AQ44=2,)))</f>
        <v>2.6843235251526236</v>
      </c>
      <c r="AR56" s="618">
        <f>IF(AR44=0,AQ56*(1+AR$11*AR$38),IF(AR44=1,AR222*Valuation!$D$18/10^3,IF(AR44=2,)))</f>
        <v>2.7480762088749984</v>
      </c>
      <c r="AS56" s="618">
        <f>IF(AS44=0,AR56*(1+AS$11*AS$38),IF(AS44=1,AS222*Valuation!$D$18/10^3,IF(AS44=2,)))</f>
        <v>2.8133430188357793</v>
      </c>
      <c r="AT56" s="618">
        <f>IF(AT44=0,AS56*(1+AT$11*AT$38),IF(AT44=1,AT222*Valuation!$D$18/10^3,IF(AT44=2,)))</f>
        <v>2.8801599155331288</v>
      </c>
      <c r="AU56" s="618">
        <f>IF(AU44=0,AT56*(1+AU$11*AU$38),IF(AU44=1,AU222*Valuation!$D$18/10^3,IF(AU44=2,)))</f>
        <v>2.9485637135270406</v>
      </c>
      <c r="AV56" s="618">
        <f>IF(AV44=0,AU56*(1+AV$11*AV$38),IF(AV44=1,AV222*Valuation!$D$18/10^3,IF(AV44=2,)))</f>
        <v>3.0185921017233075</v>
      </c>
      <c r="AW56" s="618">
        <f>IF(AW44=0,AV56*(1+AW$11*AW$38),IF(AW44=1,AW222*Valuation!$D$18/10^3,IF(AW44=2,)))</f>
        <v>0</v>
      </c>
      <c r="AX56" s="618">
        <f>IF(AX44=0,AW56*(1+AX$11*AX$38),IF(AX44=1,AX222*Valuation!$D$18/10^3,IF(AX44=2,)))</f>
        <v>0</v>
      </c>
      <c r="AY56" s="618">
        <f>IF(AY44=0,AX56*(1+AY$11*AY$38),IF(AY44=1,AY222*Valuation!$D$18/10^3,IF(AY44=2,)))</f>
        <v>0</v>
      </c>
      <c r="AZ56" s="618">
        <f>IF(AZ44=0,AY56*(1+AZ$11*AZ$38),IF(AZ44=1,AZ222*Valuation!$D$18/10^3,IF(AZ44=2,)))</f>
        <v>0</v>
      </c>
      <c r="BA56" s="618">
        <f>IF(BA44=0,AZ56*(1+BA$11*BA$38),IF(BA44=1,BA222*Valuation!$D$18/10^3,IF(BA44=2,)))</f>
        <v>0</v>
      </c>
      <c r="BB56" s="618">
        <f>IF(BB44=0,BA56*(1+BB$11*BB$38),IF(BB44=1,BB222*Valuation!$D$18/10^3,IF(BB44=2,)))</f>
        <v>0</v>
      </c>
      <c r="BC56" s="618">
        <f>IF(BC44=0,BB56*(1+BC$11*BC$38),IF(BC44=1,BC222*Valuation!$D$18/10^3,IF(BC44=2,)))</f>
        <v>0</v>
      </c>
      <c r="BD56" s="618">
        <f>IF(BD44=0,BC56*(1+BD$11*BD$38),IF(BD44=1,BD222*Valuation!$D$18/10^3,IF(BD44=2,)))</f>
        <v>0</v>
      </c>
      <c r="BE56" s="618">
        <f>IF(BE44=0,BD56*(1+BE$11*BE$38),IF(BE44=1,BE222*Valuation!$D$18/10^3,IF(BE44=2,)))</f>
        <v>0</v>
      </c>
      <c r="BF56" s="618">
        <f>IF(BF44=0,BE56*(1+BF$11*BF$38),IF(BF44=1,BF222*Valuation!$D$18/10^3,IF(BF44=2,)))</f>
        <v>0</v>
      </c>
      <c r="BG56" s="618">
        <f>IF(BG44=0,BF56*(1+BG$11*BG$38),IF(BG44=1,BG222*Valuation!$D$18/10^3,IF(BG44=2,)))</f>
        <v>0</v>
      </c>
      <c r="BH56" s="618">
        <f>IF(BH44=0,BG56*(1+BH$11*BH$38),IF(BH44=1,BH222*Valuation!$D$18/10^3,IF(BH44=2,)))</f>
        <v>0</v>
      </c>
      <c r="BI56" s="618">
        <f>IF(BI44=0,BH56*(1+BI$11*BI$38),IF(BI44=1,BI222*Valuation!$D$18/10^3,IF(BI44=2,)))</f>
        <v>0</v>
      </c>
      <c r="BJ56" s="618">
        <f>IF(BJ44=0,BI56*(1+BJ$11*BJ$38),IF(BJ44=1,BJ222*Valuation!$D$18/10^3,IF(BJ44=2,)))</f>
        <v>0</v>
      </c>
      <c r="BK56" s="618">
        <f>IF(BK44=0,BJ56*(1+BK$11*BK$38),IF(BK44=1,BK222*Valuation!$D$18/10^3,IF(BK44=2,)))</f>
        <v>0</v>
      </c>
      <c r="BL56" s="618">
        <f>IF(BL44=0,BK56*(1+BL$11*BL$38),IF(BL44=1,BL222*Valuation!$D$18/10^3,IF(BL44=2,)))</f>
        <v>0</v>
      </c>
      <c r="BM56" s="618">
        <f>IF(BM44=0,BL56*(1+BM$11*BM$38),IF(BM44=1,BM222*Valuation!$D$18/10^3,IF(BM44=2,)))</f>
        <v>0</v>
      </c>
      <c r="BN56" s="618">
        <f>IF(BN44=0,BM56*(1+BN$11*BN$38),IF(BN44=1,BN222*Valuation!$D$18/10^3,IF(BN44=2,)))</f>
        <v>0</v>
      </c>
      <c r="BO56" s="618">
        <f>IF(BO44=0,BN56*(1+BO$11*BO$38),IF(BO44=1,BO222*Valuation!$D$18/10^3,IF(BO44=2,)))</f>
        <v>0</v>
      </c>
      <c r="BP56" s="618">
        <f>IF(BP44=0,BO56*(1+BP$11*BP$38),IF(BP44=1,BP222*Valuation!$D$18/10^3,IF(BP44=2,)))</f>
        <v>0</v>
      </c>
      <c r="BQ56" s="618">
        <f>IF(BQ44=0,BP56*(1+BQ$11*BQ$38),IF(BQ44=1,BQ222*Valuation!$D$18/10^3,IF(BQ44=2,)))</f>
        <v>0</v>
      </c>
      <c r="BR56" s="618">
        <f>IF(BR44=0,BQ56*(1+BR$11*BR$38),IF(BR44=1,BR222*Valuation!$D$18/10^3,IF(BR44=2,)))</f>
        <v>0</v>
      </c>
      <c r="BS56" s="618">
        <f>IF(BS44=0,BR56*(1+BS$11*BS$38),IF(BS44=1,BS222*Valuation!$D$18/10^3,IF(BS44=2,)))</f>
        <v>0</v>
      </c>
      <c r="BT56" s="618">
        <f>IF(BT44=0,BS56*(1+BT$11*BT$38),IF(BT44=1,BT222*Valuation!$D$18/10^3,IF(BT44=2,)))</f>
        <v>0</v>
      </c>
      <c r="BU56" s="618">
        <f>IF(BU44=0,BT56*(1+BU$11*BU$38),IF(BU44=1,BU222*Valuation!$D$18/10^3,IF(BU44=2,)))</f>
        <v>0</v>
      </c>
      <c r="BV56" s="618">
        <f>IF(BV44=0,BU56*(1+BV$11*BV$38),IF(BV44=1,BV222*Valuation!$D$18/10^3,IF(BV44=2,)))</f>
        <v>0</v>
      </c>
      <c r="BW56" s="618">
        <f>IF(BW44=0,BV56*(1+BW$11*BW$38),IF(BW44=1,BW222*Valuation!$D$18/10^3,IF(BW44=2,)))</f>
        <v>0</v>
      </c>
      <c r="BX56" s="618">
        <f>IF(BX44=0,BW56*(1+BX$11*BX$38),IF(BX44=1,BX222*Valuation!$D$18/10^3,IF(BX44=2,)))</f>
        <v>0</v>
      </c>
      <c r="BY56" s="618">
        <f>IF(BY44=0,BX56*(1+BY$11*BY$38),IF(BY44=1,BY222*Valuation!$D$18/10^3,IF(BY44=2,)))</f>
        <v>0</v>
      </c>
      <c r="BZ56" s="618">
        <f>IF(BZ44=0,BY56*(1+BZ$11*BZ$38),IF(BZ44=1,BZ222*Valuation!$D$18/10^3,IF(BZ44=2,)))</f>
        <v>0</v>
      </c>
      <c r="CA56" s="618">
        <f>IF(CA44=0,BZ56*(1+CA$11*CA$38),IF(CA44=1,CA222*Valuation!$D$18/10^3,IF(CA44=2,)))</f>
        <v>0</v>
      </c>
      <c r="CB56" s="618">
        <f>IF(CB44=0,CA56*(1+CB$11*CB$38),IF(CB44=1,CB222*Valuation!$D$18/10^3,IF(CB44=2,)))</f>
        <v>0</v>
      </c>
      <c r="CC56" s="618">
        <f>IF(CC44=0,CB56*(1+CC$11*CC$38),IF(CC44=1,CC222*Valuation!$D$18/10^3,IF(CC44=2,)))</f>
        <v>0</v>
      </c>
      <c r="CD56" s="618">
        <f>IF(CD44=0,CC56*(1+CD$11*CD$38),IF(CD44=1,CD222*Valuation!$D$18/10^3,IF(CD44=2,)))</f>
        <v>0</v>
      </c>
      <c r="CE56" s="618">
        <f>IF(CE44=0,CD56*(1+CE$11*CE$38),IF(CE44=1,CE222*Valuation!$D$18/10^3,IF(CE44=2,)))</f>
        <v>0</v>
      </c>
      <c r="CF56" s="618">
        <f>IF(CF44=0,CE56*(1+CF$11*CF$38),IF(CF44=1,CF222*Valuation!$D$18/10^3,IF(CF44=2,)))</f>
        <v>0</v>
      </c>
      <c r="CG56" s="618">
        <f>IF(CG44=0,CF56*(1+CG$11*CG$38),IF(CG44=1,CG222*Valuation!$D$18/10^3,IF(CG44=2,)))</f>
        <v>0</v>
      </c>
      <c r="CH56" s="618">
        <f>IF(CH44=0,CG56*(1+CH$11*CH$38),IF(CH44=1,CH222*Valuation!$D$18/10^3,IF(CH44=2,)))</f>
        <v>0</v>
      </c>
      <c r="CI56" s="618">
        <f>IF(CI44=0,CH56*(1+CI$11*CI$38),IF(CI44=1,CI222*Valuation!$D$18/10^3,IF(CI44=2,)))</f>
        <v>0</v>
      </c>
      <c r="CJ56" s="618">
        <f>IF(CJ44=0,CI56*(1+CJ$11*CJ$38),IF(CJ44=1,CJ222*Valuation!$D$18/10^3,IF(CJ44=2,)))</f>
        <v>0</v>
      </c>
      <c r="CK56" s="618">
        <f>IF(CK44=0,CJ56*(1+CK$11*CK$38),IF(CK44=1,CK222*Valuation!$D$18/10^3,IF(CK44=2,)))</f>
        <v>0</v>
      </c>
      <c r="CL56" s="618">
        <f>IF(CL44=0,CK56*(1+CL$11*CL$38),IF(CL44=1,CL222*Valuation!$D$18/10^3,IF(CL44=2,)))</f>
        <v>0</v>
      </c>
      <c r="CM56" s="618">
        <f>IF(CM44=0,CL56*(1+CM$11*CM$38),IF(CM44=1,CM222*Valuation!$D$18/10^3,IF(CM44=2,)))</f>
        <v>0</v>
      </c>
      <c r="CN56" s="618">
        <f>IF(CN44=0,CM56*(1+CN$11*CN$38),IF(CN44=1,CN222*Valuation!$D$18/10^3,IF(CN44=2,)))</f>
        <v>0</v>
      </c>
      <c r="CO56" s="618">
        <f>IF(CO44=0,CN56*(1+CO$11*CO$38),IF(CO44=1,CO222*Valuation!$D$18/10^3,IF(CO44=2,)))</f>
        <v>0</v>
      </c>
      <c r="CP56" s="618">
        <f>IF(CP44=0,CO56*(1+CP$11*CP$38),IF(CP44=1,CP222*Valuation!$D$18/10^3,IF(CP44=2,)))</f>
        <v>0</v>
      </c>
      <c r="CQ56" s="362" t="s">
        <v>77</v>
      </c>
    </row>
    <row r="57" spans="2:95" outlineLevel="1" x14ac:dyDescent="0.2">
      <c r="B57" s="8" t="s">
        <v>566</v>
      </c>
      <c r="D57" s="309">
        <v>0.7</v>
      </c>
      <c r="E57" s="511" t="s">
        <v>579</v>
      </c>
      <c r="S57" s="9">
        <v>0</v>
      </c>
      <c r="T57" s="9">
        <v>0</v>
      </c>
      <c r="U57" s="9">
        <v>0</v>
      </c>
      <c r="V57" s="9">
        <v>0</v>
      </c>
      <c r="W57" s="9">
        <v>0</v>
      </c>
      <c r="X57" s="157">
        <v>0</v>
      </c>
      <c r="Y57" s="157">
        <f>Y84/D57</f>
        <v>22.5</v>
      </c>
      <c r="Z57" s="157">
        <f>+Y57*(1+Z$9*Z$38)*12/9</f>
        <v>30.749999999999993</v>
      </c>
      <c r="AA57" s="618">
        <f>IF(AA45=0,Z57*(1+AA$11*AA$38),IF(AA45=1,AA216*Valuation!$D$18/10^3,IF(AA45=2,)))</f>
        <v>31.51874999999999</v>
      </c>
      <c r="AB57" s="618">
        <f>IF(AB45=0,AA57*(1+AB$11*AB$38),IF(AB45=1,AB216*Valuation!$D$18/10^3,IF(AB45=2,)))</f>
        <v>32.306718749999987</v>
      </c>
      <c r="AC57" s="618">
        <f>IF(AC45=0,AB57*(1+AC$11*AC$38),IF(AC45=1,AC216*Valuation!$D$18/10^3,IF(AC45=2,)))</f>
        <v>33.114386718749984</v>
      </c>
      <c r="AD57" s="618">
        <f>IF(AD45=0,AC57*(1+AD$11*AD$38),IF(AD45=1,AD216*Valuation!$D$18/10^3,IF(AD45=2,)))</f>
        <v>33.900853403320291</v>
      </c>
      <c r="AE57" s="618">
        <f>IF(AE45=0,AD57*(1+AE$11*AE$38),IF(AE45=1,AE216*Valuation!$D$18/10^3,IF(AE45=2,)))</f>
        <v>34.705998671649148</v>
      </c>
      <c r="AF57" s="618">
        <f>IF(AF45=0,AE57*(1+AF$11*AF$38),IF(AF45=1,AF216*Valuation!$D$18/10^3,IF(AF45=2,)))</f>
        <v>35.530266140100814</v>
      </c>
      <c r="AG57" s="618">
        <f>IF(AG45=0,AF57*(1+AG$11*AG$38),IF(AG45=1,AG216*Valuation!$D$18/10^3,IF(AG45=2,)))</f>
        <v>36.374109960928209</v>
      </c>
      <c r="AH57" s="618">
        <f>IF(AH45=0,AG57*(1+AH$11*AH$38),IF(AH45=1,AH216*Valuation!$D$18/10^3,IF(AH45=2,)))</f>
        <v>37.237995072500254</v>
      </c>
      <c r="AI57" s="618">
        <f>IF(AI45=0,AH57*(1+AI$11*AI$38),IF(AI45=1,AI216*Valuation!$D$18/10^3,IF(AI45=2,)))</f>
        <v>38.122397455472132</v>
      </c>
      <c r="AJ57" s="618">
        <f>IF(AJ45=0,AI57*(1+AJ$11*AJ$38),IF(AJ45=1,AJ216*Valuation!$D$18/10^3,IF(AJ45=2,)))</f>
        <v>39.027804395039595</v>
      </c>
      <c r="AK57" s="618">
        <f>IF(AK45=0,AJ57*(1+AK$11*AK$38),IF(AK45=1,AK216*Valuation!$D$18/10^3,IF(AK45=2,)))</f>
        <v>31.829460000000005</v>
      </c>
      <c r="AL57" s="618">
        <f>IF(AL45=0,AK57*(1+AL$11*AL$38),IF(AL45=1,AL216*Valuation!$D$18/10^3,IF(AL45=2,)))</f>
        <v>32.585409675000001</v>
      </c>
      <c r="AM57" s="618">
        <f>IF(AM45=0,AL57*(1+AM$11*AM$38),IF(AM45=1,AM216*Valuation!$D$18/10^3,IF(AM45=2,)))</f>
        <v>33.359313154781248</v>
      </c>
      <c r="AN57" s="618">
        <f>IF(AN45=0,AM57*(1+AN$11*AN$38),IF(AN45=1,AN216*Valuation!$D$18/10^3,IF(AN45=2,)))</f>
        <v>34.151596842207297</v>
      </c>
      <c r="AO57" s="618">
        <f>IF(AO45=0,AN57*(1+AO$11*AO$38),IF(AO45=1,AO216*Valuation!$D$18/10^3,IF(AO45=2,)))</f>
        <v>34.96269726720972</v>
      </c>
      <c r="AP57" s="618">
        <f>IF(AP45=0,AO57*(1+AP$11*AP$38),IF(AP45=1,AP216*Valuation!$D$18/10^3,IF(AP45=2,)))</f>
        <v>35.793061327305949</v>
      </c>
      <c r="AQ57" s="618">
        <f>IF(AQ45=0,AP57*(1+AQ$11*AQ$38),IF(AQ45=1,AQ216*Valuation!$D$18/10^3,IF(AQ45=2,)))</f>
        <v>36.643146533829466</v>
      </c>
      <c r="AR57" s="618">
        <f>IF(AR45=0,AQ57*(1+AR$11*AR$38),IF(AR45=1,AR216*Valuation!$D$18/10^3,IF(AR45=2,)))</f>
        <v>37.51342126400791</v>
      </c>
      <c r="AS57" s="618">
        <f>IF(AS45=0,AR57*(1+AS$11*AS$38),IF(AS45=1,AS216*Valuation!$D$18/10^3,IF(AS45=2,)))</f>
        <v>38.404365019028099</v>
      </c>
      <c r="AT57" s="618">
        <f>IF(AT45=0,AS57*(1+AT$11*AT$38),IF(AT45=1,AT216*Valuation!$D$18/10^3,IF(AT45=2,)))</f>
        <v>39.31646868823001</v>
      </c>
      <c r="AU57" s="618">
        <f>IF(AU45=0,AT57*(1+AU$11*AU$38),IF(AU45=1,AU216*Valuation!$D$18/10^3,IF(AU45=2,)))</f>
        <v>40.250234819575468</v>
      </c>
      <c r="AV57" s="618">
        <f>IF(AV45=0,AU57*(1+AV$11*AV$38),IF(AV45=1,AV216*Valuation!$D$18/10^3,IF(AV45=2,)))</f>
        <v>41.206177896540382</v>
      </c>
      <c r="AW57" s="618">
        <f>IF(AW45=0,AV57*(1+AW$11*AW$38),IF(AW45=1,AW216*Valuation!$D$18/10^3,IF(AW45=2,)))</f>
        <v>0</v>
      </c>
      <c r="AX57" s="618">
        <f>IF(AX45=0,AW57*(1+AX$11*AX$38),IF(AX45=1,AX216*Valuation!$D$18/10^3,IF(AX45=2,)))</f>
        <v>0</v>
      </c>
      <c r="AY57" s="618">
        <f>IF(AY45=0,AX57*(1+AY$11*AY$38),IF(AY45=1,AY216*Valuation!$D$18/10^3,IF(AY45=2,)))</f>
        <v>0</v>
      </c>
      <c r="AZ57" s="618">
        <f>IF(AZ45=0,AY57*(1+AZ$11*AZ$38),IF(AZ45=1,AZ216*Valuation!$D$18/10^3,IF(AZ45=2,)))</f>
        <v>0</v>
      </c>
      <c r="BA57" s="618">
        <f>IF(BA45=0,AZ57*(1+BA$11*BA$38),IF(BA45=1,BA216*Valuation!$D$18/10^3,IF(BA45=2,)))</f>
        <v>0</v>
      </c>
      <c r="BB57" s="618">
        <f>IF(BB45=0,BA57*(1+BB$11*BB$38),IF(BB45=1,BB216*Valuation!$D$18/10^3,IF(BB45=2,)))</f>
        <v>0</v>
      </c>
      <c r="BC57" s="618">
        <f>IF(BC45=0,BB57*(1+BC$11*BC$38),IF(BC45=1,BC216*Valuation!$D$18/10^3,IF(BC45=2,)))</f>
        <v>0</v>
      </c>
      <c r="BD57" s="618">
        <f>IF(BD45=0,BC57*(1+BD$11*BD$38),IF(BD45=1,BD216*Valuation!$D$18/10^3,IF(BD45=2,)))</f>
        <v>0</v>
      </c>
      <c r="BE57" s="618">
        <f>IF(BE45=0,BD57*(1+BE$11*BE$38),IF(BE45=1,BE216*Valuation!$D$18/10^3,IF(BE45=2,)))</f>
        <v>0</v>
      </c>
      <c r="BF57" s="618">
        <f>IF(BF45=0,BE57*(1+BF$11*BF$38),IF(BF45=1,BF216*Valuation!$D$18/10^3,IF(BF45=2,)))</f>
        <v>0</v>
      </c>
      <c r="BG57" s="618">
        <f>IF(BG45=0,BF57*(1+BG$11*BG$38),IF(BG45=1,BG216*Valuation!$D$18/10^3,IF(BG45=2,)))</f>
        <v>0</v>
      </c>
      <c r="BH57" s="618">
        <f>IF(BH45=0,BG57*(1+BH$11*BH$38),IF(BH45=1,BH216*Valuation!$D$18/10^3,IF(BH45=2,)))</f>
        <v>0</v>
      </c>
      <c r="BI57" s="618">
        <f>IF(BI45=0,BH57*(1+BI$11*BI$38),IF(BI45=1,BI216*Valuation!$D$18/10^3,IF(BI45=2,)))</f>
        <v>0</v>
      </c>
      <c r="BJ57" s="618">
        <f>IF(BJ45=0,BI57*(1+BJ$11*BJ$38),IF(BJ45=1,BJ216*Valuation!$D$18/10^3,IF(BJ45=2,)))</f>
        <v>0</v>
      </c>
      <c r="BK57" s="618">
        <f>IF(BK45=0,BJ57*(1+BK$11*BK$38),IF(BK45=1,BK216*Valuation!$D$18/10^3,IF(BK45=2,)))</f>
        <v>0</v>
      </c>
      <c r="BL57" s="618">
        <f>IF(BL45=0,BK57*(1+BL$11*BL$38),IF(BL45=1,BL216*Valuation!$D$18/10^3,IF(BL45=2,)))</f>
        <v>0</v>
      </c>
      <c r="BM57" s="618">
        <f>IF(BM45=0,BL57*(1+BM$11*BM$38),IF(BM45=1,BM216*Valuation!$D$18/10^3,IF(BM45=2,)))</f>
        <v>0</v>
      </c>
      <c r="BN57" s="618">
        <f>IF(BN45=0,BM57*(1+BN$11*BN$38),IF(BN45=1,BN216*Valuation!$D$18/10^3,IF(BN45=2,)))</f>
        <v>0</v>
      </c>
      <c r="BO57" s="618">
        <f>IF(BO45=0,BN57*(1+BO$11*BO$38),IF(BO45=1,BO216*Valuation!$D$18/10^3,IF(BO45=2,)))</f>
        <v>0</v>
      </c>
      <c r="BP57" s="618">
        <f>IF(BP45=0,BO57*(1+BP$11*BP$38),IF(BP45=1,BP216*Valuation!$D$18/10^3,IF(BP45=2,)))</f>
        <v>0</v>
      </c>
      <c r="BQ57" s="618">
        <f>IF(BQ45=0,BP57*(1+BQ$11*BQ$38),IF(BQ45=1,BQ216*Valuation!$D$18/10^3,IF(BQ45=2,)))</f>
        <v>0</v>
      </c>
      <c r="BR57" s="618">
        <f>IF(BR45=0,BQ57*(1+BR$11*BR$38),IF(BR45=1,BR216*Valuation!$D$18/10^3,IF(BR45=2,)))</f>
        <v>0</v>
      </c>
      <c r="BS57" s="618">
        <f>IF(BS45=0,BR57*(1+BS$11*BS$38),IF(BS45=1,BS216*Valuation!$D$18/10^3,IF(BS45=2,)))</f>
        <v>0</v>
      </c>
      <c r="BT57" s="618">
        <f>IF(BT45=0,BS57*(1+BT$11*BT$38),IF(BT45=1,BT216*Valuation!$D$18/10^3,IF(BT45=2,)))</f>
        <v>0</v>
      </c>
      <c r="BU57" s="618">
        <f>IF(BU45=0,BT57*(1+BU$11*BU$38),IF(BU45=1,BU216*Valuation!$D$18/10^3,IF(BU45=2,)))</f>
        <v>0</v>
      </c>
      <c r="BV57" s="618">
        <f>IF(BV45=0,BU57*(1+BV$11*BV$38),IF(BV45=1,BV216*Valuation!$D$18/10^3,IF(BV45=2,)))</f>
        <v>0</v>
      </c>
      <c r="BW57" s="618">
        <f>IF(BW45=0,BV57*(1+BW$11*BW$38),IF(BW45=1,BW216*Valuation!$D$18/10^3,IF(BW45=2,)))</f>
        <v>0</v>
      </c>
      <c r="BX57" s="618">
        <f>IF(BX45=0,BW57*(1+BX$11*BX$38),IF(BX45=1,BX216*Valuation!$D$18/10^3,IF(BX45=2,)))</f>
        <v>0</v>
      </c>
      <c r="BY57" s="618">
        <f>IF(BY45=0,BX57*(1+BY$11*BY$38),IF(BY45=1,BY216*Valuation!$D$18/10^3,IF(BY45=2,)))</f>
        <v>0</v>
      </c>
      <c r="BZ57" s="618">
        <f>IF(BZ45=0,BY57*(1+BZ$11*BZ$38),IF(BZ45=1,BZ216*Valuation!$D$18/10^3,IF(BZ45=2,)))</f>
        <v>0</v>
      </c>
      <c r="CA57" s="618">
        <f>IF(CA45=0,BZ57*(1+CA$11*CA$38),IF(CA45=1,CA216*Valuation!$D$18/10^3,IF(CA45=2,)))</f>
        <v>0</v>
      </c>
      <c r="CB57" s="618">
        <f>IF(CB45=0,CA57*(1+CB$11*CB$38),IF(CB45=1,CB216*Valuation!$D$18/10^3,IF(CB45=2,)))</f>
        <v>0</v>
      </c>
      <c r="CC57" s="618">
        <f>IF(CC45=0,CB57*(1+CC$11*CC$38),IF(CC45=1,CC216*Valuation!$D$18/10^3,IF(CC45=2,)))</f>
        <v>0</v>
      </c>
      <c r="CD57" s="618">
        <f>IF(CD45=0,CC57*(1+CD$11*CD$38),IF(CD45=1,CD216*Valuation!$D$18/10^3,IF(CD45=2,)))</f>
        <v>0</v>
      </c>
      <c r="CE57" s="618">
        <f>IF(CE45=0,CD57*(1+CE$11*CE$38),IF(CE45=1,CE216*Valuation!$D$18/10^3,IF(CE45=2,)))</f>
        <v>0</v>
      </c>
      <c r="CF57" s="618">
        <f>IF(CF45=0,CE57*(1+CF$11*CF$38),IF(CF45=1,CF216*Valuation!$D$18/10^3,IF(CF45=2,)))</f>
        <v>0</v>
      </c>
      <c r="CG57" s="618">
        <f>IF(CG45=0,CF57*(1+CG$11*CG$38),IF(CG45=1,CG216*Valuation!$D$18/10^3,IF(CG45=2,)))</f>
        <v>0</v>
      </c>
      <c r="CH57" s="618">
        <f>IF(CH45=0,CG57*(1+CH$11*CH$38),IF(CH45=1,CH216*Valuation!$D$18/10^3,IF(CH45=2,)))</f>
        <v>0</v>
      </c>
      <c r="CI57" s="618">
        <f>IF(CI45=0,CH57*(1+CI$11*CI$38),IF(CI45=1,CI216*Valuation!$D$18/10^3,IF(CI45=2,)))</f>
        <v>0</v>
      </c>
      <c r="CJ57" s="618">
        <f>IF(CJ45=0,CI57*(1+CJ$11*CJ$38),IF(CJ45=1,CJ216*Valuation!$D$18/10^3,IF(CJ45=2,)))</f>
        <v>0</v>
      </c>
      <c r="CK57" s="618">
        <f>IF(CK45=0,CJ57*(1+CK$11*CK$38),IF(CK45=1,CK216*Valuation!$D$18/10^3,IF(CK45=2,)))</f>
        <v>0</v>
      </c>
      <c r="CL57" s="618">
        <f>IF(CL45=0,CK57*(1+CL$11*CL$38),IF(CL45=1,CL216*Valuation!$D$18/10^3,IF(CL45=2,)))</f>
        <v>0</v>
      </c>
      <c r="CM57" s="618">
        <f>IF(CM45=0,CL57*(1+CM$11*CM$38),IF(CM45=1,CM216*Valuation!$D$18/10^3,IF(CM45=2,)))</f>
        <v>0</v>
      </c>
      <c r="CN57" s="618">
        <f>IF(CN45=0,CM57*(1+CN$11*CN$38),IF(CN45=1,CN216*Valuation!$D$18/10^3,IF(CN45=2,)))</f>
        <v>0</v>
      </c>
      <c r="CO57" s="618">
        <f>IF(CO45=0,CN57*(1+CO$11*CO$38),IF(CO45=1,CO216*Valuation!$D$18/10^3,IF(CO45=2,)))</f>
        <v>0</v>
      </c>
      <c r="CP57" s="618">
        <f>IF(CP45=0,CO57*(1+CP$11*CP$38),IF(CP45=1,CP216*Valuation!$D$18/10^3,IF(CP45=2,)))</f>
        <v>0</v>
      </c>
      <c r="CQ57" s="362" t="s">
        <v>77</v>
      </c>
    </row>
    <row r="58" spans="2:95" outlineLevel="1" x14ac:dyDescent="0.2">
      <c r="B58" s="8" t="s">
        <v>340</v>
      </c>
      <c r="D58" s="309">
        <v>0.7</v>
      </c>
      <c r="E58" s="619">
        <f>Valuation!$E$13</f>
        <v>0.1</v>
      </c>
      <c r="K58" s="9" t="str">
        <f t="shared" ref="K58:S58" si="41">IF(ISERROR(+K85/K$34),"n.a.",+K85/K$34)</f>
        <v>n.a.</v>
      </c>
      <c r="L58" s="9" t="str">
        <f t="shared" si="41"/>
        <v>n.a.</v>
      </c>
      <c r="M58" s="9" t="str">
        <f t="shared" si="41"/>
        <v>n.a.</v>
      </c>
      <c r="N58" s="9">
        <f t="shared" si="41"/>
        <v>15.808208767064079</v>
      </c>
      <c r="O58" s="9">
        <f t="shared" si="41"/>
        <v>17.610986249310422</v>
      </c>
      <c r="P58" s="9">
        <f t="shared" si="41"/>
        <v>13.585094246031748</v>
      </c>
      <c r="Q58" s="9">
        <f t="shared" si="41"/>
        <v>12.95825329272046</v>
      </c>
      <c r="R58" s="9">
        <f t="shared" si="41"/>
        <v>11.868514527628472</v>
      </c>
      <c r="S58" s="9">
        <f t="shared" si="41"/>
        <v>11.2931931166348</v>
      </c>
      <c r="T58" s="51">
        <v>9</v>
      </c>
      <c r="U58" s="51">
        <f>+T58*(1+U$9*U$38)</f>
        <v>9.1457999999999995</v>
      </c>
      <c r="V58" s="51">
        <f>+U58*(1+V$9*V$38)</f>
        <v>9.2692683000000002</v>
      </c>
      <c r="W58" s="51">
        <f>+V58*(1+W$9*W$38)</f>
        <v>9.3944034220500008</v>
      </c>
      <c r="X58" s="51">
        <f>IF(X46=0,W58*(1+X$11*X$38),IF(X46=1,-X72/(1-PERCENTILE($D58:$E58,$D$41)),IF(X46=2,)))</f>
        <v>9.6292635076012498</v>
      </c>
      <c r="Y58" s="51">
        <f t="shared" ref="Y58:CJ58" si="42">IF(Y46=0,X58*(1+Y$11*Y$38),IF(Y46=1,-Y72/(1-PERCENTILE($D58:$E58,$D$41)),IF(Y46=2,)))</f>
        <v>9.8699950952912801</v>
      </c>
      <c r="Z58" s="51">
        <f t="shared" si="42"/>
        <v>10.116744972673562</v>
      </c>
      <c r="AA58" s="51">
        <f t="shared" si="42"/>
        <v>10.369663596990399</v>
      </c>
      <c r="AB58" s="51">
        <f t="shared" si="42"/>
        <v>10.628905186915159</v>
      </c>
      <c r="AC58" s="51">
        <f t="shared" si="42"/>
        <v>10.894627816588036</v>
      </c>
      <c r="AD58" s="51">
        <f t="shared" si="42"/>
        <v>11.153375227232001</v>
      </c>
      <c r="AE58" s="51">
        <f t="shared" si="42"/>
        <v>11.418267888878761</v>
      </c>
      <c r="AF58" s="51">
        <f t="shared" si="42"/>
        <v>11.689451751239631</v>
      </c>
      <c r="AG58" s="51">
        <f t="shared" si="42"/>
        <v>11.967076230331571</v>
      </c>
      <c r="AH58" s="51">
        <f t="shared" si="42"/>
        <v>12.251294290801946</v>
      </c>
      <c r="AI58" s="51">
        <f t="shared" si="42"/>
        <v>12.542262530208491</v>
      </c>
      <c r="AJ58" s="51">
        <f t="shared" si="42"/>
        <v>12.840141265300943</v>
      </c>
      <c r="AK58" s="51">
        <f t="shared" si="42"/>
        <v>13.14509462035184</v>
      </c>
      <c r="AL58" s="51">
        <f t="shared" si="42"/>
        <v>13.457290617585194</v>
      </c>
      <c r="AM58" s="51">
        <f t="shared" si="42"/>
        <v>13.776901269752841</v>
      </c>
      <c r="AN58" s="51">
        <f t="shared" si="42"/>
        <v>14.10410267490947</v>
      </c>
      <c r="AO58" s="51">
        <f t="shared" si="42"/>
        <v>14.43907511343857</v>
      </c>
      <c r="AP58" s="51">
        <f t="shared" si="42"/>
        <v>14.782003147382735</v>
      </c>
      <c r="AQ58" s="51">
        <f t="shared" si="42"/>
        <v>15.133075722133073</v>
      </c>
      <c r="AR58" s="51">
        <f t="shared" si="42"/>
        <v>15.492486270533732</v>
      </c>
      <c r="AS58" s="51">
        <f t="shared" si="42"/>
        <v>15.860432819458907</v>
      </c>
      <c r="AT58" s="51">
        <f t="shared" si="42"/>
        <v>16.237118098921055</v>
      </c>
      <c r="AU58" s="51">
        <f t="shared" si="42"/>
        <v>16.62274965377043</v>
      </c>
      <c r="AV58" s="51">
        <f t="shared" si="42"/>
        <v>17.017539958047479</v>
      </c>
      <c r="AW58" s="51">
        <f t="shared" si="42"/>
        <v>17.421706532051104</v>
      </c>
      <c r="AX58" s="51">
        <f t="shared" si="42"/>
        <v>17.835472062187318</v>
      </c>
      <c r="AY58" s="51">
        <f t="shared" si="42"/>
        <v>18.259064523664264</v>
      </c>
      <c r="AZ58" s="51">
        <f t="shared" si="42"/>
        <v>18.69271730610129</v>
      </c>
      <c r="BA58" s="51">
        <f t="shared" si="42"/>
        <v>19.136669342121195</v>
      </c>
      <c r="BB58" s="51">
        <f t="shared" si="42"/>
        <v>19.591165238996574</v>
      </c>
      <c r="BC58" s="51">
        <f t="shared" si="42"/>
        <v>20.056455413422743</v>
      </c>
      <c r="BD58" s="51">
        <f t="shared" si="42"/>
        <v>20.532796229491531</v>
      </c>
      <c r="BE58" s="51">
        <f t="shared" si="42"/>
        <v>21.020450139941953</v>
      </c>
      <c r="BF58" s="51">
        <f t="shared" si="42"/>
        <v>21.519685830765575</v>
      </c>
      <c r="BG58" s="51">
        <f t="shared" si="42"/>
        <v>22.030778369246256</v>
      </c>
      <c r="BH58" s="51">
        <f t="shared" si="42"/>
        <v>22.554009355515852</v>
      </c>
      <c r="BI58" s="51">
        <f t="shared" si="42"/>
        <v>23.08966707770935</v>
      </c>
      <c r="BJ58" s="51">
        <f t="shared" si="42"/>
        <v>23.638046670804947</v>
      </c>
      <c r="BK58" s="51">
        <f t="shared" si="42"/>
        <v>24.199450279236562</v>
      </c>
      <c r="BL58" s="51">
        <f t="shared" si="42"/>
        <v>24.774187223368429</v>
      </c>
      <c r="BM58" s="51">
        <f t="shared" si="42"/>
        <v>25.362574169923427</v>
      </c>
      <c r="BN58" s="51">
        <f t="shared" si="42"/>
        <v>25.964935306459108</v>
      </c>
      <c r="BO58" s="51">
        <f t="shared" si="42"/>
        <v>26.581602519987509</v>
      </c>
      <c r="BP58" s="51">
        <f t="shared" si="42"/>
        <v>27.212915579837212</v>
      </c>
      <c r="BQ58" s="51">
        <f t="shared" si="42"/>
        <v>27.859222324858344</v>
      </c>
      <c r="BR58" s="51">
        <f t="shared" si="42"/>
        <v>28.520878855073729</v>
      </c>
      <c r="BS58" s="51">
        <f t="shared" si="42"/>
        <v>29.198249727881727</v>
      </c>
      <c r="BT58" s="51">
        <f t="shared" si="42"/>
        <v>29.891708158918917</v>
      </c>
      <c r="BU58" s="51">
        <f t="shared" si="42"/>
        <v>30.601636227693238</v>
      </c>
      <c r="BV58" s="51">
        <f t="shared" si="42"/>
        <v>31.32842508810095</v>
      </c>
      <c r="BW58" s="51">
        <f t="shared" si="42"/>
        <v>32.072475183943347</v>
      </c>
      <c r="BX58" s="51">
        <f t="shared" si="42"/>
        <v>32.834196469562002</v>
      </c>
      <c r="BY58" s="51">
        <f t="shared" si="42"/>
        <v>33.6140086357141</v>
      </c>
      <c r="BZ58" s="51">
        <f t="shared" si="42"/>
        <v>34.412341340812311</v>
      </c>
      <c r="CA58" s="51">
        <f t="shared" si="42"/>
        <v>35.229634447656601</v>
      </c>
      <c r="CB58" s="51">
        <f t="shared" si="42"/>
        <v>36.066338265788445</v>
      </c>
      <c r="CC58" s="51">
        <f t="shared" si="42"/>
        <v>36.92291379960092</v>
      </c>
      <c r="CD58" s="51">
        <f t="shared" si="42"/>
        <v>37.799833002341437</v>
      </c>
      <c r="CE58" s="51">
        <f t="shared" si="42"/>
        <v>38.69757903614704</v>
      </c>
      <c r="CF58" s="51">
        <f t="shared" si="42"/>
        <v>39.61664653825553</v>
      </c>
      <c r="CG58" s="51">
        <f t="shared" si="42"/>
        <v>40.557541893539096</v>
      </c>
      <c r="CH58" s="51">
        <f t="shared" si="42"/>
        <v>41.520783513510644</v>
      </c>
      <c r="CI58" s="51">
        <f t="shared" si="42"/>
        <v>42.506902121956522</v>
      </c>
      <c r="CJ58" s="51">
        <f t="shared" si="42"/>
        <v>43.516441047352984</v>
      </c>
      <c r="CK58" s="51">
        <f t="shared" ref="CK58:CP58" si="43">IF(CK46=0,CJ58*(1+CK$11*CK$38),IF(CK46=1,-CK72/(1-PERCENTILE($D58:$E58,$D$41)),IF(CK46=2,)))</f>
        <v>44.549956522227617</v>
      </c>
      <c r="CL58" s="51">
        <f t="shared" si="43"/>
        <v>45.608017989630518</v>
      </c>
      <c r="CM58" s="51">
        <f t="shared" si="43"/>
        <v>46.691208416884237</v>
      </c>
      <c r="CN58" s="51">
        <f t="shared" si="43"/>
        <v>47.800124616785233</v>
      </c>
      <c r="CO58" s="51">
        <f t="shared" si="43"/>
        <v>48.935377576433879</v>
      </c>
      <c r="CP58" s="51">
        <f t="shared" si="43"/>
        <v>50.097592793874178</v>
      </c>
      <c r="CQ58" s="362" t="s">
        <v>77</v>
      </c>
    </row>
    <row r="59" spans="2:95" outlineLevel="1" x14ac:dyDescent="0.2">
      <c r="B59" s="8" t="s">
        <v>335</v>
      </c>
      <c r="D59" s="309">
        <v>0.80955288253343161</v>
      </c>
      <c r="E59" s="511" t="s">
        <v>586</v>
      </c>
      <c r="K59" s="9" t="str">
        <f>IF(ISERROR(+K81/K$34),"n.a.",+K81/K$34)</f>
        <v>n.a.</v>
      </c>
      <c r="L59" s="9" t="str">
        <f>IF(ISERROR(+L81/L$34),"n.a.",+L81/L$34)</f>
        <v>n.a.</v>
      </c>
      <c r="M59" s="9" t="str">
        <f>IF(ISERROR(+M81/M$34),"n.a.",+M81/M$34)</f>
        <v>n.a.</v>
      </c>
      <c r="N59" s="9">
        <v>0</v>
      </c>
      <c r="O59" s="9">
        <v>0</v>
      </c>
      <c r="P59" s="9">
        <v>0</v>
      </c>
      <c r="Q59" s="9">
        <v>0</v>
      </c>
      <c r="R59" s="9">
        <v>0</v>
      </c>
      <c r="S59" s="9">
        <v>0</v>
      </c>
      <c r="T59" s="51">
        <v>29.5</v>
      </c>
      <c r="U59" s="51">
        <f>+T59*(1+U$9*U$38)+5</f>
        <v>34.977899999999998</v>
      </c>
      <c r="V59" s="51">
        <v>40.750101649999998</v>
      </c>
      <c r="W59" s="51">
        <f>+V59*(1+W$9*W$38)+1</f>
        <v>42.300228022275</v>
      </c>
      <c r="X59" s="272">
        <f t="shared" ref="X59:BD59" si="44">+W59*(1+X$9*X$38)</f>
        <v>43.357733722831874</v>
      </c>
      <c r="Y59" s="272">
        <f t="shared" si="44"/>
        <v>44.441677065902667</v>
      </c>
      <c r="Z59" s="272">
        <f t="shared" si="44"/>
        <v>45.552718992550233</v>
      </c>
      <c r="AA59" s="272">
        <f t="shared" si="44"/>
        <v>46.691536967363987</v>
      </c>
      <c r="AB59" s="272">
        <f t="shared" si="44"/>
        <v>47.858825391548081</v>
      </c>
      <c r="AC59" s="272">
        <f t="shared" si="44"/>
        <v>49.055296026336777</v>
      </c>
      <c r="AD59" s="272">
        <f t="shared" si="44"/>
        <v>50.220359306962273</v>
      </c>
      <c r="AE59" s="272">
        <f t="shared" si="44"/>
        <v>51.413092840502621</v>
      </c>
      <c r="AF59" s="272">
        <f t="shared" si="44"/>
        <v>52.634153795464556</v>
      </c>
      <c r="AG59" s="272">
        <f t="shared" si="44"/>
        <v>53.884214948106838</v>
      </c>
      <c r="AH59" s="272">
        <f t="shared" si="44"/>
        <v>55.163965053124372</v>
      </c>
      <c r="AI59" s="272">
        <f t="shared" si="44"/>
        <v>56.474109223136075</v>
      </c>
      <c r="AJ59" s="272">
        <f t="shared" si="44"/>
        <v>57.815369317185556</v>
      </c>
      <c r="AK59" s="272">
        <f t="shared" si="44"/>
        <v>59.188484338468712</v>
      </c>
      <c r="AL59" s="272">
        <f t="shared" si="44"/>
        <v>60.594210841507341</v>
      </c>
      <c r="AM59" s="272">
        <f t="shared" si="44"/>
        <v>62.033323348993136</v>
      </c>
      <c r="AN59" s="272">
        <f t="shared" si="44"/>
        <v>63.50661477853172</v>
      </c>
      <c r="AO59" s="272">
        <f t="shared" si="44"/>
        <v>65.014896879521842</v>
      </c>
      <c r="AP59" s="272">
        <f t="shared" si="44"/>
        <v>66.559000680410477</v>
      </c>
      <c r="AQ59" s="272">
        <f t="shared" si="44"/>
        <v>68.139776946570223</v>
      </c>
      <c r="AR59" s="272">
        <f t="shared" si="44"/>
        <v>69.758096649051268</v>
      </c>
      <c r="AS59" s="272">
        <f t="shared" si="44"/>
        <v>71.414851444466237</v>
      </c>
      <c r="AT59" s="272">
        <f t="shared" si="44"/>
        <v>73.110954166272307</v>
      </c>
      <c r="AU59" s="272">
        <f t="shared" si="44"/>
        <v>74.847339327721272</v>
      </c>
      <c r="AV59" s="272">
        <f t="shared" si="44"/>
        <v>76.624963636754643</v>
      </c>
      <c r="AW59" s="272">
        <f t="shared" si="44"/>
        <v>78.444806523127568</v>
      </c>
      <c r="AX59" s="272">
        <f t="shared" si="44"/>
        <v>80.307870678051842</v>
      </c>
      <c r="AY59" s="272">
        <f t="shared" si="44"/>
        <v>82.215182606655574</v>
      </c>
      <c r="AZ59" s="272">
        <f t="shared" si="44"/>
        <v>84.167793193563639</v>
      </c>
      <c r="BA59" s="272">
        <f t="shared" si="44"/>
        <v>86.166778281910766</v>
      </c>
      <c r="BB59" s="272">
        <f t="shared" si="44"/>
        <v>88.213239266106143</v>
      </c>
      <c r="BC59" s="272">
        <f t="shared" si="44"/>
        <v>90.308303698676156</v>
      </c>
      <c r="BD59" s="272">
        <f t="shared" si="44"/>
        <v>92.453125911519706</v>
      </c>
      <c r="BE59" s="272">
        <f t="shared" ref="BE59:CO59" si="45">+BD59*(1+BE$9*BE$38)</f>
        <v>94.648887651918287</v>
      </c>
      <c r="BF59" s="272">
        <f t="shared" si="45"/>
        <v>96.896798733651337</v>
      </c>
      <c r="BG59" s="272">
        <f t="shared" si="45"/>
        <v>99.198097703575556</v>
      </c>
      <c r="BH59" s="272">
        <f t="shared" si="45"/>
        <v>101.55405252403547</v>
      </c>
      <c r="BI59" s="272">
        <f t="shared" si="45"/>
        <v>103.96596127148131</v>
      </c>
      <c r="BJ59" s="272">
        <f t="shared" si="45"/>
        <v>106.43515285167898</v>
      </c>
      <c r="BK59" s="272">
        <f t="shared" si="45"/>
        <v>108.96298773190635</v>
      </c>
      <c r="BL59" s="272">
        <f t="shared" si="45"/>
        <v>111.55085869053912</v>
      </c>
      <c r="BM59" s="272">
        <f t="shared" si="45"/>
        <v>114.20019158443941</v>
      </c>
      <c r="BN59" s="272">
        <f t="shared" si="45"/>
        <v>116.91244613456983</v>
      </c>
      <c r="BO59" s="272">
        <f t="shared" si="45"/>
        <v>119.68911673026587</v>
      </c>
      <c r="BP59" s="272">
        <f t="shared" si="45"/>
        <v>122.53173325260967</v>
      </c>
      <c r="BQ59" s="272">
        <f t="shared" si="45"/>
        <v>125.44186191735915</v>
      </c>
      <c r="BR59" s="272">
        <f t="shared" si="45"/>
        <v>128.42110613789643</v>
      </c>
      <c r="BS59" s="272">
        <f t="shared" si="45"/>
        <v>131.47110740867146</v>
      </c>
      <c r="BT59" s="272">
        <f t="shared" si="45"/>
        <v>134.59354620962739</v>
      </c>
      <c r="BU59" s="272">
        <f t="shared" si="45"/>
        <v>137.79014293210602</v>
      </c>
      <c r="BV59" s="272">
        <f t="shared" si="45"/>
        <v>141.06265882674353</v>
      </c>
      <c r="BW59" s="272">
        <f t="shared" si="45"/>
        <v>144.41289697387867</v>
      </c>
      <c r="BX59" s="272">
        <f t="shared" si="45"/>
        <v>147.84270327700827</v>
      </c>
      <c r="BY59" s="272">
        <f t="shared" si="45"/>
        <v>151.35396747983719</v>
      </c>
      <c r="BZ59" s="272">
        <f t="shared" si="45"/>
        <v>154.94862420748331</v>
      </c>
      <c r="CA59" s="272">
        <f t="shared" si="45"/>
        <v>158.62865403241102</v>
      </c>
      <c r="CB59" s="272">
        <f t="shared" si="45"/>
        <v>162.39608456568078</v>
      </c>
      <c r="CC59" s="272">
        <f t="shared" si="45"/>
        <v>166.2529915741157</v>
      </c>
      <c r="CD59" s="272">
        <f t="shared" si="45"/>
        <v>170.20150012400094</v>
      </c>
      <c r="CE59" s="272">
        <f t="shared" si="45"/>
        <v>174.24378575194595</v>
      </c>
      <c r="CF59" s="272">
        <f t="shared" si="45"/>
        <v>178.38207566355464</v>
      </c>
      <c r="CG59" s="272">
        <f t="shared" si="45"/>
        <v>182.61864996056406</v>
      </c>
      <c r="CH59" s="272">
        <f t="shared" si="45"/>
        <v>186.95584289712744</v>
      </c>
      <c r="CI59" s="272">
        <f t="shared" si="45"/>
        <v>191.3960441659342</v>
      </c>
      <c r="CJ59" s="272">
        <f t="shared" si="45"/>
        <v>195.94170021487511</v>
      </c>
      <c r="CK59" s="272">
        <f t="shared" si="45"/>
        <v>200.59531559497839</v>
      </c>
      <c r="CL59" s="272">
        <f t="shared" si="45"/>
        <v>205.35945434035912</v>
      </c>
      <c r="CM59" s="272">
        <f t="shared" si="45"/>
        <v>210.23674138094265</v>
      </c>
      <c r="CN59" s="272">
        <f t="shared" si="45"/>
        <v>215.22986398874002</v>
      </c>
      <c r="CO59" s="272">
        <f t="shared" si="45"/>
        <v>220.34157325847258</v>
      </c>
      <c r="CP59" s="272">
        <f>+CO59*(1+CP$9*CP$38)</f>
        <v>225.57468562336129</v>
      </c>
      <c r="CQ59" s="362" t="s">
        <v>77</v>
      </c>
    </row>
    <row r="60" spans="2:95" outlineLevel="1" x14ac:dyDescent="0.2">
      <c r="B60" s="8" t="s">
        <v>349</v>
      </c>
      <c r="D60" s="309">
        <v>0.82417299511296982</v>
      </c>
      <c r="E60" s="619">
        <f>Valuation!$E$13</f>
        <v>0.1</v>
      </c>
      <c r="K60" s="9" t="str">
        <f t="shared" ref="K60:S60" si="46">IF(ISERROR(+K87/K$34),"n.a.",+K87/K$34)</f>
        <v>n.a.</v>
      </c>
      <c r="L60" s="9" t="str">
        <f t="shared" si="46"/>
        <v>n.a.</v>
      </c>
      <c r="M60" s="9" t="str">
        <f t="shared" si="46"/>
        <v>n.a.</v>
      </c>
      <c r="N60" s="9">
        <f t="shared" si="46"/>
        <v>0</v>
      </c>
      <c r="O60" s="9">
        <f t="shared" si="46"/>
        <v>0</v>
      </c>
      <c r="P60" s="9">
        <f t="shared" si="46"/>
        <v>0</v>
      </c>
      <c r="Q60" s="9">
        <f t="shared" si="46"/>
        <v>0</v>
      </c>
      <c r="R60" s="9">
        <f t="shared" si="46"/>
        <v>0</v>
      </c>
      <c r="S60" s="9">
        <f t="shared" si="46"/>
        <v>24.61336961317841</v>
      </c>
      <c r="T60" s="51">
        <f>+S60*(12/9)-5</f>
        <v>27.817826150904544</v>
      </c>
      <c r="U60" s="51">
        <f>+T60*(1+U$9*U$38)+50*0.15</f>
        <v>35.768474934549197</v>
      </c>
      <c r="V60" s="51">
        <v>32.251349346165611</v>
      </c>
      <c r="W60" s="51">
        <f>+V60*(1+W$9*W$38)</f>
        <v>32.68674256233885</v>
      </c>
      <c r="X60" s="51">
        <f>IF(X48=0,W60*(1+X$11*X$38),IF(X48=1,-X74/(1-PERCENTILE($D60:$E60,$D$41)),IF(X48=2,)))</f>
        <v>33.50391112639732</v>
      </c>
      <c r="Y60" s="51">
        <f t="shared" ref="Y60:CJ60" si="47">IF(Y48=0,X60*(1+Y$11*Y$38),IF(Y48=1,-Y74/(1-PERCENTILE($D60:$E60,$D$41)),IF(Y48=2,)))</f>
        <v>34.341508904557251</v>
      </c>
      <c r="Z60" s="51">
        <f t="shared" si="47"/>
        <v>35.200046627171183</v>
      </c>
      <c r="AA60" s="51">
        <f t="shared" si="47"/>
        <v>36.080047792850458</v>
      </c>
      <c r="AB60" s="51">
        <f t="shared" si="47"/>
        <v>36.982048987671718</v>
      </c>
      <c r="AC60" s="51">
        <f t="shared" si="47"/>
        <v>37.906600212363507</v>
      </c>
      <c r="AD60" s="51">
        <f t="shared" si="47"/>
        <v>38.806881967407136</v>
      </c>
      <c r="AE60" s="51">
        <f t="shared" si="47"/>
        <v>24.12204657369826</v>
      </c>
      <c r="AF60" s="51">
        <f t="shared" si="47"/>
        <v>24.694945179823591</v>
      </c>
      <c r="AG60" s="51">
        <f t="shared" si="47"/>
        <v>25.281450127844401</v>
      </c>
      <c r="AH60" s="51">
        <f t="shared" si="47"/>
        <v>25.976805811029021</v>
      </c>
      <c r="AI60" s="51">
        <f t="shared" si="47"/>
        <v>26.626225956304744</v>
      </c>
      <c r="AJ60" s="51">
        <f t="shared" si="47"/>
        <v>27.258598822766981</v>
      </c>
      <c r="AK60" s="51">
        <f t="shared" si="47"/>
        <v>27.905990544807693</v>
      </c>
      <c r="AL60" s="51">
        <f t="shared" si="47"/>
        <v>28.568757820246873</v>
      </c>
      <c r="AM60" s="51">
        <f t="shared" si="47"/>
        <v>29.247265818477736</v>
      </c>
      <c r="AN60" s="51">
        <f t="shared" si="47"/>
        <v>29.94188838166658</v>
      </c>
      <c r="AO60" s="51">
        <f t="shared" si="47"/>
        <v>30.65300823073116</v>
      </c>
      <c r="AP60" s="51">
        <f t="shared" si="47"/>
        <v>31.381017176211024</v>
      </c>
      <c r="AQ60" s="51">
        <f t="shared" si="47"/>
        <v>32.126316334146033</v>
      </c>
      <c r="AR60" s="51">
        <f t="shared" si="47"/>
        <v>32.889316347082001</v>
      </c>
      <c r="AS60" s="51">
        <f t="shared" si="47"/>
        <v>33.670437610325195</v>
      </c>
      <c r="AT60" s="51">
        <f t="shared" si="47"/>
        <v>34.470110503570417</v>
      </c>
      <c r="AU60" s="51">
        <f t="shared" si="47"/>
        <v>35.288775628030216</v>
      </c>
      <c r="AV60" s="51">
        <f t="shared" si="47"/>
        <v>36.12688404919593</v>
      </c>
      <c r="AW60" s="51">
        <f t="shared" si="47"/>
        <v>36.984897545364333</v>
      </c>
      <c r="AX60" s="51">
        <f t="shared" si="47"/>
        <v>37.863288862066732</v>
      </c>
      <c r="AY60" s="51">
        <f t="shared" si="47"/>
        <v>38.762541972540816</v>
      </c>
      <c r="AZ60" s="51">
        <f t="shared" si="47"/>
        <v>39.68315234438866</v>
      </c>
      <c r="BA60" s="51">
        <f t="shared" si="47"/>
        <v>40.625627212567885</v>
      </c>
      <c r="BB60" s="51">
        <f t="shared" si="47"/>
        <v>41.590485858866373</v>
      </c>
      <c r="BC60" s="51">
        <f t="shared" si="47"/>
        <v>42.578259898014444</v>
      </c>
      <c r="BD60" s="51">
        <f t="shared" si="47"/>
        <v>43.589493570592282</v>
      </c>
      <c r="BE60" s="51">
        <f t="shared" si="47"/>
        <v>44.624744042893845</v>
      </c>
      <c r="BF60" s="51">
        <f t="shared" si="47"/>
        <v>45.684581713912571</v>
      </c>
      <c r="BG60" s="51">
        <f t="shared" si="47"/>
        <v>46.769590529617993</v>
      </c>
      <c r="BH60" s="51">
        <f t="shared" si="47"/>
        <v>47.880368304696418</v>
      </c>
      <c r="BI60" s="51">
        <f t="shared" si="47"/>
        <v>49.017527051932952</v>
      </c>
      <c r="BJ60" s="51">
        <f t="shared" si="47"/>
        <v>50.181693319416354</v>
      </c>
      <c r="BK60" s="51">
        <f t="shared" si="47"/>
        <v>51.373508535752492</v>
      </c>
      <c r="BL60" s="51">
        <f t="shared" si="47"/>
        <v>52.593629363476609</v>
      </c>
      <c r="BM60" s="51">
        <f t="shared" si="47"/>
        <v>53.842728060859173</v>
      </c>
      <c r="BN60" s="51">
        <f t="shared" si="47"/>
        <v>55.121492852304577</v>
      </c>
      <c r="BO60" s="51">
        <f t="shared" si="47"/>
        <v>56.430628307546804</v>
      </c>
      <c r="BP60" s="51">
        <f t="shared" si="47"/>
        <v>57.770855729851036</v>
      </c>
      <c r="BQ60" s="51">
        <f t="shared" si="47"/>
        <v>59.142913553434994</v>
      </c>
      <c r="BR60" s="51">
        <f t="shared" si="47"/>
        <v>60.547557750329069</v>
      </c>
      <c r="BS60" s="51">
        <f t="shared" si="47"/>
        <v>0</v>
      </c>
      <c r="BT60" s="51">
        <f t="shared" si="47"/>
        <v>0</v>
      </c>
      <c r="BU60" s="51">
        <f t="shared" si="47"/>
        <v>0</v>
      </c>
      <c r="BV60" s="51">
        <f t="shared" si="47"/>
        <v>0</v>
      </c>
      <c r="BW60" s="51">
        <f t="shared" si="47"/>
        <v>0</v>
      </c>
      <c r="BX60" s="51">
        <f t="shared" si="47"/>
        <v>0</v>
      </c>
      <c r="BY60" s="51">
        <f t="shared" si="47"/>
        <v>0</v>
      </c>
      <c r="BZ60" s="51">
        <f t="shared" si="47"/>
        <v>0</v>
      </c>
      <c r="CA60" s="51">
        <f t="shared" si="47"/>
        <v>0</v>
      </c>
      <c r="CB60" s="51">
        <f t="shared" si="47"/>
        <v>0</v>
      </c>
      <c r="CC60" s="51">
        <f t="shared" si="47"/>
        <v>0</v>
      </c>
      <c r="CD60" s="51">
        <f t="shared" si="47"/>
        <v>0</v>
      </c>
      <c r="CE60" s="51">
        <f t="shared" si="47"/>
        <v>0</v>
      </c>
      <c r="CF60" s="51">
        <f t="shared" si="47"/>
        <v>0</v>
      </c>
      <c r="CG60" s="51">
        <f t="shared" si="47"/>
        <v>0</v>
      </c>
      <c r="CH60" s="51">
        <f t="shared" si="47"/>
        <v>0</v>
      </c>
      <c r="CI60" s="51">
        <f t="shared" si="47"/>
        <v>0</v>
      </c>
      <c r="CJ60" s="51">
        <f t="shared" si="47"/>
        <v>0</v>
      </c>
      <c r="CK60" s="51">
        <f t="shared" ref="CK60:CP60" si="48">IF(CK48=0,CJ60*(1+CK$11*CK$38),IF(CK48=1,-CK74/(1-PERCENTILE($D60:$E60,$D$41)),IF(CK48=2,)))</f>
        <v>0</v>
      </c>
      <c r="CL60" s="51">
        <f t="shared" si="48"/>
        <v>0</v>
      </c>
      <c r="CM60" s="51">
        <f t="shared" si="48"/>
        <v>0</v>
      </c>
      <c r="CN60" s="51">
        <f t="shared" si="48"/>
        <v>0</v>
      </c>
      <c r="CO60" s="51">
        <f t="shared" si="48"/>
        <v>0</v>
      </c>
      <c r="CP60" s="51">
        <f t="shared" si="48"/>
        <v>0</v>
      </c>
      <c r="CQ60" s="362" t="s">
        <v>77</v>
      </c>
    </row>
    <row r="61" spans="2:95" outlineLevel="1" x14ac:dyDescent="0.2">
      <c r="B61" s="91" t="s">
        <v>336</v>
      </c>
      <c r="D61" s="309">
        <v>0.81657920764422098</v>
      </c>
      <c r="E61" s="511" t="s">
        <v>585</v>
      </c>
      <c r="K61" s="9" t="str">
        <f t="shared" ref="K61:S61" si="49">IF(ISERROR(+K88/K$34),"n.a.",+K88/K$34)</f>
        <v>n.a.</v>
      </c>
      <c r="L61" s="9" t="str">
        <f t="shared" si="49"/>
        <v>n.a.</v>
      </c>
      <c r="M61" s="9" t="str">
        <f t="shared" si="49"/>
        <v>n.a.</v>
      </c>
      <c r="N61" s="9">
        <f t="shared" si="49"/>
        <v>109.18381478946799</v>
      </c>
      <c r="O61" s="9">
        <f t="shared" si="49"/>
        <v>118.80427231677666</v>
      </c>
      <c r="P61" s="9">
        <f t="shared" si="49"/>
        <v>129.84490079365079</v>
      </c>
      <c r="Q61" s="9">
        <f t="shared" si="49"/>
        <v>130.34478312089405</v>
      </c>
      <c r="R61" s="9">
        <f t="shared" si="49"/>
        <v>133.37243200422498</v>
      </c>
      <c r="S61" s="9">
        <f t="shared" si="49"/>
        <v>136.24224003529932</v>
      </c>
      <c r="T61" s="51">
        <f>+(T150*0.5+S150*0.5)+(S61-(S150*0.5+R150*0.5))*(1+T11*T38)+(150*15%*4/12)-4.9</f>
        <v>141.73579871984316</v>
      </c>
      <c r="U61" s="51">
        <f>+(U150*0.5+T150*0.5)+(T61-(T150*0.5+S150*0.5))*(1+U11*U38)+(150*15%*8/12)+4.9</f>
        <v>144.89370575910462</v>
      </c>
      <c r="V61" s="51">
        <f>+(V150*0.5+U150*0.5)+(U61-(U150*0.5+T150*0.5))*(1+V11*V38)</f>
        <v>128.98304778685252</v>
      </c>
      <c r="W61" s="51">
        <f>+(W150*0.5+V150*0.5)+(V61-(V150*0.5+U150*0.5))*(1+W11*W38)</f>
        <v>131.27554193197503</v>
      </c>
      <c r="X61" s="157">
        <f>+(X150*0.5+W150*0.5)+(W61-(W150*0.5+V150*0.5))*(1+X11*X38)+100*0.1</f>
        <v>143.22506798027439</v>
      </c>
      <c r="Y61" s="157">
        <f t="shared" ref="Y61:BD61" si="50">+(Y150*0.5+X150*0.5)+(X61-(X150*0.5+W150*0.5))*(1+Y11*Y38)</f>
        <v>145.76020717978125</v>
      </c>
      <c r="Z61" s="157">
        <f t="shared" si="50"/>
        <v>150.38185962122276</v>
      </c>
      <c r="AA61" s="157">
        <f t="shared" si="50"/>
        <v>154.82536981160297</v>
      </c>
      <c r="AB61" s="157">
        <f t="shared" si="50"/>
        <v>157.22873395923253</v>
      </c>
      <c r="AC61" s="157">
        <f t="shared" si="50"/>
        <v>159.70650440860024</v>
      </c>
      <c r="AD61" s="157">
        <f t="shared" si="50"/>
        <v>162.12646913795336</v>
      </c>
      <c r="AE61" s="157">
        <f t="shared" si="50"/>
        <v>164.61813872149875</v>
      </c>
      <c r="AF61" s="157">
        <f t="shared" si="50"/>
        <v>167.18249901414617</v>
      </c>
      <c r="AG61" s="157">
        <f t="shared" si="50"/>
        <v>169.82107116880627</v>
      </c>
      <c r="AH61" s="157">
        <f t="shared" si="50"/>
        <v>172.53541245662856</v>
      </c>
      <c r="AI61" s="157">
        <f t="shared" si="50"/>
        <v>175.32711710671705</v>
      </c>
      <c r="AJ61" s="157">
        <f t="shared" si="50"/>
        <v>178.19731716578207</v>
      </c>
      <c r="AK61" s="157">
        <f t="shared" si="50"/>
        <v>181.1481833781981</v>
      </c>
      <c r="AL61" s="157">
        <f t="shared" si="50"/>
        <v>184.18092608694869</v>
      </c>
      <c r="AM61" s="157">
        <f t="shared" si="50"/>
        <v>187.29729615595051</v>
      </c>
      <c r="AN61" s="157">
        <f t="shared" si="50"/>
        <v>190.49958591426025</v>
      </c>
      <c r="AO61" s="157">
        <f t="shared" si="50"/>
        <v>193.78863012268098</v>
      </c>
      <c r="AP61" s="157">
        <f t="shared" si="50"/>
        <v>197.16680696329547</v>
      </c>
      <c r="AQ61" s="157">
        <f t="shared" si="50"/>
        <v>200.63603905246745</v>
      </c>
      <c r="AR61" s="157">
        <f t="shared" si="50"/>
        <v>204.19779447786459</v>
      </c>
      <c r="AS61" s="157">
        <f t="shared" si="50"/>
        <v>207.85458786006927</v>
      </c>
      <c r="AT61" s="157">
        <f t="shared" si="50"/>
        <v>211.60848143935794</v>
      </c>
      <c r="AU61" s="157">
        <f t="shared" si="50"/>
        <v>215.46058618824253</v>
      </c>
      <c r="AV61" s="157">
        <f t="shared" si="50"/>
        <v>219.41356295038204</v>
      </c>
      <c r="AW61" s="157">
        <f t="shared" si="50"/>
        <v>223.47012360648694</v>
      </c>
      <c r="AX61" s="157">
        <f t="shared" si="50"/>
        <v>227.631532267853</v>
      </c>
      <c r="AY61" s="157">
        <f t="shared" si="50"/>
        <v>231.90060649817764</v>
      </c>
      <c r="AZ61" s="157">
        <f t="shared" si="50"/>
        <v>236.27971856432592</v>
      </c>
      <c r="BA61" s="157">
        <f t="shared" si="50"/>
        <v>240.77079671673016</v>
      </c>
      <c r="BB61" s="157">
        <f t="shared" si="50"/>
        <v>245.37682650012314</v>
      </c>
      <c r="BC61" s="157">
        <f t="shared" si="50"/>
        <v>250.09985209532087</v>
      </c>
      <c r="BD61" s="157">
        <f t="shared" si="50"/>
        <v>254.94247769278888</v>
      </c>
      <c r="BE61" s="157">
        <f t="shared" ref="BE61:CP61" si="51">+(BE150*0.5+BD150*0.5)+(BD61-(BD150*0.5+BC150*0.5))*(1+BE11*BE38)</f>
        <v>259.90736889874285</v>
      </c>
      <c r="BF61" s="157">
        <f t="shared" si="51"/>
        <v>264.99725417455181</v>
      </c>
      <c r="BG61" s="157">
        <f t="shared" si="51"/>
        <v>270.21492631023148</v>
      </c>
      <c r="BH61" s="157">
        <f t="shared" si="51"/>
        <v>275.56324393283268</v>
      </c>
      <c r="BI61" s="157">
        <f t="shared" si="51"/>
        <v>281.04513305055025</v>
      </c>
      <c r="BJ61" s="157">
        <f t="shared" si="51"/>
        <v>286.66308863339589</v>
      </c>
      <c r="BK61" s="157">
        <f t="shared" si="51"/>
        <v>292.42067623129992</v>
      </c>
      <c r="BL61" s="157">
        <f t="shared" si="51"/>
        <v>298.32053363052648</v>
      </c>
      <c r="BM61" s="157">
        <f t="shared" si="51"/>
        <v>304.36587254930782</v>
      </c>
      <c r="BN61" s="157">
        <f t="shared" si="51"/>
        <v>310.56048037362518</v>
      </c>
      <c r="BO61" s="157">
        <f t="shared" si="51"/>
        <v>316.90722193408533</v>
      </c>
      <c r="BP61" s="157">
        <f t="shared" si="51"/>
        <v>323.4095413248649</v>
      </c>
      <c r="BQ61" s="157">
        <f t="shared" si="51"/>
        <v>330.07096376571695</v>
      </c>
      <c r="BR61" s="157">
        <f t="shared" si="51"/>
        <v>336.89509750805814</v>
      </c>
      <c r="BS61" s="157">
        <f t="shared" si="51"/>
        <v>343.88563578617982</v>
      </c>
      <c r="BT61" s="157">
        <f t="shared" si="51"/>
        <v>351.04585881464925</v>
      </c>
      <c r="BU61" s="157">
        <f t="shared" si="51"/>
        <v>358.38013583299477</v>
      </c>
      <c r="BV61" s="157">
        <f t="shared" si="51"/>
        <v>365.89242719879252</v>
      </c>
      <c r="BW61" s="157">
        <f t="shared" si="51"/>
        <v>373.58628653030024</v>
      </c>
      <c r="BX61" s="157">
        <f t="shared" si="51"/>
        <v>381.46586289981065</v>
      </c>
      <c r="BY61" s="157">
        <f t="shared" si="51"/>
        <v>389.53540307892371</v>
      </c>
      <c r="BZ61" s="157">
        <f t="shared" si="51"/>
        <v>397.79975383696694</v>
      </c>
      <c r="CA61" s="157">
        <f t="shared" si="51"/>
        <v>406.2633642938215</v>
      </c>
      <c r="CB61" s="157">
        <f t="shared" si="51"/>
        <v>414.93028832844084</v>
      </c>
      <c r="CC61" s="157">
        <f t="shared" si="51"/>
        <v>423.8046870443805</v>
      </c>
      <c r="CD61" s="157">
        <f t="shared" si="51"/>
        <v>432.89183129368871</v>
      </c>
      <c r="CE61" s="157">
        <f t="shared" si="51"/>
        <v>442.19660426053787</v>
      </c>
      <c r="CF61" s="157">
        <f t="shared" si="51"/>
        <v>451.72400410601239</v>
      </c>
      <c r="CG61" s="157">
        <f t="shared" si="51"/>
        <v>461.47914667549935</v>
      </c>
      <c r="CH61" s="157">
        <f t="shared" si="51"/>
        <v>471.46676827016466</v>
      </c>
      <c r="CI61" s="157">
        <f t="shared" si="51"/>
        <v>481.69272848403165</v>
      </c>
      <c r="CJ61" s="157">
        <f t="shared" si="51"/>
        <v>492.16251310821463</v>
      </c>
      <c r="CK61" s="157">
        <f t="shared" si="51"/>
        <v>502.88123710389817</v>
      </c>
      <c r="CL61" s="157">
        <f t="shared" si="51"/>
        <v>513.85464764568917</v>
      </c>
      <c r="CM61" s="157">
        <f t="shared" si="51"/>
        <v>525.08862723700815</v>
      </c>
      <c r="CN61" s="157">
        <f t="shared" si="51"/>
        <v>536.58969689922549</v>
      </c>
      <c r="CO61" s="157">
        <f t="shared" si="51"/>
        <v>548.36401943628846</v>
      </c>
      <c r="CP61" s="157">
        <f t="shared" si="51"/>
        <v>560.41690277662769</v>
      </c>
      <c r="CQ61" s="362" t="s">
        <v>77</v>
      </c>
    </row>
    <row r="62" spans="2:95" outlineLevel="1" x14ac:dyDescent="0.2">
      <c r="B62" s="8" t="s">
        <v>289</v>
      </c>
      <c r="D62" s="309">
        <v>0.85</v>
      </c>
      <c r="E62" s="619">
        <f>Valuation!$E$13</f>
        <v>0.1</v>
      </c>
      <c r="K62" s="9" t="s">
        <v>78</v>
      </c>
      <c r="L62" s="9" t="str">
        <f>K62</f>
        <v>n.a.</v>
      </c>
      <c r="M62" s="9" t="str">
        <f t="shared" ref="M62:U62" si="52">L62</f>
        <v>n.a.</v>
      </c>
      <c r="N62" s="9" t="str">
        <f t="shared" si="52"/>
        <v>n.a.</v>
      </c>
      <c r="O62" s="9" t="str">
        <f t="shared" si="52"/>
        <v>n.a.</v>
      </c>
      <c r="P62" s="9" t="str">
        <f t="shared" si="52"/>
        <v>n.a.</v>
      </c>
      <c r="Q62" s="9" t="str">
        <f t="shared" si="52"/>
        <v>n.a.</v>
      </c>
      <c r="R62" s="9" t="str">
        <f t="shared" si="52"/>
        <v>n.a.</v>
      </c>
      <c r="S62" s="9" t="str">
        <f t="shared" si="52"/>
        <v>n.a.</v>
      </c>
      <c r="T62" s="51" t="str">
        <f t="shared" si="52"/>
        <v>n.a.</v>
      </c>
      <c r="U62" s="51" t="str">
        <f t="shared" si="52"/>
        <v>n.a.</v>
      </c>
      <c r="V62" s="39">
        <f>V89/0.85</f>
        <v>17.341176470588238</v>
      </c>
      <c r="W62" s="39">
        <f>W89/0.85</f>
        <v>38.235294117647058</v>
      </c>
      <c r="X62" s="51">
        <f>IF(X50=0,W62*(1+X$11*X$38),IF(X50=1,-X76/(1-PERCENTILE($D62:$E62,$D$41)),IF(X50=2,)))</f>
        <v>39.191176470588232</v>
      </c>
      <c r="Y62" s="51">
        <f t="shared" ref="Y62:CJ62" si="53">IF(Y50=0,X62*(1+Y$11*Y$38),IF(Y50=1,-Y76/(1-PERCENTILE($D62:$E62,$D$41)),IF(Y50=2,)))</f>
        <v>40.170955882352935</v>
      </c>
      <c r="Z62" s="51">
        <f t="shared" si="53"/>
        <v>41.175229779411758</v>
      </c>
      <c r="AA62" s="51">
        <f t="shared" si="53"/>
        <v>42.204610523897045</v>
      </c>
      <c r="AB62" s="51">
        <f t="shared" si="53"/>
        <v>43.259725786994466</v>
      </c>
      <c r="AC62" s="51">
        <f t="shared" si="53"/>
        <v>44.341218931669324</v>
      </c>
      <c r="AD62" s="51">
        <f t="shared" si="53"/>
        <v>45.394322881296468</v>
      </c>
      <c r="AE62" s="51">
        <f t="shared" si="53"/>
        <v>46.472438049727259</v>
      </c>
      <c r="AF62" s="51">
        <f t="shared" si="53"/>
        <v>47.576158453408276</v>
      </c>
      <c r="AG62" s="51">
        <f t="shared" si="53"/>
        <v>26.615114028284808</v>
      </c>
      <c r="AH62" s="51">
        <f t="shared" si="53"/>
        <v>27.24722298645657</v>
      </c>
      <c r="AI62" s="51">
        <f t="shared" si="53"/>
        <v>27.894344532384913</v>
      </c>
      <c r="AJ62" s="51">
        <f t="shared" si="53"/>
        <v>28.556835215029054</v>
      </c>
      <c r="AK62" s="51">
        <f t="shared" si="53"/>
        <v>29.235060051385993</v>
      </c>
      <c r="AL62" s="51">
        <f t="shared" si="53"/>
        <v>29.929392727606409</v>
      </c>
      <c r="AM62" s="51">
        <f t="shared" si="53"/>
        <v>30.64021580488706</v>
      </c>
      <c r="AN62" s="51">
        <f t="shared" si="53"/>
        <v>31.367920930253124</v>
      </c>
      <c r="AO62" s="51">
        <f t="shared" si="53"/>
        <v>32.112909052346637</v>
      </c>
      <c r="AP62" s="51">
        <f t="shared" si="53"/>
        <v>32.875590642339866</v>
      </c>
      <c r="AQ62" s="51">
        <f t="shared" si="53"/>
        <v>33.656385920095438</v>
      </c>
      <c r="AR62" s="51">
        <f t="shared" si="53"/>
        <v>34.455725085697701</v>
      </c>
      <c r="AS62" s="51">
        <f t="shared" si="53"/>
        <v>35.274048556483017</v>
      </c>
      <c r="AT62" s="51">
        <f t="shared" si="53"/>
        <v>36.111807209699485</v>
      </c>
      <c r="AU62" s="51">
        <f t="shared" si="53"/>
        <v>36.969462630929847</v>
      </c>
      <c r="AV62" s="51">
        <f t="shared" si="53"/>
        <v>37.847487368414427</v>
      </c>
      <c r="AW62" s="51">
        <f t="shared" si="53"/>
        <v>38.74636519341427</v>
      </c>
      <c r="AX62" s="51">
        <f t="shared" si="53"/>
        <v>39.666591366757856</v>
      </c>
      <c r="AY62" s="51">
        <f t="shared" si="53"/>
        <v>40.608672911718351</v>
      </c>
      <c r="AZ62" s="51">
        <f t="shared" si="53"/>
        <v>41.57312889337166</v>
      </c>
      <c r="BA62" s="51">
        <f t="shared" si="53"/>
        <v>42.560490704589235</v>
      </c>
      <c r="BB62" s="51">
        <f t="shared" si="53"/>
        <v>43.571302358823225</v>
      </c>
      <c r="BC62" s="51">
        <f t="shared" si="53"/>
        <v>44.606120789845271</v>
      </c>
      <c r="BD62" s="51">
        <f t="shared" si="53"/>
        <v>45.665516158604092</v>
      </c>
      <c r="BE62" s="51">
        <f t="shared" si="53"/>
        <v>46.750072167370938</v>
      </c>
      <c r="BF62" s="51">
        <f t="shared" si="53"/>
        <v>47.860386381345997</v>
      </c>
      <c r="BG62" s="51">
        <f t="shared" si="53"/>
        <v>48.997070557902958</v>
      </c>
      <c r="BH62" s="51">
        <f t="shared" si="53"/>
        <v>50.160750983653152</v>
      </c>
      <c r="BI62" s="51">
        <f t="shared" si="53"/>
        <v>51.352068819514912</v>
      </c>
      <c r="BJ62" s="51">
        <f t="shared" si="53"/>
        <v>52.571680453978388</v>
      </c>
      <c r="BK62" s="51">
        <f t="shared" si="53"/>
        <v>53.820257864760372</v>
      </c>
      <c r="BL62" s="51">
        <f t="shared" si="53"/>
        <v>55.098488989048427</v>
      </c>
      <c r="BM62" s="51">
        <f t="shared" si="53"/>
        <v>56.407078102538321</v>
      </c>
      <c r="BN62" s="51">
        <f t="shared" si="53"/>
        <v>57.746746207473606</v>
      </c>
      <c r="BO62" s="51">
        <f t="shared" si="53"/>
        <v>59.118231429901101</v>
      </c>
      <c r="BP62" s="51">
        <f t="shared" si="53"/>
        <v>60.522289426361247</v>
      </c>
      <c r="BQ62" s="51">
        <f t="shared" si="53"/>
        <v>61.959693800237325</v>
      </c>
      <c r="BR62" s="51">
        <f t="shared" si="53"/>
        <v>63.431236527992958</v>
      </c>
      <c r="BS62" s="51">
        <f t="shared" si="53"/>
        <v>64.937728395532787</v>
      </c>
      <c r="BT62" s="51">
        <f t="shared" si="53"/>
        <v>66.47999944492669</v>
      </c>
      <c r="BU62" s="51">
        <f t="shared" si="53"/>
        <v>68.058899431743697</v>
      </c>
      <c r="BV62" s="51">
        <f t="shared" si="53"/>
        <v>69.675298293247607</v>
      </c>
      <c r="BW62" s="51">
        <f t="shared" si="53"/>
        <v>71.330086627712234</v>
      </c>
      <c r="BX62" s="51">
        <f t="shared" si="53"/>
        <v>73.024176185120396</v>
      </c>
      <c r="BY62" s="51">
        <f t="shared" si="53"/>
        <v>74.758500369516995</v>
      </c>
      <c r="BZ62" s="51">
        <f t="shared" si="53"/>
        <v>76.534014753293022</v>
      </c>
      <c r="CA62" s="51">
        <f t="shared" si="53"/>
        <v>78.351697603683732</v>
      </c>
      <c r="CB62" s="51">
        <f t="shared" si="53"/>
        <v>80.212550421771212</v>
      </c>
      <c r="CC62" s="51">
        <f t="shared" si="53"/>
        <v>82.117598494288274</v>
      </c>
      <c r="CD62" s="51">
        <f t="shared" si="53"/>
        <v>0</v>
      </c>
      <c r="CE62" s="51">
        <f t="shared" si="53"/>
        <v>0</v>
      </c>
      <c r="CF62" s="51">
        <f t="shared" si="53"/>
        <v>0</v>
      </c>
      <c r="CG62" s="51">
        <f t="shared" si="53"/>
        <v>0</v>
      </c>
      <c r="CH62" s="51">
        <f t="shared" si="53"/>
        <v>0</v>
      </c>
      <c r="CI62" s="51">
        <f t="shared" si="53"/>
        <v>0</v>
      </c>
      <c r="CJ62" s="51">
        <f t="shared" si="53"/>
        <v>0</v>
      </c>
      <c r="CK62" s="51">
        <f t="shared" ref="CK62:CP62" si="54">IF(CK50=0,CJ62*(1+CK$11*CK$38),IF(CK50=1,-CK76/(1-PERCENTILE($D62:$E62,$D$41)),IF(CK50=2,)))</f>
        <v>0</v>
      </c>
      <c r="CL62" s="51">
        <f t="shared" si="54"/>
        <v>0</v>
      </c>
      <c r="CM62" s="51">
        <f t="shared" si="54"/>
        <v>0</v>
      </c>
      <c r="CN62" s="51">
        <f t="shared" si="54"/>
        <v>0</v>
      </c>
      <c r="CO62" s="51">
        <f t="shared" si="54"/>
        <v>0</v>
      </c>
      <c r="CP62" s="51">
        <f t="shared" si="54"/>
        <v>0</v>
      </c>
      <c r="CQ62" s="362" t="s">
        <v>77</v>
      </c>
    </row>
    <row r="63" spans="2:95" outlineLevel="1" x14ac:dyDescent="0.2">
      <c r="B63" s="12" t="s">
        <v>569</v>
      </c>
      <c r="D63" s="309">
        <v>0.6</v>
      </c>
      <c r="E63" s="619">
        <f>Valuation!$E$13</f>
        <v>0.1</v>
      </c>
      <c r="T63" s="51"/>
      <c r="U63" s="51"/>
      <c r="V63" s="51"/>
      <c r="W63" s="51"/>
      <c r="X63" s="157">
        <v>0</v>
      </c>
      <c r="Y63" s="257">
        <f>180*0.09/2</f>
        <v>8.1</v>
      </c>
      <c r="Z63" s="257">
        <f>Y63*2</f>
        <v>16.2</v>
      </c>
      <c r="AA63" s="51">
        <f>IF(AA51=0,Z63*(1+AA$11*AA$38),IF(AA51=1,-AA77/(1-PERCENTILE($D63:$E63,$D$41)),IF(AA51=2,)))</f>
        <v>16.604999999999997</v>
      </c>
      <c r="AB63" s="51">
        <f t="shared" ref="AB63:CM63" si="55">IF(AB51=0,AA63*(1+AB$11*AB$38),IF(AB51=1,-AB77/(1-PERCENTILE($D63:$E63,$D$41)),IF(AB51=2,)))</f>
        <v>17.020124999999997</v>
      </c>
      <c r="AC63" s="51">
        <f t="shared" si="55"/>
        <v>17.445628124999995</v>
      </c>
      <c r="AD63" s="51">
        <f t="shared" si="55"/>
        <v>17.859961792968743</v>
      </c>
      <c r="AE63" s="51">
        <f t="shared" si="55"/>
        <v>18.284135885551748</v>
      </c>
      <c r="AF63" s="51">
        <f t="shared" si="55"/>
        <v>18.718384112833601</v>
      </c>
      <c r="AG63" s="51">
        <f t="shared" si="55"/>
        <v>19.162945735513397</v>
      </c>
      <c r="AH63" s="51">
        <f t="shared" si="55"/>
        <v>19.61806569673184</v>
      </c>
      <c r="AI63" s="51">
        <f t="shared" si="55"/>
        <v>20.08399475702922</v>
      </c>
      <c r="AJ63" s="51">
        <f t="shared" si="55"/>
        <v>20.560989632508662</v>
      </c>
      <c r="AK63" s="51">
        <f t="shared" si="55"/>
        <v>21.049313136280741</v>
      </c>
      <c r="AL63" s="51">
        <f t="shared" si="55"/>
        <v>21.549234323267406</v>
      </c>
      <c r="AM63" s="51">
        <f t="shared" si="55"/>
        <v>22.061028638445006</v>
      </c>
      <c r="AN63" s="51">
        <f t="shared" si="55"/>
        <v>9.6972818454094085</v>
      </c>
      <c r="AO63" s="51">
        <f t="shared" si="55"/>
        <v>9.9275922892378805</v>
      </c>
      <c r="AP63" s="51">
        <f t="shared" si="55"/>
        <v>10.163372606107279</v>
      </c>
      <c r="AQ63" s="51">
        <f t="shared" si="55"/>
        <v>10.404752705502327</v>
      </c>
      <c r="AR63" s="51">
        <f t="shared" si="55"/>
        <v>10.651865582258006</v>
      </c>
      <c r="AS63" s="51">
        <f t="shared" si="55"/>
        <v>10.904847389836632</v>
      </c>
      <c r="AT63" s="51">
        <f t="shared" si="55"/>
        <v>11.163837515345252</v>
      </c>
      <c r="AU63" s="51">
        <f t="shared" si="55"/>
        <v>11.428978656334701</v>
      </c>
      <c r="AV63" s="51">
        <f t="shared" si="55"/>
        <v>11.700416899422649</v>
      </c>
      <c r="AW63" s="51">
        <f t="shared" si="55"/>
        <v>0</v>
      </c>
      <c r="AX63" s="51">
        <f t="shared" si="55"/>
        <v>0</v>
      </c>
      <c r="AY63" s="51">
        <f t="shared" si="55"/>
        <v>0</v>
      </c>
      <c r="AZ63" s="51">
        <f t="shared" si="55"/>
        <v>0</v>
      </c>
      <c r="BA63" s="51">
        <f t="shared" si="55"/>
        <v>0</v>
      </c>
      <c r="BB63" s="51">
        <f t="shared" si="55"/>
        <v>0</v>
      </c>
      <c r="BC63" s="51">
        <f t="shared" si="55"/>
        <v>0</v>
      </c>
      <c r="BD63" s="51">
        <f t="shared" si="55"/>
        <v>0</v>
      </c>
      <c r="BE63" s="51">
        <f t="shared" si="55"/>
        <v>0</v>
      </c>
      <c r="BF63" s="51">
        <f t="shared" si="55"/>
        <v>0</v>
      </c>
      <c r="BG63" s="51">
        <f t="shared" si="55"/>
        <v>0</v>
      </c>
      <c r="BH63" s="51">
        <f t="shared" si="55"/>
        <v>0</v>
      </c>
      <c r="BI63" s="51">
        <f t="shared" si="55"/>
        <v>0</v>
      </c>
      <c r="BJ63" s="51">
        <f t="shared" si="55"/>
        <v>0</v>
      </c>
      <c r="BK63" s="51">
        <f t="shared" si="55"/>
        <v>0</v>
      </c>
      <c r="BL63" s="51">
        <f t="shared" si="55"/>
        <v>0</v>
      </c>
      <c r="BM63" s="51">
        <f t="shared" si="55"/>
        <v>0</v>
      </c>
      <c r="BN63" s="51">
        <f t="shared" si="55"/>
        <v>0</v>
      </c>
      <c r="BO63" s="51">
        <f t="shared" si="55"/>
        <v>0</v>
      </c>
      <c r="BP63" s="51">
        <f t="shared" si="55"/>
        <v>0</v>
      </c>
      <c r="BQ63" s="51">
        <f t="shared" si="55"/>
        <v>0</v>
      </c>
      <c r="BR63" s="51">
        <f t="shared" si="55"/>
        <v>0</v>
      </c>
      <c r="BS63" s="51">
        <f t="shared" si="55"/>
        <v>0</v>
      </c>
      <c r="BT63" s="51">
        <f t="shared" si="55"/>
        <v>0</v>
      </c>
      <c r="BU63" s="51">
        <f t="shared" si="55"/>
        <v>0</v>
      </c>
      <c r="BV63" s="51">
        <f t="shared" si="55"/>
        <v>0</v>
      </c>
      <c r="BW63" s="51">
        <f t="shared" si="55"/>
        <v>0</v>
      </c>
      <c r="BX63" s="51">
        <f t="shared" si="55"/>
        <v>0</v>
      </c>
      <c r="BY63" s="51">
        <f t="shared" si="55"/>
        <v>0</v>
      </c>
      <c r="BZ63" s="51">
        <f t="shared" si="55"/>
        <v>0</v>
      </c>
      <c r="CA63" s="51">
        <f t="shared" si="55"/>
        <v>0</v>
      </c>
      <c r="CB63" s="51">
        <f t="shared" si="55"/>
        <v>0</v>
      </c>
      <c r="CC63" s="51">
        <f t="shared" si="55"/>
        <v>0</v>
      </c>
      <c r="CD63" s="51">
        <f t="shared" si="55"/>
        <v>0</v>
      </c>
      <c r="CE63" s="51">
        <f t="shared" si="55"/>
        <v>0</v>
      </c>
      <c r="CF63" s="51">
        <f t="shared" si="55"/>
        <v>0</v>
      </c>
      <c r="CG63" s="51">
        <f t="shared" si="55"/>
        <v>0</v>
      </c>
      <c r="CH63" s="51">
        <f t="shared" si="55"/>
        <v>0</v>
      </c>
      <c r="CI63" s="51">
        <f t="shared" si="55"/>
        <v>0</v>
      </c>
      <c r="CJ63" s="51">
        <f t="shared" si="55"/>
        <v>0</v>
      </c>
      <c r="CK63" s="51">
        <f t="shared" si="55"/>
        <v>0</v>
      </c>
      <c r="CL63" s="51">
        <f t="shared" si="55"/>
        <v>0</v>
      </c>
      <c r="CM63" s="51">
        <f t="shared" si="55"/>
        <v>0</v>
      </c>
      <c r="CN63" s="51">
        <f t="shared" ref="CN63:CP63" si="56">IF(CN51=0,CM63*(1+CN$11*CN$38),IF(CN51=1,-CN77/(1-PERCENTILE($D63:$E63,$D$41)),IF(CN51=2,)))</f>
        <v>0</v>
      </c>
      <c r="CO63" s="51">
        <f t="shared" si="56"/>
        <v>0</v>
      </c>
      <c r="CP63" s="51">
        <f t="shared" si="56"/>
        <v>0</v>
      </c>
      <c r="CQ63" s="362" t="s">
        <v>77</v>
      </c>
    </row>
    <row r="64" spans="2:95" outlineLevel="1" x14ac:dyDescent="0.2">
      <c r="B64" s="485" t="s">
        <v>299</v>
      </c>
      <c r="D64" s="485"/>
      <c r="E64" s="485"/>
      <c r="F64" s="485"/>
      <c r="G64" s="485"/>
      <c r="H64" s="485"/>
      <c r="I64" s="485"/>
      <c r="J64" s="485"/>
      <c r="K64" s="85">
        <f t="shared" ref="K64:T64" si="57">SUM(K54:K61)</f>
        <v>0</v>
      </c>
      <c r="L64" s="85">
        <f t="shared" si="57"/>
        <v>0</v>
      </c>
      <c r="M64" s="85">
        <f t="shared" si="57"/>
        <v>0</v>
      </c>
      <c r="N64" s="85">
        <f t="shared" si="57"/>
        <v>143.3353071386216</v>
      </c>
      <c r="O64" s="85">
        <f t="shared" si="57"/>
        <v>155.73525856608708</v>
      </c>
      <c r="P64" s="85">
        <f t="shared" si="57"/>
        <v>157.35197646383114</v>
      </c>
      <c r="Q64" s="85">
        <f t="shared" si="57"/>
        <v>157.70425548855175</v>
      </c>
      <c r="R64" s="85">
        <f t="shared" si="57"/>
        <v>195.2695680575749</v>
      </c>
      <c r="S64" s="85">
        <f t="shared" si="57"/>
        <v>219.7629773876198</v>
      </c>
      <c r="T64" s="85">
        <f t="shared" si="57"/>
        <v>262.67814137080688</v>
      </c>
      <c r="U64" s="85">
        <f>SUM(U54:U62)</f>
        <v>284.91741436101398</v>
      </c>
      <c r="V64" s="85">
        <f>SUM(V54:V62)</f>
        <v>287.17553511552364</v>
      </c>
      <c r="W64" s="85">
        <f>SUM(W54:W62)</f>
        <v>320.15637772967568</v>
      </c>
      <c r="X64" s="85">
        <f>SUM(X54:X63)</f>
        <v>342.73959133958425</v>
      </c>
      <c r="Y64" s="85">
        <f>SUM(Y54:Y63)</f>
        <v>380.40259362307381</v>
      </c>
      <c r="Z64" s="85">
        <f>SUM(Z54:Z63)</f>
        <v>406.21280572559766</v>
      </c>
      <c r="AA64" s="85">
        <f t="shared" ref="AA64:BD64" si="58">SUM(AA54:AA63)</f>
        <v>416.58208956858721</v>
      </c>
      <c r="AB64" s="85">
        <f t="shared" si="58"/>
        <v>425.80986506937728</v>
      </c>
      <c r="AC64" s="85">
        <f t="shared" si="58"/>
        <v>434.80290653111132</v>
      </c>
      <c r="AD64" s="85">
        <f t="shared" si="58"/>
        <v>443.58484661911984</v>
      </c>
      <c r="AE64" s="85">
        <f t="shared" si="58"/>
        <v>436.98211115241372</v>
      </c>
      <c r="AF64" s="85">
        <f t="shared" si="58"/>
        <v>407.91153665380227</v>
      </c>
      <c r="AG64" s="85">
        <f t="shared" si="58"/>
        <v>394.00188515607067</v>
      </c>
      <c r="AH64" s="85">
        <f t="shared" si="58"/>
        <v>401.95780911351062</v>
      </c>
      <c r="AI64" s="85">
        <f t="shared" si="58"/>
        <v>410.05310447702476</v>
      </c>
      <c r="AJ64" s="85">
        <f t="shared" si="58"/>
        <v>412.23961004850543</v>
      </c>
      <c r="AK64" s="85">
        <f t="shared" si="58"/>
        <v>393.43840475534404</v>
      </c>
      <c r="AL64" s="85">
        <f t="shared" si="58"/>
        <v>401.33109826453074</v>
      </c>
      <c r="AM64" s="85">
        <f t="shared" si="58"/>
        <v>409.42070520057877</v>
      </c>
      <c r="AN64" s="85">
        <f t="shared" si="58"/>
        <v>404.82451154184986</v>
      </c>
      <c r="AO64" s="85">
        <f t="shared" si="58"/>
        <v>413.01743573327178</v>
      </c>
      <c r="AP64" s="85">
        <f t="shared" si="58"/>
        <v>421.41376187542772</v>
      </c>
      <c r="AQ64" s="85">
        <f t="shared" si="58"/>
        <v>430.01914635323607</v>
      </c>
      <c r="AR64" s="85">
        <f t="shared" si="58"/>
        <v>438.8368149919412</v>
      </c>
      <c r="AS64" s="85">
        <f t="shared" si="58"/>
        <v>447.87314664401225</v>
      </c>
      <c r="AT64" s="85">
        <f t="shared" si="58"/>
        <v>457.13311509894709</v>
      </c>
      <c r="AU64" s="85">
        <f t="shared" si="58"/>
        <v>466.61980192543223</v>
      </c>
      <c r="AV64" s="85">
        <f t="shared" si="58"/>
        <v>476.34193975059191</v>
      </c>
      <c r="AW64" s="85">
        <f t="shared" si="58"/>
        <v>429.04691390430787</v>
      </c>
      <c r="AX64" s="85">
        <f t="shared" si="58"/>
        <v>437.89027893050013</v>
      </c>
      <c r="AY64" s="85">
        <f t="shared" si="58"/>
        <v>446.9511804060196</v>
      </c>
      <c r="AZ64" s="85">
        <f t="shared" si="58"/>
        <v>456.23355537983139</v>
      </c>
      <c r="BA64" s="85">
        <f t="shared" si="58"/>
        <v>465.74299880243916</v>
      </c>
      <c r="BB64" s="85">
        <f t="shared" si="58"/>
        <v>475.48520555112179</v>
      </c>
      <c r="BC64" s="85">
        <f t="shared" si="58"/>
        <v>485.46397326605239</v>
      </c>
      <c r="BD64" s="85">
        <f t="shared" si="58"/>
        <v>495.68577612304352</v>
      </c>
      <c r="BE64" s="85">
        <f t="shared" ref="BE64:CP64" si="59">SUM(BE54:BE63)</f>
        <v>506.15717668814534</v>
      </c>
      <c r="BF64" s="85">
        <f t="shared" si="59"/>
        <v>516.8808492088591</v>
      </c>
      <c r="BG64" s="85">
        <f t="shared" si="59"/>
        <v>527.86669409525905</v>
      </c>
      <c r="BH64" s="85">
        <f t="shared" si="59"/>
        <v>539.11562850093958</v>
      </c>
      <c r="BI64" s="85">
        <f t="shared" si="59"/>
        <v>550.6388123197961</v>
      </c>
      <c r="BJ64" s="85">
        <f t="shared" si="59"/>
        <v>562.43797941684738</v>
      </c>
      <c r="BK64" s="85">
        <f t="shared" si="59"/>
        <v>574.52307266404841</v>
      </c>
      <c r="BL64" s="85">
        <f t="shared" si="59"/>
        <v>586.89913607671213</v>
      </c>
      <c r="BM64" s="85">
        <f t="shared" si="59"/>
        <v>599.57290951682637</v>
      </c>
      <c r="BN64" s="85">
        <f t="shared" si="59"/>
        <v>612.55074124601254</v>
      </c>
      <c r="BO64" s="85">
        <f t="shared" si="59"/>
        <v>625.84019292517746</v>
      </c>
      <c r="BP64" s="85">
        <f t="shared" si="59"/>
        <v>639.44847259207836</v>
      </c>
      <c r="BQ64" s="85">
        <f t="shared" si="59"/>
        <v>653.38295884785816</v>
      </c>
      <c r="BR64" s="85">
        <f t="shared" si="59"/>
        <v>667.65019476443285</v>
      </c>
      <c r="BS64" s="85">
        <f t="shared" si="59"/>
        <v>620.27436013737884</v>
      </c>
      <c r="BT64" s="85">
        <f t="shared" si="59"/>
        <v>633.76084734690858</v>
      </c>
      <c r="BU64" s="85">
        <f t="shared" si="59"/>
        <v>647.56885928395081</v>
      </c>
      <c r="BV64" s="85">
        <f t="shared" si="59"/>
        <v>661.70687964711556</v>
      </c>
      <c r="BW64" s="85">
        <f t="shared" si="59"/>
        <v>676.18204839850284</v>
      </c>
      <c r="BX64" s="85">
        <f t="shared" si="59"/>
        <v>691.00319630840386</v>
      </c>
      <c r="BY64" s="85">
        <f t="shared" si="59"/>
        <v>706.17529860543686</v>
      </c>
      <c r="BZ64" s="85">
        <f t="shared" si="59"/>
        <v>721.71008059083545</v>
      </c>
      <c r="CA64" s="85">
        <f t="shared" si="59"/>
        <v>737.61391074845005</v>
      </c>
      <c r="CB64" s="85">
        <f t="shared" si="59"/>
        <v>753.89789644471318</v>
      </c>
      <c r="CC64" s="85">
        <f t="shared" si="59"/>
        <v>770.56630762605607</v>
      </c>
      <c r="CD64" s="85">
        <f t="shared" si="59"/>
        <v>703.56275090771544</v>
      </c>
      <c r="CE64" s="85">
        <f t="shared" si="59"/>
        <v>719.03663802598726</v>
      </c>
      <c r="CF64" s="85">
        <f t="shared" si="59"/>
        <v>734.87665859924505</v>
      </c>
      <c r="CG64" s="85">
        <f t="shared" si="59"/>
        <v>751.09236846220438</v>
      </c>
      <c r="CH64" s="85">
        <f t="shared" si="59"/>
        <v>767.69298445927598</v>
      </c>
      <c r="CI64" s="85">
        <f t="shared" si="59"/>
        <v>784.6859297054167</v>
      </c>
      <c r="CJ64" s="85">
        <f t="shared" si="59"/>
        <v>802.08237895995171</v>
      </c>
      <c r="CK64" s="85">
        <f t="shared" si="59"/>
        <v>819.89016237739133</v>
      </c>
      <c r="CL64" s="85">
        <f t="shared" si="59"/>
        <v>838.11787186044342</v>
      </c>
      <c r="CM64" s="85">
        <f t="shared" si="59"/>
        <v>856.77630554719042</v>
      </c>
      <c r="CN64" s="85">
        <f t="shared" si="59"/>
        <v>875.87601366424519</v>
      </c>
      <c r="CO64" s="85">
        <f t="shared" si="59"/>
        <v>895.42829388597829</v>
      </c>
      <c r="CP64" s="85">
        <f t="shared" si="59"/>
        <v>915.44163620283109</v>
      </c>
      <c r="CQ64" s="362" t="s">
        <v>77</v>
      </c>
    </row>
    <row r="65" spans="2:95" s="98" customFormat="1" outlineLevel="1" x14ac:dyDescent="0.2">
      <c r="B65" s="25" t="s">
        <v>300</v>
      </c>
      <c r="C65" s="24"/>
      <c r="K65" s="118">
        <f t="shared" ref="K65:BD65" si="60">+K21-K64</f>
        <v>0</v>
      </c>
      <c r="L65" s="118">
        <f t="shared" si="60"/>
        <v>0</v>
      </c>
      <c r="M65" s="118">
        <f t="shared" si="60"/>
        <v>143.87799999999999</v>
      </c>
      <c r="N65" s="118">
        <f t="shared" si="60"/>
        <v>23.873692861378402</v>
      </c>
      <c r="O65" s="118">
        <f t="shared" si="60"/>
        <v>-1.53225856608708</v>
      </c>
      <c r="P65" s="118">
        <f t="shared" si="60"/>
        <v>-1.9649764638311353</v>
      </c>
      <c r="Q65" s="118">
        <f t="shared" si="60"/>
        <v>-0.2112554885517568</v>
      </c>
      <c r="R65" s="118">
        <f t="shared" si="60"/>
        <v>0.63043194242510481</v>
      </c>
      <c r="S65" s="118">
        <f t="shared" si="60"/>
        <v>0.11602261238019196</v>
      </c>
      <c r="T65" s="118">
        <f t="shared" si="60"/>
        <v>-0.26584137080686787</v>
      </c>
      <c r="U65" s="118">
        <f t="shared" si="60"/>
        <v>8.9315856389860073</v>
      </c>
      <c r="V65" s="118">
        <f t="shared" si="60"/>
        <v>2.1484648844763683</v>
      </c>
      <c r="W65" s="118">
        <f t="shared" si="60"/>
        <v>2.5036222703243425</v>
      </c>
      <c r="X65" s="118">
        <f t="shared" si="60"/>
        <v>0</v>
      </c>
      <c r="Y65" s="118">
        <f t="shared" si="60"/>
        <v>0</v>
      </c>
      <c r="Z65" s="118">
        <f t="shared" si="60"/>
        <v>0</v>
      </c>
      <c r="AA65" s="118">
        <f t="shared" si="60"/>
        <v>0</v>
      </c>
      <c r="AB65" s="118">
        <f t="shared" si="60"/>
        <v>0</v>
      </c>
      <c r="AC65" s="118">
        <f t="shared" si="60"/>
        <v>0</v>
      </c>
      <c r="AD65" s="118">
        <f t="shared" si="60"/>
        <v>0</v>
      </c>
      <c r="AE65" s="118">
        <f t="shared" si="60"/>
        <v>0</v>
      </c>
      <c r="AF65" s="118">
        <f t="shared" si="60"/>
        <v>0</v>
      </c>
      <c r="AG65" s="118">
        <f t="shared" si="60"/>
        <v>0</v>
      </c>
      <c r="AH65" s="118">
        <f t="shared" si="60"/>
        <v>0</v>
      </c>
      <c r="AI65" s="118">
        <f t="shared" si="60"/>
        <v>0</v>
      </c>
      <c r="AJ65" s="118">
        <f t="shared" si="60"/>
        <v>0</v>
      </c>
      <c r="AK65" s="118">
        <f t="shared" si="60"/>
        <v>0</v>
      </c>
      <c r="AL65" s="118">
        <f t="shared" si="60"/>
        <v>0</v>
      </c>
      <c r="AM65" s="118">
        <f t="shared" si="60"/>
        <v>0</v>
      </c>
      <c r="AN65" s="118">
        <f t="shared" si="60"/>
        <v>0</v>
      </c>
      <c r="AO65" s="118">
        <f t="shared" si="60"/>
        <v>0</v>
      </c>
      <c r="AP65" s="118">
        <f t="shared" si="60"/>
        <v>0</v>
      </c>
      <c r="AQ65" s="118">
        <f t="shared" si="60"/>
        <v>0</v>
      </c>
      <c r="AR65" s="118">
        <f t="shared" si="60"/>
        <v>0</v>
      </c>
      <c r="AS65" s="118">
        <f t="shared" si="60"/>
        <v>0</v>
      </c>
      <c r="AT65" s="118">
        <f t="shared" si="60"/>
        <v>0</v>
      </c>
      <c r="AU65" s="118">
        <f t="shared" si="60"/>
        <v>0</v>
      </c>
      <c r="AV65" s="118">
        <f t="shared" si="60"/>
        <v>0</v>
      </c>
      <c r="AW65" s="118">
        <f t="shared" si="60"/>
        <v>0</v>
      </c>
      <c r="AX65" s="118">
        <f t="shared" si="60"/>
        <v>0</v>
      </c>
      <c r="AY65" s="118">
        <f t="shared" si="60"/>
        <v>0</v>
      </c>
      <c r="AZ65" s="118">
        <f t="shared" si="60"/>
        <v>0</v>
      </c>
      <c r="BA65" s="118">
        <f t="shared" si="60"/>
        <v>0</v>
      </c>
      <c r="BB65" s="118">
        <f t="shared" si="60"/>
        <v>0</v>
      </c>
      <c r="BC65" s="118">
        <f t="shared" si="60"/>
        <v>0</v>
      </c>
      <c r="BD65" s="118">
        <f t="shared" si="60"/>
        <v>0</v>
      </c>
      <c r="BE65" s="118">
        <f t="shared" ref="BE65:CP65" si="61">+BE21-BE64</f>
        <v>0</v>
      </c>
      <c r="BF65" s="118">
        <f t="shared" si="61"/>
        <v>0</v>
      </c>
      <c r="BG65" s="118">
        <f t="shared" si="61"/>
        <v>0</v>
      </c>
      <c r="BH65" s="118">
        <f t="shared" si="61"/>
        <v>0</v>
      </c>
      <c r="BI65" s="118">
        <f t="shared" si="61"/>
        <v>0</v>
      </c>
      <c r="BJ65" s="118">
        <f t="shared" si="61"/>
        <v>0</v>
      </c>
      <c r="BK65" s="118">
        <f t="shared" si="61"/>
        <v>0</v>
      </c>
      <c r="BL65" s="118">
        <f t="shared" si="61"/>
        <v>0</v>
      </c>
      <c r="BM65" s="118">
        <f t="shared" si="61"/>
        <v>0</v>
      </c>
      <c r="BN65" s="118">
        <f t="shared" si="61"/>
        <v>0</v>
      </c>
      <c r="BO65" s="118">
        <f t="shared" si="61"/>
        <v>0</v>
      </c>
      <c r="BP65" s="118">
        <f t="shared" si="61"/>
        <v>0</v>
      </c>
      <c r="BQ65" s="118">
        <f t="shared" si="61"/>
        <v>0</v>
      </c>
      <c r="BR65" s="118">
        <f t="shared" si="61"/>
        <v>0</v>
      </c>
      <c r="BS65" s="118">
        <f t="shared" si="61"/>
        <v>0</v>
      </c>
      <c r="BT65" s="118">
        <f t="shared" si="61"/>
        <v>0</v>
      </c>
      <c r="BU65" s="118">
        <f t="shared" si="61"/>
        <v>0</v>
      </c>
      <c r="BV65" s="118">
        <f t="shared" si="61"/>
        <v>0</v>
      </c>
      <c r="BW65" s="118">
        <f t="shared" si="61"/>
        <v>0</v>
      </c>
      <c r="BX65" s="118">
        <f t="shared" si="61"/>
        <v>0</v>
      </c>
      <c r="BY65" s="118">
        <f t="shared" si="61"/>
        <v>0</v>
      </c>
      <c r="BZ65" s="118">
        <f t="shared" si="61"/>
        <v>0</v>
      </c>
      <c r="CA65" s="118">
        <f t="shared" si="61"/>
        <v>0</v>
      </c>
      <c r="CB65" s="118">
        <f t="shared" si="61"/>
        <v>0</v>
      </c>
      <c r="CC65" s="118">
        <f t="shared" si="61"/>
        <v>0</v>
      </c>
      <c r="CD65" s="118">
        <f t="shared" si="61"/>
        <v>0</v>
      </c>
      <c r="CE65" s="118">
        <f t="shared" si="61"/>
        <v>0</v>
      </c>
      <c r="CF65" s="118">
        <f t="shared" si="61"/>
        <v>0</v>
      </c>
      <c r="CG65" s="118">
        <f t="shared" si="61"/>
        <v>0</v>
      </c>
      <c r="CH65" s="118">
        <f t="shared" si="61"/>
        <v>0</v>
      </c>
      <c r="CI65" s="118">
        <f t="shared" si="61"/>
        <v>0</v>
      </c>
      <c r="CJ65" s="118">
        <f t="shared" si="61"/>
        <v>0</v>
      </c>
      <c r="CK65" s="118">
        <f t="shared" si="61"/>
        <v>0</v>
      </c>
      <c r="CL65" s="118">
        <f t="shared" si="61"/>
        <v>0</v>
      </c>
      <c r="CM65" s="118">
        <f t="shared" si="61"/>
        <v>0</v>
      </c>
      <c r="CN65" s="118">
        <f t="shared" si="61"/>
        <v>0</v>
      </c>
      <c r="CO65" s="118">
        <f t="shared" si="61"/>
        <v>0</v>
      </c>
      <c r="CP65" s="118">
        <f t="shared" si="61"/>
        <v>0</v>
      </c>
      <c r="CQ65" s="362" t="s">
        <v>77</v>
      </c>
    </row>
    <row r="66" spans="2:95" outlineLevel="1" x14ac:dyDescent="0.2">
      <c r="B66" s="24"/>
      <c r="CQ66" s="362" t="s">
        <v>77</v>
      </c>
    </row>
    <row r="67" spans="2:95" outlineLevel="1" x14ac:dyDescent="0.2">
      <c r="B67" s="358" t="s">
        <v>575</v>
      </c>
      <c r="D67" s="218"/>
      <c r="E67" s="218"/>
      <c r="F67" s="218"/>
      <c r="G67" s="218"/>
      <c r="H67" s="218"/>
      <c r="I67" s="218"/>
      <c r="J67" s="218"/>
      <c r="K67" s="66"/>
      <c r="L67" s="66"/>
      <c r="M67" s="66"/>
      <c r="N67" s="66"/>
      <c r="O67" s="66"/>
      <c r="P67" s="66"/>
      <c r="Q67" s="66"/>
      <c r="R67" s="66"/>
      <c r="S67" s="248"/>
      <c r="T67" s="66"/>
      <c r="U67" s="66"/>
      <c r="V67" s="545"/>
      <c r="W67" s="66"/>
      <c r="X67" s="66"/>
      <c r="Y67" s="66"/>
      <c r="Z67" s="66"/>
      <c r="AA67" s="66"/>
      <c r="AB67" s="66"/>
      <c r="AC67" s="66"/>
      <c r="AD67" s="66"/>
      <c r="AE67" s="66"/>
      <c r="AF67" s="66"/>
      <c r="AG67" s="66"/>
      <c r="AH67" s="66"/>
      <c r="AI67" s="66"/>
      <c r="AJ67" s="66"/>
      <c r="AK67" s="66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  <c r="AZ67" s="66"/>
      <c r="BA67" s="66"/>
      <c r="BB67" s="66"/>
      <c r="BC67" s="66"/>
      <c r="BD67" s="66"/>
      <c r="BE67" s="66"/>
      <c r="BF67" s="66"/>
      <c r="BG67" s="66"/>
      <c r="BH67" s="66"/>
      <c r="BI67" s="66"/>
      <c r="BJ67" s="66"/>
      <c r="BK67" s="66"/>
      <c r="BL67" s="66"/>
      <c r="BM67" s="66"/>
      <c r="BN67" s="66"/>
      <c r="BO67" s="66"/>
      <c r="BP67" s="66"/>
      <c r="BQ67" s="66"/>
      <c r="BR67" s="66"/>
      <c r="BS67" s="66"/>
      <c r="BT67" s="66"/>
      <c r="BU67" s="66"/>
      <c r="BV67" s="66"/>
      <c r="BW67" s="66"/>
      <c r="BX67" s="66"/>
      <c r="BY67" s="66"/>
      <c r="BZ67" s="66"/>
      <c r="CA67" s="66"/>
      <c r="CB67" s="66"/>
      <c r="CC67" s="66"/>
      <c r="CD67" s="66"/>
      <c r="CE67" s="66"/>
      <c r="CF67" s="66"/>
      <c r="CG67" s="66"/>
      <c r="CH67" s="66"/>
      <c r="CI67" s="66"/>
      <c r="CJ67" s="66"/>
      <c r="CK67" s="66"/>
      <c r="CL67" s="66"/>
      <c r="CM67" s="66"/>
      <c r="CN67" s="66"/>
      <c r="CO67" s="66"/>
      <c r="CP67" s="66"/>
      <c r="CQ67" s="362" t="s">
        <v>77</v>
      </c>
    </row>
    <row r="68" spans="2:95" outlineLevel="1" x14ac:dyDescent="0.2">
      <c r="B68" s="91" t="s">
        <v>341</v>
      </c>
      <c r="K68" s="9" t="s">
        <v>78</v>
      </c>
      <c r="L68" s="265" t="s">
        <v>78</v>
      </c>
      <c r="M68" s="265" t="s">
        <v>78</v>
      </c>
      <c r="N68" s="265">
        <v>3</v>
      </c>
      <c r="O68" s="265">
        <v>3.3</v>
      </c>
      <c r="P68" s="265">
        <v>2.4</v>
      </c>
      <c r="Q68" s="265">
        <v>5.8</v>
      </c>
      <c r="R68" s="265">
        <v>8</v>
      </c>
      <c r="S68" s="23">
        <f>IFERROR(S81-S54,"n.a.")</f>
        <v>-11.111235955056179</v>
      </c>
      <c r="T68" s="51">
        <f t="shared" ref="T68:BD68" si="62">IFERROR(T81-T54,"n.a.")</f>
        <v>-14.286</v>
      </c>
      <c r="U68" s="51">
        <f t="shared" si="62"/>
        <v>-11.399999999999999</v>
      </c>
      <c r="V68" s="51">
        <f t="shared" si="62"/>
        <v>-10.035532190047793</v>
      </c>
      <c r="W68" s="51">
        <f t="shared" si="62"/>
        <v>-3.3999999999999986</v>
      </c>
      <c r="X68" s="307">
        <f t="shared" si="62"/>
        <v>-3.4399999999999977</v>
      </c>
      <c r="Y68" s="307">
        <f t="shared" si="62"/>
        <v>-3.4599999999999973</v>
      </c>
      <c r="Z68" s="307">
        <f t="shared" si="62"/>
        <v>-3.519999999999996</v>
      </c>
      <c r="AA68" s="307">
        <f t="shared" si="62"/>
        <v>-3.5399999999999956</v>
      </c>
      <c r="AB68" s="307">
        <f t="shared" si="62"/>
        <v>-3.7105986718471904</v>
      </c>
      <c r="AC68" s="307">
        <f t="shared" si="62"/>
        <v>-3.7895121855659077</v>
      </c>
      <c r="AD68" s="307">
        <f t="shared" si="62"/>
        <v>-3.8699002616222415</v>
      </c>
      <c r="AE68" s="307">
        <f t="shared" si="62"/>
        <v>-3.9520018578368976</v>
      </c>
      <c r="AF68" s="307">
        <f t="shared" si="62"/>
        <v>-4.0356506890910318</v>
      </c>
      <c r="AG68" s="307">
        <f t="shared" si="62"/>
        <v>-4.1212853713686215</v>
      </c>
      <c r="AH68" s="307">
        <f t="shared" si="62"/>
        <v>-4.2083393178929889</v>
      </c>
      <c r="AI68" s="307">
        <f t="shared" si="62"/>
        <v>-4.2974549338051133</v>
      </c>
      <c r="AJ68" s="307">
        <f t="shared" si="62"/>
        <v>-4.3882694636069814</v>
      </c>
      <c r="AK68" s="307">
        <f t="shared" si="62"/>
        <v>-4.5042140555610004</v>
      </c>
      <c r="AL68" s="307">
        <f t="shared" si="62"/>
        <v>-4.5989500111145638</v>
      </c>
      <c r="AM68" s="307">
        <f t="shared" si="62"/>
        <v>-4.6955083926324725</v>
      </c>
      <c r="AN68" s="307">
        <f t="shared" si="62"/>
        <v>-4.793932348415737</v>
      </c>
      <c r="AO68" s="307">
        <f t="shared" si="62"/>
        <v>-4.894670104748009</v>
      </c>
      <c r="AP68" s="307">
        <f t="shared" si="62"/>
        <v>-4.9973608165819918</v>
      </c>
      <c r="AQ68" s="307">
        <f t="shared" si="62"/>
        <v>-5.1022548410586843</v>
      </c>
      <c r="AR68" s="307">
        <f t="shared" si="62"/>
        <v>-5.2091955397050071</v>
      </c>
      <c r="AS68" s="307">
        <f t="shared" si="62"/>
        <v>-5.3184355034926298</v>
      </c>
      <c r="AT68" s="307">
        <f t="shared" si="62"/>
        <v>-5.430024430794294</v>
      </c>
      <c r="AU68" s="307">
        <f t="shared" si="62"/>
        <v>-5.5438111798509375</v>
      </c>
      <c r="AV68" s="307">
        <f t="shared" si="62"/>
        <v>-5.6604518964130186</v>
      </c>
      <c r="AW68" s="307">
        <f t="shared" si="62"/>
        <v>-5.7789918191635401</v>
      </c>
      <c r="AX68" s="307">
        <f t="shared" si="62"/>
        <v>-5.900293657107472</v>
      </c>
      <c r="AY68" s="307">
        <f t="shared" si="62"/>
        <v>-6.0242112970433865</v>
      </c>
      <c r="AZ68" s="307">
        <f t="shared" si="62"/>
        <v>-6.1505979340068642</v>
      </c>
      <c r="BA68" s="307">
        <f t="shared" si="62"/>
        <v>-6.2797162272947809</v>
      </c>
      <c r="BB68" s="307">
        <f t="shared" si="62"/>
        <v>-6.4116261840320767</v>
      </c>
      <c r="BC68" s="307">
        <f t="shared" si="62"/>
        <v>-6.5461851925453907</v>
      </c>
      <c r="BD68" s="307">
        <f t="shared" si="62"/>
        <v>-6.6836622304002127</v>
      </c>
      <c r="BE68" s="307">
        <f t="shared" ref="BE68:CP68" si="63">IFERROR(BE81-BE54,"n.a.")</f>
        <v>-6.8243196758462972</v>
      </c>
      <c r="BF68" s="307">
        <f t="shared" si="63"/>
        <v>-6.9676173933171697</v>
      </c>
      <c r="BG68" s="307">
        <f t="shared" si="63"/>
        <v>-7.1144350433277594</v>
      </c>
      <c r="BH68" s="307">
        <f t="shared" si="63"/>
        <v>-7.2638295984319896</v>
      </c>
      <c r="BI68" s="307">
        <f t="shared" si="63"/>
        <v>-7.4168799281122801</v>
      </c>
      <c r="BJ68" s="307">
        <f t="shared" si="63"/>
        <v>-7.5728524159053876</v>
      </c>
      <c r="BK68" s="307">
        <f t="shared" si="63"/>
        <v>-7.7324273226093609</v>
      </c>
      <c r="BL68" s="307">
        <f t="shared" si="63"/>
        <v>-7.8954765543414354</v>
      </c>
      <c r="BM68" s="307">
        <f t="shared" si="63"/>
        <v>-8.0620819283424439</v>
      </c>
      <c r="BN68" s="307">
        <f t="shared" si="63"/>
        <v>-8.2321169927068567</v>
      </c>
      <c r="BO68" s="307">
        <f t="shared" si="63"/>
        <v>-8.4058673190689817</v>
      </c>
      <c r="BP68" s="307">
        <f t="shared" si="63"/>
        <v>-8.5834163741016738</v>
      </c>
      <c r="BQ68" s="307">
        <f t="shared" si="63"/>
        <v>-8.76484961564109</v>
      </c>
      <c r="BR68" s="307">
        <f t="shared" si="63"/>
        <v>-8.9500525154073145</v>
      </c>
      <c r="BS68" s="307">
        <f t="shared" si="63"/>
        <v>-9.1395166822134328</v>
      </c>
      <c r="BT68" s="307">
        <f t="shared" si="63"/>
        <v>-9.3331358621480902</v>
      </c>
      <c r="BU68" s="307">
        <f t="shared" si="63"/>
        <v>-9.5307978902734334</v>
      </c>
      <c r="BV68" s="307">
        <f t="shared" si="63"/>
        <v>-9.7328029664370064</v>
      </c>
      <c r="BW68" s="307">
        <f t="shared" si="63"/>
        <v>-9.9392495349244783</v>
      </c>
      <c r="BX68" s="307">
        <f t="shared" si="63"/>
        <v>-10.150440413771321</v>
      </c>
      <c r="BY68" s="307">
        <f t="shared" si="63"/>
        <v>-10.365872726679783</v>
      </c>
      <c r="BZ68" s="307">
        <f t="shared" si="63"/>
        <v>-10.586258208846786</v>
      </c>
      <c r="CA68" s="307">
        <f t="shared" si="63"/>
        <v>-10.811300992566238</v>
      </c>
      <c r="CB68" s="307">
        <f t="shared" si="63"/>
        <v>-11.041715890997203</v>
      </c>
      <c r="CC68" s="307">
        <f t="shared" si="63"/>
        <v>-11.276812261124938</v>
      </c>
      <c r="CD68" s="307">
        <f t="shared" si="63"/>
        <v>-11.517106215927683</v>
      </c>
      <c r="CE68" s="307">
        <f t="shared" si="63"/>
        <v>-11.762922713862089</v>
      </c>
      <c r="CF68" s="307">
        <f t="shared" si="63"/>
        <v>-12.013975376675319</v>
      </c>
      <c r="CG68" s="307">
        <f t="shared" si="63"/>
        <v>-12.270594904911178</v>
      </c>
      <c r="CH68" s="307">
        <f t="shared" si="63"/>
        <v>-12.533106874085462</v>
      </c>
      <c r="CI68" s="307">
        <f t="shared" si="63"/>
        <v>-12.801239905089673</v>
      </c>
      <c r="CJ68" s="307">
        <f t="shared" si="63"/>
        <v>-13.075533836292607</v>
      </c>
      <c r="CK68" s="307">
        <f t="shared" si="63"/>
        <v>-13.355919549648227</v>
      </c>
      <c r="CL68" s="307">
        <f t="shared" si="63"/>
        <v>-13.642339295343724</v>
      </c>
      <c r="CM68" s="307">
        <f t="shared" si="63"/>
        <v>-13.935134620861881</v>
      </c>
      <c r="CN68" s="307">
        <f t="shared" si="63"/>
        <v>-14.234454550289676</v>
      </c>
      <c r="CO68" s="307">
        <f t="shared" si="63"/>
        <v>-14.540653641347461</v>
      </c>
      <c r="CP68" s="307">
        <f t="shared" si="63"/>
        <v>-14.853679920184391</v>
      </c>
      <c r="CQ68" s="362" t="s">
        <v>77</v>
      </c>
    </row>
    <row r="69" spans="2:95" outlineLevel="1" x14ac:dyDescent="0.2">
      <c r="B69" s="8" t="s">
        <v>337</v>
      </c>
      <c r="K69" s="9" t="s">
        <v>78</v>
      </c>
      <c r="L69" s="265" t="s">
        <v>78</v>
      </c>
      <c r="M69" s="265" t="s">
        <v>78</v>
      </c>
      <c r="N69" s="265">
        <v>0</v>
      </c>
      <c r="O69" s="265">
        <v>0</v>
      </c>
      <c r="P69" s="265">
        <v>0</v>
      </c>
      <c r="Q69" s="265">
        <v>0</v>
      </c>
      <c r="R69" s="265">
        <v>20</v>
      </c>
      <c r="S69" s="23">
        <f>IFERROR(S82-S55,"n.a.")</f>
        <v>-7.7029386674510967</v>
      </c>
      <c r="T69" s="51">
        <f t="shared" ref="T69:AE69" si="64">IFERROR(T82-T55,"n.a.")</f>
        <v>-5.1686831667252271</v>
      </c>
      <c r="U69" s="51">
        <f t="shared" si="64"/>
        <v>-8.5315336673601507</v>
      </c>
      <c r="V69" s="51">
        <f t="shared" si="64"/>
        <v>-10.645059371869518</v>
      </c>
      <c r="W69" s="51">
        <f t="shared" si="64"/>
        <v>-18.764167673389753</v>
      </c>
      <c r="X69" s="307">
        <f t="shared" si="64"/>
        <v>-18.984488511756702</v>
      </c>
      <c r="Y69" s="307">
        <f t="shared" si="64"/>
        <v>-19.210317371082823</v>
      </c>
      <c r="Z69" s="307">
        <f t="shared" si="64"/>
        <v>-19.4417919518921</v>
      </c>
      <c r="AA69" s="307">
        <f t="shared" si="64"/>
        <v>-19.679053397221608</v>
      </c>
      <c r="AB69" s="307">
        <f t="shared" si="64"/>
        <v>-19.922246378684353</v>
      </c>
      <c r="AC69" s="307">
        <f t="shared" si="64"/>
        <v>-20.171519184683664</v>
      </c>
      <c r="AD69" s="307">
        <f t="shared" si="64"/>
        <v>-20.414248579525495</v>
      </c>
      <c r="AE69" s="307">
        <f t="shared" si="64"/>
        <v>-20.662742797494822</v>
      </c>
      <c r="AF69" s="257">
        <f>-AF55*(1-D55)</f>
        <v>-4.2249999999999996</v>
      </c>
      <c r="AG69" s="157">
        <f t="shared" ref="AG69:BL69" si="65">IF(AG43&lt;&gt;2,AF69*(1+AG$11),)</f>
        <v>-4.3306249999999995</v>
      </c>
      <c r="AH69" s="157">
        <f t="shared" si="65"/>
        <v>-4.4388906249999991</v>
      </c>
      <c r="AI69" s="157">
        <f t="shared" si="65"/>
        <v>-4.5498628906249987</v>
      </c>
      <c r="AJ69" s="157">
        <f t="shared" si="65"/>
        <v>-4.6636094628906228</v>
      </c>
      <c r="AK69" s="157">
        <f t="shared" si="65"/>
        <v>0</v>
      </c>
      <c r="AL69" s="157">
        <f t="shared" si="65"/>
        <v>0</v>
      </c>
      <c r="AM69" s="157">
        <f t="shared" si="65"/>
        <v>0</v>
      </c>
      <c r="AN69" s="157">
        <f t="shared" si="65"/>
        <v>0</v>
      </c>
      <c r="AO69" s="157">
        <f t="shared" si="65"/>
        <v>0</v>
      </c>
      <c r="AP69" s="157">
        <f t="shared" si="65"/>
        <v>0</v>
      </c>
      <c r="AQ69" s="157">
        <f t="shared" si="65"/>
        <v>0</v>
      </c>
      <c r="AR69" s="157">
        <f t="shared" si="65"/>
        <v>0</v>
      </c>
      <c r="AS69" s="157">
        <f t="shared" si="65"/>
        <v>0</v>
      </c>
      <c r="AT69" s="157">
        <f t="shared" si="65"/>
        <v>0</v>
      </c>
      <c r="AU69" s="157">
        <f t="shared" si="65"/>
        <v>0</v>
      </c>
      <c r="AV69" s="157">
        <f t="shared" si="65"/>
        <v>0</v>
      </c>
      <c r="AW69" s="157">
        <f t="shared" si="65"/>
        <v>0</v>
      </c>
      <c r="AX69" s="157">
        <f t="shared" si="65"/>
        <v>0</v>
      </c>
      <c r="AY69" s="157">
        <f t="shared" si="65"/>
        <v>0</v>
      </c>
      <c r="AZ69" s="157">
        <f t="shared" si="65"/>
        <v>0</v>
      </c>
      <c r="BA69" s="157">
        <f t="shared" si="65"/>
        <v>0</v>
      </c>
      <c r="BB69" s="157">
        <f t="shared" si="65"/>
        <v>0</v>
      </c>
      <c r="BC69" s="157">
        <f t="shared" si="65"/>
        <v>0</v>
      </c>
      <c r="BD69" s="157">
        <f t="shared" si="65"/>
        <v>0</v>
      </c>
      <c r="BE69" s="157">
        <f t="shared" si="65"/>
        <v>0</v>
      </c>
      <c r="BF69" s="157">
        <f t="shared" si="65"/>
        <v>0</v>
      </c>
      <c r="BG69" s="157">
        <f t="shared" si="65"/>
        <v>0</v>
      </c>
      <c r="BH69" s="157">
        <f t="shared" si="65"/>
        <v>0</v>
      </c>
      <c r="BI69" s="157">
        <f t="shared" si="65"/>
        <v>0</v>
      </c>
      <c r="BJ69" s="157">
        <f t="shared" si="65"/>
        <v>0</v>
      </c>
      <c r="BK69" s="157">
        <f t="shared" si="65"/>
        <v>0</v>
      </c>
      <c r="BL69" s="157">
        <f t="shared" si="65"/>
        <v>0</v>
      </c>
      <c r="BM69" s="157">
        <f t="shared" ref="BM69:CP69" si="66">IF(BM43&lt;&gt;2,BL69*(1+BM$11),)</f>
        <v>0</v>
      </c>
      <c r="BN69" s="157">
        <f t="shared" si="66"/>
        <v>0</v>
      </c>
      <c r="BO69" s="157">
        <f t="shared" si="66"/>
        <v>0</v>
      </c>
      <c r="BP69" s="157">
        <f t="shared" si="66"/>
        <v>0</v>
      </c>
      <c r="BQ69" s="157">
        <f t="shared" si="66"/>
        <v>0</v>
      </c>
      <c r="BR69" s="157">
        <f t="shared" si="66"/>
        <v>0</v>
      </c>
      <c r="BS69" s="157">
        <f t="shared" si="66"/>
        <v>0</v>
      </c>
      <c r="BT69" s="157">
        <f t="shared" si="66"/>
        <v>0</v>
      </c>
      <c r="BU69" s="157">
        <f t="shared" si="66"/>
        <v>0</v>
      </c>
      <c r="BV69" s="157">
        <f t="shared" si="66"/>
        <v>0</v>
      </c>
      <c r="BW69" s="157">
        <f t="shared" si="66"/>
        <v>0</v>
      </c>
      <c r="BX69" s="157">
        <f t="shared" si="66"/>
        <v>0</v>
      </c>
      <c r="BY69" s="157">
        <f t="shared" si="66"/>
        <v>0</v>
      </c>
      <c r="BZ69" s="157">
        <f t="shared" si="66"/>
        <v>0</v>
      </c>
      <c r="CA69" s="157">
        <f t="shared" si="66"/>
        <v>0</v>
      </c>
      <c r="CB69" s="157">
        <f t="shared" si="66"/>
        <v>0</v>
      </c>
      <c r="CC69" s="157">
        <f t="shared" si="66"/>
        <v>0</v>
      </c>
      <c r="CD69" s="157">
        <f t="shared" si="66"/>
        <v>0</v>
      </c>
      <c r="CE69" s="157">
        <f t="shared" si="66"/>
        <v>0</v>
      </c>
      <c r="CF69" s="157">
        <f t="shared" si="66"/>
        <v>0</v>
      </c>
      <c r="CG69" s="157">
        <f t="shared" si="66"/>
        <v>0</v>
      </c>
      <c r="CH69" s="157">
        <f t="shared" si="66"/>
        <v>0</v>
      </c>
      <c r="CI69" s="157">
        <f t="shared" si="66"/>
        <v>0</v>
      </c>
      <c r="CJ69" s="157">
        <f t="shared" si="66"/>
        <v>0</v>
      </c>
      <c r="CK69" s="157">
        <f t="shared" si="66"/>
        <v>0</v>
      </c>
      <c r="CL69" s="157">
        <f t="shared" si="66"/>
        <v>0</v>
      </c>
      <c r="CM69" s="157">
        <f t="shared" si="66"/>
        <v>0</v>
      </c>
      <c r="CN69" s="157">
        <f t="shared" si="66"/>
        <v>0</v>
      </c>
      <c r="CO69" s="157">
        <f t="shared" si="66"/>
        <v>0</v>
      </c>
      <c r="CP69" s="157">
        <f t="shared" si="66"/>
        <v>0</v>
      </c>
      <c r="CQ69" s="362" t="s">
        <v>77</v>
      </c>
    </row>
    <row r="70" spans="2:95" outlineLevel="1" x14ac:dyDescent="0.2">
      <c r="B70" s="8" t="s">
        <v>594</v>
      </c>
      <c r="L70" s="265"/>
      <c r="M70" s="265"/>
      <c r="N70" s="265"/>
      <c r="O70" s="265"/>
      <c r="P70" s="265"/>
      <c r="Q70" s="265"/>
      <c r="R70" s="265"/>
      <c r="S70" s="23">
        <f>IFERROR(S83-S56,"n.a.")</f>
        <v>0</v>
      </c>
      <c r="T70" s="51">
        <f>IFERROR(T83-T56,"n.a.")</f>
        <v>0</v>
      </c>
      <c r="U70" s="51">
        <f>IFERROR(U83-U56,"n.a.")</f>
        <v>0</v>
      </c>
      <c r="V70" s="51">
        <f>IFERROR(V83-V56,"n.a.")</f>
        <v>0</v>
      </c>
      <c r="W70" s="51">
        <f>IFERROR(W83-W56,"n.a.")</f>
        <v>0</v>
      </c>
      <c r="X70" s="307">
        <f>IFERROR(X83-X56,"n.a.")</f>
        <v>-1.5666666666666664</v>
      </c>
      <c r="Y70" s="157">
        <f>IF(Y44&lt;&gt;2,X70*(1+Y$11),)</f>
        <v>-1.605833333333333</v>
      </c>
      <c r="Z70" s="307">
        <f t="shared" ref="Z70:CK71" si="67">IF(Z44&lt;&gt;2,Y70*(1+Z$11),)</f>
        <v>-1.6459791666666661</v>
      </c>
      <c r="AA70" s="307">
        <f t="shared" si="67"/>
        <v>-1.6871286458333326</v>
      </c>
      <c r="AB70" s="307">
        <f t="shared" si="67"/>
        <v>-1.7293068619791656</v>
      </c>
      <c r="AC70" s="307">
        <f t="shared" si="67"/>
        <v>-1.7725395335286447</v>
      </c>
      <c r="AD70" s="307">
        <f t="shared" si="67"/>
        <v>-1.8168530218668606</v>
      </c>
      <c r="AE70" s="307">
        <f t="shared" si="67"/>
        <v>-1.8622743474135319</v>
      </c>
      <c r="AF70" s="307">
        <f t="shared" si="67"/>
        <v>-1.9088312060988701</v>
      </c>
      <c r="AG70" s="307">
        <f t="shared" si="67"/>
        <v>-1.9565519862513416</v>
      </c>
      <c r="AH70" s="307">
        <f t="shared" si="67"/>
        <v>-2.0054657859076248</v>
      </c>
      <c r="AI70" s="307">
        <f t="shared" si="67"/>
        <v>-2.0556024305553153</v>
      </c>
      <c r="AJ70" s="257">
        <f>-AJ56*(1-D56)</f>
        <v>-0.56940000000000002</v>
      </c>
      <c r="AK70" s="307">
        <f t="shared" si="67"/>
        <v>-0.58363500000000001</v>
      </c>
      <c r="AL70" s="307">
        <f t="shared" si="67"/>
        <v>-0.59822587500000002</v>
      </c>
      <c r="AM70" s="307">
        <f t="shared" si="67"/>
        <v>-0.61318152187499997</v>
      </c>
      <c r="AN70" s="307">
        <f t="shared" si="67"/>
        <v>-0.62851105992187495</v>
      </c>
      <c r="AO70" s="307">
        <f t="shared" si="67"/>
        <v>-0.64422383641992176</v>
      </c>
      <c r="AP70" s="307">
        <f t="shared" si="67"/>
        <v>-0.66032943233041974</v>
      </c>
      <c r="AQ70" s="307">
        <f t="shared" si="67"/>
        <v>-0.67683766813868018</v>
      </c>
      <c r="AR70" s="307">
        <f t="shared" si="67"/>
        <v>-0.6937586098421471</v>
      </c>
      <c r="AS70" s="307">
        <f t="shared" si="67"/>
        <v>-0.71110257508820074</v>
      </c>
      <c r="AT70" s="307">
        <f t="shared" si="67"/>
        <v>-0.72888013946540564</v>
      </c>
      <c r="AU70" s="307">
        <f t="shared" si="67"/>
        <v>-0.74710214295204069</v>
      </c>
      <c r="AV70" s="307">
        <f t="shared" si="67"/>
        <v>-0.76577969652584166</v>
      </c>
      <c r="AW70" s="307">
        <f t="shared" si="67"/>
        <v>0</v>
      </c>
      <c r="AX70" s="307">
        <f t="shared" si="67"/>
        <v>0</v>
      </c>
      <c r="AY70" s="307">
        <f t="shared" si="67"/>
        <v>0</v>
      </c>
      <c r="AZ70" s="307">
        <f t="shared" si="67"/>
        <v>0</v>
      </c>
      <c r="BA70" s="307">
        <f t="shared" si="67"/>
        <v>0</v>
      </c>
      <c r="BB70" s="307">
        <f t="shared" si="67"/>
        <v>0</v>
      </c>
      <c r="BC70" s="307">
        <f t="shared" si="67"/>
        <v>0</v>
      </c>
      <c r="BD70" s="307">
        <f t="shared" si="67"/>
        <v>0</v>
      </c>
      <c r="BE70" s="307">
        <f t="shared" si="67"/>
        <v>0</v>
      </c>
      <c r="BF70" s="307">
        <f t="shared" si="67"/>
        <v>0</v>
      </c>
      <c r="BG70" s="307">
        <f t="shared" si="67"/>
        <v>0</v>
      </c>
      <c r="BH70" s="307">
        <f t="shared" si="67"/>
        <v>0</v>
      </c>
      <c r="BI70" s="307">
        <f t="shared" si="67"/>
        <v>0</v>
      </c>
      <c r="BJ70" s="307">
        <f t="shared" si="67"/>
        <v>0</v>
      </c>
      <c r="BK70" s="307">
        <f t="shared" si="67"/>
        <v>0</v>
      </c>
      <c r="BL70" s="307">
        <f t="shared" si="67"/>
        <v>0</v>
      </c>
      <c r="BM70" s="307">
        <f t="shared" si="67"/>
        <v>0</v>
      </c>
      <c r="BN70" s="307">
        <f t="shared" si="67"/>
        <v>0</v>
      </c>
      <c r="BO70" s="307">
        <f t="shared" si="67"/>
        <v>0</v>
      </c>
      <c r="BP70" s="307">
        <f t="shared" si="67"/>
        <v>0</v>
      </c>
      <c r="BQ70" s="307">
        <f t="shared" si="67"/>
        <v>0</v>
      </c>
      <c r="BR70" s="307">
        <f t="shared" si="67"/>
        <v>0</v>
      </c>
      <c r="BS70" s="307">
        <f t="shared" si="67"/>
        <v>0</v>
      </c>
      <c r="BT70" s="307">
        <f t="shared" si="67"/>
        <v>0</v>
      </c>
      <c r="BU70" s="307">
        <f t="shared" si="67"/>
        <v>0</v>
      </c>
      <c r="BV70" s="307">
        <f t="shared" si="67"/>
        <v>0</v>
      </c>
      <c r="BW70" s="307">
        <f t="shared" si="67"/>
        <v>0</v>
      </c>
      <c r="BX70" s="307">
        <f t="shared" si="67"/>
        <v>0</v>
      </c>
      <c r="BY70" s="307">
        <f t="shared" si="67"/>
        <v>0</v>
      </c>
      <c r="BZ70" s="307">
        <f t="shared" si="67"/>
        <v>0</v>
      </c>
      <c r="CA70" s="307">
        <f t="shared" si="67"/>
        <v>0</v>
      </c>
      <c r="CB70" s="307">
        <f t="shared" si="67"/>
        <v>0</v>
      </c>
      <c r="CC70" s="307">
        <f t="shared" si="67"/>
        <v>0</v>
      </c>
      <c r="CD70" s="307">
        <f t="shared" si="67"/>
        <v>0</v>
      </c>
      <c r="CE70" s="307">
        <f t="shared" si="67"/>
        <v>0</v>
      </c>
      <c r="CF70" s="307">
        <f t="shared" si="67"/>
        <v>0</v>
      </c>
      <c r="CG70" s="307">
        <f t="shared" si="67"/>
        <v>0</v>
      </c>
      <c r="CH70" s="307">
        <f t="shared" si="67"/>
        <v>0</v>
      </c>
      <c r="CI70" s="307">
        <f t="shared" si="67"/>
        <v>0</v>
      </c>
      <c r="CJ70" s="307">
        <f t="shared" si="67"/>
        <v>0</v>
      </c>
      <c r="CK70" s="307">
        <f t="shared" si="67"/>
        <v>0</v>
      </c>
      <c r="CL70" s="307">
        <f t="shared" ref="CL70:CP71" si="68">IF(CL44&lt;&gt;2,CK70*(1+CL$11),)</f>
        <v>0</v>
      </c>
      <c r="CM70" s="307">
        <f t="shared" si="68"/>
        <v>0</v>
      </c>
      <c r="CN70" s="307">
        <f t="shared" si="68"/>
        <v>0</v>
      </c>
      <c r="CO70" s="307">
        <f t="shared" si="68"/>
        <v>0</v>
      </c>
      <c r="CP70" s="307">
        <f t="shared" si="68"/>
        <v>0</v>
      </c>
      <c r="CQ70" s="362" t="s">
        <v>77</v>
      </c>
    </row>
    <row r="71" spans="2:95" outlineLevel="1" x14ac:dyDescent="0.2">
      <c r="B71" s="8" t="s">
        <v>566</v>
      </c>
      <c r="L71" s="147"/>
      <c r="M71" s="147"/>
      <c r="N71" s="147"/>
      <c r="O71" s="147"/>
      <c r="P71" s="147"/>
      <c r="Q71" s="147"/>
      <c r="R71" s="147"/>
      <c r="S71" s="23">
        <f t="shared" ref="S71:AJ71" si="69">IFERROR(S84-S57,"n.a.")</f>
        <v>0</v>
      </c>
      <c r="T71" s="23">
        <f t="shared" si="69"/>
        <v>0</v>
      </c>
      <c r="U71" s="23">
        <f t="shared" si="69"/>
        <v>0</v>
      </c>
      <c r="V71" s="23">
        <f t="shared" si="69"/>
        <v>0</v>
      </c>
      <c r="W71" s="23">
        <f t="shared" si="69"/>
        <v>0</v>
      </c>
      <c r="X71" s="307">
        <f t="shared" si="69"/>
        <v>0</v>
      </c>
      <c r="Y71" s="307">
        <f t="shared" si="69"/>
        <v>-6.75</v>
      </c>
      <c r="Z71" s="307">
        <f>IFERROR(Z84-Z57,"n.a.")</f>
        <v>-9.2249999999999979</v>
      </c>
      <c r="AA71" s="307">
        <f>IFERROR(AA84-AA57,"n.a.")</f>
        <v>-9.3787499999999966</v>
      </c>
      <c r="AB71" s="307">
        <f>IFERROR(AB84-AB57,"n.a.")</f>
        <v>-9.5363437499999968</v>
      </c>
      <c r="AC71" s="307">
        <f>IFERROR(AC84-AC57,"n.a.")</f>
        <v>-9.6978773437499974</v>
      </c>
      <c r="AD71" s="307">
        <f>IFERROR(AD84-AD57,"n.a.")</f>
        <v>-9.8551706806640595</v>
      </c>
      <c r="AE71" s="307">
        <f t="shared" si="69"/>
        <v>-10.016199734329831</v>
      </c>
      <c r="AF71" s="307">
        <f t="shared" si="69"/>
        <v>-10.181053228020165</v>
      </c>
      <c r="AG71" s="307">
        <f t="shared" si="69"/>
        <v>-10.349821992185642</v>
      </c>
      <c r="AH71" s="307">
        <f t="shared" si="69"/>
        <v>-10.522599014500052</v>
      </c>
      <c r="AI71" s="307">
        <f t="shared" si="69"/>
        <v>-10.699479491094429</v>
      </c>
      <c r="AJ71" s="307">
        <f t="shared" si="69"/>
        <v>-10.880560879007923</v>
      </c>
      <c r="AK71" s="257">
        <f>-AK57*(1-D57)</f>
        <v>-9.5488380000000035</v>
      </c>
      <c r="AL71" s="157">
        <f t="shared" ref="X71:BD72" si="70">IF(AL45&lt;&gt;2,AK71*(1+AL$11),)</f>
        <v>-9.7875589500000029</v>
      </c>
      <c r="AM71" s="157">
        <f t="shared" si="67"/>
        <v>-10.032247923750003</v>
      </c>
      <c r="AN71" s="157">
        <f t="shared" si="67"/>
        <v>-10.283054121843751</v>
      </c>
      <c r="AO71" s="157">
        <f t="shared" si="67"/>
        <v>-10.540130474889844</v>
      </c>
      <c r="AP71" s="157">
        <f t="shared" si="67"/>
        <v>-10.803633736762089</v>
      </c>
      <c r="AQ71" s="157">
        <f t="shared" si="67"/>
        <v>-11.073724580181141</v>
      </c>
      <c r="AR71" s="157">
        <f t="shared" si="67"/>
        <v>-11.350567694685669</v>
      </c>
      <c r="AS71" s="157">
        <f t="shared" si="67"/>
        <v>-11.634331887052809</v>
      </c>
      <c r="AT71" s="157">
        <f t="shared" si="67"/>
        <v>-11.925190184229129</v>
      </c>
      <c r="AU71" s="157">
        <f t="shared" si="67"/>
        <v>-12.223319938834855</v>
      </c>
      <c r="AV71" s="157">
        <f t="shared" si="67"/>
        <v>-12.528902937305725</v>
      </c>
      <c r="AW71" s="157">
        <f t="shared" si="67"/>
        <v>0</v>
      </c>
      <c r="AX71" s="157">
        <f t="shared" si="67"/>
        <v>0</v>
      </c>
      <c r="AY71" s="157">
        <f t="shared" si="67"/>
        <v>0</v>
      </c>
      <c r="AZ71" s="157">
        <f t="shared" si="67"/>
        <v>0</v>
      </c>
      <c r="BA71" s="157">
        <f t="shared" si="67"/>
        <v>0</v>
      </c>
      <c r="BB71" s="157">
        <f t="shared" si="67"/>
        <v>0</v>
      </c>
      <c r="BC71" s="157">
        <f t="shared" si="67"/>
        <v>0</v>
      </c>
      <c r="BD71" s="157">
        <f t="shared" si="67"/>
        <v>0</v>
      </c>
      <c r="BE71" s="157">
        <f t="shared" si="67"/>
        <v>0</v>
      </c>
      <c r="BF71" s="157">
        <f t="shared" si="67"/>
        <v>0</v>
      </c>
      <c r="BG71" s="157">
        <f t="shared" si="67"/>
        <v>0</v>
      </c>
      <c r="BH71" s="157">
        <f t="shared" si="67"/>
        <v>0</v>
      </c>
      <c r="BI71" s="157">
        <f t="shared" si="67"/>
        <v>0</v>
      </c>
      <c r="BJ71" s="157">
        <f t="shared" si="67"/>
        <v>0</v>
      </c>
      <c r="BK71" s="157">
        <f t="shared" si="67"/>
        <v>0</v>
      </c>
      <c r="BL71" s="157">
        <f t="shared" si="67"/>
        <v>0</v>
      </c>
      <c r="BM71" s="157">
        <f t="shared" si="67"/>
        <v>0</v>
      </c>
      <c r="BN71" s="157">
        <f t="shared" si="67"/>
        <v>0</v>
      </c>
      <c r="BO71" s="157">
        <f t="shared" si="67"/>
        <v>0</v>
      </c>
      <c r="BP71" s="157">
        <f t="shared" si="67"/>
        <v>0</v>
      </c>
      <c r="BQ71" s="157">
        <f t="shared" si="67"/>
        <v>0</v>
      </c>
      <c r="BR71" s="157">
        <f t="shared" si="67"/>
        <v>0</v>
      </c>
      <c r="BS71" s="157">
        <f t="shared" si="67"/>
        <v>0</v>
      </c>
      <c r="BT71" s="157">
        <f t="shared" si="67"/>
        <v>0</v>
      </c>
      <c r="BU71" s="157">
        <f t="shared" si="67"/>
        <v>0</v>
      </c>
      <c r="BV71" s="157">
        <f t="shared" si="67"/>
        <v>0</v>
      </c>
      <c r="BW71" s="157">
        <f t="shared" si="67"/>
        <v>0</v>
      </c>
      <c r="BX71" s="157">
        <f t="shared" si="67"/>
        <v>0</v>
      </c>
      <c r="BY71" s="157">
        <f t="shared" si="67"/>
        <v>0</v>
      </c>
      <c r="BZ71" s="157">
        <f t="shared" si="67"/>
        <v>0</v>
      </c>
      <c r="CA71" s="157">
        <f t="shared" si="67"/>
        <v>0</v>
      </c>
      <c r="CB71" s="157">
        <f t="shared" si="67"/>
        <v>0</v>
      </c>
      <c r="CC71" s="157">
        <f t="shared" si="67"/>
        <v>0</v>
      </c>
      <c r="CD71" s="157">
        <f t="shared" si="67"/>
        <v>0</v>
      </c>
      <c r="CE71" s="157">
        <f t="shared" si="67"/>
        <v>0</v>
      </c>
      <c r="CF71" s="157">
        <f t="shared" si="67"/>
        <v>0</v>
      </c>
      <c r="CG71" s="157">
        <f t="shared" si="67"/>
        <v>0</v>
      </c>
      <c r="CH71" s="157">
        <f t="shared" si="67"/>
        <v>0</v>
      </c>
      <c r="CI71" s="157">
        <f t="shared" si="67"/>
        <v>0</v>
      </c>
      <c r="CJ71" s="157">
        <f t="shared" si="67"/>
        <v>0</v>
      </c>
      <c r="CK71" s="157">
        <f t="shared" si="67"/>
        <v>0</v>
      </c>
      <c r="CL71" s="157">
        <f t="shared" si="68"/>
        <v>0</v>
      </c>
      <c r="CM71" s="157">
        <f t="shared" si="68"/>
        <v>0</v>
      </c>
      <c r="CN71" s="157">
        <f t="shared" si="68"/>
        <v>0</v>
      </c>
      <c r="CO71" s="157">
        <f t="shared" si="68"/>
        <v>0</v>
      </c>
      <c r="CP71" s="157">
        <f t="shared" si="68"/>
        <v>0</v>
      </c>
      <c r="CQ71" s="362" t="s">
        <v>77</v>
      </c>
    </row>
    <row r="72" spans="2:95" outlineLevel="1" x14ac:dyDescent="0.2">
      <c r="B72" s="8" t="s">
        <v>340</v>
      </c>
      <c r="K72" s="9" t="s">
        <v>78</v>
      </c>
      <c r="L72" s="265" t="s">
        <v>78</v>
      </c>
      <c r="M72" s="265" t="s">
        <v>78</v>
      </c>
      <c r="N72" s="265">
        <v>11.8</v>
      </c>
      <c r="O72" s="265">
        <v>12.6</v>
      </c>
      <c r="P72" s="265">
        <v>9.5</v>
      </c>
      <c r="Q72" s="265">
        <v>8.5</v>
      </c>
      <c r="R72" s="265">
        <v>8</v>
      </c>
      <c r="S72" s="23">
        <f>IFERROR(S85-S58,"n.a.")</f>
        <v>-3.4931931166348003</v>
      </c>
      <c r="T72" s="51">
        <f>IFERROR(T85-T58,"n.a.")</f>
        <v>2.4356250000033874</v>
      </c>
      <c r="U72" s="51">
        <f>IFERROR(U85-U58,"n.a.")</f>
        <v>-1.1457999999999995</v>
      </c>
      <c r="V72" s="51">
        <f>IFERROR(V85-V58,"n.a.")</f>
        <v>-2.8692682999999999</v>
      </c>
      <c r="W72" s="51">
        <f>IFERROR(W85-W58,"n.a.")</f>
        <v>-3.8944034220500008</v>
      </c>
      <c r="X72" s="157">
        <f t="shared" si="70"/>
        <v>-3.9917635076012505</v>
      </c>
      <c r="Y72" s="157">
        <f t="shared" si="70"/>
        <v>-4.091557595291281</v>
      </c>
      <c r="Z72" s="157">
        <f t="shared" si="70"/>
        <v>-4.193846535173563</v>
      </c>
      <c r="AA72" s="157">
        <f t="shared" si="70"/>
        <v>-4.2986926985529017</v>
      </c>
      <c r="AB72" s="157">
        <f t="shared" si="70"/>
        <v>-4.4061600160167238</v>
      </c>
      <c r="AC72" s="157">
        <f t="shared" si="70"/>
        <v>-4.5163140164171418</v>
      </c>
      <c r="AD72" s="157">
        <f t="shared" si="70"/>
        <v>-4.62922186682757</v>
      </c>
      <c r="AE72" s="157">
        <f t="shared" si="70"/>
        <v>-4.7449524134982592</v>
      </c>
      <c r="AF72" s="157">
        <f t="shared" si="70"/>
        <v>-4.8635762238357154</v>
      </c>
      <c r="AG72" s="157">
        <f t="shared" si="70"/>
        <v>-4.9851656294316076</v>
      </c>
      <c r="AH72" s="157">
        <f t="shared" si="70"/>
        <v>-5.1097947701673974</v>
      </c>
      <c r="AI72" s="157">
        <f t="shared" si="70"/>
        <v>-5.2375396394215814</v>
      </c>
      <c r="AJ72" s="157">
        <f t="shared" si="70"/>
        <v>-5.3684781304071203</v>
      </c>
      <c r="AK72" s="157">
        <f t="shared" si="70"/>
        <v>-5.5026900836672974</v>
      </c>
      <c r="AL72" s="157">
        <f t="shared" si="70"/>
        <v>-5.6402573357589789</v>
      </c>
      <c r="AM72" s="157">
        <f t="shared" si="70"/>
        <v>-5.7812637691529529</v>
      </c>
      <c r="AN72" s="157">
        <f t="shared" si="70"/>
        <v>-5.9257953633817761</v>
      </c>
      <c r="AO72" s="157">
        <f t="shared" si="70"/>
        <v>-6.0739402474663198</v>
      </c>
      <c r="AP72" s="157">
        <f t="shared" si="70"/>
        <v>-6.225788753652977</v>
      </c>
      <c r="AQ72" s="157">
        <f t="shared" si="70"/>
        <v>-6.3814334724943009</v>
      </c>
      <c r="AR72" s="157">
        <f t="shared" si="70"/>
        <v>-6.5409693093066581</v>
      </c>
      <c r="AS72" s="157">
        <f t="shared" si="70"/>
        <v>-6.7044935420393239</v>
      </c>
      <c r="AT72" s="157">
        <f t="shared" si="70"/>
        <v>-6.8721058805903068</v>
      </c>
      <c r="AU72" s="157">
        <f t="shared" si="70"/>
        <v>-7.0439085276050637</v>
      </c>
      <c r="AV72" s="157">
        <f t="shared" si="70"/>
        <v>-7.2200062407951897</v>
      </c>
      <c r="AW72" s="157">
        <f t="shared" si="70"/>
        <v>-7.4005063968150688</v>
      </c>
      <c r="AX72" s="157">
        <f t="shared" si="70"/>
        <v>-7.5855190567354445</v>
      </c>
      <c r="AY72" s="157">
        <f t="shared" si="70"/>
        <v>-7.77515703315383</v>
      </c>
      <c r="AZ72" s="157">
        <f t="shared" si="70"/>
        <v>-7.9695359589826751</v>
      </c>
      <c r="BA72" s="157">
        <f t="shared" si="70"/>
        <v>-8.1687743579572416</v>
      </c>
      <c r="BB72" s="157">
        <f t="shared" si="70"/>
        <v>-8.3729937169061728</v>
      </c>
      <c r="BC72" s="157">
        <f t="shared" si="70"/>
        <v>-8.5823185598288259</v>
      </c>
      <c r="BD72" s="157">
        <f t="shared" si="70"/>
        <v>-8.7968765238245457</v>
      </c>
      <c r="BE72" s="157">
        <f t="shared" ref="BE72:CP72" si="71">IF(BE46&lt;&gt;2,BD72*(1+BE$11),)</f>
        <v>-9.0167984369201584</v>
      </c>
      <c r="BF72" s="157">
        <f t="shared" si="71"/>
        <v>-9.2422183978431622</v>
      </c>
      <c r="BG72" s="157">
        <f t="shared" si="71"/>
        <v>-9.4732738577892412</v>
      </c>
      <c r="BH72" s="157">
        <f t="shared" si="71"/>
        <v>-9.7101057042339711</v>
      </c>
      <c r="BI72" s="157">
        <f t="shared" si="71"/>
        <v>-9.95285834683982</v>
      </c>
      <c r="BJ72" s="157">
        <f t="shared" si="71"/>
        <v>-10.201679805510814</v>
      </c>
      <c r="BK72" s="157">
        <f t="shared" si="71"/>
        <v>-10.456721800648584</v>
      </c>
      <c r="BL72" s="157">
        <f t="shared" si="71"/>
        <v>-10.718139845664798</v>
      </c>
      <c r="BM72" s="157">
        <f t="shared" si="71"/>
        <v>-10.986093341806416</v>
      </c>
      <c r="BN72" s="157">
        <f t="shared" si="71"/>
        <v>-11.260745675351576</v>
      </c>
      <c r="BO72" s="157">
        <f t="shared" si="71"/>
        <v>-11.542264317235365</v>
      </c>
      <c r="BP72" s="157">
        <f t="shared" si="71"/>
        <v>-11.830820925166247</v>
      </c>
      <c r="BQ72" s="157">
        <f t="shared" si="71"/>
        <v>-12.126591448295402</v>
      </c>
      <c r="BR72" s="157">
        <f t="shared" si="71"/>
        <v>-12.429756234502786</v>
      </c>
      <c r="BS72" s="157">
        <f t="shared" si="71"/>
        <v>-12.740500140365356</v>
      </c>
      <c r="BT72" s="157">
        <f t="shared" si="71"/>
        <v>-13.059012643874489</v>
      </c>
      <c r="BU72" s="157">
        <f t="shared" si="71"/>
        <v>-13.38548795997135</v>
      </c>
      <c r="BV72" s="157">
        <f t="shared" si="71"/>
        <v>-13.720125158970632</v>
      </c>
      <c r="BW72" s="157">
        <f t="shared" si="71"/>
        <v>-14.063128287944897</v>
      </c>
      <c r="BX72" s="157">
        <f t="shared" si="71"/>
        <v>-14.414706495143518</v>
      </c>
      <c r="BY72" s="157">
        <f t="shared" si="71"/>
        <v>-14.775074157522104</v>
      </c>
      <c r="BZ72" s="157">
        <f t="shared" si="71"/>
        <v>-15.144451011460156</v>
      </c>
      <c r="CA72" s="157">
        <f t="shared" si="71"/>
        <v>-15.523062286746658</v>
      </c>
      <c r="CB72" s="157">
        <f t="shared" si="71"/>
        <v>-15.911138843915323</v>
      </c>
      <c r="CC72" s="157">
        <f t="shared" si="71"/>
        <v>-16.308917315013204</v>
      </c>
      <c r="CD72" s="157">
        <f t="shared" si="71"/>
        <v>-16.716640247888531</v>
      </c>
      <c r="CE72" s="157">
        <f t="shared" si="71"/>
        <v>-17.134556254085744</v>
      </c>
      <c r="CF72" s="157">
        <f t="shared" si="71"/>
        <v>-17.562920160437887</v>
      </c>
      <c r="CG72" s="157">
        <f t="shared" si="71"/>
        <v>-18.001993164448834</v>
      </c>
      <c r="CH72" s="157">
        <f t="shared" si="71"/>
        <v>-18.452042993560053</v>
      </c>
      <c r="CI72" s="157">
        <f t="shared" si="71"/>
        <v>-18.913344068399052</v>
      </c>
      <c r="CJ72" s="157">
        <f t="shared" si="71"/>
        <v>-19.386177670109028</v>
      </c>
      <c r="CK72" s="157">
        <f t="shared" si="71"/>
        <v>-19.870832111861752</v>
      </c>
      <c r="CL72" s="157">
        <f t="shared" si="71"/>
        <v>-20.367602914658296</v>
      </c>
      <c r="CM72" s="157">
        <f t="shared" si="71"/>
        <v>-20.876792987524752</v>
      </c>
      <c r="CN72" s="157">
        <f t="shared" si="71"/>
        <v>-21.398712812212867</v>
      </c>
      <c r="CO72" s="157">
        <f t="shared" si="71"/>
        <v>-21.933680632518186</v>
      </c>
      <c r="CP72" s="157">
        <f t="shared" si="71"/>
        <v>-22.482022648331139</v>
      </c>
      <c r="CQ72" s="362" t="s">
        <v>77</v>
      </c>
    </row>
    <row r="73" spans="2:95" outlineLevel="1" x14ac:dyDescent="0.2">
      <c r="B73" s="8" t="s">
        <v>335</v>
      </c>
      <c r="K73" s="9" t="s">
        <v>78</v>
      </c>
      <c r="L73" s="265" t="s">
        <v>78</v>
      </c>
      <c r="M73" s="265" t="s">
        <v>78</v>
      </c>
      <c r="N73" s="265">
        <v>0</v>
      </c>
      <c r="O73" s="265">
        <v>0</v>
      </c>
      <c r="P73" s="265">
        <v>0</v>
      </c>
      <c r="Q73" s="265">
        <v>0</v>
      </c>
      <c r="R73" s="265">
        <v>0</v>
      </c>
      <c r="S73" s="23">
        <f t="shared" ref="S73:BD73" si="72">IFERROR(S86-S59,"n.a.")</f>
        <v>0</v>
      </c>
      <c r="T73" s="51">
        <f t="shared" si="72"/>
        <v>-7.4060416666644713</v>
      </c>
      <c r="U73" s="51">
        <f t="shared" si="72"/>
        <v>-6.7778999999999989</v>
      </c>
      <c r="V73" s="51">
        <f t="shared" si="72"/>
        <v>-8.7501016499999977</v>
      </c>
      <c r="W73" s="51">
        <f t="shared" si="72"/>
        <v>-7.9002280222750016</v>
      </c>
      <c r="X73" s="307">
        <f t="shared" si="72"/>
        <v>-8.111729162386375</v>
      </c>
      <c r="Y73" s="307">
        <f t="shared" si="72"/>
        <v>-8.3285178310005321</v>
      </c>
      <c r="Z73" s="307">
        <f t="shared" si="72"/>
        <v>-8.5507262163300481</v>
      </c>
      <c r="AA73" s="307">
        <f t="shared" si="72"/>
        <v>-8.7784898112928005</v>
      </c>
      <c r="AB73" s="307">
        <f t="shared" si="72"/>
        <v>-9.011947496129622</v>
      </c>
      <c r="AC73" s="307">
        <f t="shared" si="72"/>
        <v>-9.2512416230873598</v>
      </c>
      <c r="AD73" s="307">
        <f t="shared" si="72"/>
        <v>-9.4842542792124576</v>
      </c>
      <c r="AE73" s="307">
        <f t="shared" si="72"/>
        <v>-9.7228009859205287</v>
      </c>
      <c r="AF73" s="307">
        <f t="shared" si="72"/>
        <v>-9.9670131769129142</v>
      </c>
      <c r="AG73" s="307">
        <f t="shared" si="72"/>
        <v>-10.217025407441369</v>
      </c>
      <c r="AH73" s="307">
        <f t="shared" si="72"/>
        <v>-10.472975428444876</v>
      </c>
      <c r="AI73" s="307">
        <f t="shared" si="72"/>
        <v>-10.73500426244722</v>
      </c>
      <c r="AJ73" s="307">
        <f t="shared" si="72"/>
        <v>-11.003256281257116</v>
      </c>
      <c r="AK73" s="307">
        <f t="shared" si="72"/>
        <v>-11.277879285513748</v>
      </c>
      <c r="AL73" s="307">
        <f t="shared" si="72"/>
        <v>-11.559024586121474</v>
      </c>
      <c r="AM73" s="307">
        <f t="shared" si="72"/>
        <v>-11.846847087618634</v>
      </c>
      <c r="AN73" s="307">
        <f t="shared" si="72"/>
        <v>-12.14150537352635</v>
      </c>
      <c r="AO73" s="307">
        <f t="shared" si="72"/>
        <v>-12.443161793724371</v>
      </c>
      <c r="AP73" s="307">
        <f t="shared" si="72"/>
        <v>-12.751982553902096</v>
      </c>
      <c r="AQ73" s="307">
        <f t="shared" si="72"/>
        <v>-13.068137807134043</v>
      </c>
      <c r="AR73" s="307">
        <f t="shared" si="72"/>
        <v>-13.391801747630254</v>
      </c>
      <c r="AS73" s="307">
        <f t="shared" si="72"/>
        <v>-13.72315270671325</v>
      </c>
      <c r="AT73" s="307">
        <f t="shared" si="72"/>
        <v>-14.062373251074462</v>
      </c>
      <c r="AU73" s="307">
        <f t="shared" si="72"/>
        <v>-14.409650283364257</v>
      </c>
      <c r="AV73" s="307">
        <f t="shared" si="72"/>
        <v>-14.765175145170929</v>
      </c>
      <c r="AW73" s="307">
        <f t="shared" si="72"/>
        <v>-15.129143722445512</v>
      </c>
      <c r="AX73" s="307">
        <f t="shared" si="72"/>
        <v>-15.501756553430369</v>
      </c>
      <c r="AY73" s="307">
        <f t="shared" si="72"/>
        <v>-15.883218939151121</v>
      </c>
      <c r="AZ73" s="307">
        <f t="shared" si="72"/>
        <v>-16.273741056532728</v>
      </c>
      <c r="BA73" s="307">
        <f t="shared" si="72"/>
        <v>-16.673538074202156</v>
      </c>
      <c r="BB73" s="307">
        <f t="shared" si="72"/>
        <v>-17.082830271041232</v>
      </c>
      <c r="BC73" s="307">
        <f t="shared" si="72"/>
        <v>-17.501843157555228</v>
      </c>
      <c r="BD73" s="307">
        <f t="shared" si="72"/>
        <v>-17.930807600123941</v>
      </c>
      <c r="BE73" s="307">
        <f t="shared" ref="BE73:CP73" si="73">IFERROR(BE86-BE59,"n.a.")</f>
        <v>-18.369959948203658</v>
      </c>
      <c r="BF73" s="307">
        <f t="shared" si="73"/>
        <v>-18.819542164550271</v>
      </c>
      <c r="BG73" s="307">
        <f t="shared" si="73"/>
        <v>-19.279801958535117</v>
      </c>
      <c r="BH73" s="307">
        <f t="shared" si="73"/>
        <v>-19.750992922627105</v>
      </c>
      <c r="BI73" s="307">
        <f t="shared" si="73"/>
        <v>-20.23337467211627</v>
      </c>
      <c r="BJ73" s="307">
        <f t="shared" si="73"/>
        <v>-20.727212988155799</v>
      </c>
      <c r="BK73" s="307">
        <f t="shared" si="73"/>
        <v>-21.232779964201271</v>
      </c>
      <c r="BL73" s="307">
        <f t="shared" si="73"/>
        <v>-21.750354155927823</v>
      </c>
      <c r="BM73" s="307">
        <f t="shared" si="73"/>
        <v>-22.280220734707882</v>
      </c>
      <c r="BN73" s="307">
        <f t="shared" si="73"/>
        <v>-22.822671644733973</v>
      </c>
      <c r="BO73" s="307">
        <f t="shared" si="73"/>
        <v>-23.378005763873176</v>
      </c>
      <c r="BP73" s="307">
        <f t="shared" si="73"/>
        <v>-23.946529068341931</v>
      </c>
      <c r="BQ73" s="307">
        <f t="shared" si="73"/>
        <v>-24.528554801291833</v>
      </c>
      <c r="BR73" s="307">
        <f t="shared" si="73"/>
        <v>-25.124403645399283</v>
      </c>
      <c r="BS73" s="307">
        <f t="shared" si="73"/>
        <v>-25.734403899554295</v>
      </c>
      <c r="BT73" s="307">
        <f t="shared" si="73"/>
        <v>-26.358891659745481</v>
      </c>
      <c r="BU73" s="307">
        <f t="shared" si="73"/>
        <v>-26.998211004241213</v>
      </c>
      <c r="BV73" s="307">
        <f t="shared" si="73"/>
        <v>-27.652714183168712</v>
      </c>
      <c r="BW73" s="307">
        <f t="shared" si="73"/>
        <v>-28.322761812595743</v>
      </c>
      <c r="BX73" s="307">
        <f t="shared" si="73"/>
        <v>-29.00872307322166</v>
      </c>
      <c r="BY73" s="307">
        <f t="shared" si="73"/>
        <v>-29.710975913787451</v>
      </c>
      <c r="BZ73" s="307">
        <f t="shared" si="73"/>
        <v>-30.429907259316678</v>
      </c>
      <c r="CA73" s="307">
        <f t="shared" si="73"/>
        <v>-31.165913224302216</v>
      </c>
      <c r="CB73" s="307">
        <f t="shared" si="73"/>
        <v>-31.919399330956168</v>
      </c>
      <c r="CC73" s="307">
        <f t="shared" si="73"/>
        <v>-32.690780732643162</v>
      </c>
      <c r="CD73" s="307">
        <f t="shared" si="73"/>
        <v>-33.4804824426202</v>
      </c>
      <c r="CE73" s="307">
        <f t="shared" si="73"/>
        <v>-34.288939568209202</v>
      </c>
      <c r="CF73" s="307">
        <f t="shared" si="73"/>
        <v>-35.11659755053094</v>
      </c>
      <c r="CG73" s="307">
        <f t="shared" si="73"/>
        <v>-35.963912409932817</v>
      </c>
      <c r="CH73" s="307">
        <f t="shared" si="73"/>
        <v>-36.831350997245494</v>
      </c>
      <c r="CI73" s="307">
        <f t="shared" si="73"/>
        <v>-37.71939125100684</v>
      </c>
      <c r="CJ73" s="307">
        <f t="shared" si="73"/>
        <v>-38.628522460795011</v>
      </c>
      <c r="CK73" s="307">
        <f t="shared" si="73"/>
        <v>-39.559245536815666</v>
      </c>
      <c r="CL73" s="307">
        <f t="shared" si="73"/>
        <v>-40.512073285891802</v>
      </c>
      <c r="CM73" s="307">
        <f t="shared" si="73"/>
        <v>-41.487530694008512</v>
      </c>
      <c r="CN73" s="307">
        <f t="shared" si="73"/>
        <v>-42.486155215567976</v>
      </c>
      <c r="CO73" s="307">
        <f t="shared" si="73"/>
        <v>-43.508497069514476</v>
      </c>
      <c r="CP73" s="307">
        <f t="shared" si="73"/>
        <v>-44.555119542492207</v>
      </c>
      <c r="CQ73" s="362" t="s">
        <v>77</v>
      </c>
    </row>
    <row r="74" spans="2:95" outlineLevel="1" x14ac:dyDescent="0.2">
      <c r="B74" s="8" t="s">
        <v>349</v>
      </c>
      <c r="K74" s="9" t="s">
        <v>78</v>
      </c>
      <c r="L74" s="265" t="s">
        <v>78</v>
      </c>
      <c r="M74" s="265" t="s">
        <v>78</v>
      </c>
      <c r="N74" s="265">
        <v>0</v>
      </c>
      <c r="O74" s="265">
        <v>0</v>
      </c>
      <c r="P74" s="265">
        <v>0</v>
      </c>
      <c r="Q74" s="265">
        <v>0</v>
      </c>
      <c r="R74" s="265">
        <v>0</v>
      </c>
      <c r="S74" s="23">
        <f>IFERROR(S87-S60,"n.a.")</f>
        <v>-7.6133696131784099</v>
      </c>
      <c r="T74" s="51">
        <f>IFERROR(T87-T60,"n.a.")</f>
        <v>-2.8730344842404989</v>
      </c>
      <c r="U74" s="51">
        <f>IFERROR(U87-U60,"n.a.")</f>
        <v>-3.5684749345491937</v>
      </c>
      <c r="V74" s="51">
        <f>IFERROR(V87-V60,"n.a.")</f>
        <v>-5.0513493461656118</v>
      </c>
      <c r="W74" s="51">
        <f>IFERROR(W87-W60,"n.a.")</f>
        <v>-5.8867425623388492</v>
      </c>
      <c r="X74" s="157">
        <f>IF(X48&lt;&gt;2,W74*(1+X$11),)</f>
        <v>-6.03391112639732</v>
      </c>
      <c r="Y74" s="157">
        <f t="shared" ref="Y74:BD74" si="74">IF(Y48&lt;&gt;2,X74*(1+Y$11),)</f>
        <v>-6.1847589045572526</v>
      </c>
      <c r="Z74" s="157">
        <f t="shared" si="74"/>
        <v>-6.3393778771711835</v>
      </c>
      <c r="AA74" s="157">
        <f t="shared" si="74"/>
        <v>-6.4978623241004625</v>
      </c>
      <c r="AB74" s="157">
        <f t="shared" si="74"/>
        <v>-6.6603088822029735</v>
      </c>
      <c r="AC74" s="157">
        <f t="shared" si="74"/>
        <v>-6.8268166042580471</v>
      </c>
      <c r="AD74" s="157">
        <f t="shared" si="74"/>
        <v>-6.997487019364498</v>
      </c>
      <c r="AE74" s="157">
        <f t="shared" si="74"/>
        <v>-7.1724241948486096</v>
      </c>
      <c r="AF74" s="157">
        <f t="shared" si="74"/>
        <v>-7.3517347997198241</v>
      </c>
      <c r="AG74" s="157">
        <f t="shared" si="74"/>
        <v>-7.5355281697128191</v>
      </c>
      <c r="AH74" s="157">
        <f t="shared" si="74"/>
        <v>-7.7239163739556389</v>
      </c>
      <c r="AI74" s="157">
        <f t="shared" si="74"/>
        <v>-7.9170142833045292</v>
      </c>
      <c r="AJ74" s="157">
        <f t="shared" si="74"/>
        <v>-8.1149396403871421</v>
      </c>
      <c r="AK74" s="157">
        <f t="shared" si="74"/>
        <v>-8.3178131313968198</v>
      </c>
      <c r="AL74" s="157">
        <f t="shared" si="74"/>
        <v>-8.5257584596817395</v>
      </c>
      <c r="AM74" s="157">
        <f t="shared" si="74"/>
        <v>-8.7389024211737816</v>
      </c>
      <c r="AN74" s="157">
        <f t="shared" si="74"/>
        <v>-8.9573749817031256</v>
      </c>
      <c r="AO74" s="157">
        <f t="shared" si="74"/>
        <v>-9.1813093562457038</v>
      </c>
      <c r="AP74" s="157">
        <f t="shared" si="74"/>
        <v>-9.4108420901518457</v>
      </c>
      <c r="AQ74" s="157">
        <f t="shared" si="74"/>
        <v>-9.6461131424056408</v>
      </c>
      <c r="AR74" s="157">
        <f t="shared" si="74"/>
        <v>-9.8872659709657817</v>
      </c>
      <c r="AS74" s="157">
        <f t="shared" si="74"/>
        <v>-10.134447620239925</v>
      </c>
      <c r="AT74" s="157">
        <f t="shared" si="74"/>
        <v>-10.387808810745922</v>
      </c>
      <c r="AU74" s="157">
        <f t="shared" si="74"/>
        <v>-10.647504031014568</v>
      </c>
      <c r="AV74" s="157">
        <f t="shared" si="74"/>
        <v>-10.913691631789932</v>
      </c>
      <c r="AW74" s="157">
        <f t="shared" si="74"/>
        <v>-11.18653392258468</v>
      </c>
      <c r="AX74" s="157">
        <f t="shared" si="74"/>
        <v>-11.466197270649296</v>
      </c>
      <c r="AY74" s="157">
        <f t="shared" si="74"/>
        <v>-11.752852202415527</v>
      </c>
      <c r="AZ74" s="157">
        <f t="shared" si="74"/>
        <v>-12.046673507475914</v>
      </c>
      <c r="BA74" s="157">
        <f t="shared" si="74"/>
        <v>-12.34784034516281</v>
      </c>
      <c r="BB74" s="157">
        <f t="shared" si="74"/>
        <v>-12.656536353791878</v>
      </c>
      <c r="BC74" s="157">
        <f t="shared" si="74"/>
        <v>-12.972949762636674</v>
      </c>
      <c r="BD74" s="157">
        <f t="shared" si="74"/>
        <v>-13.29727350670259</v>
      </c>
      <c r="BE74" s="157">
        <f t="shared" ref="BE74:CP74" si="75">IF(BE48&lt;&gt;2,BD74*(1+BE$11),)</f>
        <v>-13.629705344370153</v>
      </c>
      <c r="BF74" s="157">
        <f t="shared" si="75"/>
        <v>-13.970447977979406</v>
      </c>
      <c r="BG74" s="157">
        <f t="shared" si="75"/>
        <v>-14.319709177428891</v>
      </c>
      <c r="BH74" s="157">
        <f t="shared" si="75"/>
        <v>-14.677701906864611</v>
      </c>
      <c r="BI74" s="157">
        <f t="shared" si="75"/>
        <v>-15.044644454536225</v>
      </c>
      <c r="BJ74" s="157">
        <f t="shared" si="75"/>
        <v>-15.420760565899629</v>
      </c>
      <c r="BK74" s="157">
        <f t="shared" si="75"/>
        <v>-15.806279580047118</v>
      </c>
      <c r="BL74" s="157">
        <f t="shared" si="75"/>
        <v>-16.201436569548296</v>
      </c>
      <c r="BM74" s="157">
        <f t="shared" si="75"/>
        <v>-16.606472483787002</v>
      </c>
      <c r="BN74" s="157">
        <f t="shared" si="75"/>
        <v>-17.021634295881675</v>
      </c>
      <c r="BO74" s="157">
        <f t="shared" si="75"/>
        <v>-17.447175153278717</v>
      </c>
      <c r="BP74" s="157">
        <f t="shared" si="75"/>
        <v>-17.883354532110683</v>
      </c>
      <c r="BQ74" s="157">
        <f t="shared" si="75"/>
        <v>-18.330438395413449</v>
      </c>
      <c r="BR74" s="157">
        <f t="shared" si="75"/>
        <v>-18.788699355298782</v>
      </c>
      <c r="BS74" s="157">
        <f t="shared" si="75"/>
        <v>0</v>
      </c>
      <c r="BT74" s="157">
        <f t="shared" si="75"/>
        <v>0</v>
      </c>
      <c r="BU74" s="157">
        <f t="shared" si="75"/>
        <v>0</v>
      </c>
      <c r="BV74" s="157">
        <f t="shared" si="75"/>
        <v>0</v>
      </c>
      <c r="BW74" s="157">
        <f t="shared" si="75"/>
        <v>0</v>
      </c>
      <c r="BX74" s="157">
        <f t="shared" si="75"/>
        <v>0</v>
      </c>
      <c r="BY74" s="157">
        <f t="shared" si="75"/>
        <v>0</v>
      </c>
      <c r="BZ74" s="157">
        <f t="shared" si="75"/>
        <v>0</v>
      </c>
      <c r="CA74" s="157">
        <f t="shared" si="75"/>
        <v>0</v>
      </c>
      <c r="CB74" s="157">
        <f t="shared" si="75"/>
        <v>0</v>
      </c>
      <c r="CC74" s="157">
        <f t="shared" si="75"/>
        <v>0</v>
      </c>
      <c r="CD74" s="157">
        <f t="shared" si="75"/>
        <v>0</v>
      </c>
      <c r="CE74" s="157">
        <f t="shared" si="75"/>
        <v>0</v>
      </c>
      <c r="CF74" s="157">
        <f t="shared" si="75"/>
        <v>0</v>
      </c>
      <c r="CG74" s="157">
        <f t="shared" si="75"/>
        <v>0</v>
      </c>
      <c r="CH74" s="157">
        <f t="shared" si="75"/>
        <v>0</v>
      </c>
      <c r="CI74" s="157">
        <f t="shared" si="75"/>
        <v>0</v>
      </c>
      <c r="CJ74" s="157">
        <f t="shared" si="75"/>
        <v>0</v>
      </c>
      <c r="CK74" s="157">
        <f t="shared" si="75"/>
        <v>0</v>
      </c>
      <c r="CL74" s="157">
        <f t="shared" si="75"/>
        <v>0</v>
      </c>
      <c r="CM74" s="157">
        <f t="shared" si="75"/>
        <v>0</v>
      </c>
      <c r="CN74" s="157">
        <f t="shared" si="75"/>
        <v>0</v>
      </c>
      <c r="CO74" s="157">
        <f t="shared" si="75"/>
        <v>0</v>
      </c>
      <c r="CP74" s="157">
        <f t="shared" si="75"/>
        <v>0</v>
      </c>
      <c r="CQ74" s="362" t="s">
        <v>77</v>
      </c>
    </row>
    <row r="75" spans="2:95" outlineLevel="1" x14ac:dyDescent="0.2">
      <c r="B75" s="91" t="s">
        <v>336</v>
      </c>
      <c r="K75" s="9" t="s">
        <v>78</v>
      </c>
      <c r="L75" s="265" t="s">
        <v>78</v>
      </c>
      <c r="M75" s="265" t="s">
        <v>78</v>
      </c>
      <c r="N75" s="265">
        <v>81.5</v>
      </c>
      <c r="O75" s="265">
        <v>85</v>
      </c>
      <c r="P75" s="265">
        <v>90.8</v>
      </c>
      <c r="Q75" s="265">
        <v>85.5</v>
      </c>
      <c r="R75" s="265">
        <v>89.9</v>
      </c>
      <c r="S75" s="23">
        <f t="shared" ref="S75:BD75" si="76">IFERROR(S88-S61,"n.a.")</f>
        <v>-42.142240035299324</v>
      </c>
      <c r="T75" s="51">
        <f t="shared" si="76"/>
        <v>-31.266007053180104</v>
      </c>
      <c r="U75" s="51">
        <f t="shared" si="76"/>
        <v>-22.89370575910462</v>
      </c>
      <c r="V75" s="51">
        <f t="shared" si="76"/>
        <v>-12.183047786852526</v>
      </c>
      <c r="W75" s="51">
        <f t="shared" si="76"/>
        <v>-21.075541931975025</v>
      </c>
      <c r="X75" s="307">
        <f t="shared" si="76"/>
        <v>-23.465447141634897</v>
      </c>
      <c r="Y75" s="307">
        <f t="shared" si="76"/>
        <v>-23.972474981536266</v>
      </c>
      <c r="Z75" s="307">
        <f t="shared" si="76"/>
        <v>-24.896805469824571</v>
      </c>
      <c r="AA75" s="307">
        <f t="shared" si="76"/>
        <v>-25.785507507900604</v>
      </c>
      <c r="AB75" s="307">
        <f t="shared" si="76"/>
        <v>-26.266180337426505</v>
      </c>
      <c r="AC75" s="307">
        <f t="shared" si="76"/>
        <v>-26.761734427300041</v>
      </c>
      <c r="AD75" s="307">
        <f t="shared" si="76"/>
        <v>-27.245727373170666</v>
      </c>
      <c r="AE75" s="307">
        <f t="shared" si="76"/>
        <v>-27.744061289879738</v>
      </c>
      <c r="AF75" s="307">
        <f t="shared" si="76"/>
        <v>-28.256933348409234</v>
      </c>
      <c r="AG75" s="307">
        <f t="shared" si="76"/>
        <v>-28.784647779341242</v>
      </c>
      <c r="AH75" s="307">
        <f t="shared" si="76"/>
        <v>-29.327516036905706</v>
      </c>
      <c r="AI75" s="307">
        <f t="shared" si="76"/>
        <v>-29.885856966923399</v>
      </c>
      <c r="AJ75" s="307">
        <f t="shared" si="76"/>
        <v>-30.459896978736396</v>
      </c>
      <c r="AK75" s="307">
        <f t="shared" si="76"/>
        <v>-31.050070221219613</v>
      </c>
      <c r="AL75" s="307">
        <f t="shared" si="76"/>
        <v>-31.656618762969742</v>
      </c>
      <c r="AM75" s="307">
        <f t="shared" si="76"/>
        <v>-32.279892776770112</v>
      </c>
      <c r="AN75" s="307">
        <f t="shared" si="76"/>
        <v>-32.920350728432055</v>
      </c>
      <c r="AO75" s="307">
        <f t="shared" si="76"/>
        <v>-33.578159570116213</v>
      </c>
      <c r="AP75" s="307">
        <f t="shared" si="76"/>
        <v>-34.25379493823911</v>
      </c>
      <c r="AQ75" s="307">
        <f t="shared" si="76"/>
        <v>-34.947641356073518</v>
      </c>
      <c r="AR75" s="307">
        <f t="shared" si="76"/>
        <v>-35.659992441152951</v>
      </c>
      <c r="AS75" s="307">
        <f t="shared" si="76"/>
        <v>-36.391351117593899</v>
      </c>
      <c r="AT75" s="307">
        <f t="shared" si="76"/>
        <v>-37.142129833451634</v>
      </c>
      <c r="AU75" s="307">
        <f t="shared" si="76"/>
        <v>-37.912550783228539</v>
      </c>
      <c r="AV75" s="307">
        <f t="shared" si="76"/>
        <v>-38.703146135656453</v>
      </c>
      <c r="AW75" s="307">
        <f t="shared" si="76"/>
        <v>-39.514458266877426</v>
      </c>
      <c r="AX75" s="307">
        <f t="shared" si="76"/>
        <v>-40.346739999150628</v>
      </c>
      <c r="AY75" s="307">
        <f t="shared" si="76"/>
        <v>-41.200554845215549</v>
      </c>
      <c r="AZ75" s="307">
        <f t="shared" si="76"/>
        <v>-42.076377258445206</v>
      </c>
      <c r="BA75" s="307">
        <f t="shared" si="76"/>
        <v>-42.974592888926054</v>
      </c>
      <c r="BB75" s="307">
        <f t="shared" si="76"/>
        <v>-43.895798845604645</v>
      </c>
      <c r="BC75" s="307">
        <f t="shared" si="76"/>
        <v>-44.840403964644196</v>
      </c>
      <c r="BD75" s="307">
        <f t="shared" si="76"/>
        <v>-45.808929084137787</v>
      </c>
      <c r="BE75" s="307">
        <f t="shared" ref="BE75:CP75" si="77">IFERROR(BE88-BE61,"n.a.")</f>
        <v>-46.801907325328585</v>
      </c>
      <c r="BF75" s="307">
        <f t="shared" si="77"/>
        <v>-47.819884380490379</v>
      </c>
      <c r="BG75" s="307">
        <f t="shared" si="77"/>
        <v>-48.863418807626317</v>
      </c>
      <c r="BH75" s="307">
        <f t="shared" si="77"/>
        <v>-49.933082332146569</v>
      </c>
      <c r="BI75" s="307">
        <f t="shared" si="77"/>
        <v>-51.029460155690089</v>
      </c>
      <c r="BJ75" s="307">
        <f t="shared" si="77"/>
        <v>-52.153051272259205</v>
      </c>
      <c r="BK75" s="307">
        <f t="shared" si="77"/>
        <v>-53.304568791840012</v>
      </c>
      <c r="BL75" s="307">
        <f t="shared" si="77"/>
        <v>-54.484540271685319</v>
      </c>
      <c r="BM75" s="307">
        <f t="shared" si="77"/>
        <v>-55.693608055441587</v>
      </c>
      <c r="BN75" s="307">
        <f t="shared" si="77"/>
        <v>-56.932529620305047</v>
      </c>
      <c r="BO75" s="307">
        <f t="shared" si="77"/>
        <v>-58.201877932397053</v>
      </c>
      <c r="BP75" s="307">
        <f t="shared" si="77"/>
        <v>-59.502341810552991</v>
      </c>
      <c r="BQ75" s="307">
        <f t="shared" si="77"/>
        <v>-60.834626298723379</v>
      </c>
      <c r="BR75" s="307">
        <f t="shared" si="77"/>
        <v>-62.199453047191639</v>
      </c>
      <c r="BS75" s="307">
        <f t="shared" si="77"/>
        <v>-63.597560702815997</v>
      </c>
      <c r="BT75" s="307">
        <f t="shared" si="77"/>
        <v>-65.029605308509872</v>
      </c>
      <c r="BU75" s="307">
        <f t="shared" si="77"/>
        <v>-66.496460712178987</v>
      </c>
      <c r="BV75" s="307">
        <f t="shared" si="77"/>
        <v>-67.998918985338548</v>
      </c>
      <c r="BW75" s="307">
        <f t="shared" si="77"/>
        <v>-69.537690851640093</v>
      </c>
      <c r="BX75" s="307">
        <f t="shared" si="77"/>
        <v>-71.113606125542162</v>
      </c>
      <c r="BY75" s="307">
        <f t="shared" si="77"/>
        <v>-72.727514161364752</v>
      </c>
      <c r="BZ75" s="307">
        <f t="shared" si="77"/>
        <v>-74.380384312973376</v>
      </c>
      <c r="CA75" s="307">
        <f t="shared" si="77"/>
        <v>-76.073106404344287</v>
      </c>
      <c r="CB75" s="307">
        <f t="shared" si="77"/>
        <v>-77.806491211268167</v>
      </c>
      <c r="CC75" s="307">
        <f t="shared" si="77"/>
        <v>-79.581370954456077</v>
      </c>
      <c r="CD75" s="307">
        <f t="shared" si="77"/>
        <v>-81.398799804317719</v>
      </c>
      <c r="CE75" s="307">
        <f t="shared" si="77"/>
        <v>-83.259754397687573</v>
      </c>
      <c r="CF75" s="307">
        <f t="shared" si="77"/>
        <v>-85.165234366782499</v>
      </c>
      <c r="CG75" s="307">
        <f t="shared" si="77"/>
        <v>-87.116262880679869</v>
      </c>
      <c r="CH75" s="307">
        <f t="shared" si="77"/>
        <v>-89.113787199612943</v>
      </c>
      <c r="CI75" s="307">
        <f t="shared" si="77"/>
        <v>-91.158979242386351</v>
      </c>
      <c r="CJ75" s="307">
        <f t="shared" si="77"/>
        <v>-93.25293616722297</v>
      </c>
      <c r="CK75" s="307">
        <f t="shared" si="77"/>
        <v>-95.396680966359668</v>
      </c>
      <c r="CL75" s="307">
        <f t="shared" si="77"/>
        <v>-97.59136307471789</v>
      </c>
      <c r="CM75" s="307">
        <f t="shared" si="77"/>
        <v>-99.838158992981676</v>
      </c>
      <c r="CN75" s="307">
        <f t="shared" si="77"/>
        <v>-102.13837292542513</v>
      </c>
      <c r="CO75" s="307">
        <f t="shared" si="77"/>
        <v>-104.4932374328377</v>
      </c>
      <c r="CP75" s="307">
        <f t="shared" si="77"/>
        <v>-106.90381410090555</v>
      </c>
      <c r="CQ75" s="362" t="s">
        <v>77</v>
      </c>
    </row>
    <row r="76" spans="2:95" outlineLevel="1" x14ac:dyDescent="0.2">
      <c r="B76" s="8" t="s">
        <v>289</v>
      </c>
      <c r="K76" s="9" t="s">
        <v>78</v>
      </c>
      <c r="L76" s="265" t="s">
        <v>78</v>
      </c>
      <c r="M76" s="265" t="s">
        <v>78</v>
      </c>
      <c r="N76" s="265">
        <v>17.8</v>
      </c>
      <c r="O76" s="265">
        <v>0</v>
      </c>
      <c r="P76" s="265">
        <v>0</v>
      </c>
      <c r="Q76" s="265">
        <v>0</v>
      </c>
      <c r="R76" s="265">
        <v>0</v>
      </c>
      <c r="S76" s="23" t="str">
        <f t="shared" ref="S76:W77" si="78">IFERROR(S89-S62,"n.a.")</f>
        <v>n.a.</v>
      </c>
      <c r="T76" s="51" t="str">
        <f t="shared" si="78"/>
        <v>n.a.</v>
      </c>
      <c r="U76" s="51" t="str">
        <f t="shared" si="78"/>
        <v>n.a.</v>
      </c>
      <c r="V76" s="51">
        <f t="shared" si="78"/>
        <v>-2.6011764705882374</v>
      </c>
      <c r="W76" s="51">
        <f t="shared" si="78"/>
        <v>-5.735294117647058</v>
      </c>
      <c r="X76" s="157">
        <f>IF(X50&lt;&gt;2,W76*(1+X$11),)</f>
        <v>-5.8786764705882337</v>
      </c>
      <c r="Y76" s="157">
        <f t="shared" ref="Y76:BD76" si="79">IF(Y50&lt;&gt;2,X76*(1+Y$11),)</f>
        <v>-6.0256433823529392</v>
      </c>
      <c r="Z76" s="157">
        <f t="shared" si="79"/>
        <v>-6.1762844669117625</v>
      </c>
      <c r="AA76" s="157">
        <f t="shared" si="79"/>
        <v>-6.3306915785845561</v>
      </c>
      <c r="AB76" s="157">
        <f t="shared" si="79"/>
        <v>-6.4889588680491697</v>
      </c>
      <c r="AC76" s="157">
        <f t="shared" si="79"/>
        <v>-6.6511828397503985</v>
      </c>
      <c r="AD76" s="157">
        <f t="shared" si="79"/>
        <v>-6.8174624107441577</v>
      </c>
      <c r="AE76" s="157">
        <f t="shared" si="79"/>
        <v>-6.9878989710127613</v>
      </c>
      <c r="AF76" s="157">
        <f t="shared" si="79"/>
        <v>-7.1625964452880799</v>
      </c>
      <c r="AG76" s="157">
        <f t="shared" si="79"/>
        <v>-7.3416613564202811</v>
      </c>
      <c r="AH76" s="157">
        <f t="shared" si="79"/>
        <v>-7.525202890330787</v>
      </c>
      <c r="AI76" s="157">
        <f t="shared" si="79"/>
        <v>-7.7133329625890559</v>
      </c>
      <c r="AJ76" s="157">
        <f t="shared" si="79"/>
        <v>-7.9061662866537814</v>
      </c>
      <c r="AK76" s="157">
        <f t="shared" si="79"/>
        <v>-8.1038204438201245</v>
      </c>
      <c r="AL76" s="157">
        <f t="shared" si="79"/>
        <v>-8.3064159549156269</v>
      </c>
      <c r="AM76" s="157">
        <f t="shared" si="79"/>
        <v>-8.514076353788516</v>
      </c>
      <c r="AN76" s="157">
        <f t="shared" si="79"/>
        <v>-8.7269282626332281</v>
      </c>
      <c r="AO76" s="157">
        <f t="shared" si="79"/>
        <v>-8.9451014691990576</v>
      </c>
      <c r="AP76" s="157">
        <f t="shared" si="79"/>
        <v>-9.1687290059290341</v>
      </c>
      <c r="AQ76" s="157">
        <f t="shared" si="79"/>
        <v>-9.3979472310772589</v>
      </c>
      <c r="AR76" s="157">
        <f t="shared" si="79"/>
        <v>-9.6328959118541899</v>
      </c>
      <c r="AS76" s="157">
        <f t="shared" si="79"/>
        <v>-9.8737183096505436</v>
      </c>
      <c r="AT76" s="157">
        <f t="shared" si="79"/>
        <v>-10.120561267391807</v>
      </c>
      <c r="AU76" s="157">
        <f t="shared" si="79"/>
        <v>-10.373575299076601</v>
      </c>
      <c r="AV76" s="157">
        <f t="shared" si="79"/>
        <v>-10.632914681553515</v>
      </c>
      <c r="AW76" s="157">
        <f t="shared" si="79"/>
        <v>-10.898737548592353</v>
      </c>
      <c r="AX76" s="157">
        <f t="shared" si="79"/>
        <v>-11.171205987307161</v>
      </c>
      <c r="AY76" s="157">
        <f t="shared" si="79"/>
        <v>-11.45048613698984</v>
      </c>
      <c r="AZ76" s="157">
        <f t="shared" si="79"/>
        <v>-11.736748290414585</v>
      </c>
      <c r="BA76" s="157">
        <f t="shared" si="79"/>
        <v>-12.030166997674948</v>
      </c>
      <c r="BB76" s="157">
        <f t="shared" si="79"/>
        <v>-12.33092117261682</v>
      </c>
      <c r="BC76" s="157">
        <f t="shared" si="79"/>
        <v>-12.63919420193224</v>
      </c>
      <c r="BD76" s="157">
        <f t="shared" si="79"/>
        <v>-12.955174056980544</v>
      </c>
      <c r="BE76" s="157">
        <f t="shared" ref="BE76:CP76" si="80">IF(BE50&lt;&gt;2,BD76*(1+BE$11),)</f>
        <v>-13.279053408405057</v>
      </c>
      <c r="BF76" s="157">
        <f t="shared" si="80"/>
        <v>-13.611029743615182</v>
      </c>
      <c r="BG76" s="157">
        <f t="shared" si="80"/>
        <v>-13.951305487205561</v>
      </c>
      <c r="BH76" s="157">
        <f t="shared" si="80"/>
        <v>-14.300088124385699</v>
      </c>
      <c r="BI76" s="157">
        <f t="shared" si="80"/>
        <v>-14.65759032749534</v>
      </c>
      <c r="BJ76" s="157">
        <f t="shared" si="80"/>
        <v>-15.024030085682723</v>
      </c>
      <c r="BK76" s="157">
        <f t="shared" si="80"/>
        <v>-15.399630837824789</v>
      </c>
      <c r="BL76" s="157">
        <f t="shared" si="80"/>
        <v>-15.784621608770408</v>
      </c>
      <c r="BM76" s="157">
        <f t="shared" si="80"/>
        <v>-16.179237148989667</v>
      </c>
      <c r="BN76" s="157">
        <f t="shared" si="80"/>
        <v>-16.583718077714408</v>
      </c>
      <c r="BO76" s="157">
        <f t="shared" si="80"/>
        <v>-16.998311029657266</v>
      </c>
      <c r="BP76" s="157">
        <f t="shared" si="80"/>
        <v>-17.423268805398695</v>
      </c>
      <c r="BQ76" s="157">
        <f t="shared" si="80"/>
        <v>-17.858850525533661</v>
      </c>
      <c r="BR76" s="157">
        <f t="shared" si="80"/>
        <v>-18.305321788672</v>
      </c>
      <c r="BS76" s="157">
        <f t="shared" si="80"/>
        <v>-18.762954833388797</v>
      </c>
      <c r="BT76" s="157">
        <f t="shared" si="80"/>
        <v>-19.232028704223517</v>
      </c>
      <c r="BU76" s="157">
        <f t="shared" si="80"/>
        <v>-19.712829421829102</v>
      </c>
      <c r="BV76" s="157">
        <f t="shared" si="80"/>
        <v>-20.20565015737483</v>
      </c>
      <c r="BW76" s="157">
        <f t="shared" si="80"/>
        <v>-20.710791411309199</v>
      </c>
      <c r="BX76" s="157">
        <f t="shared" si="80"/>
        <v>-21.228561196591926</v>
      </c>
      <c r="BY76" s="157">
        <f t="shared" si="80"/>
        <v>-21.759275226506723</v>
      </c>
      <c r="BZ76" s="157">
        <f t="shared" si="80"/>
        <v>-22.30325710716939</v>
      </c>
      <c r="CA76" s="157">
        <f t="shared" si="80"/>
        <v>-22.860838534848622</v>
      </c>
      <c r="CB76" s="157">
        <f t="shared" si="80"/>
        <v>-23.432359498219835</v>
      </c>
      <c r="CC76" s="157">
        <f t="shared" si="80"/>
        <v>-24.018168485675329</v>
      </c>
      <c r="CD76" s="157">
        <f t="shared" si="80"/>
        <v>0</v>
      </c>
      <c r="CE76" s="157">
        <f t="shared" si="80"/>
        <v>0</v>
      </c>
      <c r="CF76" s="157">
        <f t="shared" si="80"/>
        <v>0</v>
      </c>
      <c r="CG76" s="157">
        <f t="shared" si="80"/>
        <v>0</v>
      </c>
      <c r="CH76" s="157">
        <f t="shared" si="80"/>
        <v>0</v>
      </c>
      <c r="CI76" s="157">
        <f t="shared" si="80"/>
        <v>0</v>
      </c>
      <c r="CJ76" s="157">
        <f t="shared" si="80"/>
        <v>0</v>
      </c>
      <c r="CK76" s="157">
        <f t="shared" si="80"/>
        <v>0</v>
      </c>
      <c r="CL76" s="157">
        <f t="shared" si="80"/>
        <v>0</v>
      </c>
      <c r="CM76" s="157">
        <f t="shared" si="80"/>
        <v>0</v>
      </c>
      <c r="CN76" s="157">
        <f t="shared" si="80"/>
        <v>0</v>
      </c>
      <c r="CO76" s="157">
        <f t="shared" si="80"/>
        <v>0</v>
      </c>
      <c r="CP76" s="157">
        <f t="shared" si="80"/>
        <v>0</v>
      </c>
      <c r="CQ76" s="23" t="s">
        <v>77</v>
      </c>
    </row>
    <row r="77" spans="2:95" outlineLevel="1" x14ac:dyDescent="0.2">
      <c r="B77" s="12" t="s">
        <v>569</v>
      </c>
      <c r="L77" s="265"/>
      <c r="M77" s="265"/>
      <c r="N77" s="265"/>
      <c r="O77" s="265"/>
      <c r="P77" s="265"/>
      <c r="Q77" s="265"/>
      <c r="R77" s="265"/>
      <c r="S77" s="23">
        <f t="shared" si="78"/>
        <v>0</v>
      </c>
      <c r="T77" s="51">
        <f t="shared" si="78"/>
        <v>0</v>
      </c>
      <c r="U77" s="51">
        <f t="shared" si="78"/>
        <v>0</v>
      </c>
      <c r="V77" s="51">
        <f t="shared" si="78"/>
        <v>0</v>
      </c>
      <c r="W77" s="51">
        <f t="shared" si="78"/>
        <v>0</v>
      </c>
      <c r="X77" s="157">
        <f>X90-X63</f>
        <v>0</v>
      </c>
      <c r="Y77" s="157">
        <f>Y90-Y63</f>
        <v>-3.24</v>
      </c>
      <c r="Z77" s="157">
        <f t="shared" ref="Z77:BD77" si="81">IF(Z51&lt;&gt;2,Y77*(1+Z$11),)</f>
        <v>-3.3209999999999997</v>
      </c>
      <c r="AA77" s="157">
        <f t="shared" si="81"/>
        <v>-3.4040249999999994</v>
      </c>
      <c r="AB77" s="157">
        <f t="shared" si="81"/>
        <v>-3.4891256249999989</v>
      </c>
      <c r="AC77" s="157">
        <f t="shared" si="81"/>
        <v>-3.5763537656249986</v>
      </c>
      <c r="AD77" s="157">
        <f t="shared" si="81"/>
        <v>-3.6657626097656233</v>
      </c>
      <c r="AE77" s="157">
        <f t="shared" si="81"/>
        <v>-3.7574066750097637</v>
      </c>
      <c r="AF77" s="157">
        <f t="shared" si="81"/>
        <v>-3.8513418418850076</v>
      </c>
      <c r="AG77" s="157">
        <f t="shared" si="81"/>
        <v>-3.9476253879321326</v>
      </c>
      <c r="AH77" s="157">
        <f t="shared" si="81"/>
        <v>-4.0463160226304353</v>
      </c>
      <c r="AI77" s="157">
        <f t="shared" si="81"/>
        <v>-4.1474739231961957</v>
      </c>
      <c r="AJ77" s="157">
        <f t="shared" si="81"/>
        <v>-4.2511607712761004</v>
      </c>
      <c r="AK77" s="157">
        <f t="shared" si="81"/>
        <v>-4.3574397905580025</v>
      </c>
      <c r="AL77" s="157">
        <f t="shared" si="81"/>
        <v>-4.4663757853219526</v>
      </c>
      <c r="AM77" s="157">
        <f t="shared" si="81"/>
        <v>-4.578035179955001</v>
      </c>
      <c r="AN77" s="157">
        <f t="shared" si="81"/>
        <v>-4.6924860594538753</v>
      </c>
      <c r="AO77" s="157">
        <f t="shared" si="81"/>
        <v>-4.8097982109402215</v>
      </c>
      <c r="AP77" s="157">
        <f t="shared" si="81"/>
        <v>-4.9300431662137267</v>
      </c>
      <c r="AQ77" s="157">
        <f t="shared" si="81"/>
        <v>-5.0532942453690692</v>
      </c>
      <c r="AR77" s="157">
        <f t="shared" si="81"/>
        <v>-5.1796266015032959</v>
      </c>
      <c r="AS77" s="157">
        <f t="shared" si="81"/>
        <v>-5.3091172665408779</v>
      </c>
      <c r="AT77" s="157">
        <f t="shared" si="81"/>
        <v>-5.4418451982043994</v>
      </c>
      <c r="AU77" s="157">
        <f>IF(AU51&lt;&gt;2,AT77*(1+AU$11),)</f>
        <v>-5.5778913281595086</v>
      </c>
      <c r="AV77" s="157">
        <f>IF(AV51&lt;&gt;2,AU77*(1+AV$11),)</f>
        <v>-5.7173386113634956</v>
      </c>
      <c r="AW77" s="157">
        <f>IF(AW51&lt;&gt;2,AV77*(1+AW$11),)</f>
        <v>0</v>
      </c>
      <c r="AX77" s="157">
        <f t="shared" si="81"/>
        <v>0</v>
      </c>
      <c r="AY77" s="157">
        <f t="shared" si="81"/>
        <v>0</v>
      </c>
      <c r="AZ77" s="157">
        <f t="shared" si="81"/>
        <v>0</v>
      </c>
      <c r="BA77" s="157">
        <f t="shared" si="81"/>
        <v>0</v>
      </c>
      <c r="BB77" s="157">
        <f t="shared" si="81"/>
        <v>0</v>
      </c>
      <c r="BC77" s="157">
        <f t="shared" si="81"/>
        <v>0</v>
      </c>
      <c r="BD77" s="157">
        <f t="shared" si="81"/>
        <v>0</v>
      </c>
      <c r="BE77" s="157">
        <f t="shared" ref="BE77:CP77" si="82">IF(BE51&lt;&gt;2,BD77*(1+BE$11),)</f>
        <v>0</v>
      </c>
      <c r="BF77" s="157">
        <f t="shared" si="82"/>
        <v>0</v>
      </c>
      <c r="BG77" s="157">
        <f t="shared" si="82"/>
        <v>0</v>
      </c>
      <c r="BH77" s="157">
        <f t="shared" si="82"/>
        <v>0</v>
      </c>
      <c r="BI77" s="157">
        <f t="shared" si="82"/>
        <v>0</v>
      </c>
      <c r="BJ77" s="157">
        <f t="shared" si="82"/>
        <v>0</v>
      </c>
      <c r="BK77" s="157">
        <f t="shared" si="82"/>
        <v>0</v>
      </c>
      <c r="BL77" s="157">
        <f t="shared" si="82"/>
        <v>0</v>
      </c>
      <c r="BM77" s="157">
        <f t="shared" si="82"/>
        <v>0</v>
      </c>
      <c r="BN77" s="157">
        <f t="shared" si="82"/>
        <v>0</v>
      </c>
      <c r="BO77" s="157">
        <f t="shared" si="82"/>
        <v>0</v>
      </c>
      <c r="BP77" s="157">
        <f t="shared" si="82"/>
        <v>0</v>
      </c>
      <c r="BQ77" s="157">
        <f t="shared" si="82"/>
        <v>0</v>
      </c>
      <c r="BR77" s="157">
        <f t="shared" si="82"/>
        <v>0</v>
      </c>
      <c r="BS77" s="157">
        <f t="shared" si="82"/>
        <v>0</v>
      </c>
      <c r="BT77" s="157">
        <f t="shared" si="82"/>
        <v>0</v>
      </c>
      <c r="BU77" s="157">
        <f t="shared" si="82"/>
        <v>0</v>
      </c>
      <c r="BV77" s="157">
        <f t="shared" si="82"/>
        <v>0</v>
      </c>
      <c r="BW77" s="157">
        <f t="shared" si="82"/>
        <v>0</v>
      </c>
      <c r="BX77" s="157">
        <f t="shared" si="82"/>
        <v>0</v>
      </c>
      <c r="BY77" s="157">
        <f t="shared" si="82"/>
        <v>0</v>
      </c>
      <c r="BZ77" s="157">
        <f t="shared" si="82"/>
        <v>0</v>
      </c>
      <c r="CA77" s="157">
        <f t="shared" si="82"/>
        <v>0</v>
      </c>
      <c r="CB77" s="157">
        <f t="shared" si="82"/>
        <v>0</v>
      </c>
      <c r="CC77" s="157">
        <f t="shared" si="82"/>
        <v>0</v>
      </c>
      <c r="CD77" s="157">
        <f t="shared" si="82"/>
        <v>0</v>
      </c>
      <c r="CE77" s="157">
        <f t="shared" si="82"/>
        <v>0</v>
      </c>
      <c r="CF77" s="157">
        <f t="shared" si="82"/>
        <v>0</v>
      </c>
      <c r="CG77" s="157">
        <f t="shared" si="82"/>
        <v>0</v>
      </c>
      <c r="CH77" s="157">
        <f t="shared" si="82"/>
        <v>0</v>
      </c>
      <c r="CI77" s="157">
        <f t="shared" si="82"/>
        <v>0</v>
      </c>
      <c r="CJ77" s="157">
        <f t="shared" si="82"/>
        <v>0</v>
      </c>
      <c r="CK77" s="157">
        <f t="shared" si="82"/>
        <v>0</v>
      </c>
      <c r="CL77" s="157">
        <f t="shared" si="82"/>
        <v>0</v>
      </c>
      <c r="CM77" s="157">
        <f t="shared" si="82"/>
        <v>0</v>
      </c>
      <c r="CN77" s="157">
        <f t="shared" si="82"/>
        <v>0</v>
      </c>
      <c r="CO77" s="157">
        <f t="shared" si="82"/>
        <v>0</v>
      </c>
      <c r="CP77" s="157">
        <f t="shared" si="82"/>
        <v>0</v>
      </c>
      <c r="CQ77" s="23" t="s">
        <v>77</v>
      </c>
    </row>
    <row r="78" spans="2:95" outlineLevel="1" x14ac:dyDescent="0.2">
      <c r="B78" s="485" t="s">
        <v>299</v>
      </c>
      <c r="D78" s="485"/>
      <c r="E78" s="485"/>
      <c r="F78" s="485"/>
      <c r="G78" s="485"/>
      <c r="H78" s="485"/>
      <c r="I78" s="485"/>
      <c r="J78" s="485"/>
      <c r="K78" s="85">
        <f t="shared" ref="K78:V78" si="83">SUM(K68:K76)</f>
        <v>0</v>
      </c>
      <c r="L78" s="85">
        <f t="shared" si="83"/>
        <v>0</v>
      </c>
      <c r="M78" s="85">
        <f t="shared" si="83"/>
        <v>0</v>
      </c>
      <c r="N78" s="85">
        <f t="shared" si="83"/>
        <v>114.1</v>
      </c>
      <c r="O78" s="85">
        <f t="shared" si="83"/>
        <v>100.9</v>
      </c>
      <c r="P78" s="85">
        <f t="shared" si="83"/>
        <v>102.7</v>
      </c>
      <c r="Q78" s="85">
        <f t="shared" si="83"/>
        <v>99.8</v>
      </c>
      <c r="R78" s="85">
        <f t="shared" si="83"/>
        <v>125.9</v>
      </c>
      <c r="S78" s="85">
        <f t="shared" si="83"/>
        <v>-72.06297738761981</v>
      </c>
      <c r="T78" s="85">
        <f t="shared" si="83"/>
        <v>-58.564141370806908</v>
      </c>
      <c r="U78" s="85">
        <f t="shared" si="83"/>
        <v>-54.317414361013959</v>
      </c>
      <c r="V78" s="85">
        <f t="shared" si="83"/>
        <v>-52.135535115523687</v>
      </c>
      <c r="W78" s="85">
        <f t="shared" ref="W78:BD78" si="84">SUM(W68:W77)</f>
        <v>-66.656377729675683</v>
      </c>
      <c r="X78" s="85">
        <f t="shared" si="84"/>
        <v>-71.472682587031443</v>
      </c>
      <c r="Y78" s="85">
        <f t="shared" si="84"/>
        <v>-82.869103399154412</v>
      </c>
      <c r="Z78" s="85">
        <f t="shared" si="84"/>
        <v>-87.310811683969888</v>
      </c>
      <c r="AA78" s="85">
        <f t="shared" si="84"/>
        <v>-89.380200963486246</v>
      </c>
      <c r="AB78" s="85">
        <f t="shared" si="84"/>
        <v>-91.221176887335687</v>
      </c>
      <c r="AC78" s="85">
        <f t="shared" si="84"/>
        <v>-93.015091523966206</v>
      </c>
      <c r="AD78" s="85">
        <f t="shared" si="84"/>
        <v>-94.796088102763633</v>
      </c>
      <c r="AE78" s="85">
        <f t="shared" si="84"/>
        <v>-96.622763267244736</v>
      </c>
      <c r="AF78" s="85">
        <f t="shared" si="84"/>
        <v>-81.803730959260818</v>
      </c>
      <c r="AG78" s="85">
        <f t="shared" si="84"/>
        <v>-83.569938080085052</v>
      </c>
      <c r="AH78" s="85">
        <f t="shared" si="84"/>
        <v>-85.381016265735511</v>
      </c>
      <c r="AI78" s="85">
        <f t="shared" si="84"/>
        <v>-87.238621783961833</v>
      </c>
      <c r="AJ78" s="85">
        <f t="shared" si="84"/>
        <v>-87.605737894223196</v>
      </c>
      <c r="AK78" s="85">
        <f t="shared" si="84"/>
        <v>-83.246400011736611</v>
      </c>
      <c r="AL78" s="85">
        <f t="shared" si="84"/>
        <v>-85.139185720884086</v>
      </c>
      <c r="AM78" s="85">
        <f t="shared" si="84"/>
        <v>-87.079955426716467</v>
      </c>
      <c r="AN78" s="85">
        <f t="shared" si="84"/>
        <v>-89.069938299311758</v>
      </c>
      <c r="AO78" s="85">
        <f t="shared" si="84"/>
        <v>-91.110495063749667</v>
      </c>
      <c r="AP78" s="85">
        <f t="shared" si="84"/>
        <v>-93.202504493763286</v>
      </c>
      <c r="AQ78" s="85">
        <f t="shared" si="84"/>
        <v>-95.347384343932333</v>
      </c>
      <c r="AR78" s="85">
        <f t="shared" si="84"/>
        <v>-97.546073826645966</v>
      </c>
      <c r="AS78" s="85">
        <f t="shared" si="84"/>
        <v>-99.800150528411464</v>
      </c>
      <c r="AT78" s="85">
        <f t="shared" si="84"/>
        <v>-102.11091899594737</v>
      </c>
      <c r="AU78" s="85">
        <f t="shared" si="84"/>
        <v>-104.47931351408637</v>
      </c>
      <c r="AV78" s="85">
        <f t="shared" si="84"/>
        <v>-106.90740697657411</v>
      </c>
      <c r="AW78" s="85">
        <f t="shared" si="84"/>
        <v>-89.908371676478581</v>
      </c>
      <c r="AX78" s="85">
        <f t="shared" si="84"/>
        <v>-91.971712524380365</v>
      </c>
      <c r="AY78" s="85">
        <f t="shared" si="84"/>
        <v>-94.086480453969244</v>
      </c>
      <c r="AZ78" s="85">
        <f t="shared" si="84"/>
        <v>-96.253674005857974</v>
      </c>
      <c r="BA78" s="85">
        <f t="shared" si="84"/>
        <v>-98.474628891217989</v>
      </c>
      <c r="BB78" s="85">
        <f t="shared" si="84"/>
        <v>-100.75070654399283</v>
      </c>
      <c r="BC78" s="85">
        <f t="shared" si="84"/>
        <v>-103.08289483914255</v>
      </c>
      <c r="BD78" s="85">
        <f t="shared" si="84"/>
        <v>-105.47272300216962</v>
      </c>
      <c r="BE78" s="85">
        <f t="shared" ref="BE78:CP78" si="85">SUM(BE68:BE77)</f>
        <v>-107.92174413907391</v>
      </c>
      <c r="BF78" s="85">
        <f t="shared" si="85"/>
        <v>-110.43074005779556</v>
      </c>
      <c r="BG78" s="85">
        <f t="shared" si="85"/>
        <v>-113.00194433191288</v>
      </c>
      <c r="BH78" s="85">
        <f t="shared" si="85"/>
        <v>-115.63580058868995</v>
      </c>
      <c r="BI78" s="85">
        <f t="shared" si="85"/>
        <v>-118.33480788479002</v>
      </c>
      <c r="BJ78" s="85">
        <f t="shared" si="85"/>
        <v>-121.09958713341355</v>
      </c>
      <c r="BK78" s="85">
        <f t="shared" si="85"/>
        <v>-123.93240829717114</v>
      </c>
      <c r="BL78" s="85">
        <f t="shared" si="85"/>
        <v>-126.83456900593808</v>
      </c>
      <c r="BM78" s="85">
        <f t="shared" si="85"/>
        <v>-129.80771369307499</v>
      </c>
      <c r="BN78" s="85">
        <f t="shared" si="85"/>
        <v>-132.85341630669353</v>
      </c>
      <c r="BO78" s="85">
        <f t="shared" si="85"/>
        <v>-135.97350151551055</v>
      </c>
      <c r="BP78" s="85">
        <f t="shared" si="85"/>
        <v>-139.16973151567223</v>
      </c>
      <c r="BQ78" s="85">
        <f t="shared" si="85"/>
        <v>-142.44391108489882</v>
      </c>
      <c r="BR78" s="85">
        <f t="shared" si="85"/>
        <v>-145.7976865864718</v>
      </c>
      <c r="BS78" s="85">
        <f t="shared" si="85"/>
        <v>-129.97493625833786</v>
      </c>
      <c r="BT78" s="85">
        <f t="shared" si="85"/>
        <v>-133.01267417850144</v>
      </c>
      <c r="BU78" s="85">
        <f t="shared" si="85"/>
        <v>-136.12378698849409</v>
      </c>
      <c r="BV78" s="85">
        <f t="shared" si="85"/>
        <v>-139.31021145128972</v>
      </c>
      <c r="BW78" s="85">
        <f t="shared" si="85"/>
        <v>-142.57362189841442</v>
      </c>
      <c r="BX78" s="85">
        <f t="shared" si="85"/>
        <v>-145.91603730427059</v>
      </c>
      <c r="BY78" s="85">
        <f t="shared" si="85"/>
        <v>-149.33871218586083</v>
      </c>
      <c r="BZ78" s="85">
        <f t="shared" si="85"/>
        <v>-152.8442578997664</v>
      </c>
      <c r="CA78" s="85">
        <f t="shared" si="85"/>
        <v>-156.43422144280802</v>
      </c>
      <c r="CB78" s="85">
        <f t="shared" si="85"/>
        <v>-160.11110477535669</v>
      </c>
      <c r="CC78" s="85">
        <f t="shared" si="85"/>
        <v>-163.87604974891269</v>
      </c>
      <c r="CD78" s="85">
        <f t="shared" si="85"/>
        <v>-143.11302871075412</v>
      </c>
      <c r="CE78" s="85">
        <f t="shared" si="85"/>
        <v>-146.44617293384459</v>
      </c>
      <c r="CF78" s="85">
        <f t="shared" si="85"/>
        <v>-149.85872745442663</v>
      </c>
      <c r="CG78" s="85">
        <f t="shared" si="85"/>
        <v>-153.3527633599727</v>
      </c>
      <c r="CH78" s="85">
        <f t="shared" si="85"/>
        <v>-156.93028806450394</v>
      </c>
      <c r="CI78" s="85">
        <f t="shared" si="85"/>
        <v>-160.59295446688191</v>
      </c>
      <c r="CJ78" s="85">
        <f t="shared" si="85"/>
        <v>-164.34317013441961</v>
      </c>
      <c r="CK78" s="85">
        <f t="shared" si="85"/>
        <v>-168.18267816468531</v>
      </c>
      <c r="CL78" s="85">
        <f t="shared" si="85"/>
        <v>-172.1133785706117</v>
      </c>
      <c r="CM78" s="85">
        <f t="shared" si="85"/>
        <v>-176.13761729537683</v>
      </c>
      <c r="CN78" s="85">
        <f t="shared" si="85"/>
        <v>-180.25769550349565</v>
      </c>
      <c r="CO78" s="85">
        <f t="shared" si="85"/>
        <v>-184.47606877621783</v>
      </c>
      <c r="CP78" s="85">
        <f t="shared" si="85"/>
        <v>-188.79463621191329</v>
      </c>
      <c r="CQ78" s="23" t="s">
        <v>77</v>
      </c>
    </row>
    <row r="79" spans="2:95" outlineLevel="1" x14ac:dyDescent="0.2">
      <c r="B79" s="24"/>
      <c r="CQ79" s="23" t="s">
        <v>77</v>
      </c>
    </row>
    <row r="80" spans="2:95" outlineLevel="1" x14ac:dyDescent="0.2">
      <c r="B80" s="358" t="s">
        <v>18</v>
      </c>
      <c r="D80" s="218"/>
      <c r="E80" s="218"/>
      <c r="F80" s="218"/>
      <c r="G80" s="218"/>
      <c r="H80" s="218"/>
      <c r="I80" s="218"/>
      <c r="J80" s="218"/>
      <c r="K80" s="66"/>
      <c r="L80" s="66"/>
      <c r="M80" s="66"/>
      <c r="N80" s="66"/>
      <c r="O80" s="66"/>
      <c r="P80" s="66"/>
      <c r="Q80" s="66"/>
      <c r="R80" s="66"/>
      <c r="S80" s="248"/>
      <c r="T80" s="66"/>
      <c r="U80" s="66"/>
      <c r="V80" s="545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66"/>
      <c r="AH80" s="66"/>
      <c r="AI80" s="66"/>
      <c r="AJ80" s="66"/>
      <c r="AK80" s="66"/>
      <c r="AL80" s="66"/>
      <c r="AM80" s="66"/>
      <c r="AN80" s="66"/>
      <c r="AO80" s="66"/>
      <c r="AP80" s="66"/>
      <c r="AQ80" s="66"/>
      <c r="AR80" s="66"/>
      <c r="AS80" s="66"/>
      <c r="AT80" s="66"/>
      <c r="AU80" s="66"/>
      <c r="AV80" s="66"/>
      <c r="AW80" s="66"/>
      <c r="AX80" s="66"/>
      <c r="AY80" s="66"/>
      <c r="AZ80" s="66"/>
      <c r="BA80" s="66"/>
      <c r="BB80" s="66"/>
      <c r="BC80" s="66"/>
      <c r="BD80" s="66"/>
      <c r="BE80" s="66"/>
      <c r="BF80" s="66"/>
      <c r="BG80" s="66"/>
      <c r="BH80" s="66"/>
      <c r="BI80" s="66"/>
      <c r="BJ80" s="66"/>
      <c r="BK80" s="66"/>
      <c r="BL80" s="66"/>
      <c r="BM80" s="66"/>
      <c r="BN80" s="66"/>
      <c r="BO80" s="66"/>
      <c r="BP80" s="66"/>
      <c r="BQ80" s="66"/>
      <c r="BR80" s="66"/>
      <c r="BS80" s="66"/>
      <c r="BT80" s="66"/>
      <c r="BU80" s="66"/>
      <c r="BV80" s="66"/>
      <c r="BW80" s="66"/>
      <c r="BX80" s="66"/>
      <c r="BY80" s="66"/>
      <c r="BZ80" s="66"/>
      <c r="CA80" s="66"/>
      <c r="CB80" s="66"/>
      <c r="CC80" s="66"/>
      <c r="CD80" s="66"/>
      <c r="CE80" s="66"/>
      <c r="CF80" s="66"/>
      <c r="CG80" s="66"/>
      <c r="CH80" s="66"/>
      <c r="CI80" s="66"/>
      <c r="CJ80" s="66"/>
      <c r="CK80" s="66"/>
      <c r="CL80" s="66"/>
      <c r="CM80" s="66"/>
      <c r="CN80" s="66"/>
      <c r="CO80" s="66"/>
      <c r="CP80" s="66"/>
      <c r="CQ80" s="23" t="s">
        <v>77</v>
      </c>
    </row>
    <row r="81" spans="2:95" outlineLevel="1" x14ac:dyDescent="0.2">
      <c r="B81" s="91" t="s">
        <v>341</v>
      </c>
      <c r="K81" s="9" t="s">
        <v>78</v>
      </c>
      <c r="L81" s="265" t="s">
        <v>78</v>
      </c>
      <c r="M81" s="265" t="s">
        <v>78</v>
      </c>
      <c r="N81" s="265">
        <v>3</v>
      </c>
      <c r="O81" s="265">
        <v>3.3</v>
      </c>
      <c r="P81" s="265">
        <v>2.4</v>
      </c>
      <c r="Q81" s="265">
        <v>5.8</v>
      </c>
      <c r="R81" s="265">
        <v>8</v>
      </c>
      <c r="S81" s="147">
        <v>11.6</v>
      </c>
      <c r="T81" s="265">
        <f>T24</f>
        <v>15.214</v>
      </c>
      <c r="U81" s="265">
        <v>18.100000000000001</v>
      </c>
      <c r="V81" s="39">
        <v>17.5</v>
      </c>
      <c r="W81" s="39">
        <v>18.8</v>
      </c>
      <c r="X81" s="157">
        <f>+(X54-W54)*80%+W81</f>
        <v>18.96</v>
      </c>
      <c r="Y81" s="157">
        <f>+(Y54-X54)*80%+X81</f>
        <v>19.040000000000003</v>
      </c>
      <c r="Z81" s="157">
        <f>+(Z54-Y54)*80%+Y81</f>
        <v>19.280000000000005</v>
      </c>
      <c r="AA81" s="157">
        <f>+(AA54-Z54)*80%+Z81</f>
        <v>19.360000000000003</v>
      </c>
      <c r="AB81" s="157">
        <f t="shared" ref="AB81:AJ81" si="86">+(AB54-AA54)*80%+AA81</f>
        <v>20.042394687388789</v>
      </c>
      <c r="AC81" s="157">
        <f t="shared" si="86"/>
        <v>20.358048742263662</v>
      </c>
      <c r="AD81" s="157">
        <f t="shared" si="86"/>
        <v>20.679601046488994</v>
      </c>
      <c r="AE81" s="157">
        <f t="shared" si="86"/>
        <v>21.008007431347622</v>
      </c>
      <c r="AF81" s="157">
        <f t="shared" si="86"/>
        <v>21.342602756364162</v>
      </c>
      <c r="AG81" s="157">
        <f t="shared" si="86"/>
        <v>21.685141485474521</v>
      </c>
      <c r="AH81" s="157">
        <f t="shared" si="86"/>
        <v>22.033357271571994</v>
      </c>
      <c r="AI81" s="157">
        <f t="shared" si="86"/>
        <v>22.389819735220492</v>
      </c>
      <c r="AJ81" s="157">
        <f t="shared" si="86"/>
        <v>22.753077854427957</v>
      </c>
      <c r="AK81" s="157">
        <f>+(AK54-AJ54)*75%+AJ81</f>
        <v>23.10091163029001</v>
      </c>
      <c r="AL81" s="157">
        <f t="shared" ref="AL81:BD81" si="87">+(AL54-AK54)*80%+AK81</f>
        <v>23.479855452504271</v>
      </c>
      <c r="AM81" s="157">
        <f t="shared" si="87"/>
        <v>23.866088978575903</v>
      </c>
      <c r="AN81" s="157">
        <f t="shared" si="87"/>
        <v>24.259784801708964</v>
      </c>
      <c r="AO81" s="157">
        <f t="shared" si="87"/>
        <v>24.662735827038048</v>
      </c>
      <c r="AP81" s="157">
        <f t="shared" si="87"/>
        <v>25.073498674373973</v>
      </c>
      <c r="AQ81" s="157">
        <f t="shared" si="87"/>
        <v>25.493074772280742</v>
      </c>
      <c r="AR81" s="157">
        <f t="shared" si="87"/>
        <v>25.92083756686603</v>
      </c>
      <c r="AS81" s="157">
        <f t="shared" si="87"/>
        <v>26.357797422016525</v>
      </c>
      <c r="AT81" s="157">
        <f t="shared" si="87"/>
        <v>26.804153131223178</v>
      </c>
      <c r="AU81" s="157">
        <f t="shared" si="87"/>
        <v>27.259300127449752</v>
      </c>
      <c r="AV81" s="157">
        <f t="shared" si="87"/>
        <v>27.725862993698069</v>
      </c>
      <c r="AW81" s="157">
        <f t="shared" si="87"/>
        <v>28.200022684700155</v>
      </c>
      <c r="AX81" s="157">
        <f t="shared" si="87"/>
        <v>28.685230036475883</v>
      </c>
      <c r="AY81" s="157">
        <f t="shared" si="87"/>
        <v>29.180900596219537</v>
      </c>
      <c r="AZ81" s="157">
        <f t="shared" si="87"/>
        <v>29.686447144073444</v>
      </c>
      <c r="BA81" s="157">
        <f t="shared" si="87"/>
        <v>30.202920317225118</v>
      </c>
      <c r="BB81" s="157">
        <f t="shared" si="87"/>
        <v>30.730560144174294</v>
      </c>
      <c r="BC81" s="157">
        <f t="shared" si="87"/>
        <v>31.26879617822755</v>
      </c>
      <c r="BD81" s="157">
        <f t="shared" si="87"/>
        <v>31.818704329646845</v>
      </c>
      <c r="BE81" s="157">
        <f t="shared" ref="BE81:CP81" si="88">+(BE54-BD54)*80%+BD81</f>
        <v>32.381334111431173</v>
      </c>
      <c r="BF81" s="157">
        <f t="shared" si="88"/>
        <v>32.95452498131467</v>
      </c>
      <c r="BG81" s="157">
        <f t="shared" si="88"/>
        <v>33.541795581357029</v>
      </c>
      <c r="BH81" s="157">
        <f t="shared" si="88"/>
        <v>34.139373801773935</v>
      </c>
      <c r="BI81" s="157">
        <f t="shared" si="88"/>
        <v>34.75157512049509</v>
      </c>
      <c r="BJ81" s="157">
        <f t="shared" si="88"/>
        <v>35.37546507166752</v>
      </c>
      <c r="BK81" s="157">
        <f t="shared" si="88"/>
        <v>36.013764698483406</v>
      </c>
      <c r="BL81" s="157">
        <f t="shared" si="88"/>
        <v>36.66596162541169</v>
      </c>
      <c r="BM81" s="157">
        <f t="shared" si="88"/>
        <v>37.332383121415717</v>
      </c>
      <c r="BN81" s="157">
        <f t="shared" si="88"/>
        <v>38.012523378873354</v>
      </c>
      <c r="BO81" s="157">
        <f t="shared" si="88"/>
        <v>38.707524684321854</v>
      </c>
      <c r="BP81" s="157">
        <f t="shared" si="88"/>
        <v>39.417720904452615</v>
      </c>
      <c r="BQ81" s="157">
        <f t="shared" si="88"/>
        <v>40.143453870610266</v>
      </c>
      <c r="BR81" s="157">
        <f t="shared" si="88"/>
        <v>40.88426546967515</v>
      </c>
      <c r="BS81" s="157">
        <f t="shared" si="88"/>
        <v>41.642122136899609</v>
      </c>
      <c r="BT81" s="157">
        <f t="shared" si="88"/>
        <v>42.416598856638252</v>
      </c>
      <c r="BU81" s="157">
        <f t="shared" si="88"/>
        <v>43.207246969139632</v>
      </c>
      <c r="BV81" s="157">
        <f t="shared" si="88"/>
        <v>44.015267273793938</v>
      </c>
      <c r="BW81" s="157">
        <f t="shared" si="88"/>
        <v>44.84105354774384</v>
      </c>
      <c r="BX81" s="157">
        <f t="shared" si="88"/>
        <v>45.685817063131218</v>
      </c>
      <c r="BY81" s="157">
        <f t="shared" si="88"/>
        <v>46.547546314765071</v>
      </c>
      <c r="BZ81" s="157">
        <f t="shared" si="88"/>
        <v>47.429088243433071</v>
      </c>
      <c r="CA81" s="157">
        <f t="shared" si="88"/>
        <v>48.32925937831088</v>
      </c>
      <c r="CB81" s="157">
        <f t="shared" si="88"/>
        <v>49.250918972034725</v>
      </c>
      <c r="CC81" s="157">
        <f t="shared" si="88"/>
        <v>50.19130445254568</v>
      </c>
      <c r="CD81" s="157">
        <f t="shared" si="88"/>
        <v>51.152480271756673</v>
      </c>
      <c r="CE81" s="157">
        <f t="shared" si="88"/>
        <v>52.135746263494291</v>
      </c>
      <c r="CF81" s="157">
        <f t="shared" si="88"/>
        <v>53.139956914747216</v>
      </c>
      <c r="CG81" s="157">
        <f t="shared" si="88"/>
        <v>54.166435027690667</v>
      </c>
      <c r="CH81" s="157">
        <f t="shared" si="88"/>
        <v>55.216482904387817</v>
      </c>
      <c r="CI81" s="157">
        <f t="shared" si="88"/>
        <v>56.289015028404648</v>
      </c>
      <c r="CJ81" s="157">
        <f t="shared" si="88"/>
        <v>57.386190753216397</v>
      </c>
      <c r="CK81" s="157">
        <f t="shared" si="88"/>
        <v>58.507733606638887</v>
      </c>
      <c r="CL81" s="157">
        <f t="shared" si="88"/>
        <v>59.653412589420874</v>
      </c>
      <c r="CM81" s="157">
        <f t="shared" si="88"/>
        <v>60.824593891493514</v>
      </c>
      <c r="CN81" s="157">
        <f t="shared" si="88"/>
        <v>62.021873609204711</v>
      </c>
      <c r="CO81" s="157">
        <f t="shared" si="88"/>
        <v>63.246669973435843</v>
      </c>
      <c r="CP81" s="157">
        <f t="shared" si="88"/>
        <v>64.49877508878356</v>
      </c>
      <c r="CQ81" s="23" t="s">
        <v>77</v>
      </c>
    </row>
    <row r="82" spans="2:95" outlineLevel="1" x14ac:dyDescent="0.2">
      <c r="B82" s="8" t="s">
        <v>337</v>
      </c>
      <c r="K82" s="9" t="s">
        <v>78</v>
      </c>
      <c r="L82" s="265" t="s">
        <v>78</v>
      </c>
      <c r="M82" s="265" t="s">
        <v>78</v>
      </c>
      <c r="N82" s="265">
        <v>0</v>
      </c>
      <c r="O82" s="265">
        <v>0</v>
      </c>
      <c r="P82" s="265">
        <v>0</v>
      </c>
      <c r="Q82" s="265">
        <v>0</v>
      </c>
      <c r="R82" s="265">
        <v>20</v>
      </c>
      <c r="S82" s="147">
        <v>17.2</v>
      </c>
      <c r="T82" s="265">
        <v>19.955833333333963</v>
      </c>
      <c r="U82" s="265">
        <v>22.1</v>
      </c>
      <c r="V82" s="39">
        <v>20.399999999999999</v>
      </c>
      <c r="W82" s="39">
        <v>25.3</v>
      </c>
      <c r="X82" s="157">
        <f t="shared" ref="X82:AE82" si="89">+(X55-W55)*80%+W82</f>
        <v>26.181283353467791</v>
      </c>
      <c r="Y82" s="157">
        <f t="shared" si="89"/>
        <v>27.084598790772276</v>
      </c>
      <c r="Z82" s="157">
        <f t="shared" si="89"/>
        <v>28.010497114009375</v>
      </c>
      <c r="AA82" s="157">
        <f>+(AA55-Z55)*80%+Z82</f>
        <v>28.959542895327402</v>
      </c>
      <c r="AB82" s="157">
        <f t="shared" si="89"/>
        <v>29.932314821178377</v>
      </c>
      <c r="AC82" s="157">
        <f t="shared" si="89"/>
        <v>30.929406045175629</v>
      </c>
      <c r="AD82" s="157">
        <f t="shared" si="89"/>
        <v>31.900323624542953</v>
      </c>
      <c r="AE82" s="157">
        <f t="shared" si="89"/>
        <v>32.89430049642025</v>
      </c>
      <c r="AF82" s="307">
        <f>AF55+AF69</f>
        <v>12.674999999999999</v>
      </c>
      <c r="AG82" s="307">
        <f t="shared" ref="AG82:CP83" si="90">AG55+AG69</f>
        <v>12.970749999999997</v>
      </c>
      <c r="AH82" s="307">
        <f t="shared" si="90"/>
        <v>13.273392031249998</v>
      </c>
      <c r="AI82" s="307">
        <f t="shared" si="90"/>
        <v>13.583086478710934</v>
      </c>
      <c r="AJ82" s="307">
        <f t="shared" si="90"/>
        <v>13.899997453967035</v>
      </c>
      <c r="AK82" s="307">
        <f t="shared" si="90"/>
        <v>0</v>
      </c>
      <c r="AL82" s="307">
        <f t="shared" si="90"/>
        <v>0</v>
      </c>
      <c r="AM82" s="307">
        <f t="shared" si="90"/>
        <v>0</v>
      </c>
      <c r="AN82" s="307">
        <f t="shared" si="90"/>
        <v>0</v>
      </c>
      <c r="AO82" s="307">
        <f t="shared" si="90"/>
        <v>0</v>
      </c>
      <c r="AP82" s="307">
        <f t="shared" si="90"/>
        <v>0</v>
      </c>
      <c r="AQ82" s="307">
        <f t="shared" si="90"/>
        <v>0</v>
      </c>
      <c r="AR82" s="307">
        <f t="shared" si="90"/>
        <v>0</v>
      </c>
      <c r="AS82" s="307">
        <f t="shared" si="90"/>
        <v>0</v>
      </c>
      <c r="AT82" s="307">
        <f t="shared" si="90"/>
        <v>0</v>
      </c>
      <c r="AU82" s="307">
        <f t="shared" si="90"/>
        <v>0</v>
      </c>
      <c r="AV82" s="307">
        <f t="shared" si="90"/>
        <v>0</v>
      </c>
      <c r="AW82" s="307">
        <f t="shared" si="90"/>
        <v>0</v>
      </c>
      <c r="AX82" s="307">
        <f t="shared" si="90"/>
        <v>0</v>
      </c>
      <c r="AY82" s="307">
        <f t="shared" si="90"/>
        <v>0</v>
      </c>
      <c r="AZ82" s="307">
        <f t="shared" si="90"/>
        <v>0</v>
      </c>
      <c r="BA82" s="307">
        <f t="shared" si="90"/>
        <v>0</v>
      </c>
      <c r="BB82" s="307">
        <f t="shared" si="90"/>
        <v>0</v>
      </c>
      <c r="BC82" s="307">
        <f t="shared" si="90"/>
        <v>0</v>
      </c>
      <c r="BD82" s="307">
        <f t="shared" si="90"/>
        <v>0</v>
      </c>
      <c r="BE82" s="307">
        <f t="shared" si="90"/>
        <v>0</v>
      </c>
      <c r="BF82" s="307">
        <f t="shared" si="90"/>
        <v>0</v>
      </c>
      <c r="BG82" s="307">
        <f t="shared" si="90"/>
        <v>0</v>
      </c>
      <c r="BH82" s="307">
        <f t="shared" si="90"/>
        <v>0</v>
      </c>
      <c r="BI82" s="307">
        <f t="shared" si="90"/>
        <v>0</v>
      </c>
      <c r="BJ82" s="307">
        <f t="shared" si="90"/>
        <v>0</v>
      </c>
      <c r="BK82" s="307">
        <f t="shared" si="90"/>
        <v>0</v>
      </c>
      <c r="BL82" s="307">
        <f t="shared" si="90"/>
        <v>0</v>
      </c>
      <c r="BM82" s="307">
        <f t="shared" si="90"/>
        <v>0</v>
      </c>
      <c r="BN82" s="307">
        <f t="shared" si="90"/>
        <v>0</v>
      </c>
      <c r="BO82" s="307">
        <f t="shared" si="90"/>
        <v>0</v>
      </c>
      <c r="BP82" s="307">
        <f t="shared" si="90"/>
        <v>0</v>
      </c>
      <c r="BQ82" s="307">
        <f t="shared" si="90"/>
        <v>0</v>
      </c>
      <c r="BR82" s="307">
        <f t="shared" si="90"/>
        <v>0</v>
      </c>
      <c r="BS82" s="307">
        <f t="shared" si="90"/>
        <v>0</v>
      </c>
      <c r="BT82" s="307">
        <f t="shared" si="90"/>
        <v>0</v>
      </c>
      <c r="BU82" s="307">
        <f t="shared" si="90"/>
        <v>0</v>
      </c>
      <c r="BV82" s="307">
        <f t="shared" si="90"/>
        <v>0</v>
      </c>
      <c r="BW82" s="307">
        <f t="shared" si="90"/>
        <v>0</v>
      </c>
      <c r="BX82" s="307">
        <f t="shared" si="90"/>
        <v>0</v>
      </c>
      <c r="BY82" s="307">
        <f t="shared" si="90"/>
        <v>0</v>
      </c>
      <c r="BZ82" s="307">
        <f t="shared" si="90"/>
        <v>0</v>
      </c>
      <c r="CA82" s="307">
        <f t="shared" si="90"/>
        <v>0</v>
      </c>
      <c r="CB82" s="307">
        <f t="shared" si="90"/>
        <v>0</v>
      </c>
      <c r="CC82" s="307">
        <f t="shared" si="90"/>
        <v>0</v>
      </c>
      <c r="CD82" s="307">
        <f t="shared" si="90"/>
        <v>0</v>
      </c>
      <c r="CE82" s="307">
        <f t="shared" si="90"/>
        <v>0</v>
      </c>
      <c r="CF82" s="307">
        <f t="shared" si="90"/>
        <v>0</v>
      </c>
      <c r="CG82" s="307">
        <f t="shared" si="90"/>
        <v>0</v>
      </c>
      <c r="CH82" s="307">
        <f t="shared" si="90"/>
        <v>0</v>
      </c>
      <c r="CI82" s="307">
        <f t="shared" si="90"/>
        <v>0</v>
      </c>
      <c r="CJ82" s="307">
        <f t="shared" si="90"/>
        <v>0</v>
      </c>
      <c r="CK82" s="307">
        <f t="shared" si="90"/>
        <v>0</v>
      </c>
      <c r="CL82" s="307">
        <f t="shared" si="90"/>
        <v>0</v>
      </c>
      <c r="CM82" s="307">
        <f t="shared" si="90"/>
        <v>0</v>
      </c>
      <c r="CN82" s="307">
        <f t="shared" si="90"/>
        <v>0</v>
      </c>
      <c r="CO82" s="307">
        <f t="shared" si="90"/>
        <v>0</v>
      </c>
      <c r="CP82" s="307">
        <f t="shared" si="90"/>
        <v>0</v>
      </c>
      <c r="CQ82" s="23" t="s">
        <v>77</v>
      </c>
    </row>
    <row r="83" spans="2:95" outlineLevel="1" x14ac:dyDescent="0.2">
      <c r="B83" s="8" t="s">
        <v>594</v>
      </c>
      <c r="L83" s="265"/>
      <c r="M83" s="265"/>
      <c r="N83" s="265"/>
      <c r="O83" s="265"/>
      <c r="P83" s="265"/>
      <c r="Q83" s="265"/>
      <c r="R83" s="265"/>
      <c r="S83" s="147"/>
      <c r="T83" s="265"/>
      <c r="U83" s="265"/>
      <c r="V83" s="39"/>
      <c r="W83" s="39"/>
      <c r="X83" s="257">
        <f>47*0.1</f>
        <v>4.7</v>
      </c>
      <c r="Y83" s="257">
        <f t="shared" ref="Y83:AE83" si="91">Y56+Y70</f>
        <v>4.8174999999999999</v>
      </c>
      <c r="Z83" s="307">
        <f t="shared" si="91"/>
        <v>4.9379374999999994</v>
      </c>
      <c r="AA83" s="307">
        <f t="shared" si="91"/>
        <v>5.061385937499999</v>
      </c>
      <c r="AB83" s="307">
        <f t="shared" si="91"/>
        <v>5.1879205859374986</v>
      </c>
      <c r="AC83" s="307">
        <f t="shared" si="91"/>
        <v>5.3176186005859361</v>
      </c>
      <c r="AD83" s="307">
        <f t="shared" si="91"/>
        <v>5.4416963679329413</v>
      </c>
      <c r="AE83" s="307">
        <f t="shared" si="91"/>
        <v>5.5686655903940148</v>
      </c>
      <c r="AF83" s="307">
        <f>AF56+AF70</f>
        <v>5.6985935552316054</v>
      </c>
      <c r="AG83" s="307">
        <f>AG56+AG70</f>
        <v>5.8315491131607313</v>
      </c>
      <c r="AH83" s="307">
        <f>AH56+AH70</f>
        <v>5.9676027146154844</v>
      </c>
      <c r="AI83" s="307">
        <f>AI56+AI70</f>
        <v>6.1068264468552185</v>
      </c>
      <c r="AJ83" s="307">
        <f t="shared" si="90"/>
        <v>1.7082000000000002</v>
      </c>
      <c r="AK83" s="307">
        <f t="shared" ref="AK83:BP83" si="92">AK56+AK70</f>
        <v>1.7480579999999999</v>
      </c>
      <c r="AL83" s="307">
        <f t="shared" si="92"/>
        <v>1.78884483375</v>
      </c>
      <c r="AM83" s="307">
        <f t="shared" si="92"/>
        <v>1.8305821162078124</v>
      </c>
      <c r="AN83" s="307">
        <f t="shared" si="92"/>
        <v>1.873291964565404</v>
      </c>
      <c r="AO83" s="307">
        <f t="shared" si="92"/>
        <v>1.9169970098989302</v>
      </c>
      <c r="AP83" s="307">
        <f t="shared" si="92"/>
        <v>1.9617204090885045</v>
      </c>
      <c r="AQ83" s="307">
        <f t="shared" si="92"/>
        <v>2.0074858570139433</v>
      </c>
      <c r="AR83" s="307">
        <f t="shared" si="92"/>
        <v>2.054317599032851</v>
      </c>
      <c r="AS83" s="307">
        <f t="shared" si="92"/>
        <v>2.1022404437475783</v>
      </c>
      <c r="AT83" s="307">
        <f t="shared" si="92"/>
        <v>2.1512797760677231</v>
      </c>
      <c r="AU83" s="307">
        <f t="shared" si="92"/>
        <v>2.2014615705749998</v>
      </c>
      <c r="AV83" s="307">
        <f t="shared" si="92"/>
        <v>2.2528124051974658</v>
      </c>
      <c r="AW83" s="307">
        <f t="shared" si="92"/>
        <v>0</v>
      </c>
      <c r="AX83" s="307">
        <f t="shared" si="92"/>
        <v>0</v>
      </c>
      <c r="AY83" s="307">
        <f t="shared" si="92"/>
        <v>0</v>
      </c>
      <c r="AZ83" s="307">
        <f t="shared" si="92"/>
        <v>0</v>
      </c>
      <c r="BA83" s="307">
        <f t="shared" si="92"/>
        <v>0</v>
      </c>
      <c r="BB83" s="307">
        <f t="shared" si="92"/>
        <v>0</v>
      </c>
      <c r="BC83" s="307">
        <f t="shared" si="92"/>
        <v>0</v>
      </c>
      <c r="BD83" s="307">
        <f t="shared" si="92"/>
        <v>0</v>
      </c>
      <c r="BE83" s="307">
        <f t="shared" si="92"/>
        <v>0</v>
      </c>
      <c r="BF83" s="307">
        <f t="shared" si="92"/>
        <v>0</v>
      </c>
      <c r="BG83" s="307">
        <f t="shared" si="92"/>
        <v>0</v>
      </c>
      <c r="BH83" s="307">
        <f t="shared" si="92"/>
        <v>0</v>
      </c>
      <c r="BI83" s="307">
        <f t="shared" si="92"/>
        <v>0</v>
      </c>
      <c r="BJ83" s="307">
        <f t="shared" si="92"/>
        <v>0</v>
      </c>
      <c r="BK83" s="307">
        <f t="shared" si="92"/>
        <v>0</v>
      </c>
      <c r="BL83" s="307">
        <f t="shared" si="92"/>
        <v>0</v>
      </c>
      <c r="BM83" s="307">
        <f t="shared" si="92"/>
        <v>0</v>
      </c>
      <c r="BN83" s="307">
        <f t="shared" si="92"/>
        <v>0</v>
      </c>
      <c r="BO83" s="307">
        <f t="shared" si="92"/>
        <v>0</v>
      </c>
      <c r="BP83" s="307">
        <f t="shared" si="92"/>
        <v>0</v>
      </c>
      <c r="BQ83" s="307">
        <f t="shared" si="90"/>
        <v>0</v>
      </c>
      <c r="BR83" s="307">
        <f t="shared" si="90"/>
        <v>0</v>
      </c>
      <c r="BS83" s="307">
        <f t="shared" si="90"/>
        <v>0</v>
      </c>
      <c r="BT83" s="307">
        <f t="shared" si="90"/>
        <v>0</v>
      </c>
      <c r="BU83" s="307">
        <f t="shared" si="90"/>
        <v>0</v>
      </c>
      <c r="BV83" s="307">
        <f t="shared" si="90"/>
        <v>0</v>
      </c>
      <c r="BW83" s="307">
        <f t="shared" si="90"/>
        <v>0</v>
      </c>
      <c r="BX83" s="307">
        <f t="shared" si="90"/>
        <v>0</v>
      </c>
      <c r="BY83" s="307">
        <f t="shared" si="90"/>
        <v>0</v>
      </c>
      <c r="BZ83" s="307">
        <f t="shared" si="90"/>
        <v>0</v>
      </c>
      <c r="CA83" s="307">
        <f t="shared" si="90"/>
        <v>0</v>
      </c>
      <c r="CB83" s="307">
        <f t="shared" si="90"/>
        <v>0</v>
      </c>
      <c r="CC83" s="307">
        <f t="shared" si="90"/>
        <v>0</v>
      </c>
      <c r="CD83" s="307">
        <f t="shared" si="90"/>
        <v>0</v>
      </c>
      <c r="CE83" s="307">
        <f t="shared" si="90"/>
        <v>0</v>
      </c>
      <c r="CF83" s="307">
        <f t="shared" si="90"/>
        <v>0</v>
      </c>
      <c r="CG83" s="307">
        <f t="shared" si="90"/>
        <v>0</v>
      </c>
      <c r="CH83" s="307">
        <f t="shared" si="90"/>
        <v>0</v>
      </c>
      <c r="CI83" s="307">
        <f t="shared" si="90"/>
        <v>0</v>
      </c>
      <c r="CJ83" s="307">
        <f t="shared" si="90"/>
        <v>0</v>
      </c>
      <c r="CK83" s="307">
        <f t="shared" ref="CK83:CP83" si="93">CK56+CK70</f>
        <v>0</v>
      </c>
      <c r="CL83" s="307">
        <f t="shared" si="93"/>
        <v>0</v>
      </c>
      <c r="CM83" s="307">
        <f t="shared" si="93"/>
        <v>0</v>
      </c>
      <c r="CN83" s="307">
        <f t="shared" si="93"/>
        <v>0</v>
      </c>
      <c r="CO83" s="307">
        <f t="shared" si="93"/>
        <v>0</v>
      </c>
      <c r="CP83" s="307">
        <f t="shared" si="93"/>
        <v>0</v>
      </c>
      <c r="CQ83" s="23"/>
    </row>
    <row r="84" spans="2:95" outlineLevel="1" x14ac:dyDescent="0.2">
      <c r="B84" s="8" t="s">
        <v>566</v>
      </c>
      <c r="L84" s="147"/>
      <c r="M84" s="147"/>
      <c r="N84" s="147"/>
      <c r="O84" s="147"/>
      <c r="P84" s="147"/>
      <c r="Q84" s="147"/>
      <c r="R84" s="147"/>
      <c r="S84" s="147">
        <v>0</v>
      </c>
      <c r="T84" s="147">
        <v>0</v>
      </c>
      <c r="U84" s="147">
        <v>0</v>
      </c>
      <c r="V84" s="147">
        <v>0</v>
      </c>
      <c r="W84" s="147">
        <v>0</v>
      </c>
      <c r="X84" s="157">
        <v>0</v>
      </c>
      <c r="Y84" s="258">
        <f>315/10*(6/12)</f>
        <v>15.75</v>
      </c>
      <c r="Z84" s="157">
        <f>Z57*D57</f>
        <v>21.524999999999995</v>
      </c>
      <c r="AA84" s="157">
        <f t="shared" ref="AA84:BD84" si="94">+(AA57-Z57)*80%+Z84</f>
        <v>22.139999999999993</v>
      </c>
      <c r="AB84" s="157">
        <f t="shared" si="94"/>
        <v>22.770374999999991</v>
      </c>
      <c r="AC84" s="157">
        <f t="shared" si="94"/>
        <v>23.416509374999986</v>
      </c>
      <c r="AD84" s="157">
        <f t="shared" si="94"/>
        <v>24.045682722656231</v>
      </c>
      <c r="AE84" s="157">
        <f t="shared" si="94"/>
        <v>24.689798937319317</v>
      </c>
      <c r="AF84" s="157">
        <f t="shared" si="94"/>
        <v>25.349212912080649</v>
      </c>
      <c r="AG84" s="157">
        <f t="shared" si="94"/>
        <v>26.024287968742566</v>
      </c>
      <c r="AH84" s="157">
        <f t="shared" si="94"/>
        <v>26.715396058000202</v>
      </c>
      <c r="AI84" s="157">
        <f t="shared" si="94"/>
        <v>27.422917964377703</v>
      </c>
      <c r="AJ84" s="157">
        <f t="shared" si="94"/>
        <v>28.147243516031672</v>
      </c>
      <c r="AK84" s="157">
        <f t="shared" si="94"/>
        <v>22.388567999999999</v>
      </c>
      <c r="AL84" s="307">
        <f>AL57+AL71</f>
        <v>22.797850724999996</v>
      </c>
      <c r="AM84" s="157">
        <f t="shared" si="94"/>
        <v>23.416973508824995</v>
      </c>
      <c r="AN84" s="157">
        <f t="shared" si="94"/>
        <v>24.050800458765835</v>
      </c>
      <c r="AO84" s="157">
        <f t="shared" si="94"/>
        <v>24.699680798767773</v>
      </c>
      <c r="AP84" s="157">
        <f t="shared" si="94"/>
        <v>25.363972046844758</v>
      </c>
      <c r="AQ84" s="157">
        <f t="shared" si="94"/>
        <v>26.044040212063571</v>
      </c>
      <c r="AR84" s="157">
        <f t="shared" si="94"/>
        <v>26.740259996206326</v>
      </c>
      <c r="AS84" s="157">
        <f t="shared" si="94"/>
        <v>27.453015000222479</v>
      </c>
      <c r="AT84" s="157">
        <f t="shared" si="94"/>
        <v>28.182697935584009</v>
      </c>
      <c r="AU84" s="157">
        <f t="shared" si="94"/>
        <v>28.929710840660377</v>
      </c>
      <c r="AV84" s="157">
        <f t="shared" si="94"/>
        <v>29.69446530223231</v>
      </c>
      <c r="AW84" s="157">
        <f t="shared" si="94"/>
        <v>-3.2704770149999973</v>
      </c>
      <c r="AX84" s="157">
        <f t="shared" si="94"/>
        <v>-3.2704770149999973</v>
      </c>
      <c r="AY84" s="157">
        <f t="shared" si="94"/>
        <v>-3.2704770149999973</v>
      </c>
      <c r="AZ84" s="157">
        <f t="shared" si="94"/>
        <v>-3.2704770149999973</v>
      </c>
      <c r="BA84" s="157">
        <f t="shared" si="94"/>
        <v>-3.2704770149999973</v>
      </c>
      <c r="BB84" s="157">
        <f t="shared" si="94"/>
        <v>-3.2704770149999973</v>
      </c>
      <c r="BC84" s="157">
        <f t="shared" si="94"/>
        <v>-3.2704770149999973</v>
      </c>
      <c r="BD84" s="157">
        <f t="shared" si="94"/>
        <v>-3.2704770149999973</v>
      </c>
      <c r="BE84" s="157">
        <f t="shared" ref="BE84:CP84" si="95">+(BE57-BD57)*80%+BD84</f>
        <v>-3.2704770149999973</v>
      </c>
      <c r="BF84" s="157">
        <f t="shared" si="95"/>
        <v>-3.2704770149999973</v>
      </c>
      <c r="BG84" s="157">
        <f t="shared" si="95"/>
        <v>-3.2704770149999973</v>
      </c>
      <c r="BH84" s="157">
        <f t="shared" si="95"/>
        <v>-3.2704770149999973</v>
      </c>
      <c r="BI84" s="157">
        <f t="shared" si="95"/>
        <v>-3.2704770149999973</v>
      </c>
      <c r="BJ84" s="157">
        <f t="shared" si="95"/>
        <v>-3.2704770149999973</v>
      </c>
      <c r="BK84" s="157">
        <f t="shared" si="95"/>
        <v>-3.2704770149999973</v>
      </c>
      <c r="BL84" s="157">
        <f t="shared" si="95"/>
        <v>-3.2704770149999973</v>
      </c>
      <c r="BM84" s="157">
        <f t="shared" si="95"/>
        <v>-3.2704770149999973</v>
      </c>
      <c r="BN84" s="157">
        <f t="shared" si="95"/>
        <v>-3.2704770149999973</v>
      </c>
      <c r="BO84" s="157">
        <f t="shared" si="95"/>
        <v>-3.2704770149999973</v>
      </c>
      <c r="BP84" s="157">
        <f t="shared" si="95"/>
        <v>-3.2704770149999973</v>
      </c>
      <c r="BQ84" s="157">
        <f t="shared" si="95"/>
        <v>-3.2704770149999973</v>
      </c>
      <c r="BR84" s="157">
        <f t="shared" si="95"/>
        <v>-3.2704770149999973</v>
      </c>
      <c r="BS84" s="157">
        <f t="shared" si="95"/>
        <v>-3.2704770149999973</v>
      </c>
      <c r="BT84" s="157">
        <f t="shared" si="95"/>
        <v>-3.2704770149999973</v>
      </c>
      <c r="BU84" s="157">
        <f t="shared" si="95"/>
        <v>-3.2704770149999973</v>
      </c>
      <c r="BV84" s="157">
        <f t="shared" si="95"/>
        <v>-3.2704770149999973</v>
      </c>
      <c r="BW84" s="157">
        <f t="shared" si="95"/>
        <v>-3.2704770149999973</v>
      </c>
      <c r="BX84" s="157">
        <f t="shared" si="95"/>
        <v>-3.2704770149999973</v>
      </c>
      <c r="BY84" s="157">
        <f t="shared" si="95"/>
        <v>-3.2704770149999973</v>
      </c>
      <c r="BZ84" s="157">
        <f t="shared" si="95"/>
        <v>-3.2704770149999973</v>
      </c>
      <c r="CA84" s="157">
        <f t="shared" si="95"/>
        <v>-3.2704770149999973</v>
      </c>
      <c r="CB84" s="157">
        <f t="shared" si="95"/>
        <v>-3.2704770149999973</v>
      </c>
      <c r="CC84" s="157">
        <f t="shared" si="95"/>
        <v>-3.2704770149999973</v>
      </c>
      <c r="CD84" s="157">
        <f t="shared" si="95"/>
        <v>-3.2704770149999973</v>
      </c>
      <c r="CE84" s="157">
        <f t="shared" si="95"/>
        <v>-3.2704770149999973</v>
      </c>
      <c r="CF84" s="157">
        <f t="shared" si="95"/>
        <v>-3.2704770149999973</v>
      </c>
      <c r="CG84" s="157">
        <f t="shared" si="95"/>
        <v>-3.2704770149999973</v>
      </c>
      <c r="CH84" s="157">
        <f t="shared" si="95"/>
        <v>-3.2704770149999973</v>
      </c>
      <c r="CI84" s="157">
        <f t="shared" si="95"/>
        <v>-3.2704770149999973</v>
      </c>
      <c r="CJ84" s="157">
        <f t="shared" si="95"/>
        <v>-3.2704770149999973</v>
      </c>
      <c r="CK84" s="157">
        <f t="shared" si="95"/>
        <v>-3.2704770149999973</v>
      </c>
      <c r="CL84" s="157">
        <f t="shared" si="95"/>
        <v>-3.2704770149999973</v>
      </c>
      <c r="CM84" s="157">
        <f t="shared" si="95"/>
        <v>-3.2704770149999973</v>
      </c>
      <c r="CN84" s="157">
        <f t="shared" si="95"/>
        <v>-3.2704770149999973</v>
      </c>
      <c r="CO84" s="157">
        <f t="shared" si="95"/>
        <v>-3.2704770149999973</v>
      </c>
      <c r="CP84" s="157">
        <f t="shared" si="95"/>
        <v>-3.2704770149999973</v>
      </c>
      <c r="CQ84" s="23" t="s">
        <v>77</v>
      </c>
    </row>
    <row r="85" spans="2:95" outlineLevel="1" x14ac:dyDescent="0.2">
      <c r="B85" s="8" t="s">
        <v>340</v>
      </c>
      <c r="K85" s="9" t="s">
        <v>78</v>
      </c>
      <c r="L85" s="265" t="s">
        <v>78</v>
      </c>
      <c r="M85" s="265" t="s">
        <v>78</v>
      </c>
      <c r="N85" s="265">
        <v>11.8</v>
      </c>
      <c r="O85" s="265">
        <v>12.6</v>
      </c>
      <c r="P85" s="265">
        <v>9.5</v>
      </c>
      <c r="Q85" s="265">
        <v>8.5</v>
      </c>
      <c r="R85" s="265">
        <v>8</v>
      </c>
      <c r="S85" s="147">
        <v>7.8</v>
      </c>
      <c r="T85" s="265">
        <v>11.435625000003387</v>
      </c>
      <c r="U85" s="265">
        <v>8</v>
      </c>
      <c r="V85" s="39">
        <v>6.4</v>
      </c>
      <c r="W85" s="39">
        <v>5.5</v>
      </c>
      <c r="X85" s="307">
        <f>X58+X72</f>
        <v>5.6374999999999993</v>
      </c>
      <c r="Y85" s="307">
        <f t="shared" ref="Y85:BD85" si="96">Y58+Y72</f>
        <v>5.778437499999999</v>
      </c>
      <c r="Z85" s="307">
        <f t="shared" si="96"/>
        <v>5.9228984374999989</v>
      </c>
      <c r="AA85" s="307">
        <f t="shared" si="96"/>
        <v>6.0709708984374977</v>
      </c>
      <c r="AB85" s="307">
        <f t="shared" si="96"/>
        <v>6.2227451708984347</v>
      </c>
      <c r="AC85" s="307">
        <f t="shared" si="96"/>
        <v>6.3783138001708943</v>
      </c>
      <c r="AD85" s="307">
        <f t="shared" si="96"/>
        <v>6.5241533604044308</v>
      </c>
      <c r="AE85" s="307">
        <f t="shared" si="96"/>
        <v>6.6733154753805017</v>
      </c>
      <c r="AF85" s="307">
        <f t="shared" si="96"/>
        <v>6.8258755274039151</v>
      </c>
      <c r="AG85" s="307">
        <f t="shared" si="96"/>
        <v>6.9819106008999636</v>
      </c>
      <c r="AH85" s="307">
        <f t="shared" si="96"/>
        <v>7.1414995206345484</v>
      </c>
      <c r="AI85" s="307">
        <f t="shared" si="96"/>
        <v>7.30472289078691</v>
      </c>
      <c r="AJ85" s="307">
        <f t="shared" si="96"/>
        <v>7.4716631348938227</v>
      </c>
      <c r="AK85" s="307">
        <f t="shared" si="96"/>
        <v>7.6424045366845421</v>
      </c>
      <c r="AL85" s="307">
        <f t="shared" si="96"/>
        <v>7.8170332818262152</v>
      </c>
      <c r="AM85" s="307">
        <f t="shared" si="96"/>
        <v>7.9956375005998881</v>
      </c>
      <c r="AN85" s="307">
        <f t="shared" si="96"/>
        <v>8.1783073115276927</v>
      </c>
      <c r="AO85" s="307">
        <f t="shared" si="96"/>
        <v>8.3651348659722498</v>
      </c>
      <c r="AP85" s="307">
        <f t="shared" si="96"/>
        <v>8.556214393729757</v>
      </c>
      <c r="AQ85" s="307">
        <f t="shared" si="96"/>
        <v>8.7516422496387722</v>
      </c>
      <c r="AR85" s="307">
        <f t="shared" si="96"/>
        <v>8.9515169612270746</v>
      </c>
      <c r="AS85" s="307">
        <f t="shared" si="96"/>
        <v>9.1559392774195842</v>
      </c>
      <c r="AT85" s="307">
        <f t="shared" si="96"/>
        <v>9.3650122183307474</v>
      </c>
      <c r="AU85" s="307">
        <f t="shared" si="96"/>
        <v>9.5788411261653668</v>
      </c>
      <c r="AV85" s="307">
        <f t="shared" si="96"/>
        <v>9.7975337172522892</v>
      </c>
      <c r="AW85" s="307">
        <f t="shared" si="96"/>
        <v>10.021200135236036</v>
      </c>
      <c r="AX85" s="307">
        <f t="shared" si="96"/>
        <v>10.249953005451873</v>
      </c>
      <c r="AY85" s="307">
        <f t="shared" si="96"/>
        <v>10.483907490510434</v>
      </c>
      <c r="AZ85" s="307">
        <f t="shared" si="96"/>
        <v>10.723181347118615</v>
      </c>
      <c r="BA85" s="307">
        <f t="shared" si="96"/>
        <v>10.967894984163953</v>
      </c>
      <c r="BB85" s="307">
        <f t="shared" si="96"/>
        <v>11.218171522090401</v>
      </c>
      <c r="BC85" s="307">
        <f t="shared" si="96"/>
        <v>11.474136853593917</v>
      </c>
      <c r="BD85" s="307">
        <f t="shared" si="96"/>
        <v>11.735919705666985</v>
      </c>
      <c r="BE85" s="307">
        <f t="shared" ref="BE85:CP85" si="97">BE58+BE72</f>
        <v>12.003651703021795</v>
      </c>
      <c r="BF85" s="307">
        <f t="shared" si="97"/>
        <v>12.277467432922412</v>
      </c>
      <c r="BG85" s="307">
        <f t="shared" si="97"/>
        <v>12.557504511457015</v>
      </c>
      <c r="BH85" s="307">
        <f t="shared" si="97"/>
        <v>12.843903651281881</v>
      </c>
      <c r="BI85" s="307">
        <f t="shared" si="97"/>
        <v>13.13680873086953</v>
      </c>
      <c r="BJ85" s="307">
        <f t="shared" si="97"/>
        <v>13.436366865294133</v>
      </c>
      <c r="BK85" s="307">
        <f t="shared" si="97"/>
        <v>13.742728478587978</v>
      </c>
      <c r="BL85" s="307">
        <f t="shared" si="97"/>
        <v>14.056047377703631</v>
      </c>
      <c r="BM85" s="307">
        <f t="shared" si="97"/>
        <v>14.37648082811701</v>
      </c>
      <c r="BN85" s="307">
        <f t="shared" si="97"/>
        <v>14.704189631107532</v>
      </c>
      <c r="BO85" s="307">
        <f t="shared" si="97"/>
        <v>15.039338202752145</v>
      </c>
      <c r="BP85" s="307">
        <f t="shared" si="97"/>
        <v>15.382094654670965</v>
      </c>
      <c r="BQ85" s="307">
        <f t="shared" si="97"/>
        <v>15.732630876562942</v>
      </c>
      <c r="BR85" s="307">
        <f t="shared" si="97"/>
        <v>16.091122620570943</v>
      </c>
      <c r="BS85" s="307">
        <f t="shared" si="97"/>
        <v>16.457749587516371</v>
      </c>
      <c r="BT85" s="307">
        <f t="shared" si="97"/>
        <v>16.832695515044428</v>
      </c>
      <c r="BU85" s="307">
        <f t="shared" si="97"/>
        <v>17.216148267721888</v>
      </c>
      <c r="BV85" s="307">
        <f t="shared" si="97"/>
        <v>17.608299929130318</v>
      </c>
      <c r="BW85" s="307">
        <f t="shared" si="97"/>
        <v>18.009346895998448</v>
      </c>
      <c r="BX85" s="307">
        <f t="shared" si="97"/>
        <v>18.419489974418482</v>
      </c>
      <c r="BY85" s="307">
        <f t="shared" si="97"/>
        <v>18.838934478191995</v>
      </c>
      <c r="BZ85" s="307">
        <f t="shared" si="97"/>
        <v>19.267890329352156</v>
      </c>
      <c r="CA85" s="307">
        <f t="shared" si="97"/>
        <v>19.706572160909943</v>
      </c>
      <c r="CB85" s="307">
        <f t="shared" si="97"/>
        <v>20.155199421873121</v>
      </c>
      <c r="CC85" s="307">
        <f t="shared" si="97"/>
        <v>20.613996484587716</v>
      </c>
      <c r="CD85" s="307">
        <f t="shared" si="97"/>
        <v>21.083192754452906</v>
      </c>
      <c r="CE85" s="307">
        <f t="shared" si="97"/>
        <v>21.563022782061296</v>
      </c>
      <c r="CF85" s="307">
        <f t="shared" si="97"/>
        <v>22.053726377817643</v>
      </c>
      <c r="CG85" s="307">
        <f t="shared" si="97"/>
        <v>22.555548729090262</v>
      </c>
      <c r="CH85" s="307">
        <f t="shared" si="97"/>
        <v>23.068740519950591</v>
      </c>
      <c r="CI85" s="307">
        <f t="shared" si="97"/>
        <v>23.593558053557469</v>
      </c>
      <c r="CJ85" s="307">
        <f t="shared" si="97"/>
        <v>24.130263377243956</v>
      </c>
      <c r="CK85" s="307">
        <f t="shared" si="97"/>
        <v>24.679124410365866</v>
      </c>
      <c r="CL85" s="307">
        <f t="shared" si="97"/>
        <v>25.240415074972223</v>
      </c>
      <c r="CM85" s="307">
        <f t="shared" si="97"/>
        <v>25.814415429359485</v>
      </c>
      <c r="CN85" s="307">
        <f t="shared" si="97"/>
        <v>26.401411804572366</v>
      </c>
      <c r="CO85" s="307">
        <f t="shared" si="97"/>
        <v>27.001696943915693</v>
      </c>
      <c r="CP85" s="307">
        <f t="shared" si="97"/>
        <v>27.615570145543039</v>
      </c>
      <c r="CQ85" s="23" t="s">
        <v>77</v>
      </c>
    </row>
    <row r="86" spans="2:95" outlineLevel="1" x14ac:dyDescent="0.2">
      <c r="B86" s="8" t="s">
        <v>335</v>
      </c>
      <c r="K86" s="9" t="s">
        <v>78</v>
      </c>
      <c r="L86" s="265" t="s">
        <v>78</v>
      </c>
      <c r="M86" s="265" t="s">
        <v>78</v>
      </c>
      <c r="N86" s="265">
        <v>0</v>
      </c>
      <c r="O86" s="265">
        <v>0</v>
      </c>
      <c r="P86" s="265">
        <v>0</v>
      </c>
      <c r="Q86" s="265">
        <v>0</v>
      </c>
      <c r="R86" s="265">
        <v>0</v>
      </c>
      <c r="S86" s="147">
        <v>0</v>
      </c>
      <c r="T86" s="265">
        <v>22.093958333335529</v>
      </c>
      <c r="U86" s="265">
        <v>28.2</v>
      </c>
      <c r="V86" s="39">
        <v>32</v>
      </c>
      <c r="W86" s="39">
        <v>34.4</v>
      </c>
      <c r="X86" s="157">
        <f t="shared" ref="X86:BD86" si="98">+(X59-W59)*80%+W86</f>
        <v>35.246004560445499</v>
      </c>
      <c r="Y86" s="157">
        <f t="shared" si="98"/>
        <v>36.113159234902135</v>
      </c>
      <c r="Z86" s="157">
        <f t="shared" si="98"/>
        <v>37.001992776220185</v>
      </c>
      <c r="AA86" s="157">
        <f t="shared" si="98"/>
        <v>37.913047156071187</v>
      </c>
      <c r="AB86" s="157">
        <f t="shared" si="98"/>
        <v>38.846877895418459</v>
      </c>
      <c r="AC86" s="157">
        <f t="shared" si="98"/>
        <v>39.804054403249417</v>
      </c>
      <c r="AD86" s="157">
        <f t="shared" si="98"/>
        <v>40.736105027749815</v>
      </c>
      <c r="AE86" s="157">
        <f t="shared" si="98"/>
        <v>41.690291854582092</v>
      </c>
      <c r="AF86" s="157">
        <f t="shared" si="98"/>
        <v>42.667140618551642</v>
      </c>
      <c r="AG86" s="157">
        <f t="shared" si="98"/>
        <v>43.667189540665468</v>
      </c>
      <c r="AH86" s="157">
        <f t="shared" si="98"/>
        <v>44.690989624679496</v>
      </c>
      <c r="AI86" s="157">
        <f t="shared" si="98"/>
        <v>45.739104960688856</v>
      </c>
      <c r="AJ86" s="157">
        <f t="shared" si="98"/>
        <v>46.812113035928441</v>
      </c>
      <c r="AK86" s="157">
        <f t="shared" si="98"/>
        <v>47.910605052954963</v>
      </c>
      <c r="AL86" s="157">
        <f t="shared" si="98"/>
        <v>49.035186255385867</v>
      </c>
      <c r="AM86" s="157">
        <f t="shared" si="98"/>
        <v>50.186476261374501</v>
      </c>
      <c r="AN86" s="157">
        <f t="shared" si="98"/>
        <v>51.36510940500537</v>
      </c>
      <c r="AO86" s="157">
        <f t="shared" si="98"/>
        <v>52.571735085797471</v>
      </c>
      <c r="AP86" s="157">
        <f t="shared" si="98"/>
        <v>53.807018126508382</v>
      </c>
      <c r="AQ86" s="157">
        <f t="shared" si="98"/>
        <v>55.071639139436179</v>
      </c>
      <c r="AR86" s="157">
        <f t="shared" si="98"/>
        <v>56.366294901421014</v>
      </c>
      <c r="AS86" s="157">
        <f t="shared" si="98"/>
        <v>57.691698737752986</v>
      </c>
      <c r="AT86" s="157">
        <f t="shared" si="98"/>
        <v>59.048580915197846</v>
      </c>
      <c r="AU86" s="157">
        <f t="shared" si="98"/>
        <v>60.437689044357015</v>
      </c>
      <c r="AV86" s="157">
        <f t="shared" si="98"/>
        <v>61.859788491583714</v>
      </c>
      <c r="AW86" s="157">
        <f t="shared" si="98"/>
        <v>63.315662800682055</v>
      </c>
      <c r="AX86" s="157">
        <f t="shared" si="98"/>
        <v>64.806114124621473</v>
      </c>
      <c r="AY86" s="157">
        <f t="shared" si="98"/>
        <v>66.331963667504453</v>
      </c>
      <c r="AZ86" s="157">
        <f t="shared" si="98"/>
        <v>67.894052137030911</v>
      </c>
      <c r="BA86" s="157">
        <f t="shared" si="98"/>
        <v>69.49324020770861</v>
      </c>
      <c r="BB86" s="157">
        <f t="shared" si="98"/>
        <v>71.130408995064911</v>
      </c>
      <c r="BC86" s="157">
        <f t="shared" si="98"/>
        <v>72.806460541120927</v>
      </c>
      <c r="BD86" s="157">
        <f t="shared" si="98"/>
        <v>74.522318311395765</v>
      </c>
      <c r="BE86" s="157">
        <f t="shared" ref="BE86:CP86" si="99">+(BE59-BD59)*80%+BD86</f>
        <v>76.278927703714629</v>
      </c>
      <c r="BF86" s="157">
        <f t="shared" si="99"/>
        <v>78.077256569101067</v>
      </c>
      <c r="BG86" s="157">
        <f t="shared" si="99"/>
        <v>79.918295745040439</v>
      </c>
      <c r="BH86" s="157">
        <f t="shared" si="99"/>
        <v>81.803059601408364</v>
      </c>
      <c r="BI86" s="157">
        <f t="shared" si="99"/>
        <v>83.732586599365035</v>
      </c>
      <c r="BJ86" s="157">
        <f t="shared" si="99"/>
        <v>85.70793986352318</v>
      </c>
      <c r="BK86" s="157">
        <f t="shared" si="99"/>
        <v>87.730207767705082</v>
      </c>
      <c r="BL86" s="157">
        <f t="shared" si="99"/>
        <v>89.800504534611292</v>
      </c>
      <c r="BM86" s="157">
        <f t="shared" si="99"/>
        <v>91.919970849731527</v>
      </c>
      <c r="BN86" s="157">
        <f t="shared" si="99"/>
        <v>94.089774489835861</v>
      </c>
      <c r="BO86" s="157">
        <f t="shared" si="99"/>
        <v>96.31111096639269</v>
      </c>
      <c r="BP86" s="157">
        <f t="shared" si="99"/>
        <v>98.585204184267738</v>
      </c>
      <c r="BQ86" s="157">
        <f t="shared" si="99"/>
        <v>100.91330711606732</v>
      </c>
      <c r="BR86" s="157">
        <f t="shared" si="99"/>
        <v>103.29670249249715</v>
      </c>
      <c r="BS86" s="157">
        <f t="shared" si="99"/>
        <v>105.73670350911716</v>
      </c>
      <c r="BT86" s="157">
        <f t="shared" si="99"/>
        <v>108.23465454988191</v>
      </c>
      <c r="BU86" s="157">
        <f t="shared" si="99"/>
        <v>110.79193192786481</v>
      </c>
      <c r="BV86" s="157">
        <f t="shared" si="99"/>
        <v>113.40994464357482</v>
      </c>
      <c r="BW86" s="157">
        <f t="shared" si="99"/>
        <v>116.09013516128293</v>
      </c>
      <c r="BX86" s="157">
        <f t="shared" si="99"/>
        <v>118.83398020378661</v>
      </c>
      <c r="BY86" s="157">
        <f t="shared" si="99"/>
        <v>121.64299156604974</v>
      </c>
      <c r="BZ86" s="157">
        <f t="shared" si="99"/>
        <v>124.51871694816663</v>
      </c>
      <c r="CA86" s="157">
        <f t="shared" si="99"/>
        <v>127.4627408081088</v>
      </c>
      <c r="CB86" s="157">
        <f t="shared" si="99"/>
        <v>130.47668523472461</v>
      </c>
      <c r="CC86" s="157">
        <f t="shared" si="99"/>
        <v>133.56221084147253</v>
      </c>
      <c r="CD86" s="157">
        <f t="shared" si="99"/>
        <v>136.72101768138074</v>
      </c>
      <c r="CE86" s="157">
        <f t="shared" si="99"/>
        <v>139.95484618373675</v>
      </c>
      <c r="CF86" s="157">
        <f t="shared" si="99"/>
        <v>143.2654781130237</v>
      </c>
      <c r="CG86" s="157">
        <f t="shared" si="99"/>
        <v>146.65473755063124</v>
      </c>
      <c r="CH86" s="157">
        <f t="shared" si="99"/>
        <v>150.12449189988195</v>
      </c>
      <c r="CI86" s="157">
        <f t="shared" si="99"/>
        <v>153.67665291492736</v>
      </c>
      <c r="CJ86" s="157">
        <f t="shared" si="99"/>
        <v>157.3131777540801</v>
      </c>
      <c r="CK86" s="157">
        <f t="shared" si="99"/>
        <v>161.03607005816272</v>
      </c>
      <c r="CL86" s="157">
        <f t="shared" si="99"/>
        <v>164.84738105446732</v>
      </c>
      <c r="CM86" s="157">
        <f t="shared" si="99"/>
        <v>168.74921068693413</v>
      </c>
      <c r="CN86" s="157">
        <f t="shared" si="99"/>
        <v>172.74370877317205</v>
      </c>
      <c r="CO86" s="157">
        <f t="shared" si="99"/>
        <v>176.8330761889581</v>
      </c>
      <c r="CP86" s="157">
        <f t="shared" si="99"/>
        <v>181.01956608086908</v>
      </c>
      <c r="CQ86" s="23" t="s">
        <v>77</v>
      </c>
    </row>
    <row r="87" spans="2:95" outlineLevel="1" x14ac:dyDescent="0.2">
      <c r="B87" s="8" t="s">
        <v>349</v>
      </c>
      <c r="K87" s="9" t="s">
        <v>78</v>
      </c>
      <c r="L87" s="265" t="s">
        <v>78</v>
      </c>
      <c r="M87" s="265" t="s">
        <v>78</v>
      </c>
      <c r="N87" s="265">
        <v>0</v>
      </c>
      <c r="O87" s="265">
        <v>0</v>
      </c>
      <c r="P87" s="265">
        <v>0</v>
      </c>
      <c r="Q87" s="265">
        <v>0</v>
      </c>
      <c r="R87" s="265">
        <v>0</v>
      </c>
      <c r="S87" s="147">
        <v>17</v>
      </c>
      <c r="T87" s="265">
        <v>24.944791666664045</v>
      </c>
      <c r="U87" s="265">
        <v>32.200000000000003</v>
      </c>
      <c r="V87" s="39">
        <v>27.2</v>
      </c>
      <c r="W87" s="39">
        <v>26.8</v>
      </c>
      <c r="X87" s="307">
        <f>X60+X74</f>
        <v>27.47</v>
      </c>
      <c r="Y87" s="307">
        <f t="shared" ref="Y87:BD87" si="100">Y60+Y74</f>
        <v>28.156749999999999</v>
      </c>
      <c r="Z87" s="307">
        <f t="shared" si="100"/>
        <v>28.860668749999999</v>
      </c>
      <c r="AA87" s="307">
        <f t="shared" si="100"/>
        <v>29.582185468749994</v>
      </c>
      <c r="AB87" s="307">
        <f t="shared" si="100"/>
        <v>30.321740105468745</v>
      </c>
      <c r="AC87" s="307">
        <f t="shared" si="100"/>
        <v>31.079783608105458</v>
      </c>
      <c r="AD87" s="307">
        <f t="shared" si="100"/>
        <v>31.809394948042637</v>
      </c>
      <c r="AE87" s="307">
        <f t="shared" si="100"/>
        <v>16.94962237884965</v>
      </c>
      <c r="AF87" s="307">
        <f t="shared" si="100"/>
        <v>17.343210380103766</v>
      </c>
      <c r="AG87" s="307">
        <f t="shared" si="100"/>
        <v>17.745921958131582</v>
      </c>
      <c r="AH87" s="307">
        <f t="shared" si="100"/>
        <v>18.252889437073382</v>
      </c>
      <c r="AI87" s="307">
        <f t="shared" si="100"/>
        <v>18.709211673000215</v>
      </c>
      <c r="AJ87" s="307">
        <f t="shared" si="100"/>
        <v>19.143659182379839</v>
      </c>
      <c r="AK87" s="307">
        <f t="shared" si="100"/>
        <v>19.588177413410875</v>
      </c>
      <c r="AL87" s="307">
        <f t="shared" si="100"/>
        <v>20.042999360565133</v>
      </c>
      <c r="AM87" s="307">
        <f t="shared" si="100"/>
        <v>20.508363397303953</v>
      </c>
      <c r="AN87" s="307">
        <f t="shared" si="100"/>
        <v>20.984513399963454</v>
      </c>
      <c r="AO87" s="307">
        <f t="shared" si="100"/>
        <v>21.471698874485455</v>
      </c>
      <c r="AP87" s="307">
        <f t="shared" si="100"/>
        <v>21.970175086059179</v>
      </c>
      <c r="AQ87" s="307">
        <f t="shared" si="100"/>
        <v>22.480203191740394</v>
      </c>
      <c r="AR87" s="307">
        <f t="shared" si="100"/>
        <v>23.00205037611622</v>
      </c>
      <c r="AS87" s="307">
        <f t="shared" si="100"/>
        <v>23.53598999008527</v>
      </c>
      <c r="AT87" s="307">
        <f t="shared" si="100"/>
        <v>24.082301692824494</v>
      </c>
      <c r="AU87" s="307">
        <f t="shared" si="100"/>
        <v>24.641271597015646</v>
      </c>
      <c r="AV87" s="307">
        <f t="shared" si="100"/>
        <v>25.213192417405999</v>
      </c>
      <c r="AW87" s="307">
        <f t="shared" si="100"/>
        <v>25.798363622779654</v>
      </c>
      <c r="AX87" s="307">
        <f t="shared" si="100"/>
        <v>26.397091591417436</v>
      </c>
      <c r="AY87" s="307">
        <f t="shared" si="100"/>
        <v>27.009689770125291</v>
      </c>
      <c r="AZ87" s="307">
        <f t="shared" si="100"/>
        <v>27.636478836912744</v>
      </c>
      <c r="BA87" s="307">
        <f t="shared" si="100"/>
        <v>28.277786867405077</v>
      </c>
      <c r="BB87" s="307">
        <f t="shared" si="100"/>
        <v>28.933949505074494</v>
      </c>
      <c r="BC87" s="307">
        <f t="shared" si="100"/>
        <v>29.605310135377771</v>
      </c>
      <c r="BD87" s="307">
        <f t="shared" si="100"/>
        <v>30.292220063889694</v>
      </c>
      <c r="BE87" s="307">
        <f t="shared" ref="BE87:CP87" si="101">BE60+BE74</f>
        <v>30.995038698523693</v>
      </c>
      <c r="BF87" s="307">
        <f t="shared" si="101"/>
        <v>31.714133735933167</v>
      </c>
      <c r="BG87" s="307">
        <f t="shared" si="101"/>
        <v>32.449881352189102</v>
      </c>
      <c r="BH87" s="307">
        <f t="shared" si="101"/>
        <v>33.202666397831806</v>
      </c>
      <c r="BI87" s="307">
        <f t="shared" si="101"/>
        <v>33.972882597396726</v>
      </c>
      <c r="BJ87" s="307">
        <f t="shared" si="101"/>
        <v>34.760932753516727</v>
      </c>
      <c r="BK87" s="307">
        <f t="shared" si="101"/>
        <v>35.567228955705374</v>
      </c>
      <c r="BL87" s="307">
        <f t="shared" si="101"/>
        <v>36.392192793928317</v>
      </c>
      <c r="BM87" s="307">
        <f t="shared" si="101"/>
        <v>37.236255577072171</v>
      </c>
      <c r="BN87" s="307">
        <f t="shared" si="101"/>
        <v>38.099858556422902</v>
      </c>
      <c r="BO87" s="307">
        <f t="shared" si="101"/>
        <v>38.983453154268091</v>
      </c>
      <c r="BP87" s="307">
        <f t="shared" si="101"/>
        <v>39.887501197740349</v>
      </c>
      <c r="BQ87" s="307">
        <f t="shared" si="101"/>
        <v>40.812475158021542</v>
      </c>
      <c r="BR87" s="307">
        <f t="shared" si="101"/>
        <v>41.758858395030288</v>
      </c>
      <c r="BS87" s="307">
        <f t="shared" si="101"/>
        <v>0</v>
      </c>
      <c r="BT87" s="307">
        <f t="shared" si="101"/>
        <v>0</v>
      </c>
      <c r="BU87" s="307">
        <f t="shared" si="101"/>
        <v>0</v>
      </c>
      <c r="BV87" s="307">
        <f t="shared" si="101"/>
        <v>0</v>
      </c>
      <c r="BW87" s="307">
        <f t="shared" si="101"/>
        <v>0</v>
      </c>
      <c r="BX87" s="307">
        <f t="shared" si="101"/>
        <v>0</v>
      </c>
      <c r="BY87" s="307">
        <f t="shared" si="101"/>
        <v>0</v>
      </c>
      <c r="BZ87" s="307">
        <f t="shared" si="101"/>
        <v>0</v>
      </c>
      <c r="CA87" s="307">
        <f t="shared" si="101"/>
        <v>0</v>
      </c>
      <c r="CB87" s="307">
        <f t="shared" si="101"/>
        <v>0</v>
      </c>
      <c r="CC87" s="307">
        <f t="shared" si="101"/>
        <v>0</v>
      </c>
      <c r="CD87" s="307">
        <f t="shared" si="101"/>
        <v>0</v>
      </c>
      <c r="CE87" s="307">
        <f t="shared" si="101"/>
        <v>0</v>
      </c>
      <c r="CF87" s="307">
        <f t="shared" si="101"/>
        <v>0</v>
      </c>
      <c r="CG87" s="307">
        <f t="shared" si="101"/>
        <v>0</v>
      </c>
      <c r="CH87" s="307">
        <f t="shared" si="101"/>
        <v>0</v>
      </c>
      <c r="CI87" s="307">
        <f t="shared" si="101"/>
        <v>0</v>
      </c>
      <c r="CJ87" s="307">
        <f t="shared" si="101"/>
        <v>0</v>
      </c>
      <c r="CK87" s="307">
        <f t="shared" si="101"/>
        <v>0</v>
      </c>
      <c r="CL87" s="307">
        <f t="shared" si="101"/>
        <v>0</v>
      </c>
      <c r="CM87" s="307">
        <f t="shared" si="101"/>
        <v>0</v>
      </c>
      <c r="CN87" s="307">
        <f t="shared" si="101"/>
        <v>0</v>
      </c>
      <c r="CO87" s="307">
        <f t="shared" si="101"/>
        <v>0</v>
      </c>
      <c r="CP87" s="307">
        <f t="shared" si="101"/>
        <v>0</v>
      </c>
      <c r="CQ87" s="23" t="s">
        <v>77</v>
      </c>
    </row>
    <row r="88" spans="2:95" outlineLevel="1" x14ac:dyDescent="0.2">
      <c r="B88" s="91" t="s">
        <v>336</v>
      </c>
      <c r="K88" s="9" t="s">
        <v>78</v>
      </c>
      <c r="L88" s="265" t="s">
        <v>78</v>
      </c>
      <c r="M88" s="265" t="s">
        <v>78</v>
      </c>
      <c r="N88" s="265">
        <v>81.5</v>
      </c>
      <c r="O88" s="265">
        <v>85</v>
      </c>
      <c r="P88" s="265">
        <v>90.8</v>
      </c>
      <c r="Q88" s="265">
        <v>85.5</v>
      </c>
      <c r="R88" s="265">
        <v>89.9</v>
      </c>
      <c r="S88" s="147">
        <v>94.1</v>
      </c>
      <c r="T88" s="265">
        <v>110.46979166666306</v>
      </c>
      <c r="U88" s="265">
        <v>122</v>
      </c>
      <c r="V88" s="39">
        <v>116.8</v>
      </c>
      <c r="W88" s="39">
        <v>110.2</v>
      </c>
      <c r="X88" s="157">
        <f t="shared" ref="X88:BD88" si="102">+(X61-W61)*80%+W88</f>
        <v>119.75962083863949</v>
      </c>
      <c r="Y88" s="157">
        <f t="shared" si="102"/>
        <v>121.78773219824498</v>
      </c>
      <c r="Z88" s="157">
        <f t="shared" si="102"/>
        <v>125.48505415139819</v>
      </c>
      <c r="AA88" s="157">
        <f t="shared" si="102"/>
        <v>129.03986230370236</v>
      </c>
      <c r="AB88" s="157">
        <f t="shared" si="102"/>
        <v>130.96255362180602</v>
      </c>
      <c r="AC88" s="157">
        <f t="shared" si="102"/>
        <v>132.9447699813002</v>
      </c>
      <c r="AD88" s="157">
        <f t="shared" si="102"/>
        <v>134.8807417647827</v>
      </c>
      <c r="AE88" s="157">
        <f t="shared" si="102"/>
        <v>136.87407743161901</v>
      </c>
      <c r="AF88" s="157">
        <f t="shared" si="102"/>
        <v>138.92556566573694</v>
      </c>
      <c r="AG88" s="157">
        <f t="shared" si="102"/>
        <v>141.03642338946503</v>
      </c>
      <c r="AH88" s="157">
        <f t="shared" si="102"/>
        <v>143.20789641972286</v>
      </c>
      <c r="AI88" s="157">
        <f t="shared" si="102"/>
        <v>145.44126013979366</v>
      </c>
      <c r="AJ88" s="157">
        <f t="shared" si="102"/>
        <v>147.73742018704567</v>
      </c>
      <c r="AK88" s="157">
        <f t="shared" si="102"/>
        <v>150.09811315697848</v>
      </c>
      <c r="AL88" s="157">
        <f t="shared" si="102"/>
        <v>152.52430732397895</v>
      </c>
      <c r="AM88" s="157">
        <f t="shared" si="102"/>
        <v>155.01740337918039</v>
      </c>
      <c r="AN88" s="157">
        <f t="shared" si="102"/>
        <v>157.5792351858282</v>
      </c>
      <c r="AO88" s="157">
        <f t="shared" si="102"/>
        <v>160.21047055256477</v>
      </c>
      <c r="AP88" s="157">
        <f t="shared" si="102"/>
        <v>162.91301202505636</v>
      </c>
      <c r="AQ88" s="157">
        <f t="shared" si="102"/>
        <v>165.68839769639393</v>
      </c>
      <c r="AR88" s="157">
        <f t="shared" si="102"/>
        <v>168.53780203671164</v>
      </c>
      <c r="AS88" s="157">
        <f t="shared" si="102"/>
        <v>171.46323674247537</v>
      </c>
      <c r="AT88" s="157">
        <f t="shared" si="102"/>
        <v>174.46635160590631</v>
      </c>
      <c r="AU88" s="157">
        <f t="shared" si="102"/>
        <v>177.54803540501399</v>
      </c>
      <c r="AV88" s="157">
        <f t="shared" si="102"/>
        <v>180.71041681472559</v>
      </c>
      <c r="AW88" s="157">
        <f t="shared" si="102"/>
        <v>183.95566533960951</v>
      </c>
      <c r="AX88" s="157">
        <f t="shared" si="102"/>
        <v>187.28479226870238</v>
      </c>
      <c r="AY88" s="157">
        <f t="shared" si="102"/>
        <v>190.70005165296209</v>
      </c>
      <c r="AZ88" s="157">
        <f t="shared" si="102"/>
        <v>194.20334130588071</v>
      </c>
      <c r="BA88" s="157">
        <f t="shared" si="102"/>
        <v>197.79620382780411</v>
      </c>
      <c r="BB88" s="157">
        <f t="shared" si="102"/>
        <v>201.4810276545185</v>
      </c>
      <c r="BC88" s="157">
        <f t="shared" si="102"/>
        <v>205.25944813067667</v>
      </c>
      <c r="BD88" s="157">
        <f t="shared" si="102"/>
        <v>209.1335486086511</v>
      </c>
      <c r="BE88" s="157">
        <f t="shared" ref="BE88:CP88" si="103">+(BE61-BD61)*80%+BD88</f>
        <v>213.10546157341426</v>
      </c>
      <c r="BF88" s="157">
        <f t="shared" si="103"/>
        <v>217.17736979406143</v>
      </c>
      <c r="BG88" s="157">
        <f t="shared" si="103"/>
        <v>221.35150750260516</v>
      </c>
      <c r="BH88" s="157">
        <f t="shared" si="103"/>
        <v>225.63016160068611</v>
      </c>
      <c r="BI88" s="157">
        <f t="shared" si="103"/>
        <v>230.01567289486016</v>
      </c>
      <c r="BJ88" s="157">
        <f t="shared" si="103"/>
        <v>234.51003736113668</v>
      </c>
      <c r="BK88" s="157">
        <f t="shared" si="103"/>
        <v>239.11610743945991</v>
      </c>
      <c r="BL88" s="157">
        <f t="shared" si="103"/>
        <v>243.83599335884116</v>
      </c>
      <c r="BM88" s="157">
        <f t="shared" si="103"/>
        <v>248.67226449386624</v>
      </c>
      <c r="BN88" s="157">
        <f t="shared" si="103"/>
        <v>253.62795075332014</v>
      </c>
      <c r="BO88" s="157">
        <f t="shared" si="103"/>
        <v>258.70534400168827</v>
      </c>
      <c r="BP88" s="157">
        <f t="shared" si="103"/>
        <v>263.90719951431191</v>
      </c>
      <c r="BQ88" s="157">
        <f t="shared" si="103"/>
        <v>269.23633746699358</v>
      </c>
      <c r="BR88" s="157">
        <f t="shared" si="103"/>
        <v>274.6956444608665</v>
      </c>
      <c r="BS88" s="157">
        <f t="shared" si="103"/>
        <v>280.28807508336382</v>
      </c>
      <c r="BT88" s="157">
        <f t="shared" si="103"/>
        <v>286.01625350613938</v>
      </c>
      <c r="BU88" s="157">
        <f t="shared" si="103"/>
        <v>291.88367512081578</v>
      </c>
      <c r="BV88" s="157">
        <f t="shared" si="103"/>
        <v>297.89350821345397</v>
      </c>
      <c r="BW88" s="157">
        <f t="shared" si="103"/>
        <v>304.04859567866015</v>
      </c>
      <c r="BX88" s="157">
        <f t="shared" si="103"/>
        <v>310.35225677426848</v>
      </c>
      <c r="BY88" s="157">
        <f t="shared" si="103"/>
        <v>316.80788891755896</v>
      </c>
      <c r="BZ88" s="157">
        <f t="shared" si="103"/>
        <v>323.41936952399357</v>
      </c>
      <c r="CA88" s="157">
        <f t="shared" si="103"/>
        <v>330.19025788947721</v>
      </c>
      <c r="CB88" s="157">
        <f t="shared" si="103"/>
        <v>337.12379711717267</v>
      </c>
      <c r="CC88" s="157">
        <f t="shared" si="103"/>
        <v>344.22331608992442</v>
      </c>
      <c r="CD88" s="157">
        <f t="shared" si="103"/>
        <v>351.49303148937099</v>
      </c>
      <c r="CE88" s="157">
        <f t="shared" si="103"/>
        <v>358.93684986285029</v>
      </c>
      <c r="CF88" s="157">
        <f t="shared" si="103"/>
        <v>366.55876973922989</v>
      </c>
      <c r="CG88" s="157">
        <f t="shared" si="103"/>
        <v>374.36288379481948</v>
      </c>
      <c r="CH88" s="157">
        <f t="shared" si="103"/>
        <v>382.35298107055172</v>
      </c>
      <c r="CI88" s="157">
        <f t="shared" si="103"/>
        <v>390.5337492416453</v>
      </c>
      <c r="CJ88" s="157">
        <f t="shared" si="103"/>
        <v>398.90957694099166</v>
      </c>
      <c r="CK88" s="157">
        <f t="shared" si="103"/>
        <v>407.4845561375385</v>
      </c>
      <c r="CL88" s="157">
        <f t="shared" si="103"/>
        <v>416.26328457097128</v>
      </c>
      <c r="CM88" s="157">
        <f t="shared" si="103"/>
        <v>425.25046824402648</v>
      </c>
      <c r="CN88" s="157">
        <f t="shared" si="103"/>
        <v>434.45132397380036</v>
      </c>
      <c r="CO88" s="157">
        <f t="shared" si="103"/>
        <v>443.87078200345076</v>
      </c>
      <c r="CP88" s="157">
        <f t="shared" si="103"/>
        <v>453.51308867572214</v>
      </c>
      <c r="CQ88" s="23" t="s">
        <v>77</v>
      </c>
    </row>
    <row r="89" spans="2:95" outlineLevel="1" x14ac:dyDescent="0.2">
      <c r="B89" s="8" t="s">
        <v>289</v>
      </c>
      <c r="K89" s="9" t="s">
        <v>78</v>
      </c>
      <c r="L89" s="265" t="s">
        <v>78</v>
      </c>
      <c r="M89" s="265" t="s">
        <v>78</v>
      </c>
      <c r="N89" s="265">
        <v>17.8</v>
      </c>
      <c r="O89" s="265">
        <v>0</v>
      </c>
      <c r="P89" s="265">
        <v>0</v>
      </c>
      <c r="Q89" s="265">
        <v>0</v>
      </c>
      <c r="R89" s="265">
        <v>0</v>
      </c>
      <c r="S89" s="147">
        <v>0</v>
      </c>
      <c r="T89" s="265">
        <v>0</v>
      </c>
      <c r="U89" s="265">
        <v>0</v>
      </c>
      <c r="V89" s="39">
        <v>14.74</v>
      </c>
      <c r="W89" s="39">
        <v>32.5</v>
      </c>
      <c r="X89" s="307">
        <f>X62+X76</f>
        <v>33.3125</v>
      </c>
      <c r="Y89" s="307">
        <f t="shared" ref="Y89:BD89" si="104">Y62+Y76</f>
        <v>34.145312499999996</v>
      </c>
      <c r="Z89" s="307">
        <f t="shared" si="104"/>
        <v>34.998945312499998</v>
      </c>
      <c r="AA89" s="307">
        <f t="shared" si="104"/>
        <v>35.873918945312489</v>
      </c>
      <c r="AB89" s="307">
        <f t="shared" si="104"/>
        <v>36.770766918945299</v>
      </c>
      <c r="AC89" s="307">
        <f t="shared" si="104"/>
        <v>37.690036091918927</v>
      </c>
      <c r="AD89" s="307">
        <f t="shared" si="104"/>
        <v>38.576860470552312</v>
      </c>
      <c r="AE89" s="307">
        <f t="shared" si="104"/>
        <v>39.484539078714498</v>
      </c>
      <c r="AF89" s="307">
        <f t="shared" si="104"/>
        <v>40.413562008120195</v>
      </c>
      <c r="AG89" s="307">
        <f t="shared" si="104"/>
        <v>19.273452671864526</v>
      </c>
      <c r="AH89" s="307">
        <f t="shared" si="104"/>
        <v>19.722020096125782</v>
      </c>
      <c r="AI89" s="307">
        <f t="shared" si="104"/>
        <v>20.181011569795857</v>
      </c>
      <c r="AJ89" s="307">
        <f t="shared" si="104"/>
        <v>20.650668928375271</v>
      </c>
      <c r="AK89" s="307">
        <f t="shared" si="104"/>
        <v>21.131239607565867</v>
      </c>
      <c r="AL89" s="307">
        <f t="shared" si="104"/>
        <v>21.622976772690784</v>
      </c>
      <c r="AM89" s="307">
        <f t="shared" si="104"/>
        <v>22.126139451098545</v>
      </c>
      <c r="AN89" s="307">
        <f t="shared" si="104"/>
        <v>22.640992667619898</v>
      </c>
      <c r="AO89" s="307">
        <f t="shared" si="104"/>
        <v>23.167807583147578</v>
      </c>
      <c r="AP89" s="307">
        <f t="shared" si="104"/>
        <v>23.706861636410832</v>
      </c>
      <c r="AQ89" s="307">
        <f t="shared" si="104"/>
        <v>24.258438689018178</v>
      </c>
      <c r="AR89" s="307">
        <f t="shared" si="104"/>
        <v>24.822829173843509</v>
      </c>
      <c r="AS89" s="307">
        <f t="shared" si="104"/>
        <v>25.400330246832475</v>
      </c>
      <c r="AT89" s="307">
        <f t="shared" si="104"/>
        <v>25.991245942307678</v>
      </c>
      <c r="AU89" s="307">
        <f t="shared" si="104"/>
        <v>26.595887331853248</v>
      </c>
      <c r="AV89" s="307">
        <f t="shared" si="104"/>
        <v>27.214572686860912</v>
      </c>
      <c r="AW89" s="307">
        <f t="shared" si="104"/>
        <v>27.84762764482192</v>
      </c>
      <c r="AX89" s="307">
        <f t="shared" si="104"/>
        <v>28.495385379450695</v>
      </c>
      <c r="AY89" s="307">
        <f t="shared" si="104"/>
        <v>29.158186774728513</v>
      </c>
      <c r="AZ89" s="307">
        <f t="shared" si="104"/>
        <v>29.836380602957075</v>
      </c>
      <c r="BA89" s="307">
        <f t="shared" si="104"/>
        <v>30.530323706914288</v>
      </c>
      <c r="BB89" s="307">
        <f t="shared" si="104"/>
        <v>31.240381186206406</v>
      </c>
      <c r="BC89" s="307">
        <f t="shared" si="104"/>
        <v>31.966926587913029</v>
      </c>
      <c r="BD89" s="307">
        <f t="shared" si="104"/>
        <v>32.710342101623546</v>
      </c>
      <c r="BE89" s="307">
        <f t="shared" ref="BE89:CP89" si="105">BE62+BE76</f>
        <v>33.471018758965883</v>
      </c>
      <c r="BF89" s="307">
        <f t="shared" si="105"/>
        <v>34.249356637730813</v>
      </c>
      <c r="BG89" s="307">
        <f t="shared" si="105"/>
        <v>35.045765070697399</v>
      </c>
      <c r="BH89" s="307">
        <f t="shared" si="105"/>
        <v>35.86066285926745</v>
      </c>
      <c r="BI89" s="307">
        <f t="shared" si="105"/>
        <v>36.69447849201957</v>
      </c>
      <c r="BJ89" s="307">
        <f t="shared" si="105"/>
        <v>37.547650368295663</v>
      </c>
      <c r="BK89" s="307">
        <f t="shared" si="105"/>
        <v>38.420627026935584</v>
      </c>
      <c r="BL89" s="307">
        <f t="shared" si="105"/>
        <v>39.313867380278019</v>
      </c>
      <c r="BM89" s="307">
        <f t="shared" si="105"/>
        <v>40.22784095354865</v>
      </c>
      <c r="BN89" s="307">
        <f t="shared" si="105"/>
        <v>41.163028129759198</v>
      </c>
      <c r="BO89" s="307">
        <f t="shared" si="105"/>
        <v>42.119920400243835</v>
      </c>
      <c r="BP89" s="307">
        <f t="shared" si="105"/>
        <v>43.099020620962548</v>
      </c>
      <c r="BQ89" s="307">
        <f t="shared" si="105"/>
        <v>44.100843274703664</v>
      </c>
      <c r="BR89" s="307">
        <f t="shared" si="105"/>
        <v>45.125914739320962</v>
      </c>
      <c r="BS89" s="307">
        <f t="shared" si="105"/>
        <v>46.17477356214399</v>
      </c>
      <c r="BT89" s="307">
        <f t="shared" si="105"/>
        <v>47.247970740703174</v>
      </c>
      <c r="BU89" s="307">
        <f t="shared" si="105"/>
        <v>48.346070009914598</v>
      </c>
      <c r="BV89" s="307">
        <f t="shared" si="105"/>
        <v>49.469648135872774</v>
      </c>
      <c r="BW89" s="307">
        <f t="shared" si="105"/>
        <v>50.619295216403032</v>
      </c>
      <c r="BX89" s="307">
        <f t="shared" si="105"/>
        <v>51.79561498852847</v>
      </c>
      <c r="BY89" s="307">
        <f t="shared" si="105"/>
        <v>52.999225143010271</v>
      </c>
      <c r="BZ89" s="307">
        <f t="shared" si="105"/>
        <v>54.230757646123635</v>
      </c>
      <c r="CA89" s="307">
        <f t="shared" si="105"/>
        <v>55.490859068835107</v>
      </c>
      <c r="CB89" s="307">
        <f t="shared" si="105"/>
        <v>56.780190923551373</v>
      </c>
      <c r="CC89" s="307">
        <f t="shared" si="105"/>
        <v>58.099430008612941</v>
      </c>
      <c r="CD89" s="307">
        <f t="shared" si="105"/>
        <v>0</v>
      </c>
      <c r="CE89" s="307">
        <f t="shared" si="105"/>
        <v>0</v>
      </c>
      <c r="CF89" s="307">
        <f t="shared" si="105"/>
        <v>0</v>
      </c>
      <c r="CG89" s="307">
        <f t="shared" si="105"/>
        <v>0</v>
      </c>
      <c r="CH89" s="307">
        <f t="shared" si="105"/>
        <v>0</v>
      </c>
      <c r="CI89" s="307">
        <f t="shared" si="105"/>
        <v>0</v>
      </c>
      <c r="CJ89" s="307">
        <f t="shared" si="105"/>
        <v>0</v>
      </c>
      <c r="CK89" s="307">
        <f t="shared" si="105"/>
        <v>0</v>
      </c>
      <c r="CL89" s="307">
        <f t="shared" si="105"/>
        <v>0</v>
      </c>
      <c r="CM89" s="307">
        <f t="shared" si="105"/>
        <v>0</v>
      </c>
      <c r="CN89" s="307">
        <f t="shared" si="105"/>
        <v>0</v>
      </c>
      <c r="CO89" s="307">
        <f t="shared" si="105"/>
        <v>0</v>
      </c>
      <c r="CP89" s="307">
        <f t="shared" si="105"/>
        <v>0</v>
      </c>
      <c r="CQ89" s="23" t="s">
        <v>77</v>
      </c>
    </row>
    <row r="90" spans="2:95" outlineLevel="1" x14ac:dyDescent="0.2">
      <c r="B90" s="12" t="s">
        <v>569</v>
      </c>
      <c r="L90" s="265"/>
      <c r="M90" s="265"/>
      <c r="N90" s="265"/>
      <c r="O90" s="265"/>
      <c r="P90" s="265"/>
      <c r="Q90" s="265"/>
      <c r="R90" s="265"/>
      <c r="S90" s="147"/>
      <c r="T90" s="265"/>
      <c r="U90" s="265"/>
      <c r="V90" s="39"/>
      <c r="W90" s="39"/>
      <c r="X90" s="157">
        <v>0</v>
      </c>
      <c r="Y90" s="157">
        <f>Y63*D63</f>
        <v>4.8599999999999994</v>
      </c>
      <c r="Z90" s="307">
        <f t="shared" ref="Z90:CK90" si="106">Z63+Z77</f>
        <v>12.879</v>
      </c>
      <c r="AA90" s="307">
        <f t="shared" si="106"/>
        <v>13.200974999999998</v>
      </c>
      <c r="AB90" s="307">
        <f t="shared" si="106"/>
        <v>13.530999374999997</v>
      </c>
      <c r="AC90" s="307">
        <f t="shared" si="106"/>
        <v>13.869274359374996</v>
      </c>
      <c r="AD90" s="307">
        <f t="shared" si="106"/>
        <v>14.19419918320312</v>
      </c>
      <c r="AE90" s="307">
        <f t="shared" si="106"/>
        <v>14.526729210541985</v>
      </c>
      <c r="AF90" s="307">
        <f t="shared" si="106"/>
        <v>14.867042270948593</v>
      </c>
      <c r="AG90" s="307">
        <f t="shared" si="106"/>
        <v>15.215320347581264</v>
      </c>
      <c r="AH90" s="307">
        <f t="shared" si="106"/>
        <v>15.571749674101405</v>
      </c>
      <c r="AI90" s="307">
        <f t="shared" si="106"/>
        <v>15.936520833833026</v>
      </c>
      <c r="AJ90" s="307">
        <f t="shared" si="106"/>
        <v>16.30982886123256</v>
      </c>
      <c r="AK90" s="307">
        <f t="shared" si="106"/>
        <v>16.69187334572274</v>
      </c>
      <c r="AL90" s="307">
        <f t="shared" si="106"/>
        <v>17.082858537945455</v>
      </c>
      <c r="AM90" s="307">
        <f t="shared" si="106"/>
        <v>17.482993458490004</v>
      </c>
      <c r="AN90" s="307">
        <f>AN63+AN77</f>
        <v>5.0047957859555332</v>
      </c>
      <c r="AO90" s="307">
        <f t="shared" si="106"/>
        <v>5.117794078297659</v>
      </c>
      <c r="AP90" s="307">
        <f t="shared" si="106"/>
        <v>5.2333294398935521</v>
      </c>
      <c r="AQ90" s="307">
        <f t="shared" si="106"/>
        <v>5.3514584601332578</v>
      </c>
      <c r="AR90" s="307">
        <f t="shared" si="106"/>
        <v>5.4722389807547103</v>
      </c>
      <c r="AS90" s="307">
        <f t="shared" si="106"/>
        <v>5.5957301232957546</v>
      </c>
      <c r="AT90" s="307">
        <f t="shared" si="106"/>
        <v>5.7219923171408524</v>
      </c>
      <c r="AU90" s="307">
        <f t="shared" si="106"/>
        <v>5.8510873281751925</v>
      </c>
      <c r="AV90" s="307">
        <f t="shared" si="106"/>
        <v>5.9830782880591533</v>
      </c>
      <c r="AW90" s="307">
        <f t="shared" si="106"/>
        <v>0</v>
      </c>
      <c r="AX90" s="307">
        <f t="shared" si="106"/>
        <v>0</v>
      </c>
      <c r="AY90" s="307">
        <f t="shared" si="106"/>
        <v>0</v>
      </c>
      <c r="AZ90" s="307">
        <f t="shared" si="106"/>
        <v>0</v>
      </c>
      <c r="BA90" s="307">
        <f t="shared" si="106"/>
        <v>0</v>
      </c>
      <c r="BB90" s="307">
        <f t="shared" si="106"/>
        <v>0</v>
      </c>
      <c r="BC90" s="307">
        <f t="shared" si="106"/>
        <v>0</v>
      </c>
      <c r="BD90" s="307">
        <f t="shared" si="106"/>
        <v>0</v>
      </c>
      <c r="BE90" s="307">
        <f t="shared" si="106"/>
        <v>0</v>
      </c>
      <c r="BF90" s="307">
        <f t="shared" si="106"/>
        <v>0</v>
      </c>
      <c r="BG90" s="307">
        <f t="shared" si="106"/>
        <v>0</v>
      </c>
      <c r="BH90" s="307">
        <f t="shared" si="106"/>
        <v>0</v>
      </c>
      <c r="BI90" s="307">
        <f t="shared" si="106"/>
        <v>0</v>
      </c>
      <c r="BJ90" s="307">
        <f t="shared" si="106"/>
        <v>0</v>
      </c>
      <c r="BK90" s="307">
        <f t="shared" si="106"/>
        <v>0</v>
      </c>
      <c r="BL90" s="307">
        <f t="shared" si="106"/>
        <v>0</v>
      </c>
      <c r="BM90" s="307">
        <f t="shared" si="106"/>
        <v>0</v>
      </c>
      <c r="BN90" s="307">
        <f t="shared" si="106"/>
        <v>0</v>
      </c>
      <c r="BO90" s="307">
        <f t="shared" si="106"/>
        <v>0</v>
      </c>
      <c r="BP90" s="307">
        <f t="shared" si="106"/>
        <v>0</v>
      </c>
      <c r="BQ90" s="307">
        <f t="shared" si="106"/>
        <v>0</v>
      </c>
      <c r="BR90" s="307">
        <f t="shared" si="106"/>
        <v>0</v>
      </c>
      <c r="BS90" s="307">
        <f t="shared" si="106"/>
        <v>0</v>
      </c>
      <c r="BT90" s="307">
        <f t="shared" si="106"/>
        <v>0</v>
      </c>
      <c r="BU90" s="307">
        <f t="shared" si="106"/>
        <v>0</v>
      </c>
      <c r="BV90" s="307">
        <f t="shared" si="106"/>
        <v>0</v>
      </c>
      <c r="BW90" s="307">
        <f t="shared" si="106"/>
        <v>0</v>
      </c>
      <c r="BX90" s="307">
        <f t="shared" si="106"/>
        <v>0</v>
      </c>
      <c r="BY90" s="307">
        <f t="shared" si="106"/>
        <v>0</v>
      </c>
      <c r="BZ90" s="307">
        <f t="shared" si="106"/>
        <v>0</v>
      </c>
      <c r="CA90" s="307">
        <f t="shared" si="106"/>
        <v>0</v>
      </c>
      <c r="CB90" s="307">
        <f t="shared" si="106"/>
        <v>0</v>
      </c>
      <c r="CC90" s="307">
        <f t="shared" si="106"/>
        <v>0</v>
      </c>
      <c r="CD90" s="307">
        <f t="shared" si="106"/>
        <v>0</v>
      </c>
      <c r="CE90" s="307">
        <f t="shared" si="106"/>
        <v>0</v>
      </c>
      <c r="CF90" s="307">
        <f t="shared" si="106"/>
        <v>0</v>
      </c>
      <c r="CG90" s="307">
        <f t="shared" si="106"/>
        <v>0</v>
      </c>
      <c r="CH90" s="307">
        <f t="shared" si="106"/>
        <v>0</v>
      </c>
      <c r="CI90" s="307">
        <f t="shared" si="106"/>
        <v>0</v>
      </c>
      <c r="CJ90" s="307">
        <f t="shared" si="106"/>
        <v>0</v>
      </c>
      <c r="CK90" s="307">
        <f t="shared" si="106"/>
        <v>0</v>
      </c>
      <c r="CL90" s="307">
        <f>CL63+CL77</f>
        <v>0</v>
      </c>
      <c r="CM90" s="307">
        <f>CM63+CM77</f>
        <v>0</v>
      </c>
      <c r="CN90" s="307">
        <f>CN63+CN77</f>
        <v>0</v>
      </c>
      <c r="CO90" s="307">
        <f>CO63+CO77</f>
        <v>0</v>
      </c>
      <c r="CP90" s="307">
        <f>CP63+CP77</f>
        <v>0</v>
      </c>
      <c r="CQ90" s="23"/>
    </row>
    <row r="91" spans="2:95" outlineLevel="1" x14ac:dyDescent="0.2">
      <c r="B91" s="485" t="s">
        <v>299</v>
      </c>
      <c r="D91" s="485"/>
      <c r="E91" s="485"/>
      <c r="F91" s="485"/>
      <c r="G91" s="485"/>
      <c r="H91" s="485"/>
      <c r="I91" s="485"/>
      <c r="J91" s="485"/>
      <c r="K91" s="85">
        <f t="shared" ref="K91:V91" si="107">SUM(K81:K89)</f>
        <v>0</v>
      </c>
      <c r="L91" s="85">
        <f t="shared" si="107"/>
        <v>0</v>
      </c>
      <c r="M91" s="85">
        <f t="shared" si="107"/>
        <v>0</v>
      </c>
      <c r="N91" s="85">
        <f t="shared" si="107"/>
        <v>114.1</v>
      </c>
      <c r="O91" s="85">
        <f t="shared" si="107"/>
        <v>100.9</v>
      </c>
      <c r="P91" s="85">
        <f t="shared" si="107"/>
        <v>102.7</v>
      </c>
      <c r="Q91" s="85">
        <f t="shared" si="107"/>
        <v>99.8</v>
      </c>
      <c r="R91" s="85">
        <f t="shared" si="107"/>
        <v>125.9</v>
      </c>
      <c r="S91" s="85">
        <f t="shared" si="107"/>
        <v>147.69999999999999</v>
      </c>
      <c r="T91" s="85">
        <f t="shared" si="107"/>
        <v>204.11399999999998</v>
      </c>
      <c r="U91" s="85">
        <f t="shared" si="107"/>
        <v>230.60000000000002</v>
      </c>
      <c r="V91" s="85">
        <f t="shared" si="107"/>
        <v>235.04000000000002</v>
      </c>
      <c r="W91" s="85">
        <f t="shared" ref="W91:BD91" si="108">SUM(W81:W90)</f>
        <v>253.5</v>
      </c>
      <c r="X91" s="85">
        <f>SUM(X81:X90)</f>
        <v>271.26690875255281</v>
      </c>
      <c r="Y91" s="85">
        <f t="shared" si="108"/>
        <v>297.53349022391939</v>
      </c>
      <c r="Z91" s="85">
        <f t="shared" si="108"/>
        <v>318.90199404162774</v>
      </c>
      <c r="AA91" s="85">
        <f t="shared" si="108"/>
        <v>327.20188860510092</v>
      </c>
      <c r="AB91" s="85">
        <f t="shared" si="108"/>
        <v>334.58868818204166</v>
      </c>
      <c r="AC91" s="85">
        <f t="shared" si="108"/>
        <v>341.78781500714507</v>
      </c>
      <c r="AD91" s="85">
        <f t="shared" si="108"/>
        <v>348.78875851635615</v>
      </c>
      <c r="AE91" s="85">
        <f t="shared" si="108"/>
        <v>340.35934788516897</v>
      </c>
      <c r="AF91" s="85">
        <f t="shared" si="108"/>
        <v>326.10780569454153</v>
      </c>
      <c r="AG91" s="85">
        <f t="shared" si="108"/>
        <v>310.43194707598565</v>
      </c>
      <c r="AH91" s="85">
        <f t="shared" si="108"/>
        <v>316.57679284777515</v>
      </c>
      <c r="AI91" s="85">
        <f t="shared" si="108"/>
        <v>322.81448269306281</v>
      </c>
      <c r="AJ91" s="85">
        <f t="shared" si="108"/>
        <v>324.6338721542823</v>
      </c>
      <c r="AK91" s="85">
        <f t="shared" si="108"/>
        <v>310.2999507436075</v>
      </c>
      <c r="AL91" s="85">
        <f t="shared" si="108"/>
        <v>316.19191254364665</v>
      </c>
      <c r="AM91" s="85">
        <f t="shared" si="108"/>
        <v>322.430658051656</v>
      </c>
      <c r="AN91" s="85">
        <f t="shared" si="108"/>
        <v>315.93683098094033</v>
      </c>
      <c r="AO91" s="85">
        <f t="shared" si="108"/>
        <v>322.18405467596995</v>
      </c>
      <c r="AP91" s="85">
        <f t="shared" si="108"/>
        <v>328.58580183796533</v>
      </c>
      <c r="AQ91" s="85">
        <f t="shared" si="108"/>
        <v>335.14638026771894</v>
      </c>
      <c r="AR91" s="85">
        <f t="shared" si="108"/>
        <v>341.86814759217935</v>
      </c>
      <c r="AS91" s="85">
        <f t="shared" si="108"/>
        <v>348.75597798384808</v>
      </c>
      <c r="AT91" s="85">
        <f t="shared" si="108"/>
        <v>355.81361553458282</v>
      </c>
      <c r="AU91" s="85">
        <f t="shared" si="108"/>
        <v>363.0432843712656</v>
      </c>
      <c r="AV91" s="85">
        <f t="shared" si="108"/>
        <v>370.45172311701549</v>
      </c>
      <c r="AW91" s="85">
        <f t="shared" si="108"/>
        <v>335.86806521282932</v>
      </c>
      <c r="AX91" s="85">
        <f t="shared" si="108"/>
        <v>342.6480893911197</v>
      </c>
      <c r="AY91" s="85">
        <f t="shared" si="108"/>
        <v>349.59422293705029</v>
      </c>
      <c r="AZ91" s="85">
        <f t="shared" si="108"/>
        <v>356.70940435897353</v>
      </c>
      <c r="BA91" s="85">
        <f t="shared" si="108"/>
        <v>363.99789289622117</v>
      </c>
      <c r="BB91" s="85">
        <f t="shared" si="108"/>
        <v>371.46402199212901</v>
      </c>
      <c r="BC91" s="85">
        <f t="shared" si="108"/>
        <v>379.11060141190984</v>
      </c>
      <c r="BD91" s="85">
        <f t="shared" si="108"/>
        <v>386.94257610587391</v>
      </c>
      <c r="BE91" s="85">
        <f t="shared" ref="BE91:CP91" si="109">SUM(BE81:BE90)</f>
        <v>394.96495553407146</v>
      </c>
      <c r="BF91" s="85">
        <f t="shared" si="109"/>
        <v>403.17963213606356</v>
      </c>
      <c r="BG91" s="85">
        <f t="shared" si="109"/>
        <v>411.59427274834616</v>
      </c>
      <c r="BH91" s="85">
        <f t="shared" si="109"/>
        <v>420.20935089724958</v>
      </c>
      <c r="BI91" s="85">
        <f t="shared" si="109"/>
        <v>429.03352742000618</v>
      </c>
      <c r="BJ91" s="85">
        <f t="shared" si="109"/>
        <v>438.06791526843392</v>
      </c>
      <c r="BK91" s="85">
        <f t="shared" si="109"/>
        <v>447.32018735187728</v>
      </c>
      <c r="BL91" s="85">
        <f t="shared" si="109"/>
        <v>456.79409005577406</v>
      </c>
      <c r="BM91" s="85">
        <f t="shared" si="109"/>
        <v>466.49471880875132</v>
      </c>
      <c r="BN91" s="85">
        <f t="shared" si="109"/>
        <v>476.42684792431902</v>
      </c>
      <c r="BO91" s="85">
        <f t="shared" si="109"/>
        <v>486.59621439466684</v>
      </c>
      <c r="BP91" s="85">
        <f t="shared" si="109"/>
        <v>497.00826406140612</v>
      </c>
      <c r="BQ91" s="85">
        <f t="shared" si="109"/>
        <v>507.66857074795928</v>
      </c>
      <c r="BR91" s="85">
        <f t="shared" si="109"/>
        <v>518.58203116296102</v>
      </c>
      <c r="BS91" s="85">
        <f t="shared" si="109"/>
        <v>487.0289468640409</v>
      </c>
      <c r="BT91" s="85">
        <f t="shared" si="109"/>
        <v>497.47769615340712</v>
      </c>
      <c r="BU91" s="85">
        <f t="shared" si="109"/>
        <v>508.17459528045674</v>
      </c>
      <c r="BV91" s="85">
        <f t="shared" si="109"/>
        <v>519.1261911808258</v>
      </c>
      <c r="BW91" s="85">
        <f t="shared" si="109"/>
        <v>530.33794948508842</v>
      </c>
      <c r="BX91" s="85">
        <f t="shared" si="109"/>
        <v>541.81668198913326</v>
      </c>
      <c r="BY91" s="85">
        <f t="shared" si="109"/>
        <v>553.56610940457597</v>
      </c>
      <c r="BZ91" s="85">
        <f t="shared" si="109"/>
        <v>565.59534567606909</v>
      </c>
      <c r="CA91" s="85">
        <f t="shared" si="109"/>
        <v>577.90921229064202</v>
      </c>
      <c r="CB91" s="85">
        <f t="shared" si="109"/>
        <v>590.51631465435651</v>
      </c>
      <c r="CC91" s="85">
        <f t="shared" si="109"/>
        <v>603.41978086214328</v>
      </c>
      <c r="CD91" s="85">
        <f t="shared" si="109"/>
        <v>557.17924518196128</v>
      </c>
      <c r="CE91" s="85">
        <f t="shared" si="109"/>
        <v>569.31998807714263</v>
      </c>
      <c r="CF91" s="85">
        <f t="shared" si="109"/>
        <v>581.74745412981838</v>
      </c>
      <c r="CG91" s="85">
        <f t="shared" si="109"/>
        <v>594.46912808723164</v>
      </c>
      <c r="CH91" s="85">
        <f t="shared" si="109"/>
        <v>607.49221937977211</v>
      </c>
      <c r="CI91" s="85">
        <f t="shared" si="109"/>
        <v>620.82249822353481</v>
      </c>
      <c r="CJ91" s="85">
        <f t="shared" si="109"/>
        <v>634.46873181053206</v>
      </c>
      <c r="CK91" s="85">
        <f t="shared" si="109"/>
        <v>648.43700719770595</v>
      </c>
      <c r="CL91" s="85">
        <f t="shared" si="109"/>
        <v>662.73401627483167</v>
      </c>
      <c r="CM91" s="85">
        <f t="shared" si="109"/>
        <v>677.36821123681364</v>
      </c>
      <c r="CN91" s="85">
        <f t="shared" si="109"/>
        <v>692.3478411457495</v>
      </c>
      <c r="CO91" s="85">
        <f t="shared" si="109"/>
        <v>707.68174809476045</v>
      </c>
      <c r="CP91" s="85">
        <f t="shared" si="109"/>
        <v>723.37652297591785</v>
      </c>
      <c r="CQ91" s="23" t="s">
        <v>77</v>
      </c>
    </row>
    <row r="92" spans="2:95" s="98" customFormat="1" outlineLevel="1" x14ac:dyDescent="0.2">
      <c r="B92" s="25" t="s">
        <v>300</v>
      </c>
      <c r="C92" s="24"/>
      <c r="K92" s="118">
        <f t="shared" ref="K92:BD92" si="110">+K25-K91</f>
        <v>0</v>
      </c>
      <c r="L92" s="118">
        <f t="shared" si="110"/>
        <v>0</v>
      </c>
      <c r="M92" s="118">
        <f t="shared" si="110"/>
        <v>105.089</v>
      </c>
      <c r="N92" s="118">
        <f t="shared" si="110"/>
        <v>-3.299999999998704E-2</v>
      </c>
      <c r="O92" s="118">
        <f t="shared" si="110"/>
        <v>-4.4000000000011141E-2</v>
      </c>
      <c r="P92" s="118">
        <f t="shared" si="110"/>
        <v>3.7999999999996703E-2</v>
      </c>
      <c r="Q92" s="118">
        <f t="shared" si="110"/>
        <v>1.0000000000047748E-3</v>
      </c>
      <c r="R92" s="118">
        <f t="shared" si="110"/>
        <v>3.7999999999996703E-2</v>
      </c>
      <c r="S92" s="118">
        <f t="shared" si="110"/>
        <v>2.7999999999991587E-2</v>
      </c>
      <c r="T92" s="118">
        <f t="shared" si="110"/>
        <v>4.7000000000025466E-2</v>
      </c>
      <c r="U92" s="118">
        <f t="shared" si="110"/>
        <v>-4.2000000000001592E-2</v>
      </c>
      <c r="V92" s="118">
        <f t="shared" si="110"/>
        <v>-2.2000000000019782E-2</v>
      </c>
      <c r="W92" s="118">
        <f t="shared" si="110"/>
        <v>0</v>
      </c>
      <c r="X92" s="118">
        <f t="shared" si="110"/>
        <v>0</v>
      </c>
      <c r="Y92" s="118">
        <f t="shared" si="110"/>
        <v>0</v>
      </c>
      <c r="Z92" s="118">
        <f t="shared" si="110"/>
        <v>0</v>
      </c>
      <c r="AA92" s="118">
        <f t="shared" si="110"/>
        <v>0</v>
      </c>
      <c r="AB92" s="118">
        <f t="shared" si="110"/>
        <v>0</v>
      </c>
      <c r="AC92" s="118">
        <f t="shared" si="110"/>
        <v>0</v>
      </c>
      <c r="AD92" s="118">
        <f t="shared" si="110"/>
        <v>0</v>
      </c>
      <c r="AE92" s="118">
        <f t="shared" si="110"/>
        <v>0</v>
      </c>
      <c r="AF92" s="118">
        <f t="shared" si="110"/>
        <v>0</v>
      </c>
      <c r="AG92" s="118">
        <f t="shared" si="110"/>
        <v>0</v>
      </c>
      <c r="AH92" s="118">
        <f t="shared" si="110"/>
        <v>0</v>
      </c>
      <c r="AI92" s="118">
        <f t="shared" si="110"/>
        <v>0</v>
      </c>
      <c r="AJ92" s="118">
        <f t="shared" si="110"/>
        <v>0</v>
      </c>
      <c r="AK92" s="118">
        <f t="shared" si="110"/>
        <v>0</v>
      </c>
      <c r="AL92" s="118">
        <f t="shared" si="110"/>
        <v>0</v>
      </c>
      <c r="AM92" s="118">
        <f t="shared" si="110"/>
        <v>0</v>
      </c>
      <c r="AN92" s="118">
        <f t="shared" si="110"/>
        <v>0</v>
      </c>
      <c r="AO92" s="118">
        <f t="shared" si="110"/>
        <v>0</v>
      </c>
      <c r="AP92" s="118">
        <f t="shared" si="110"/>
        <v>0</v>
      </c>
      <c r="AQ92" s="118">
        <f t="shared" si="110"/>
        <v>0</v>
      </c>
      <c r="AR92" s="118">
        <f t="shared" si="110"/>
        <v>0</v>
      </c>
      <c r="AS92" s="118">
        <f t="shared" si="110"/>
        <v>0</v>
      </c>
      <c r="AT92" s="118">
        <f t="shared" si="110"/>
        <v>0</v>
      </c>
      <c r="AU92" s="118">
        <f t="shared" si="110"/>
        <v>0</v>
      </c>
      <c r="AV92" s="118">
        <f t="shared" si="110"/>
        <v>0</v>
      </c>
      <c r="AW92" s="118">
        <f t="shared" si="110"/>
        <v>0</v>
      </c>
      <c r="AX92" s="118">
        <f t="shared" si="110"/>
        <v>0</v>
      </c>
      <c r="AY92" s="118">
        <f t="shared" si="110"/>
        <v>0</v>
      </c>
      <c r="AZ92" s="118">
        <f t="shared" si="110"/>
        <v>0</v>
      </c>
      <c r="BA92" s="118">
        <f t="shared" si="110"/>
        <v>0</v>
      </c>
      <c r="BB92" s="118">
        <f t="shared" si="110"/>
        <v>0</v>
      </c>
      <c r="BC92" s="118">
        <f t="shared" si="110"/>
        <v>0</v>
      </c>
      <c r="BD92" s="118">
        <f t="shared" si="110"/>
        <v>0</v>
      </c>
      <c r="BE92" s="118">
        <f t="shared" ref="BE92:CP92" si="111">+BE25-BE91</f>
        <v>0</v>
      </c>
      <c r="BF92" s="118">
        <f t="shared" si="111"/>
        <v>0</v>
      </c>
      <c r="BG92" s="118">
        <f t="shared" si="111"/>
        <v>0</v>
      </c>
      <c r="BH92" s="118">
        <f t="shared" si="111"/>
        <v>0</v>
      </c>
      <c r="BI92" s="118">
        <f t="shared" si="111"/>
        <v>0</v>
      </c>
      <c r="BJ92" s="118">
        <f t="shared" si="111"/>
        <v>0</v>
      </c>
      <c r="BK92" s="118">
        <f t="shared" si="111"/>
        <v>0</v>
      </c>
      <c r="BL92" s="118">
        <f t="shared" si="111"/>
        <v>0</v>
      </c>
      <c r="BM92" s="118">
        <f t="shared" si="111"/>
        <v>0</v>
      </c>
      <c r="BN92" s="118">
        <f t="shared" si="111"/>
        <v>0</v>
      </c>
      <c r="BO92" s="118">
        <f t="shared" si="111"/>
        <v>0</v>
      </c>
      <c r="BP92" s="118">
        <f t="shared" si="111"/>
        <v>0</v>
      </c>
      <c r="BQ92" s="118">
        <f t="shared" si="111"/>
        <v>0</v>
      </c>
      <c r="BR92" s="118">
        <f t="shared" si="111"/>
        <v>0</v>
      </c>
      <c r="BS92" s="118">
        <f t="shared" si="111"/>
        <v>0</v>
      </c>
      <c r="BT92" s="118">
        <f t="shared" si="111"/>
        <v>0</v>
      </c>
      <c r="BU92" s="118">
        <f t="shared" si="111"/>
        <v>0</v>
      </c>
      <c r="BV92" s="118">
        <f t="shared" si="111"/>
        <v>0</v>
      </c>
      <c r="BW92" s="118">
        <f t="shared" si="111"/>
        <v>0</v>
      </c>
      <c r="BX92" s="118">
        <f t="shared" si="111"/>
        <v>0</v>
      </c>
      <c r="BY92" s="118">
        <f t="shared" si="111"/>
        <v>0</v>
      </c>
      <c r="BZ92" s="118">
        <f t="shared" si="111"/>
        <v>0</v>
      </c>
      <c r="CA92" s="118">
        <f t="shared" si="111"/>
        <v>0</v>
      </c>
      <c r="CB92" s="118">
        <f t="shared" si="111"/>
        <v>0</v>
      </c>
      <c r="CC92" s="118">
        <f t="shared" si="111"/>
        <v>0</v>
      </c>
      <c r="CD92" s="118">
        <f t="shared" si="111"/>
        <v>0</v>
      </c>
      <c r="CE92" s="118">
        <f t="shared" si="111"/>
        <v>0</v>
      </c>
      <c r="CF92" s="118">
        <f t="shared" si="111"/>
        <v>0</v>
      </c>
      <c r="CG92" s="118">
        <f t="shared" si="111"/>
        <v>0</v>
      </c>
      <c r="CH92" s="118">
        <f t="shared" si="111"/>
        <v>0</v>
      </c>
      <c r="CI92" s="118">
        <f t="shared" si="111"/>
        <v>0</v>
      </c>
      <c r="CJ92" s="118">
        <f t="shared" si="111"/>
        <v>0</v>
      </c>
      <c r="CK92" s="118">
        <f t="shared" si="111"/>
        <v>0</v>
      </c>
      <c r="CL92" s="118">
        <f t="shared" si="111"/>
        <v>0</v>
      </c>
      <c r="CM92" s="118">
        <f t="shared" si="111"/>
        <v>0</v>
      </c>
      <c r="CN92" s="118">
        <f t="shared" si="111"/>
        <v>0</v>
      </c>
      <c r="CO92" s="118">
        <f t="shared" si="111"/>
        <v>0</v>
      </c>
      <c r="CP92" s="118">
        <f t="shared" si="111"/>
        <v>0</v>
      </c>
      <c r="CQ92" s="23" t="s">
        <v>77</v>
      </c>
    </row>
    <row r="93" spans="2:95" outlineLevel="1" x14ac:dyDescent="0.2">
      <c r="B93" s="24"/>
      <c r="T93" s="508"/>
      <c r="CQ93" s="23" t="s">
        <v>77</v>
      </c>
    </row>
    <row r="94" spans="2:95" outlineLevel="1" x14ac:dyDescent="0.2">
      <c r="B94" s="358" t="s">
        <v>314</v>
      </c>
      <c r="D94" s="218"/>
      <c r="E94" s="218"/>
      <c r="F94" s="218"/>
      <c r="G94" s="218"/>
      <c r="H94" s="218"/>
      <c r="I94" s="218"/>
      <c r="J94" s="218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  <c r="Y94" s="66"/>
      <c r="Z94" s="66"/>
      <c r="AA94" s="66"/>
      <c r="AB94" s="66"/>
      <c r="AC94" s="66"/>
      <c r="AD94" s="66"/>
      <c r="AE94" s="66"/>
      <c r="AF94" s="66"/>
      <c r="AG94" s="66"/>
      <c r="AH94" s="66"/>
      <c r="AI94" s="66"/>
      <c r="AJ94" s="66"/>
      <c r="AK94" s="66"/>
      <c r="AL94" s="66"/>
      <c r="AM94" s="66"/>
      <c r="AN94" s="66"/>
      <c r="AO94" s="66"/>
      <c r="AP94" s="66"/>
      <c r="AQ94" s="66"/>
      <c r="AR94" s="66"/>
      <c r="AS94" s="66"/>
      <c r="AT94" s="66"/>
      <c r="AU94" s="66"/>
      <c r="AV94" s="66"/>
      <c r="AW94" s="66"/>
      <c r="AX94" s="66"/>
      <c r="AY94" s="66"/>
      <c r="AZ94" s="66"/>
      <c r="BA94" s="66"/>
      <c r="BB94" s="66"/>
      <c r="BC94" s="66"/>
      <c r="BD94" s="66"/>
      <c r="BE94" s="66"/>
      <c r="BF94" s="66"/>
      <c r="BG94" s="66"/>
      <c r="BH94" s="66"/>
      <c r="BI94" s="66"/>
      <c r="BJ94" s="66"/>
      <c r="BK94" s="66"/>
      <c r="BL94" s="66"/>
      <c r="BM94" s="66"/>
      <c r="BN94" s="66"/>
      <c r="BO94" s="66"/>
      <c r="BP94" s="66"/>
      <c r="BQ94" s="66"/>
      <c r="BR94" s="66"/>
      <c r="BS94" s="66"/>
      <c r="BT94" s="66"/>
      <c r="BU94" s="66"/>
      <c r="BV94" s="66"/>
      <c r="BW94" s="66"/>
      <c r="BX94" s="66"/>
      <c r="BY94" s="66"/>
      <c r="BZ94" s="66"/>
      <c r="CA94" s="66"/>
      <c r="CB94" s="66"/>
      <c r="CC94" s="66"/>
      <c r="CD94" s="66"/>
      <c r="CE94" s="66"/>
      <c r="CF94" s="66"/>
      <c r="CG94" s="66"/>
      <c r="CH94" s="66"/>
      <c r="CI94" s="66"/>
      <c r="CJ94" s="66"/>
      <c r="CK94" s="66"/>
      <c r="CL94" s="66"/>
      <c r="CM94" s="66"/>
      <c r="CN94" s="66"/>
      <c r="CO94" s="66"/>
      <c r="CP94" s="66"/>
      <c r="CQ94" s="23" t="s">
        <v>77</v>
      </c>
    </row>
    <row r="95" spans="2:95" outlineLevel="1" x14ac:dyDescent="0.2">
      <c r="B95" s="91" t="s">
        <v>341</v>
      </c>
      <c r="K95" s="93" t="str">
        <f t="shared" ref="K95:BD95" si="112">IF(ISERROR(+K81/J81-1),"n.a.",+K81/J81-1)</f>
        <v>n.a.</v>
      </c>
      <c r="L95" s="93" t="str">
        <f t="shared" si="112"/>
        <v>n.a.</v>
      </c>
      <c r="M95" s="93" t="str">
        <f t="shared" si="112"/>
        <v>n.a.</v>
      </c>
      <c r="N95" s="93" t="str">
        <f t="shared" si="112"/>
        <v>n.a.</v>
      </c>
      <c r="O95" s="93">
        <f t="shared" si="112"/>
        <v>9.9999999999999867E-2</v>
      </c>
      <c r="P95" s="93">
        <f t="shared" si="112"/>
        <v>-0.27272727272727271</v>
      </c>
      <c r="Q95" s="93">
        <f t="shared" si="112"/>
        <v>1.4166666666666665</v>
      </c>
      <c r="R95" s="93">
        <f t="shared" si="112"/>
        <v>0.3793103448275863</v>
      </c>
      <c r="S95" s="93">
        <f t="shared" si="112"/>
        <v>0.44999999999999996</v>
      </c>
      <c r="T95" s="92">
        <f t="shared" si="112"/>
        <v>0.31155172413793109</v>
      </c>
      <c r="U95" s="92">
        <f t="shared" si="112"/>
        <v>0.18969370316813472</v>
      </c>
      <c r="V95" s="92">
        <f t="shared" si="112"/>
        <v>-3.3149171270718258E-2</v>
      </c>
      <c r="W95" s="92">
        <f t="shared" si="112"/>
        <v>7.4285714285714288E-2</v>
      </c>
      <c r="X95" s="92">
        <f t="shared" si="112"/>
        <v>8.5106382978723527E-3</v>
      </c>
      <c r="Y95" s="92">
        <f t="shared" si="112"/>
        <v>4.2194092827005925E-3</v>
      </c>
      <c r="Z95" s="92">
        <f t="shared" si="112"/>
        <v>1.26050420168069E-2</v>
      </c>
      <c r="AA95" s="92">
        <f t="shared" si="112"/>
        <v>4.1493775933609811E-3</v>
      </c>
      <c r="AB95" s="92">
        <f t="shared" si="112"/>
        <v>3.5247659472561255E-2</v>
      </c>
      <c r="AC95" s="92">
        <f t="shared" si="112"/>
        <v>1.5749318372294541E-2</v>
      </c>
      <c r="AD95" s="92">
        <f t="shared" si="112"/>
        <v>1.5794848921732996E-2</v>
      </c>
      <c r="AE95" s="92">
        <f t="shared" si="112"/>
        <v>1.5880692481462733E-2</v>
      </c>
      <c r="AF95" s="92">
        <f t="shared" si="112"/>
        <v>1.5927037636004782E-2</v>
      </c>
      <c r="AG95" s="92">
        <f t="shared" si="112"/>
        <v>1.604952933906878E-2</v>
      </c>
      <c r="AH95" s="92">
        <f t="shared" si="112"/>
        <v>1.6057805586867868E-2</v>
      </c>
      <c r="AI95" s="92">
        <f t="shared" si="112"/>
        <v>1.617830906361295E-2</v>
      </c>
      <c r="AJ95" s="92">
        <f t="shared" si="112"/>
        <v>1.6224253857481497E-2</v>
      </c>
      <c r="AK95" s="92">
        <f t="shared" si="112"/>
        <v>1.5287328513859055E-2</v>
      </c>
      <c r="AL95" s="92">
        <f t="shared" si="112"/>
        <v>1.6403847098284574E-2</v>
      </c>
      <c r="AM95" s="92">
        <f t="shared" si="112"/>
        <v>1.6449570009190007E-2</v>
      </c>
      <c r="AN95" s="92">
        <f t="shared" si="112"/>
        <v>1.6496034330822917E-2</v>
      </c>
      <c r="AO95" s="92">
        <f t="shared" si="112"/>
        <v>1.6609835108706283E-2</v>
      </c>
      <c r="AP95" s="92">
        <f t="shared" si="112"/>
        <v>1.6655202010703141E-2</v>
      </c>
      <c r="AQ95" s="92">
        <f t="shared" si="112"/>
        <v>1.6733847292543569E-2</v>
      </c>
      <c r="AR95" s="92">
        <f t="shared" si="112"/>
        <v>1.6779568506597231E-2</v>
      </c>
      <c r="AS95" s="92">
        <f t="shared" si="112"/>
        <v>1.6857474378414672E-2</v>
      </c>
      <c r="AT95" s="92">
        <f t="shared" si="112"/>
        <v>1.6934484397919114E-2</v>
      </c>
      <c r="AU95" s="92">
        <f t="shared" si="112"/>
        <v>1.6980465452437254E-2</v>
      </c>
      <c r="AV95" s="92">
        <f t="shared" si="112"/>
        <v>1.7115731661008216E-2</v>
      </c>
      <c r="AW95" s="92">
        <f t="shared" si="112"/>
        <v>1.710171081455103E-2</v>
      </c>
      <c r="AX95" s="92">
        <f t="shared" si="112"/>
        <v>1.7205920619311366E-2</v>
      </c>
      <c r="AY95" s="92">
        <f t="shared" si="112"/>
        <v>1.7279643883397977E-2</v>
      </c>
      <c r="AZ95" s="92">
        <f t="shared" si="112"/>
        <v>1.7324569753662811E-2</v>
      </c>
      <c r="BA95" s="92">
        <f t="shared" si="112"/>
        <v>1.7397608095207184E-2</v>
      </c>
      <c r="BB95" s="92">
        <f t="shared" si="112"/>
        <v>1.7469828129442755E-2</v>
      </c>
      <c r="BC95" s="92">
        <f t="shared" si="112"/>
        <v>1.7514683478859094E-2</v>
      </c>
      <c r="BD95" s="92">
        <f t="shared" si="112"/>
        <v>1.7586482968033001E-2</v>
      </c>
      <c r="BE95" s="92">
        <f t="shared" ref="BE95:CP95" si="113">IF(ISERROR(+BE81/BD81-1),"n.a.",+BE81/BD81-1)</f>
        <v>1.7682359908668621E-2</v>
      </c>
      <c r="BF95" s="92">
        <f t="shared" si="113"/>
        <v>1.7701274070766271E-2</v>
      </c>
      <c r="BG95" s="92">
        <f t="shared" si="113"/>
        <v>1.7820636175922555E-2</v>
      </c>
      <c r="BH95" s="92">
        <f t="shared" si="113"/>
        <v>1.7815928159464756E-2</v>
      </c>
      <c r="BI95" s="92">
        <f t="shared" si="113"/>
        <v>1.7932412066953063E-2</v>
      </c>
      <c r="BJ95" s="92">
        <f t="shared" si="113"/>
        <v>1.7952853906886279E-2</v>
      </c>
      <c r="BK95" s="92">
        <f t="shared" si="113"/>
        <v>1.8043568488011363E-2</v>
      </c>
      <c r="BL95" s="92">
        <f t="shared" si="113"/>
        <v>1.8109657026657677E-2</v>
      </c>
      <c r="BM95" s="92">
        <f t="shared" si="113"/>
        <v>1.8175481194584453E-2</v>
      </c>
      <c r="BN95" s="92">
        <f t="shared" si="113"/>
        <v>1.8218506309806815E-2</v>
      </c>
      <c r="BO95" s="92">
        <f t="shared" si="113"/>
        <v>1.8283482486058045E-2</v>
      </c>
      <c r="BP95" s="92">
        <f t="shared" si="113"/>
        <v>1.8347756048022967E-2</v>
      </c>
      <c r="BQ95" s="92">
        <f t="shared" si="113"/>
        <v>1.8411337578770892E-2</v>
      </c>
      <c r="BR95" s="92">
        <f t="shared" si="113"/>
        <v>1.8454107149141974E-2</v>
      </c>
      <c r="BS95" s="92">
        <f t="shared" si="113"/>
        <v>1.8536634045353662E-2</v>
      </c>
      <c r="BT95" s="92">
        <f t="shared" si="113"/>
        <v>1.8598397007542733E-2</v>
      </c>
      <c r="BU95" s="92">
        <f t="shared" si="113"/>
        <v>1.8640063885688951E-2</v>
      </c>
      <c r="BV95" s="92">
        <f t="shared" si="113"/>
        <v>1.8701036546749261E-2</v>
      </c>
      <c r="BW95" s="92">
        <f t="shared" si="113"/>
        <v>1.8761359980234982E-2</v>
      </c>
      <c r="BX95" s="92">
        <f t="shared" si="113"/>
        <v>1.8839064842397724E-2</v>
      </c>
      <c r="BY95" s="92">
        <f t="shared" si="113"/>
        <v>1.8862073768825649E-2</v>
      </c>
      <c r="BZ95" s="92">
        <f t="shared" si="113"/>
        <v>1.8938526269608458E-2</v>
      </c>
      <c r="CA95" s="92">
        <f t="shared" si="113"/>
        <v>1.897930506818124E-2</v>
      </c>
      <c r="CB95" s="92">
        <f t="shared" si="113"/>
        <v>1.9070426602429302E-2</v>
      </c>
      <c r="CC95" s="92">
        <f t="shared" si="113"/>
        <v>1.9093765154817088E-2</v>
      </c>
      <c r="CD95" s="92">
        <f t="shared" si="113"/>
        <v>1.9150245838295721E-2</v>
      </c>
      <c r="CE95" s="92">
        <f t="shared" si="113"/>
        <v>1.922225445401371E-2</v>
      </c>
      <c r="CF95" s="92">
        <f t="shared" si="113"/>
        <v>1.926146115138816E-2</v>
      </c>
      <c r="CG95" s="92">
        <f t="shared" si="113"/>
        <v>1.9316502544219905E-2</v>
      </c>
      <c r="CH95" s="92">
        <f t="shared" si="113"/>
        <v>1.9385582162834814E-2</v>
      </c>
      <c r="CI95" s="92">
        <f t="shared" si="113"/>
        <v>1.9424129672909629E-2</v>
      </c>
      <c r="CJ95" s="92">
        <f t="shared" si="113"/>
        <v>1.9491826678048829E-2</v>
      </c>
      <c r="CK95" s="92">
        <f t="shared" si="113"/>
        <v>1.9543775927654217E-2</v>
      </c>
      <c r="CL95" s="92">
        <f t="shared" si="113"/>
        <v>1.9581667450745188E-2</v>
      </c>
      <c r="CM95" s="92">
        <f t="shared" si="113"/>
        <v>1.963309811181424E-2</v>
      </c>
      <c r="CN95" s="92">
        <f t="shared" si="113"/>
        <v>1.9684138291939268E-2</v>
      </c>
      <c r="CO95" s="92">
        <f t="shared" si="113"/>
        <v>1.9747813036872897E-2</v>
      </c>
      <c r="CP95" s="92">
        <f t="shared" si="113"/>
        <v>1.9797170600027059E-2</v>
      </c>
      <c r="CQ95" s="23" t="s">
        <v>77</v>
      </c>
    </row>
    <row r="96" spans="2:95" outlineLevel="1" x14ac:dyDescent="0.2">
      <c r="B96" s="8" t="s">
        <v>337</v>
      </c>
      <c r="K96" s="93" t="str">
        <f t="shared" ref="K96:BD97" si="114">IF(ISERROR(+K82/J82-1),"n.a.",+K82/J82-1)</f>
        <v>n.a.</v>
      </c>
      <c r="L96" s="93" t="str">
        <f t="shared" si="114"/>
        <v>n.a.</v>
      </c>
      <c r="M96" s="93" t="str">
        <f t="shared" si="114"/>
        <v>n.a.</v>
      </c>
      <c r="N96" s="93" t="str">
        <f t="shared" si="114"/>
        <v>n.a.</v>
      </c>
      <c r="O96" s="93" t="str">
        <f t="shared" si="114"/>
        <v>n.a.</v>
      </c>
      <c r="P96" s="93" t="str">
        <f t="shared" si="114"/>
        <v>n.a.</v>
      </c>
      <c r="Q96" s="93" t="str">
        <f t="shared" si="114"/>
        <v>n.a.</v>
      </c>
      <c r="R96" s="93" t="str">
        <f t="shared" si="114"/>
        <v>n.a.</v>
      </c>
      <c r="S96" s="93">
        <f t="shared" si="114"/>
        <v>-0.14000000000000001</v>
      </c>
      <c r="T96" s="92">
        <f t="shared" si="114"/>
        <v>0.16022286821709097</v>
      </c>
      <c r="U96" s="92">
        <f t="shared" si="114"/>
        <v>0.10744560905329115</v>
      </c>
      <c r="V96" s="92">
        <f t="shared" si="114"/>
        <v>-7.6923076923077094E-2</v>
      </c>
      <c r="W96" s="92">
        <f t="shared" si="114"/>
        <v>0.24019607843137258</v>
      </c>
      <c r="X96" s="92">
        <f t="shared" si="114"/>
        <v>3.4833334129161564E-2</v>
      </c>
      <c r="Y96" s="92">
        <f t="shared" si="114"/>
        <v>3.4502336081429608E-2</v>
      </c>
      <c r="Z96" s="92">
        <f t="shared" si="114"/>
        <v>3.418541771246586E-2</v>
      </c>
      <c r="AA96" s="92">
        <f t="shared" si="114"/>
        <v>3.3881790010908519E-2</v>
      </c>
      <c r="AB96" s="92">
        <f t="shared" si="114"/>
        <v>3.3590721005749336E-2</v>
      </c>
      <c r="AC96" s="92">
        <f t="shared" si="114"/>
        <v>3.3311530696976677E-2</v>
      </c>
      <c r="AD96" s="92">
        <f t="shared" si="114"/>
        <v>3.1391407191887044E-2</v>
      </c>
      <c r="AE96" s="92">
        <f t="shared" si="114"/>
        <v>3.1158833483199144E-2</v>
      </c>
      <c r="AF96" s="92">
        <f t="shared" si="114"/>
        <v>-0.61467488869753084</v>
      </c>
      <c r="AG96" s="92">
        <f t="shared" si="114"/>
        <v>2.3333333333333206E-2</v>
      </c>
      <c r="AH96" s="92">
        <f t="shared" si="114"/>
        <v>2.3332654723127177E-2</v>
      </c>
      <c r="AI96" s="92">
        <f t="shared" si="114"/>
        <v>2.3331974730484317E-2</v>
      </c>
      <c r="AJ96" s="92">
        <f t="shared" si="114"/>
        <v>2.3331293351684268E-2</v>
      </c>
      <c r="AK96" s="92">
        <f t="shared" si="114"/>
        <v>-1</v>
      </c>
      <c r="AL96" s="92" t="str">
        <f t="shared" si="114"/>
        <v>n.a.</v>
      </c>
      <c r="AM96" s="92" t="str">
        <f t="shared" si="114"/>
        <v>n.a.</v>
      </c>
      <c r="AN96" s="92" t="str">
        <f t="shared" si="114"/>
        <v>n.a.</v>
      </c>
      <c r="AO96" s="92" t="str">
        <f t="shared" si="114"/>
        <v>n.a.</v>
      </c>
      <c r="AP96" s="92" t="str">
        <f t="shared" si="114"/>
        <v>n.a.</v>
      </c>
      <c r="AQ96" s="92" t="str">
        <f t="shared" si="114"/>
        <v>n.a.</v>
      </c>
      <c r="AR96" s="92" t="str">
        <f t="shared" si="114"/>
        <v>n.a.</v>
      </c>
      <c r="AS96" s="92" t="str">
        <f t="shared" si="114"/>
        <v>n.a.</v>
      </c>
      <c r="AT96" s="92" t="str">
        <f t="shared" si="114"/>
        <v>n.a.</v>
      </c>
      <c r="AU96" s="92" t="str">
        <f t="shared" si="114"/>
        <v>n.a.</v>
      </c>
      <c r="AV96" s="92" t="str">
        <f t="shared" si="114"/>
        <v>n.a.</v>
      </c>
      <c r="AW96" s="92" t="str">
        <f t="shared" si="114"/>
        <v>n.a.</v>
      </c>
      <c r="AX96" s="92" t="str">
        <f t="shared" si="114"/>
        <v>n.a.</v>
      </c>
      <c r="AY96" s="92" t="str">
        <f t="shared" si="114"/>
        <v>n.a.</v>
      </c>
      <c r="AZ96" s="92" t="str">
        <f t="shared" si="114"/>
        <v>n.a.</v>
      </c>
      <c r="BA96" s="92" t="str">
        <f t="shared" si="114"/>
        <v>n.a.</v>
      </c>
      <c r="BB96" s="92" t="str">
        <f t="shared" si="114"/>
        <v>n.a.</v>
      </c>
      <c r="BC96" s="92" t="str">
        <f t="shared" si="114"/>
        <v>n.a.</v>
      </c>
      <c r="BD96" s="92" t="str">
        <f t="shared" si="114"/>
        <v>n.a.</v>
      </c>
      <c r="BE96" s="92" t="str">
        <f t="shared" ref="BE96:CP97" si="115">IF(ISERROR(+BE82/BD82-1),"n.a.",+BE82/BD82-1)</f>
        <v>n.a.</v>
      </c>
      <c r="BF96" s="92" t="str">
        <f t="shared" si="115"/>
        <v>n.a.</v>
      </c>
      <c r="BG96" s="92" t="str">
        <f t="shared" si="115"/>
        <v>n.a.</v>
      </c>
      <c r="BH96" s="92" t="str">
        <f t="shared" si="115"/>
        <v>n.a.</v>
      </c>
      <c r="BI96" s="92" t="str">
        <f t="shared" si="115"/>
        <v>n.a.</v>
      </c>
      <c r="BJ96" s="92" t="str">
        <f t="shared" si="115"/>
        <v>n.a.</v>
      </c>
      <c r="BK96" s="92" t="str">
        <f t="shared" si="115"/>
        <v>n.a.</v>
      </c>
      <c r="BL96" s="92" t="str">
        <f t="shared" si="115"/>
        <v>n.a.</v>
      </c>
      <c r="BM96" s="92" t="str">
        <f t="shared" si="115"/>
        <v>n.a.</v>
      </c>
      <c r="BN96" s="92" t="str">
        <f t="shared" si="115"/>
        <v>n.a.</v>
      </c>
      <c r="BO96" s="92" t="str">
        <f t="shared" si="115"/>
        <v>n.a.</v>
      </c>
      <c r="BP96" s="92" t="str">
        <f t="shared" si="115"/>
        <v>n.a.</v>
      </c>
      <c r="BQ96" s="92" t="str">
        <f t="shared" si="115"/>
        <v>n.a.</v>
      </c>
      <c r="BR96" s="92" t="str">
        <f t="shared" si="115"/>
        <v>n.a.</v>
      </c>
      <c r="BS96" s="92" t="str">
        <f t="shared" si="115"/>
        <v>n.a.</v>
      </c>
      <c r="BT96" s="92" t="str">
        <f t="shared" si="115"/>
        <v>n.a.</v>
      </c>
      <c r="BU96" s="92" t="str">
        <f t="shared" si="115"/>
        <v>n.a.</v>
      </c>
      <c r="BV96" s="92" t="str">
        <f t="shared" si="115"/>
        <v>n.a.</v>
      </c>
      <c r="BW96" s="92" t="str">
        <f t="shared" si="115"/>
        <v>n.a.</v>
      </c>
      <c r="BX96" s="92" t="str">
        <f t="shared" si="115"/>
        <v>n.a.</v>
      </c>
      <c r="BY96" s="92" t="str">
        <f t="shared" si="115"/>
        <v>n.a.</v>
      </c>
      <c r="BZ96" s="92" t="str">
        <f t="shared" si="115"/>
        <v>n.a.</v>
      </c>
      <c r="CA96" s="92" t="str">
        <f t="shared" si="115"/>
        <v>n.a.</v>
      </c>
      <c r="CB96" s="92" t="str">
        <f t="shared" si="115"/>
        <v>n.a.</v>
      </c>
      <c r="CC96" s="92" t="str">
        <f t="shared" si="115"/>
        <v>n.a.</v>
      </c>
      <c r="CD96" s="92" t="str">
        <f t="shared" si="115"/>
        <v>n.a.</v>
      </c>
      <c r="CE96" s="92" t="str">
        <f t="shared" si="115"/>
        <v>n.a.</v>
      </c>
      <c r="CF96" s="92" t="str">
        <f t="shared" si="115"/>
        <v>n.a.</v>
      </c>
      <c r="CG96" s="92" t="str">
        <f t="shared" si="115"/>
        <v>n.a.</v>
      </c>
      <c r="CH96" s="92" t="str">
        <f t="shared" si="115"/>
        <v>n.a.</v>
      </c>
      <c r="CI96" s="92" t="str">
        <f t="shared" si="115"/>
        <v>n.a.</v>
      </c>
      <c r="CJ96" s="92" t="str">
        <f t="shared" si="115"/>
        <v>n.a.</v>
      </c>
      <c r="CK96" s="92" t="str">
        <f t="shared" si="115"/>
        <v>n.a.</v>
      </c>
      <c r="CL96" s="92" t="str">
        <f t="shared" si="115"/>
        <v>n.a.</v>
      </c>
      <c r="CM96" s="92" t="str">
        <f t="shared" si="115"/>
        <v>n.a.</v>
      </c>
      <c r="CN96" s="92" t="str">
        <f t="shared" si="115"/>
        <v>n.a.</v>
      </c>
      <c r="CO96" s="92" t="str">
        <f t="shared" si="115"/>
        <v>n.a.</v>
      </c>
      <c r="CP96" s="92" t="str">
        <f t="shared" si="115"/>
        <v>n.a.</v>
      </c>
      <c r="CQ96" s="23" t="s">
        <v>77</v>
      </c>
    </row>
    <row r="97" spans="1:95" outlineLevel="1" x14ac:dyDescent="0.2">
      <c r="B97" s="8" t="s">
        <v>594</v>
      </c>
      <c r="K97" s="93"/>
      <c r="L97" s="93"/>
      <c r="M97" s="93"/>
      <c r="N97" s="93"/>
      <c r="O97" s="93"/>
      <c r="P97" s="93"/>
      <c r="Q97" s="93"/>
      <c r="R97" s="93"/>
      <c r="S97" s="93"/>
      <c r="T97" s="92" t="str">
        <f t="shared" si="114"/>
        <v>n.a.</v>
      </c>
      <c r="U97" s="92" t="str">
        <f t="shared" si="114"/>
        <v>n.a.</v>
      </c>
      <c r="V97" s="92" t="str">
        <f t="shared" si="114"/>
        <v>n.a.</v>
      </c>
      <c r="W97" s="92" t="str">
        <f t="shared" si="114"/>
        <v>n.a.</v>
      </c>
      <c r="X97" s="92" t="str">
        <f t="shared" si="114"/>
        <v>n.a.</v>
      </c>
      <c r="Y97" s="92">
        <f t="shared" si="114"/>
        <v>2.4999999999999911E-2</v>
      </c>
      <c r="Z97" s="92">
        <f t="shared" si="114"/>
        <v>2.4999999999999911E-2</v>
      </c>
      <c r="AA97" s="92">
        <f t="shared" si="114"/>
        <v>2.4999999999999911E-2</v>
      </c>
      <c r="AB97" s="92">
        <f t="shared" si="114"/>
        <v>2.4999999999999911E-2</v>
      </c>
      <c r="AC97" s="92">
        <f t="shared" si="114"/>
        <v>2.4999999999999911E-2</v>
      </c>
      <c r="AD97" s="92">
        <f t="shared" si="114"/>
        <v>2.3333333333333428E-2</v>
      </c>
      <c r="AE97" s="92">
        <f t="shared" si="114"/>
        <v>2.3332654723126955E-2</v>
      </c>
      <c r="AF97" s="92">
        <f t="shared" si="114"/>
        <v>2.3331974730484317E-2</v>
      </c>
      <c r="AG97" s="92">
        <f t="shared" si="114"/>
        <v>2.3331293351684268E-2</v>
      </c>
      <c r="AH97" s="92">
        <f t="shared" si="114"/>
        <v>2.333061058299335E-2</v>
      </c>
      <c r="AI97" s="92">
        <f t="shared" si="114"/>
        <v>2.3329926420664115E-2</v>
      </c>
      <c r="AJ97" s="92">
        <f t="shared" si="114"/>
        <v>-0.72028024459747697</v>
      </c>
      <c r="AK97" s="92">
        <f t="shared" si="114"/>
        <v>2.3333333333333206E-2</v>
      </c>
      <c r="AL97" s="92">
        <f t="shared" si="114"/>
        <v>2.3332654723127177E-2</v>
      </c>
      <c r="AM97" s="92">
        <f t="shared" si="114"/>
        <v>2.3331974730484317E-2</v>
      </c>
      <c r="AN97" s="92">
        <f t="shared" si="114"/>
        <v>2.3331293351684268E-2</v>
      </c>
      <c r="AO97" s="92">
        <f t="shared" si="114"/>
        <v>2.333061058299335E-2</v>
      </c>
      <c r="AP97" s="92">
        <f t="shared" si="114"/>
        <v>2.3329926420663671E-2</v>
      </c>
      <c r="AQ97" s="92">
        <f t="shared" si="114"/>
        <v>2.3329240860935574E-2</v>
      </c>
      <c r="AR97" s="92">
        <f t="shared" si="114"/>
        <v>2.3328553900034965E-2</v>
      </c>
      <c r="AS97" s="92">
        <f t="shared" si="114"/>
        <v>2.3327865534174874E-2</v>
      </c>
      <c r="AT97" s="92">
        <f t="shared" si="114"/>
        <v>2.3327175759555008E-2</v>
      </c>
      <c r="AU97" s="92">
        <f t="shared" si="114"/>
        <v>2.3326484572361306E-2</v>
      </c>
      <c r="AV97" s="92">
        <f t="shared" si="114"/>
        <v>2.3325791968766385E-2</v>
      </c>
      <c r="AW97" s="92">
        <f t="shared" si="114"/>
        <v>-1</v>
      </c>
      <c r="AX97" s="92" t="str">
        <f t="shared" si="114"/>
        <v>n.a.</v>
      </c>
      <c r="AY97" s="92" t="str">
        <f t="shared" si="114"/>
        <v>n.a.</v>
      </c>
      <c r="AZ97" s="92" t="str">
        <f t="shared" si="114"/>
        <v>n.a.</v>
      </c>
      <c r="BA97" s="92" t="str">
        <f t="shared" si="114"/>
        <v>n.a.</v>
      </c>
      <c r="BB97" s="92" t="str">
        <f t="shared" si="114"/>
        <v>n.a.</v>
      </c>
      <c r="BC97" s="92" t="str">
        <f t="shared" si="114"/>
        <v>n.a.</v>
      </c>
      <c r="BD97" s="92" t="str">
        <f t="shared" si="114"/>
        <v>n.a.</v>
      </c>
      <c r="BE97" s="92" t="str">
        <f t="shared" ref="BE97:CO97" si="116">IF(ISERROR(+BE83/BD83-1),"n.a.",+BE83/BD83-1)</f>
        <v>n.a.</v>
      </c>
      <c r="BF97" s="92" t="str">
        <f t="shared" si="116"/>
        <v>n.a.</v>
      </c>
      <c r="BG97" s="92" t="str">
        <f t="shared" si="116"/>
        <v>n.a.</v>
      </c>
      <c r="BH97" s="92" t="str">
        <f t="shared" si="116"/>
        <v>n.a.</v>
      </c>
      <c r="BI97" s="92" t="str">
        <f t="shared" si="116"/>
        <v>n.a.</v>
      </c>
      <c r="BJ97" s="92" t="str">
        <f t="shared" si="116"/>
        <v>n.a.</v>
      </c>
      <c r="BK97" s="92" t="str">
        <f t="shared" si="116"/>
        <v>n.a.</v>
      </c>
      <c r="BL97" s="92" t="str">
        <f t="shared" si="116"/>
        <v>n.a.</v>
      </c>
      <c r="BM97" s="92" t="str">
        <f t="shared" si="116"/>
        <v>n.a.</v>
      </c>
      <c r="BN97" s="92" t="str">
        <f t="shared" si="116"/>
        <v>n.a.</v>
      </c>
      <c r="BO97" s="92" t="str">
        <f t="shared" si="116"/>
        <v>n.a.</v>
      </c>
      <c r="BP97" s="92" t="str">
        <f t="shared" si="116"/>
        <v>n.a.</v>
      </c>
      <c r="BQ97" s="92" t="str">
        <f t="shared" si="116"/>
        <v>n.a.</v>
      </c>
      <c r="BR97" s="92" t="str">
        <f t="shared" si="116"/>
        <v>n.a.</v>
      </c>
      <c r="BS97" s="92" t="str">
        <f t="shared" si="116"/>
        <v>n.a.</v>
      </c>
      <c r="BT97" s="92" t="str">
        <f t="shared" si="116"/>
        <v>n.a.</v>
      </c>
      <c r="BU97" s="92" t="str">
        <f t="shared" si="116"/>
        <v>n.a.</v>
      </c>
      <c r="BV97" s="92" t="str">
        <f t="shared" si="116"/>
        <v>n.a.</v>
      </c>
      <c r="BW97" s="92" t="str">
        <f t="shared" si="116"/>
        <v>n.a.</v>
      </c>
      <c r="BX97" s="92" t="str">
        <f t="shared" si="116"/>
        <v>n.a.</v>
      </c>
      <c r="BY97" s="92" t="str">
        <f t="shared" si="116"/>
        <v>n.a.</v>
      </c>
      <c r="BZ97" s="92" t="str">
        <f t="shared" si="116"/>
        <v>n.a.</v>
      </c>
      <c r="CA97" s="92" t="str">
        <f t="shared" si="116"/>
        <v>n.a.</v>
      </c>
      <c r="CB97" s="92" t="str">
        <f t="shared" si="116"/>
        <v>n.a.</v>
      </c>
      <c r="CC97" s="92" t="str">
        <f t="shared" si="116"/>
        <v>n.a.</v>
      </c>
      <c r="CD97" s="92" t="str">
        <f t="shared" si="116"/>
        <v>n.a.</v>
      </c>
      <c r="CE97" s="92" t="str">
        <f t="shared" si="116"/>
        <v>n.a.</v>
      </c>
      <c r="CF97" s="92" t="str">
        <f t="shared" si="116"/>
        <v>n.a.</v>
      </c>
      <c r="CG97" s="92" t="str">
        <f t="shared" si="116"/>
        <v>n.a.</v>
      </c>
      <c r="CH97" s="92" t="str">
        <f t="shared" si="116"/>
        <v>n.a.</v>
      </c>
      <c r="CI97" s="92" t="str">
        <f t="shared" si="116"/>
        <v>n.a.</v>
      </c>
      <c r="CJ97" s="92" t="str">
        <f t="shared" si="116"/>
        <v>n.a.</v>
      </c>
      <c r="CK97" s="92" t="str">
        <f t="shared" si="116"/>
        <v>n.a.</v>
      </c>
      <c r="CL97" s="92" t="str">
        <f t="shared" si="116"/>
        <v>n.a.</v>
      </c>
      <c r="CM97" s="92" t="str">
        <f t="shared" si="116"/>
        <v>n.a.</v>
      </c>
      <c r="CN97" s="92" t="str">
        <f t="shared" si="116"/>
        <v>n.a.</v>
      </c>
      <c r="CO97" s="92" t="str">
        <f t="shared" si="116"/>
        <v>n.a.</v>
      </c>
      <c r="CP97" s="92" t="str">
        <f t="shared" si="115"/>
        <v>n.a.</v>
      </c>
      <c r="CQ97" s="23"/>
    </row>
    <row r="98" spans="1:95" outlineLevel="1" x14ac:dyDescent="0.2">
      <c r="B98" s="8" t="s">
        <v>566</v>
      </c>
      <c r="K98" s="93"/>
      <c r="L98" s="93"/>
      <c r="M98" s="93"/>
      <c r="N98" s="93"/>
      <c r="O98" s="93"/>
      <c r="P98" s="93"/>
      <c r="Q98" s="93"/>
      <c r="R98" s="93"/>
      <c r="S98" s="93" t="str">
        <f t="shared" ref="S98:BD98" si="117">IF(ISERROR(+S84/R84-1),"n.a.",+S84/R84-1)</f>
        <v>n.a.</v>
      </c>
      <c r="T98" s="93" t="str">
        <f t="shared" si="117"/>
        <v>n.a.</v>
      </c>
      <c r="U98" s="93" t="str">
        <f t="shared" si="117"/>
        <v>n.a.</v>
      </c>
      <c r="V98" s="93" t="str">
        <f t="shared" si="117"/>
        <v>n.a.</v>
      </c>
      <c r="W98" s="93" t="str">
        <f t="shared" si="117"/>
        <v>n.a.</v>
      </c>
      <c r="X98" s="93" t="str">
        <f t="shared" si="117"/>
        <v>n.a.</v>
      </c>
      <c r="Y98" s="93" t="str">
        <f t="shared" si="117"/>
        <v>n.a.</v>
      </c>
      <c r="Z98" s="93">
        <f t="shared" si="117"/>
        <v>0.36666666666666625</v>
      </c>
      <c r="AA98" s="93">
        <f t="shared" si="117"/>
        <v>2.857142857142847E-2</v>
      </c>
      <c r="AB98" s="93">
        <f t="shared" si="117"/>
        <v>2.847222222222201E-2</v>
      </c>
      <c r="AC98" s="93">
        <f t="shared" si="117"/>
        <v>2.8376097231600061E-2</v>
      </c>
      <c r="AD98" s="93">
        <f t="shared" si="117"/>
        <v>2.6868793191181739E-2</v>
      </c>
      <c r="AE98" s="93">
        <f t="shared" si="117"/>
        <v>2.6787187625002984E-2</v>
      </c>
      <c r="AF98" s="93">
        <f t="shared" si="117"/>
        <v>2.6707952399102286E-2</v>
      </c>
      <c r="AG98" s="93">
        <f t="shared" si="117"/>
        <v>2.6631006611656849E-2</v>
      </c>
      <c r="AH98" s="93">
        <f t="shared" si="117"/>
        <v>2.6556272743666121E-2</v>
      </c>
      <c r="AI98" s="93">
        <f t="shared" si="117"/>
        <v>2.6483676485328678E-2</v>
      </c>
      <c r="AJ98" s="93">
        <f t="shared" si="117"/>
        <v>2.6413146573054824E-2</v>
      </c>
      <c r="AK98" s="93">
        <f t="shared" si="117"/>
        <v>-0.20459110011080606</v>
      </c>
      <c r="AL98" s="93">
        <f t="shared" si="117"/>
        <v>1.8280880000900224E-2</v>
      </c>
      <c r="AM98" s="93">
        <f t="shared" si="117"/>
        <v>2.715706806282725E-2</v>
      </c>
      <c r="AN98" s="93">
        <f t="shared" si="117"/>
        <v>2.7066988383531942E-2</v>
      </c>
      <c r="AO98" s="93">
        <f t="shared" si="117"/>
        <v>2.6979573553671088E-2</v>
      </c>
      <c r="AP98" s="93">
        <f t="shared" si="117"/>
        <v>2.6894730077245521E-2</v>
      </c>
      <c r="AQ98" s="93">
        <f t="shared" si="117"/>
        <v>2.6812368502961315E-2</v>
      </c>
      <c r="AR98" s="93">
        <f t="shared" si="117"/>
        <v>2.6732403209094535E-2</v>
      </c>
      <c r="AS98" s="93">
        <f t="shared" si="117"/>
        <v>2.6654752202008192E-2</v>
      </c>
      <c r="AT98" s="93">
        <f t="shared" si="117"/>
        <v>2.6579336927314401E-2</v>
      </c>
      <c r="AU98" s="93">
        <f t="shared" si="117"/>
        <v>2.6506082092771388E-2</v>
      </c>
      <c r="AV98" s="93">
        <f t="shared" si="117"/>
        <v>2.6434915502061562E-2</v>
      </c>
      <c r="AW98" s="93">
        <f t="shared" si="117"/>
        <v>-1.1101375957341835</v>
      </c>
      <c r="AX98" s="93">
        <f t="shared" si="117"/>
        <v>0</v>
      </c>
      <c r="AY98" s="93">
        <f t="shared" si="117"/>
        <v>0</v>
      </c>
      <c r="AZ98" s="93">
        <f t="shared" si="117"/>
        <v>0</v>
      </c>
      <c r="BA98" s="93">
        <f t="shared" si="117"/>
        <v>0</v>
      </c>
      <c r="BB98" s="93">
        <f t="shared" si="117"/>
        <v>0</v>
      </c>
      <c r="BC98" s="93">
        <f t="shared" si="117"/>
        <v>0</v>
      </c>
      <c r="BD98" s="93">
        <f t="shared" si="117"/>
        <v>0</v>
      </c>
      <c r="BE98" s="93">
        <f t="shared" ref="BE98:CP98" si="118">IF(ISERROR(+BE84/BD84-1),"n.a.",+BE84/BD84-1)</f>
        <v>0</v>
      </c>
      <c r="BF98" s="93">
        <f t="shared" si="118"/>
        <v>0</v>
      </c>
      <c r="BG98" s="93">
        <f t="shared" si="118"/>
        <v>0</v>
      </c>
      <c r="BH98" s="93">
        <f t="shared" si="118"/>
        <v>0</v>
      </c>
      <c r="BI98" s="93">
        <f t="shared" si="118"/>
        <v>0</v>
      </c>
      <c r="BJ98" s="93">
        <f t="shared" si="118"/>
        <v>0</v>
      </c>
      <c r="BK98" s="93">
        <f t="shared" si="118"/>
        <v>0</v>
      </c>
      <c r="BL98" s="93">
        <f t="shared" si="118"/>
        <v>0</v>
      </c>
      <c r="BM98" s="93">
        <f t="shared" si="118"/>
        <v>0</v>
      </c>
      <c r="BN98" s="93">
        <f t="shared" si="118"/>
        <v>0</v>
      </c>
      <c r="BO98" s="93">
        <f t="shared" si="118"/>
        <v>0</v>
      </c>
      <c r="BP98" s="93">
        <f t="shared" si="118"/>
        <v>0</v>
      </c>
      <c r="BQ98" s="93">
        <f t="shared" si="118"/>
        <v>0</v>
      </c>
      <c r="BR98" s="93">
        <f t="shared" si="118"/>
        <v>0</v>
      </c>
      <c r="BS98" s="93">
        <f t="shared" si="118"/>
        <v>0</v>
      </c>
      <c r="BT98" s="93">
        <f t="shared" si="118"/>
        <v>0</v>
      </c>
      <c r="BU98" s="93">
        <f t="shared" si="118"/>
        <v>0</v>
      </c>
      <c r="BV98" s="93">
        <f t="shared" si="118"/>
        <v>0</v>
      </c>
      <c r="BW98" s="93">
        <f t="shared" si="118"/>
        <v>0</v>
      </c>
      <c r="BX98" s="93">
        <f t="shared" si="118"/>
        <v>0</v>
      </c>
      <c r="BY98" s="93">
        <f t="shared" si="118"/>
        <v>0</v>
      </c>
      <c r="BZ98" s="93">
        <f t="shared" si="118"/>
        <v>0</v>
      </c>
      <c r="CA98" s="93">
        <f t="shared" si="118"/>
        <v>0</v>
      </c>
      <c r="CB98" s="93">
        <f t="shared" si="118"/>
        <v>0</v>
      </c>
      <c r="CC98" s="93">
        <f t="shared" si="118"/>
        <v>0</v>
      </c>
      <c r="CD98" s="93">
        <f t="shared" si="118"/>
        <v>0</v>
      </c>
      <c r="CE98" s="93">
        <f t="shared" si="118"/>
        <v>0</v>
      </c>
      <c r="CF98" s="93">
        <f t="shared" si="118"/>
        <v>0</v>
      </c>
      <c r="CG98" s="93">
        <f t="shared" si="118"/>
        <v>0</v>
      </c>
      <c r="CH98" s="93">
        <f t="shared" si="118"/>
        <v>0</v>
      </c>
      <c r="CI98" s="93">
        <f t="shared" si="118"/>
        <v>0</v>
      </c>
      <c r="CJ98" s="93">
        <f t="shared" si="118"/>
        <v>0</v>
      </c>
      <c r="CK98" s="93">
        <f t="shared" si="118"/>
        <v>0</v>
      </c>
      <c r="CL98" s="93">
        <f t="shared" si="118"/>
        <v>0</v>
      </c>
      <c r="CM98" s="93">
        <f t="shared" si="118"/>
        <v>0</v>
      </c>
      <c r="CN98" s="93">
        <f t="shared" si="118"/>
        <v>0</v>
      </c>
      <c r="CO98" s="93">
        <f t="shared" si="118"/>
        <v>0</v>
      </c>
      <c r="CP98" s="93">
        <f t="shared" si="118"/>
        <v>0</v>
      </c>
      <c r="CQ98" s="23" t="s">
        <v>77</v>
      </c>
    </row>
    <row r="99" spans="1:95" outlineLevel="1" x14ac:dyDescent="0.2">
      <c r="B99" s="8" t="s">
        <v>340</v>
      </c>
      <c r="K99" s="93" t="str">
        <f t="shared" ref="K99:R102" si="119">IF(ISERROR(+K85/J85-1),"n.a.",+K85/J85-1)</f>
        <v>n.a.</v>
      </c>
      <c r="L99" s="93" t="str">
        <f t="shared" si="119"/>
        <v>n.a.</v>
      </c>
      <c r="M99" s="93" t="str">
        <f t="shared" si="119"/>
        <v>n.a.</v>
      </c>
      <c r="N99" s="93" t="str">
        <f t="shared" si="119"/>
        <v>n.a.</v>
      </c>
      <c r="O99" s="93">
        <f t="shared" si="119"/>
        <v>6.7796610169491345E-2</v>
      </c>
      <c r="P99" s="93">
        <f t="shared" si="119"/>
        <v>-0.24603174603174605</v>
      </c>
      <c r="Q99" s="93">
        <f t="shared" si="119"/>
        <v>-0.10526315789473684</v>
      </c>
      <c r="R99" s="93">
        <f t="shared" si="119"/>
        <v>-5.8823529411764719E-2</v>
      </c>
      <c r="S99" s="93">
        <f t="shared" ref="S99:BD99" si="120">IF(ISERROR(+S85/R85-1),"n.a.",+S85/R85-1)</f>
        <v>-2.5000000000000022E-2</v>
      </c>
      <c r="T99" s="92">
        <f t="shared" si="120"/>
        <v>0.46610576923120361</v>
      </c>
      <c r="U99" s="92">
        <f t="shared" si="120"/>
        <v>-0.30043176477038813</v>
      </c>
      <c r="V99" s="92">
        <f t="shared" si="120"/>
        <v>-0.19999999999999996</v>
      </c>
      <c r="W99" s="92">
        <f t="shared" si="120"/>
        <v>-0.140625</v>
      </c>
      <c r="X99" s="92">
        <f t="shared" si="120"/>
        <v>2.4999999999999911E-2</v>
      </c>
      <c r="Y99" s="92">
        <f t="shared" si="120"/>
        <v>2.4999999999999911E-2</v>
      </c>
      <c r="Z99" s="92">
        <f t="shared" si="120"/>
        <v>2.4999999999999911E-2</v>
      </c>
      <c r="AA99" s="92">
        <f t="shared" si="120"/>
        <v>2.4999999999999911E-2</v>
      </c>
      <c r="AB99" s="92">
        <f t="shared" si="120"/>
        <v>2.4999999999999911E-2</v>
      </c>
      <c r="AC99" s="92">
        <f t="shared" si="120"/>
        <v>2.4999999999999911E-2</v>
      </c>
      <c r="AD99" s="92">
        <f t="shared" si="120"/>
        <v>2.2864908313170229E-2</v>
      </c>
      <c r="AE99" s="92">
        <f t="shared" si="120"/>
        <v>2.2863060804386715E-2</v>
      </c>
      <c r="AF99" s="92">
        <f t="shared" si="120"/>
        <v>2.2861207833833941E-2</v>
      </c>
      <c r="AG99" s="92">
        <f t="shared" si="120"/>
        <v>2.285934937864198E-2</v>
      </c>
      <c r="AH99" s="92">
        <f t="shared" si="120"/>
        <v>2.285748541581345E-2</v>
      </c>
      <c r="AI99" s="92">
        <f t="shared" si="120"/>
        <v>2.2855615922222849E-2</v>
      </c>
      <c r="AJ99" s="92">
        <f t="shared" si="120"/>
        <v>2.2853740874615003E-2</v>
      </c>
      <c r="AK99" s="92">
        <f t="shared" si="120"/>
        <v>2.285186024960506E-2</v>
      </c>
      <c r="AL99" s="92">
        <f t="shared" si="120"/>
        <v>2.2849974023676944E-2</v>
      </c>
      <c r="AM99" s="92">
        <f t="shared" si="120"/>
        <v>2.2848082173183126E-2</v>
      </c>
      <c r="AN99" s="92">
        <f t="shared" si="120"/>
        <v>2.2846184674342629E-2</v>
      </c>
      <c r="AO99" s="92">
        <f t="shared" si="120"/>
        <v>2.284428150324147E-2</v>
      </c>
      <c r="AP99" s="92">
        <f t="shared" si="120"/>
        <v>2.2842372635829333E-2</v>
      </c>
      <c r="AQ99" s="92">
        <f t="shared" si="120"/>
        <v>2.2840458047922452E-2</v>
      </c>
      <c r="AR99" s="92">
        <f t="shared" si="120"/>
        <v>2.2838537715198726E-2</v>
      </c>
      <c r="AS99" s="92">
        <f t="shared" si="120"/>
        <v>2.2836611613199498E-2</v>
      </c>
      <c r="AT99" s="92">
        <f t="shared" si="120"/>
        <v>2.2834679717326223E-2</v>
      </c>
      <c r="AU99" s="92">
        <f t="shared" si="120"/>
        <v>2.2832742002843132E-2</v>
      </c>
      <c r="AV99" s="92">
        <f t="shared" si="120"/>
        <v>2.2830798444871014E-2</v>
      </c>
      <c r="AW99" s="92">
        <f t="shared" si="120"/>
        <v>2.2828849018390995E-2</v>
      </c>
      <c r="AX99" s="92">
        <f t="shared" si="120"/>
        <v>2.2826893698241646E-2</v>
      </c>
      <c r="AY99" s="92">
        <f t="shared" si="120"/>
        <v>2.2824932459116987E-2</v>
      </c>
      <c r="AZ99" s="92">
        <f t="shared" si="120"/>
        <v>2.2822965275567375E-2</v>
      </c>
      <c r="BA99" s="92">
        <f t="shared" si="120"/>
        <v>2.2820992121996841E-2</v>
      </c>
      <c r="BB99" s="92">
        <f t="shared" si="120"/>
        <v>2.2819012972663533E-2</v>
      </c>
      <c r="BC99" s="92">
        <f t="shared" si="120"/>
        <v>2.2817027801676826E-2</v>
      </c>
      <c r="BD99" s="92">
        <f t="shared" si="120"/>
        <v>2.2815036582997772E-2</v>
      </c>
      <c r="BE99" s="92">
        <f t="shared" ref="BE99:CP99" si="121">IF(ISERROR(+BE85/BD85-1),"n.a.",+BE85/BD85-1)</f>
        <v>2.2813039290438208E-2</v>
      </c>
      <c r="BF99" s="92">
        <f t="shared" si="121"/>
        <v>2.2811035897658316E-2</v>
      </c>
      <c r="BG99" s="92">
        <f t="shared" si="121"/>
        <v>2.2809026378166175E-2</v>
      </c>
      <c r="BH99" s="92">
        <f t="shared" si="121"/>
        <v>2.2807010705316877E-2</v>
      </c>
      <c r="BI99" s="92">
        <f t="shared" si="121"/>
        <v>2.2804988852311858E-2</v>
      </c>
      <c r="BJ99" s="92">
        <f t="shared" si="121"/>
        <v>2.2802960792196458E-2</v>
      </c>
      <c r="BK99" s="92">
        <f t="shared" si="121"/>
        <v>2.2800926497859475E-2</v>
      </c>
      <c r="BL99" s="92">
        <f t="shared" si="121"/>
        <v>2.2798885942032943E-2</v>
      </c>
      <c r="BM99" s="92">
        <f t="shared" si="121"/>
        <v>2.2796839097288801E-2</v>
      </c>
      <c r="BN99" s="92">
        <f t="shared" si="121"/>
        <v>2.2794785936040673E-2</v>
      </c>
      <c r="BO99" s="92">
        <f t="shared" si="121"/>
        <v>2.2792726430539645E-2</v>
      </c>
      <c r="BP99" s="92">
        <f t="shared" si="121"/>
        <v>2.2790660552875819E-2</v>
      </c>
      <c r="BQ99" s="92">
        <f t="shared" si="121"/>
        <v>2.2788588274974098E-2</v>
      </c>
      <c r="BR99" s="92">
        <f t="shared" si="121"/>
        <v>2.2786509568596625E-2</v>
      </c>
      <c r="BS99" s="92">
        <f t="shared" si="121"/>
        <v>2.2784424405338344E-2</v>
      </c>
      <c r="BT99" s="92">
        <f t="shared" si="121"/>
        <v>2.278233275662811E-2</v>
      </c>
      <c r="BU99" s="92">
        <f t="shared" si="121"/>
        <v>2.2780234593725357E-2</v>
      </c>
      <c r="BV99" s="92">
        <f t="shared" si="121"/>
        <v>2.2778129887720988E-2</v>
      </c>
      <c r="BW99" s="92">
        <f t="shared" si="121"/>
        <v>2.2776018609534043E-2</v>
      </c>
      <c r="BX99" s="92">
        <f t="shared" si="121"/>
        <v>2.2773900729913032E-2</v>
      </c>
      <c r="BY99" s="92">
        <f t="shared" si="121"/>
        <v>2.277177621943105E-2</v>
      </c>
      <c r="BZ99" s="92">
        <f t="shared" si="121"/>
        <v>2.2769645048488441E-2</v>
      </c>
      <c r="CA99" s="92">
        <f t="shared" si="121"/>
        <v>2.2767507187307912E-2</v>
      </c>
      <c r="CB99" s="92">
        <f t="shared" si="121"/>
        <v>2.2765362605936978E-2</v>
      </c>
      <c r="CC99" s="92">
        <f t="shared" si="121"/>
        <v>2.2763211274242856E-2</v>
      </c>
      <c r="CD99" s="92">
        <f t="shared" si="121"/>
        <v>2.2761053161913125E-2</v>
      </c>
      <c r="CE99" s="92">
        <f t="shared" si="121"/>
        <v>2.2758888238454622E-2</v>
      </c>
      <c r="CF99" s="92">
        <f t="shared" si="121"/>
        <v>2.2756716473191885E-2</v>
      </c>
      <c r="CG99" s="92">
        <f t="shared" si="121"/>
        <v>2.2754537835264266E-2</v>
      </c>
      <c r="CH99" s="92">
        <f t="shared" si="121"/>
        <v>2.2752352293626821E-2</v>
      </c>
      <c r="CI99" s="92">
        <f t="shared" si="121"/>
        <v>2.2750159817047644E-2</v>
      </c>
      <c r="CJ99" s="92">
        <f t="shared" si="121"/>
        <v>2.2747960374105647E-2</v>
      </c>
      <c r="CK99" s="92">
        <f t="shared" si="121"/>
        <v>2.2745753933192114E-2</v>
      </c>
      <c r="CL99" s="92">
        <f t="shared" si="121"/>
        <v>2.2743540462505152E-2</v>
      </c>
      <c r="CM99" s="92">
        <f t="shared" si="121"/>
        <v>2.2741319930052573E-2</v>
      </c>
      <c r="CN99" s="92">
        <f t="shared" si="121"/>
        <v>2.2739092303646347E-2</v>
      </c>
      <c r="CO99" s="92">
        <f t="shared" si="121"/>
        <v>2.2736857550904377E-2</v>
      </c>
      <c r="CP99" s="92">
        <f t="shared" si="121"/>
        <v>2.2734615639246725E-2</v>
      </c>
      <c r="CQ99" s="23" t="s">
        <v>77</v>
      </c>
    </row>
    <row r="100" spans="1:95" outlineLevel="1" x14ac:dyDescent="0.2">
      <c r="B100" s="12" t="s">
        <v>450</v>
      </c>
      <c r="K100" s="93" t="str">
        <f t="shared" si="119"/>
        <v>n.a.</v>
      </c>
      <c r="L100" s="93" t="str">
        <f t="shared" si="119"/>
        <v>n.a.</v>
      </c>
      <c r="M100" s="93" t="str">
        <f t="shared" si="119"/>
        <v>n.a.</v>
      </c>
      <c r="N100" s="93" t="str">
        <f t="shared" si="119"/>
        <v>n.a.</v>
      </c>
      <c r="O100" s="93" t="str">
        <f t="shared" si="119"/>
        <v>n.a.</v>
      </c>
      <c r="P100" s="93" t="str">
        <f t="shared" si="119"/>
        <v>n.a.</v>
      </c>
      <c r="Q100" s="93" t="str">
        <f t="shared" si="119"/>
        <v>n.a.</v>
      </c>
      <c r="R100" s="93" t="str">
        <f t="shared" si="119"/>
        <v>n.a.</v>
      </c>
      <c r="S100" s="93" t="str">
        <f t="shared" ref="S100:BD100" si="122">IF(ISERROR(+S86/R86-1),"n.a.",+S86/R86-1)</f>
        <v>n.a.</v>
      </c>
      <c r="T100" s="93" t="str">
        <f t="shared" si="122"/>
        <v>n.a.</v>
      </c>
      <c r="U100" s="93">
        <f t="shared" si="122"/>
        <v>0.27636703095667703</v>
      </c>
      <c r="V100" s="93">
        <f t="shared" si="122"/>
        <v>0.13475177304964547</v>
      </c>
      <c r="W100" s="93">
        <f t="shared" si="122"/>
        <v>7.4999999999999956E-2</v>
      </c>
      <c r="X100" s="93">
        <f t="shared" si="122"/>
        <v>2.4593155826904134E-2</v>
      </c>
      <c r="Y100" s="93">
        <f t="shared" si="122"/>
        <v>2.4602921246562826E-2</v>
      </c>
      <c r="Z100" s="93">
        <f t="shared" si="122"/>
        <v>2.4612455962009117E-2</v>
      </c>
      <c r="AA100" s="93">
        <f t="shared" si="122"/>
        <v>2.4621765248181493E-2</v>
      </c>
      <c r="AB100" s="93">
        <f t="shared" si="122"/>
        <v>2.4630854267743363E-2</v>
      </c>
      <c r="AC100" s="93">
        <f t="shared" si="122"/>
        <v>2.4639728073072353E-2</v>
      </c>
      <c r="AD100" s="93">
        <f t="shared" si="122"/>
        <v>2.3415972027822196E-2</v>
      </c>
      <c r="AE100" s="93">
        <f t="shared" si="122"/>
        <v>2.3423614657863689E-2</v>
      </c>
      <c r="AF100" s="93">
        <f t="shared" si="122"/>
        <v>2.3431084804511615E-2</v>
      </c>
      <c r="AG100" s="93">
        <f t="shared" si="122"/>
        <v>2.3438386252651933E-2</v>
      </c>
      <c r="AH100" s="93">
        <f t="shared" si="122"/>
        <v>2.3445522709003352E-2</v>
      </c>
      <c r="AI100" s="93">
        <f t="shared" si="122"/>
        <v>2.3452497803507333E-2</v>
      </c>
      <c r="AJ100" s="93">
        <f t="shared" si="122"/>
        <v>2.3459315090704091E-2</v>
      </c>
      <c r="AK100" s="93">
        <f t="shared" si="122"/>
        <v>2.3465978051095959E-2</v>
      </c>
      <c r="AL100" s="93">
        <f t="shared" si="122"/>
        <v>2.3472490092494525E-2</v>
      </c>
      <c r="AM100" s="93">
        <f t="shared" si="122"/>
        <v>2.3478854551351569E-2</v>
      </c>
      <c r="AN100" s="93">
        <f t="shared" si="122"/>
        <v>2.3485074694076236E-2</v>
      </c>
      <c r="AO100" s="93">
        <f t="shared" si="122"/>
        <v>2.3491153718335545E-2</v>
      </c>
      <c r="AP100" s="93">
        <f t="shared" si="122"/>
        <v>2.3497094754337366E-2</v>
      </c>
      <c r="AQ100" s="93">
        <f t="shared" si="122"/>
        <v>2.3502900866100518E-2</v>
      </c>
      <c r="AR100" s="93">
        <f t="shared" si="122"/>
        <v>2.3508575052703318E-2</v>
      </c>
      <c r="AS100" s="93">
        <f t="shared" si="122"/>
        <v>2.351412024952082E-2</v>
      </c>
      <c r="AT100" s="93">
        <f t="shared" si="122"/>
        <v>2.3519539329441175E-2</v>
      </c>
      <c r="AU100" s="93">
        <f t="shared" si="122"/>
        <v>2.3524835104066666E-2</v>
      </c>
      <c r="AV100" s="93">
        <f t="shared" si="122"/>
        <v>2.3530010324898099E-2</v>
      </c>
      <c r="AW100" s="93">
        <f t="shared" si="122"/>
        <v>2.3535067684500977E-2</v>
      </c>
      <c r="AX100" s="93">
        <f t="shared" si="122"/>
        <v>2.3540009817655472E-2</v>
      </c>
      <c r="AY100" s="93">
        <f t="shared" si="122"/>
        <v>2.3544839302489073E-2</v>
      </c>
      <c r="AZ100" s="93">
        <f t="shared" si="122"/>
        <v>2.3549558661591696E-2</v>
      </c>
      <c r="BA100" s="93">
        <f t="shared" si="122"/>
        <v>2.3554170363113025E-2</v>
      </c>
      <c r="BB100" s="93">
        <f t="shared" si="122"/>
        <v>2.3558676821845648E-2</v>
      </c>
      <c r="BC100" s="93">
        <f t="shared" si="122"/>
        <v>2.3563080400287095E-2</v>
      </c>
      <c r="BD100" s="93">
        <f t="shared" si="122"/>
        <v>2.3567383409687004E-2</v>
      </c>
      <c r="BE100" s="93">
        <f t="shared" ref="BE100:CP100" si="123">IF(ISERROR(+BE86/BD86-1),"n.a.",+BE86/BD86-1)</f>
        <v>2.3571588111078068E-2</v>
      </c>
      <c r="BF100" s="93">
        <f t="shared" si="123"/>
        <v>2.3575696716288119E-2</v>
      </c>
      <c r="BG100" s="93">
        <f t="shared" si="123"/>
        <v>2.3579711388936886E-2</v>
      </c>
      <c r="BH100" s="93">
        <f t="shared" si="123"/>
        <v>2.3583634245414764E-2</v>
      </c>
      <c r="BI100" s="93">
        <f t="shared" si="123"/>
        <v>2.3587467355847602E-2</v>
      </c>
      <c r="BJ100" s="93">
        <f t="shared" si="123"/>
        <v>2.3591212745040391E-2</v>
      </c>
      <c r="BK100" s="93">
        <f t="shared" si="123"/>
        <v>2.3594872393410071E-2</v>
      </c>
      <c r="BL100" s="93">
        <f t="shared" si="123"/>
        <v>2.3598448237897918E-2</v>
      </c>
      <c r="BM100" s="93">
        <f t="shared" si="123"/>
        <v>2.3601942172867707E-2</v>
      </c>
      <c r="BN100" s="93">
        <f t="shared" si="123"/>
        <v>2.3605356050987902E-2</v>
      </c>
      <c r="BO100" s="93">
        <f t="shared" si="123"/>
        <v>2.3608691684097849E-2</v>
      </c>
      <c r="BP100" s="93">
        <f t="shared" si="123"/>
        <v>2.3611950844057761E-2</v>
      </c>
      <c r="BQ100" s="93">
        <f t="shared" si="123"/>
        <v>2.3615135263584497E-2</v>
      </c>
      <c r="BR100" s="93">
        <f t="shared" si="123"/>
        <v>2.3618246637071572E-2</v>
      </c>
      <c r="BS100" s="93">
        <f t="shared" si="123"/>
        <v>2.3621286621392734E-2</v>
      </c>
      <c r="BT100" s="93">
        <f t="shared" si="123"/>
        <v>2.3624256836694002E-2</v>
      </c>
      <c r="BU100" s="93">
        <f t="shared" si="123"/>
        <v>2.3627158867166154E-2</v>
      </c>
      <c r="BV100" s="93">
        <f t="shared" si="123"/>
        <v>2.3629994261807452E-2</v>
      </c>
      <c r="BW100" s="93">
        <f t="shared" si="123"/>
        <v>2.3632764535168604E-2</v>
      </c>
      <c r="BX100" s="93">
        <f t="shared" si="123"/>
        <v>2.3635471168085731E-2</v>
      </c>
      <c r="BY100" s="93">
        <f t="shared" si="123"/>
        <v>2.363811560839757E-2</v>
      </c>
      <c r="BZ100" s="93">
        <f t="shared" si="123"/>
        <v>2.3640699271650467E-2</v>
      </c>
      <c r="CA100" s="93">
        <f t="shared" si="123"/>
        <v>2.3643223541788494E-2</v>
      </c>
      <c r="CB100" s="93">
        <f t="shared" si="123"/>
        <v>2.364568977183068E-2</v>
      </c>
      <c r="CC100" s="93">
        <f t="shared" si="123"/>
        <v>2.3648099284536039E-2</v>
      </c>
      <c r="CD100" s="93">
        <f t="shared" si="123"/>
        <v>2.3650453373053715E-2</v>
      </c>
      <c r="CE100" s="93">
        <f t="shared" si="123"/>
        <v>2.3652753301560692E-2</v>
      </c>
      <c r="CF100" s="93">
        <f t="shared" si="123"/>
        <v>2.3655000305889073E-2</v>
      </c>
      <c r="CG100" s="93">
        <f t="shared" si="123"/>
        <v>2.3657195594138258E-2</v>
      </c>
      <c r="CH100" s="93">
        <f t="shared" si="123"/>
        <v>2.3659340347275126E-2</v>
      </c>
      <c r="CI100" s="93">
        <f t="shared" si="123"/>
        <v>2.3661435719724899E-2</v>
      </c>
      <c r="CJ100" s="93">
        <f t="shared" si="123"/>
        <v>2.3663482839946237E-2</v>
      </c>
      <c r="CK100" s="93">
        <f t="shared" si="123"/>
        <v>2.3665482810997673E-2</v>
      </c>
      <c r="CL100" s="93">
        <f t="shared" si="123"/>
        <v>2.3667436711092282E-2</v>
      </c>
      <c r="CM100" s="93">
        <f t="shared" si="123"/>
        <v>2.3669345594138358E-2</v>
      </c>
      <c r="CN100" s="93">
        <f t="shared" si="123"/>
        <v>2.3671210490273431E-2</v>
      </c>
      <c r="CO100" s="93">
        <f t="shared" si="123"/>
        <v>2.3673032406382744E-2</v>
      </c>
      <c r="CP100" s="93">
        <f t="shared" si="123"/>
        <v>2.3674812326611505E-2</v>
      </c>
      <c r="CQ100" s="23" t="s">
        <v>77</v>
      </c>
    </row>
    <row r="101" spans="1:95" outlineLevel="1" x14ac:dyDescent="0.2">
      <c r="B101" s="8" t="s">
        <v>334</v>
      </c>
      <c r="K101" s="93" t="str">
        <f t="shared" si="119"/>
        <v>n.a.</v>
      </c>
      <c r="L101" s="93" t="str">
        <f t="shared" si="119"/>
        <v>n.a.</v>
      </c>
      <c r="M101" s="93" t="str">
        <f t="shared" si="119"/>
        <v>n.a.</v>
      </c>
      <c r="N101" s="93" t="str">
        <f t="shared" si="119"/>
        <v>n.a.</v>
      </c>
      <c r="O101" s="93" t="str">
        <f t="shared" si="119"/>
        <v>n.a.</v>
      </c>
      <c r="P101" s="93" t="str">
        <f t="shared" si="119"/>
        <v>n.a.</v>
      </c>
      <c r="Q101" s="93" t="str">
        <f t="shared" si="119"/>
        <v>n.a.</v>
      </c>
      <c r="R101" s="93" t="str">
        <f t="shared" si="119"/>
        <v>n.a.</v>
      </c>
      <c r="S101" s="93" t="str">
        <f t="shared" ref="S101:BD101" si="124">IF(ISERROR(+S87/R87-1),"n.a.",+S87/R87-1)</f>
        <v>n.a.</v>
      </c>
      <c r="T101" s="92">
        <f t="shared" si="124"/>
        <v>0.46734068627435565</v>
      </c>
      <c r="U101" s="92">
        <f t="shared" si="124"/>
        <v>0.29085062847134302</v>
      </c>
      <c r="V101" s="92">
        <f t="shared" si="124"/>
        <v>-0.15527950310559013</v>
      </c>
      <c r="W101" s="92">
        <f t="shared" si="124"/>
        <v>-1.4705882352941124E-2</v>
      </c>
      <c r="X101" s="92">
        <f t="shared" si="124"/>
        <v>2.4999999999999911E-2</v>
      </c>
      <c r="Y101" s="92">
        <f t="shared" si="124"/>
        <v>2.4999999999999911E-2</v>
      </c>
      <c r="Z101" s="92">
        <f t="shared" si="124"/>
        <v>2.4999999999999911E-2</v>
      </c>
      <c r="AA101" s="92">
        <f t="shared" si="124"/>
        <v>2.4999999999999911E-2</v>
      </c>
      <c r="AB101" s="92">
        <f t="shared" si="124"/>
        <v>2.5000000000000133E-2</v>
      </c>
      <c r="AC101" s="92">
        <f t="shared" si="124"/>
        <v>2.4999999999999911E-2</v>
      </c>
      <c r="AD101" s="92">
        <f t="shared" si="124"/>
        <v>2.3475431783472889E-2</v>
      </c>
      <c r="AE101" s="92">
        <f t="shared" si="124"/>
        <v>-0.46715043129443024</v>
      </c>
      <c r="AF101" s="92">
        <f t="shared" si="124"/>
        <v>2.3221048378355036E-2</v>
      </c>
      <c r="AG101" s="92">
        <f t="shared" si="124"/>
        <v>2.3220128753659752E-2</v>
      </c>
      <c r="AH101" s="92">
        <f t="shared" si="124"/>
        <v>2.8568111599831303E-2</v>
      </c>
      <c r="AI101" s="92">
        <f t="shared" si="124"/>
        <v>2.4999999999999911E-2</v>
      </c>
      <c r="AJ101" s="92">
        <f t="shared" si="124"/>
        <v>2.3221048378355036E-2</v>
      </c>
      <c r="AK101" s="92">
        <f t="shared" si="124"/>
        <v>2.322012875365953E-2</v>
      </c>
      <c r="AL101" s="92">
        <f t="shared" si="124"/>
        <v>2.3219207053070123E-2</v>
      </c>
      <c r="AM101" s="92">
        <f t="shared" si="124"/>
        <v>2.3218283270239004E-2</v>
      </c>
      <c r="AN101" s="92">
        <f t="shared" si="124"/>
        <v>2.3217357398791494E-2</v>
      </c>
      <c r="AO101" s="92">
        <f t="shared" si="124"/>
        <v>2.3216429432328267E-2</v>
      </c>
      <c r="AP101" s="92">
        <f t="shared" si="124"/>
        <v>2.3215499364424241E-2</v>
      </c>
      <c r="AQ101" s="92">
        <f t="shared" si="124"/>
        <v>2.32145671886268E-2</v>
      </c>
      <c r="AR101" s="92">
        <f t="shared" si="124"/>
        <v>2.3213632898458902E-2</v>
      </c>
      <c r="AS101" s="92">
        <f t="shared" si="124"/>
        <v>2.3212696487416418E-2</v>
      </c>
      <c r="AT101" s="92">
        <f t="shared" si="124"/>
        <v>2.3211757948969236E-2</v>
      </c>
      <c r="AU101" s="92">
        <f t="shared" si="124"/>
        <v>2.321081727656038E-2</v>
      </c>
      <c r="AV101" s="92">
        <f t="shared" si="124"/>
        <v>2.3209874463606006E-2</v>
      </c>
      <c r="AW101" s="92">
        <f t="shared" si="124"/>
        <v>2.3208929503496067E-2</v>
      </c>
      <c r="AX101" s="92">
        <f t="shared" si="124"/>
        <v>2.3207982389592763E-2</v>
      </c>
      <c r="AY101" s="92">
        <f t="shared" si="124"/>
        <v>2.3207033115232756E-2</v>
      </c>
      <c r="AZ101" s="92">
        <f t="shared" si="124"/>
        <v>2.3206081673723178E-2</v>
      </c>
      <c r="BA101" s="92">
        <f t="shared" si="124"/>
        <v>2.320512805834607E-2</v>
      </c>
      <c r="BB101" s="92">
        <f t="shared" si="124"/>
        <v>2.3204172262354605E-2</v>
      </c>
      <c r="BC101" s="92">
        <f t="shared" si="124"/>
        <v>2.3203214278974649E-2</v>
      </c>
      <c r="BD101" s="92">
        <f t="shared" si="124"/>
        <v>2.3202254101404529E-2</v>
      </c>
      <c r="BE101" s="92">
        <f t="shared" ref="BE101:CP101" si="125">IF(ISERROR(+BE87/BD87-1),"n.a.",+BE87/BD87-1)</f>
        <v>2.3201291722814599E-2</v>
      </c>
      <c r="BF101" s="92">
        <f t="shared" si="125"/>
        <v>2.3200327136346566E-2</v>
      </c>
      <c r="BG101" s="92">
        <f t="shared" si="125"/>
        <v>2.3199360335114827E-2</v>
      </c>
      <c r="BH101" s="92">
        <f t="shared" si="125"/>
        <v>2.3198391312204913E-2</v>
      </c>
      <c r="BI101" s="92">
        <f t="shared" si="125"/>
        <v>2.3197420060673712E-2</v>
      </c>
      <c r="BJ101" s="92">
        <f t="shared" si="125"/>
        <v>2.3196446573550134E-2</v>
      </c>
      <c r="BK101" s="92">
        <f t="shared" si="125"/>
        <v>2.3195470843833332E-2</v>
      </c>
      <c r="BL101" s="92">
        <f t="shared" si="125"/>
        <v>2.3194492864494265E-2</v>
      </c>
      <c r="BM101" s="92">
        <f t="shared" si="125"/>
        <v>2.3193512628474577E-2</v>
      </c>
      <c r="BN101" s="92">
        <f t="shared" si="125"/>
        <v>2.3192530128686828E-2</v>
      </c>
      <c r="BO101" s="92">
        <f t="shared" si="125"/>
        <v>2.3191545358013821E-2</v>
      </c>
      <c r="BP101" s="92">
        <f t="shared" si="125"/>
        <v>2.3190558309308607E-2</v>
      </c>
      <c r="BQ101" s="92">
        <f t="shared" si="125"/>
        <v>2.3189568975396035E-2</v>
      </c>
      <c r="BR101" s="92">
        <f t="shared" si="125"/>
        <v>2.3188577349069206E-2</v>
      </c>
      <c r="BS101" s="92">
        <f t="shared" si="125"/>
        <v>-1</v>
      </c>
      <c r="BT101" s="92" t="str">
        <f t="shared" si="125"/>
        <v>n.a.</v>
      </c>
      <c r="BU101" s="92" t="str">
        <f t="shared" si="125"/>
        <v>n.a.</v>
      </c>
      <c r="BV101" s="92" t="str">
        <f t="shared" si="125"/>
        <v>n.a.</v>
      </c>
      <c r="BW101" s="92" t="str">
        <f t="shared" si="125"/>
        <v>n.a.</v>
      </c>
      <c r="BX101" s="92" t="str">
        <f t="shared" si="125"/>
        <v>n.a.</v>
      </c>
      <c r="BY101" s="92" t="str">
        <f t="shared" si="125"/>
        <v>n.a.</v>
      </c>
      <c r="BZ101" s="92" t="str">
        <f t="shared" si="125"/>
        <v>n.a.</v>
      </c>
      <c r="CA101" s="92" t="str">
        <f t="shared" si="125"/>
        <v>n.a.</v>
      </c>
      <c r="CB101" s="92" t="str">
        <f t="shared" si="125"/>
        <v>n.a.</v>
      </c>
      <c r="CC101" s="92" t="str">
        <f t="shared" si="125"/>
        <v>n.a.</v>
      </c>
      <c r="CD101" s="92" t="str">
        <f t="shared" si="125"/>
        <v>n.a.</v>
      </c>
      <c r="CE101" s="92" t="str">
        <f t="shared" si="125"/>
        <v>n.a.</v>
      </c>
      <c r="CF101" s="92" t="str">
        <f t="shared" si="125"/>
        <v>n.a.</v>
      </c>
      <c r="CG101" s="92" t="str">
        <f t="shared" si="125"/>
        <v>n.a.</v>
      </c>
      <c r="CH101" s="92" t="str">
        <f t="shared" si="125"/>
        <v>n.a.</v>
      </c>
      <c r="CI101" s="92" t="str">
        <f t="shared" si="125"/>
        <v>n.a.</v>
      </c>
      <c r="CJ101" s="92" t="str">
        <f t="shared" si="125"/>
        <v>n.a.</v>
      </c>
      <c r="CK101" s="92" t="str">
        <f t="shared" si="125"/>
        <v>n.a.</v>
      </c>
      <c r="CL101" s="92" t="str">
        <f t="shared" si="125"/>
        <v>n.a.</v>
      </c>
      <c r="CM101" s="92" t="str">
        <f t="shared" si="125"/>
        <v>n.a.</v>
      </c>
      <c r="CN101" s="92" t="str">
        <f t="shared" si="125"/>
        <v>n.a.</v>
      </c>
      <c r="CO101" s="92" t="str">
        <f t="shared" si="125"/>
        <v>n.a.</v>
      </c>
      <c r="CP101" s="92" t="str">
        <f t="shared" si="125"/>
        <v>n.a.</v>
      </c>
      <c r="CQ101" s="23" t="s">
        <v>77</v>
      </c>
    </row>
    <row r="102" spans="1:95" outlineLevel="1" x14ac:dyDescent="0.2">
      <c r="B102" s="91" t="s">
        <v>336</v>
      </c>
      <c r="K102" s="93" t="str">
        <f t="shared" si="119"/>
        <v>n.a.</v>
      </c>
      <c r="L102" s="93" t="str">
        <f t="shared" si="119"/>
        <v>n.a.</v>
      </c>
      <c r="M102" s="93" t="str">
        <f t="shared" si="119"/>
        <v>n.a.</v>
      </c>
      <c r="N102" s="93" t="str">
        <f t="shared" si="119"/>
        <v>n.a.</v>
      </c>
      <c r="O102" s="93">
        <f t="shared" si="119"/>
        <v>4.2944785276073594E-2</v>
      </c>
      <c r="P102" s="93">
        <f t="shared" si="119"/>
        <v>6.823529411764695E-2</v>
      </c>
      <c r="Q102" s="93">
        <f t="shared" si="119"/>
        <v>-5.837004405286339E-2</v>
      </c>
      <c r="R102" s="93">
        <f t="shared" si="119"/>
        <v>5.1461988304093653E-2</v>
      </c>
      <c r="S102" s="93">
        <f t="shared" ref="S102:BD102" si="126">IF(ISERROR(+S88/R88-1),"n.a.",+S88/R88-1)</f>
        <v>4.671857619577291E-2</v>
      </c>
      <c r="T102" s="92">
        <f t="shared" si="126"/>
        <v>0.17396165426847032</v>
      </c>
      <c r="U102" s="92">
        <f t="shared" si="126"/>
        <v>0.10437431047329904</v>
      </c>
      <c r="V102" s="92">
        <f t="shared" si="126"/>
        <v>-4.2622950819672156E-2</v>
      </c>
      <c r="W102" s="92">
        <f t="shared" si="126"/>
        <v>-5.6506849315068441E-2</v>
      </c>
      <c r="X102" s="92">
        <f t="shared" si="126"/>
        <v>8.6747920495821029E-2</v>
      </c>
      <c r="Y102" s="92">
        <f t="shared" si="126"/>
        <v>1.6934851207804913E-2</v>
      </c>
      <c r="Z102" s="92">
        <f t="shared" si="126"/>
        <v>3.0358738818904607E-2</v>
      </c>
      <c r="AA102" s="92">
        <f t="shared" si="126"/>
        <v>2.8328538217908372E-2</v>
      </c>
      <c r="AB102" s="92">
        <f t="shared" si="126"/>
        <v>1.4899979616984638E-2</v>
      </c>
      <c r="AC102" s="92">
        <f t="shared" si="126"/>
        <v>1.5135749148710298E-2</v>
      </c>
      <c r="AD102" s="92">
        <f t="shared" si="126"/>
        <v>1.4562225981171073E-2</v>
      </c>
      <c r="AE102" s="92">
        <f t="shared" si="126"/>
        <v>1.4778504631242972E-2</v>
      </c>
      <c r="AF102" s="92">
        <f t="shared" si="126"/>
        <v>1.4988142916563696E-2</v>
      </c>
      <c r="AG102" s="92">
        <f t="shared" si="126"/>
        <v>1.5194163245711989E-2</v>
      </c>
      <c r="AH102" s="92">
        <f t="shared" si="126"/>
        <v>1.5396540681277937E-2</v>
      </c>
      <c r="AI102" s="92">
        <f t="shared" si="126"/>
        <v>1.5595255400757457E-2</v>
      </c>
      <c r="AJ102" s="92">
        <f t="shared" si="126"/>
        <v>1.578754230432966E-2</v>
      </c>
      <c r="AK102" s="92">
        <f t="shared" si="126"/>
        <v>1.5978977884844703E-2</v>
      </c>
      <c r="AL102" s="92">
        <f t="shared" si="126"/>
        <v>1.6164055070186256E-2</v>
      </c>
      <c r="AM102" s="92">
        <f t="shared" si="126"/>
        <v>1.6345565496690417E-2</v>
      </c>
      <c r="AN102" s="92">
        <f t="shared" si="126"/>
        <v>1.6526091592319103E-2</v>
      </c>
      <c r="AO102" s="92">
        <f t="shared" si="126"/>
        <v>1.6697855930279504E-2</v>
      </c>
      <c r="AP102" s="92">
        <f t="shared" si="126"/>
        <v>1.6868694431584563E-2</v>
      </c>
      <c r="AQ102" s="92">
        <f t="shared" si="126"/>
        <v>1.7035997535364E-2</v>
      </c>
      <c r="AR102" s="92">
        <f t="shared" si="126"/>
        <v>1.71973679505244E-2</v>
      </c>
      <c r="AS102" s="92">
        <f t="shared" si="126"/>
        <v>1.7357736189810513E-2</v>
      </c>
      <c r="AT102" s="92">
        <f t="shared" si="126"/>
        <v>1.7514628327828685E-2</v>
      </c>
      <c r="AU102" s="92">
        <f t="shared" si="126"/>
        <v>1.7663485083179609E-2</v>
      </c>
      <c r="AV102" s="92">
        <f t="shared" si="126"/>
        <v>1.7811413133903331E-2</v>
      </c>
      <c r="AW102" s="92">
        <f t="shared" si="126"/>
        <v>1.7958281443239299E-2</v>
      </c>
      <c r="AX102" s="92">
        <f t="shared" si="126"/>
        <v>1.809744170122074E-2</v>
      </c>
      <c r="AY102" s="92">
        <f t="shared" si="126"/>
        <v>1.8235647128036714E-2</v>
      </c>
      <c r="AZ102" s="92">
        <f t="shared" si="126"/>
        <v>1.8370680146925E-2</v>
      </c>
      <c r="BA102" s="92">
        <f t="shared" si="126"/>
        <v>1.8500518568650426E-2</v>
      </c>
      <c r="BB102" s="92">
        <f t="shared" si="126"/>
        <v>1.8629396092567641E-2</v>
      </c>
      <c r="BC102" s="92">
        <f t="shared" si="126"/>
        <v>1.8753232104002704E-2</v>
      </c>
      <c r="BD102" s="92">
        <f t="shared" si="126"/>
        <v>1.8874163958133572E-2</v>
      </c>
      <c r="BE102" s="92">
        <f t="shared" ref="BE102:CP102" si="127">IF(ISERROR(+BE88/BD88-1),"n.a.",+BE88/BD88-1)</f>
        <v>1.8992232433237E-2</v>
      </c>
      <c r="BF102" s="92">
        <f t="shared" si="127"/>
        <v>1.9107479416919704E-2</v>
      </c>
      <c r="BG102" s="92">
        <f t="shared" si="127"/>
        <v>1.9219947789688385E-2</v>
      </c>
      <c r="BH102" s="92">
        <f t="shared" si="127"/>
        <v>1.9329681312563851E-2</v>
      </c>
      <c r="BI102" s="92">
        <f t="shared" si="127"/>
        <v>1.9436724518840709E-2</v>
      </c>
      <c r="BJ102" s="92">
        <f t="shared" si="127"/>
        <v>1.9539383598138116E-2</v>
      </c>
      <c r="BK102" s="92">
        <f t="shared" si="127"/>
        <v>1.9641249177023701E-2</v>
      </c>
      <c r="BL102" s="92">
        <f t="shared" si="127"/>
        <v>1.9738887396267391E-2</v>
      </c>
      <c r="BM102" s="92">
        <f t="shared" si="127"/>
        <v>1.9834115006588826E-2</v>
      </c>
      <c r="BN102" s="92">
        <f t="shared" si="127"/>
        <v>1.9928584595231946E-2</v>
      </c>
      <c r="BO102" s="92">
        <f t="shared" si="127"/>
        <v>2.0019060333403171E-2</v>
      </c>
      <c r="BP102" s="92">
        <f t="shared" si="127"/>
        <v>2.0107259603379779E-2</v>
      </c>
      <c r="BQ102" s="92">
        <f t="shared" si="127"/>
        <v>2.0193226870995895E-2</v>
      </c>
      <c r="BR102" s="92">
        <f t="shared" si="127"/>
        <v>2.0277006607780867E-2</v>
      </c>
      <c r="BS102" s="92">
        <f t="shared" si="127"/>
        <v>2.0358643230304452E-2</v>
      </c>
      <c r="BT102" s="92">
        <f t="shared" si="127"/>
        <v>2.043675393993083E-2</v>
      </c>
      <c r="BU102" s="92">
        <f t="shared" si="127"/>
        <v>2.0514294354780249E-2</v>
      </c>
      <c r="BV102" s="92">
        <f t="shared" si="127"/>
        <v>2.0589822607073316E-2</v>
      </c>
      <c r="BW102" s="92">
        <f t="shared" si="127"/>
        <v>2.0662039606434757E-2</v>
      </c>
      <c r="BX102" s="92">
        <f t="shared" si="127"/>
        <v>2.0732413124744387E-2</v>
      </c>
      <c r="BY102" s="92">
        <f t="shared" si="127"/>
        <v>2.0800983406368267E-2</v>
      </c>
      <c r="BZ102" s="92">
        <f t="shared" si="127"/>
        <v>2.0869052942539268E-2</v>
      </c>
      <c r="CA102" s="92">
        <f t="shared" si="127"/>
        <v>2.0935321144954999E-2</v>
      </c>
      <c r="CB102" s="92">
        <f t="shared" si="127"/>
        <v>2.0998618408712311E-2</v>
      </c>
      <c r="CC102" s="92">
        <f t="shared" si="127"/>
        <v>2.1059085811981904E-2</v>
      </c>
      <c r="CD102" s="92">
        <f t="shared" si="127"/>
        <v>2.1119183563810262E-2</v>
      </c>
      <c r="CE102" s="92">
        <f t="shared" si="127"/>
        <v>2.1177712519471203E-2</v>
      </c>
      <c r="CF102" s="92">
        <f t="shared" si="127"/>
        <v>2.1234709891982284E-2</v>
      </c>
      <c r="CG102" s="92">
        <f t="shared" si="127"/>
        <v>2.1290212374789119E-2</v>
      </c>
      <c r="CH102" s="92">
        <f t="shared" si="127"/>
        <v>2.1343187643867667E-2</v>
      </c>
      <c r="CI102" s="92">
        <f t="shared" si="127"/>
        <v>2.1395852984297914E-2</v>
      </c>
      <c r="CJ102" s="92">
        <f t="shared" si="127"/>
        <v>2.1447129001298526E-2</v>
      </c>
      <c r="CK102" s="92">
        <f t="shared" si="127"/>
        <v>2.1496047455925815E-2</v>
      </c>
      <c r="CL102" s="92">
        <f t="shared" si="127"/>
        <v>2.1543708347242729E-2</v>
      </c>
      <c r="CM102" s="92">
        <f t="shared" si="127"/>
        <v>2.159014260005665E-2</v>
      </c>
      <c r="CN102" s="92">
        <f t="shared" si="127"/>
        <v>2.1636321219743015E-2</v>
      </c>
      <c r="CO102" s="92">
        <f t="shared" si="127"/>
        <v>2.168127362000738E-2</v>
      </c>
      <c r="CP102" s="92">
        <f t="shared" si="127"/>
        <v>2.1723229063985716E-2</v>
      </c>
      <c r="CQ102" s="23" t="s">
        <v>77</v>
      </c>
    </row>
    <row r="103" spans="1:95" outlineLevel="1" x14ac:dyDescent="0.2">
      <c r="B103" s="8" t="s">
        <v>510</v>
      </c>
      <c r="K103" s="93" t="s">
        <v>78</v>
      </c>
      <c r="L103" s="93" t="str">
        <f>K103</f>
        <v>n.a.</v>
      </c>
      <c r="M103" s="93" t="str">
        <f t="shared" ref="M103:S103" si="128">L103</f>
        <v>n.a.</v>
      </c>
      <c r="N103" s="93" t="str">
        <f t="shared" si="128"/>
        <v>n.a.</v>
      </c>
      <c r="O103" s="93" t="str">
        <f t="shared" si="128"/>
        <v>n.a.</v>
      </c>
      <c r="P103" s="93" t="str">
        <f t="shared" si="128"/>
        <v>n.a.</v>
      </c>
      <c r="Q103" s="93" t="str">
        <f t="shared" si="128"/>
        <v>n.a.</v>
      </c>
      <c r="R103" s="93" t="str">
        <f t="shared" si="128"/>
        <v>n.a.</v>
      </c>
      <c r="S103" s="93" t="str">
        <f t="shared" si="128"/>
        <v>n.a.</v>
      </c>
      <c r="T103" s="92" t="str">
        <f>S103</f>
        <v>n.a.</v>
      </c>
      <c r="U103" s="92" t="str">
        <f>T103</f>
        <v>n.a.</v>
      </c>
      <c r="V103" s="92" t="str">
        <f>U103</f>
        <v>n.a.</v>
      </c>
      <c r="W103" s="92">
        <f t="shared" ref="W103:BD103" si="129">W89/V89-1</f>
        <v>1.2048846675712346</v>
      </c>
      <c r="X103" s="92">
        <f t="shared" si="129"/>
        <v>2.4999999999999911E-2</v>
      </c>
      <c r="Y103" s="92">
        <f t="shared" si="129"/>
        <v>2.4999999999999911E-2</v>
      </c>
      <c r="Z103" s="92">
        <f t="shared" si="129"/>
        <v>2.5000000000000133E-2</v>
      </c>
      <c r="AA103" s="92">
        <f t="shared" si="129"/>
        <v>2.4999999999999689E-2</v>
      </c>
      <c r="AB103" s="92">
        <f t="shared" si="129"/>
        <v>2.4999999999999911E-2</v>
      </c>
      <c r="AC103" s="92">
        <f t="shared" si="129"/>
        <v>2.4999999999999911E-2</v>
      </c>
      <c r="AD103" s="92">
        <f t="shared" si="129"/>
        <v>2.3529411764705799E-2</v>
      </c>
      <c r="AE103" s="92">
        <f t="shared" si="129"/>
        <v>2.3529094827586139E-2</v>
      </c>
      <c r="AF103" s="92">
        <f t="shared" si="129"/>
        <v>2.3528777366595088E-2</v>
      </c>
      <c r="AG103" s="92">
        <f t="shared" si="129"/>
        <v>-0.52309443379447829</v>
      </c>
      <c r="AH103" s="92">
        <f t="shared" si="129"/>
        <v>2.3273848847854772E-2</v>
      </c>
      <c r="AI103" s="92">
        <f t="shared" si="129"/>
        <v>2.3273045632898448E-2</v>
      </c>
      <c r="AJ103" s="92">
        <f t="shared" si="129"/>
        <v>2.3272240687990831E-2</v>
      </c>
      <c r="AK103" s="92">
        <f t="shared" si="129"/>
        <v>2.3271434008138137E-2</v>
      </c>
      <c r="AL103" s="92">
        <f t="shared" si="129"/>
        <v>2.3270625588328153E-2</v>
      </c>
      <c r="AM103" s="92">
        <f t="shared" si="129"/>
        <v>2.3269815423528684E-2</v>
      </c>
      <c r="AN103" s="92">
        <f t="shared" si="129"/>
        <v>2.3269003508688879E-2</v>
      </c>
      <c r="AO103" s="92">
        <f t="shared" si="129"/>
        <v>2.3268189838739017E-2</v>
      </c>
      <c r="AP103" s="92">
        <f t="shared" si="129"/>
        <v>2.3267374408589392E-2</v>
      </c>
      <c r="AQ103" s="92">
        <f t="shared" si="129"/>
        <v>2.3266557213131644E-2</v>
      </c>
      <c r="AR103" s="92">
        <f t="shared" si="129"/>
        <v>2.3265738247236545E-2</v>
      </c>
      <c r="AS103" s="92">
        <f t="shared" si="129"/>
        <v>2.3264917505756877E-2</v>
      </c>
      <c r="AT103" s="92">
        <f t="shared" si="129"/>
        <v>2.3264094983524553E-2</v>
      </c>
      <c r="AU103" s="92">
        <f t="shared" si="129"/>
        <v>2.3263270675352832E-2</v>
      </c>
      <c r="AV103" s="92">
        <f t="shared" si="129"/>
        <v>2.3262444576033436E-2</v>
      </c>
      <c r="AW103" s="92">
        <f t="shared" si="129"/>
        <v>2.3261616680339881E-2</v>
      </c>
      <c r="AX103" s="92">
        <f t="shared" si="129"/>
        <v>2.326078698302414E-2</v>
      </c>
      <c r="AY103" s="92">
        <f t="shared" si="129"/>
        <v>2.3259955478819094E-2</v>
      </c>
      <c r="AZ103" s="92">
        <f t="shared" si="129"/>
        <v>2.3259122162436974E-2</v>
      </c>
      <c r="BA103" s="92">
        <f t="shared" si="129"/>
        <v>2.3258287028569358E-2</v>
      </c>
      <c r="BB103" s="92">
        <f t="shared" si="129"/>
        <v>2.3257450071887398E-2</v>
      </c>
      <c r="BC103" s="92">
        <f t="shared" si="129"/>
        <v>2.3256611287042039E-2</v>
      </c>
      <c r="BD103" s="92">
        <f t="shared" si="129"/>
        <v>2.32557706686638E-2</v>
      </c>
      <c r="BE103" s="92">
        <f t="shared" ref="BE103:CD103" si="130">BE89/BD89-1</f>
        <v>2.3254928211361658E-2</v>
      </c>
      <c r="BF103" s="92">
        <f t="shared" si="130"/>
        <v>2.3254083909723722E-2</v>
      </c>
      <c r="BG103" s="92">
        <f t="shared" si="130"/>
        <v>2.3253237758318113E-2</v>
      </c>
      <c r="BH103" s="92">
        <f t="shared" si="130"/>
        <v>2.3252389751690972E-2</v>
      </c>
      <c r="BI103" s="92">
        <f t="shared" si="130"/>
        <v>2.3251539884367789E-2</v>
      </c>
      <c r="BJ103" s="92">
        <f t="shared" si="130"/>
        <v>2.3250688150852072E-2</v>
      </c>
      <c r="BK103" s="92">
        <f t="shared" si="130"/>
        <v>2.3249834545626902E-2</v>
      </c>
      <c r="BL103" s="92">
        <f t="shared" si="130"/>
        <v>2.324897906315293E-2</v>
      </c>
      <c r="BM103" s="92">
        <f t="shared" si="130"/>
        <v>2.3248121697870161E-2</v>
      </c>
      <c r="BN103" s="92">
        <f t="shared" si="130"/>
        <v>2.3247262444196615E-2</v>
      </c>
      <c r="BO103" s="92">
        <f t="shared" si="130"/>
        <v>2.3246401296527663E-2</v>
      </c>
      <c r="BP103" s="92">
        <f t="shared" si="130"/>
        <v>2.3245538249237585E-2</v>
      </c>
      <c r="BQ103" s="92">
        <f t="shared" si="130"/>
        <v>2.3244673296679119E-2</v>
      </c>
      <c r="BR103" s="92">
        <f t="shared" si="130"/>
        <v>2.3243806433181691E-2</v>
      </c>
      <c r="BS103" s="92">
        <f t="shared" si="130"/>
        <v>2.3242937653053186E-2</v>
      </c>
      <c r="BT103" s="92">
        <f t="shared" si="130"/>
        <v>2.3242066950579066E-2</v>
      </c>
      <c r="BU103" s="92">
        <f t="shared" si="130"/>
        <v>2.3241194320022585E-2</v>
      </c>
      <c r="BV103" s="92">
        <f t="shared" si="130"/>
        <v>2.3240319755623462E-2</v>
      </c>
      <c r="BW103" s="92">
        <f t="shared" si="130"/>
        <v>2.3239443251600544E-2</v>
      </c>
      <c r="BX103" s="92">
        <f t="shared" si="130"/>
        <v>2.3238564802148032E-2</v>
      </c>
      <c r="BY103" s="92">
        <f t="shared" si="130"/>
        <v>2.3237684401437697E-2</v>
      </c>
      <c r="BZ103" s="92">
        <f t="shared" si="130"/>
        <v>2.3236802043619775E-2</v>
      </c>
      <c r="CA103" s="92">
        <f t="shared" si="130"/>
        <v>2.3235917722819188E-2</v>
      </c>
      <c r="CB103" s="92">
        <f t="shared" si="130"/>
        <v>2.3235031433138875E-2</v>
      </c>
      <c r="CC103" s="92">
        <f t="shared" si="130"/>
        <v>2.3234143168658683E-2</v>
      </c>
      <c r="CD103" s="92">
        <f t="shared" si="130"/>
        <v>-1</v>
      </c>
      <c r="CE103" s="92" t="str">
        <f>IFERROR(CE89/CD89-1,"n.a.")</f>
        <v>n.a.</v>
      </c>
      <c r="CF103" s="92" t="str">
        <f t="shared" ref="CF103:CP103" si="131">IFERROR(CF89/CE89-1,"n.a.")</f>
        <v>n.a.</v>
      </c>
      <c r="CG103" s="92" t="str">
        <f t="shared" si="131"/>
        <v>n.a.</v>
      </c>
      <c r="CH103" s="92" t="str">
        <f t="shared" si="131"/>
        <v>n.a.</v>
      </c>
      <c r="CI103" s="92" t="str">
        <f t="shared" si="131"/>
        <v>n.a.</v>
      </c>
      <c r="CJ103" s="92" t="str">
        <f t="shared" si="131"/>
        <v>n.a.</v>
      </c>
      <c r="CK103" s="92" t="str">
        <f t="shared" si="131"/>
        <v>n.a.</v>
      </c>
      <c r="CL103" s="92" t="str">
        <f t="shared" si="131"/>
        <v>n.a.</v>
      </c>
      <c r="CM103" s="92" t="str">
        <f t="shared" si="131"/>
        <v>n.a.</v>
      </c>
      <c r="CN103" s="92" t="str">
        <f t="shared" si="131"/>
        <v>n.a.</v>
      </c>
      <c r="CO103" s="92" t="str">
        <f t="shared" si="131"/>
        <v>n.a.</v>
      </c>
      <c r="CP103" s="92" t="str">
        <f t="shared" si="131"/>
        <v>n.a.</v>
      </c>
      <c r="CQ103" s="23" t="s">
        <v>77</v>
      </c>
    </row>
    <row r="104" spans="1:95" outlineLevel="1" x14ac:dyDescent="0.2">
      <c r="B104" s="12" t="s">
        <v>569</v>
      </c>
      <c r="K104" s="93"/>
      <c r="L104" s="93"/>
      <c r="M104" s="93"/>
      <c r="N104" s="93"/>
      <c r="O104" s="93"/>
      <c r="P104" s="93"/>
      <c r="Q104" s="93"/>
      <c r="R104" s="93"/>
      <c r="S104" s="93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W104" s="92"/>
      <c r="AX104" s="92"/>
      <c r="AY104" s="92"/>
      <c r="AZ104" s="92"/>
      <c r="BA104" s="92"/>
      <c r="BB104" s="92"/>
      <c r="BC104" s="92"/>
      <c r="BD104" s="92"/>
      <c r="BE104" s="92"/>
      <c r="BF104" s="92"/>
      <c r="BG104" s="92"/>
      <c r="BH104" s="92"/>
      <c r="BI104" s="92"/>
      <c r="BJ104" s="92"/>
      <c r="BK104" s="92"/>
      <c r="BL104" s="92"/>
      <c r="BM104" s="92"/>
      <c r="BN104" s="92"/>
      <c r="BO104" s="92"/>
      <c r="BP104" s="92"/>
      <c r="BQ104" s="92"/>
      <c r="BR104" s="92"/>
      <c r="BS104" s="92"/>
      <c r="BT104" s="92"/>
      <c r="BU104" s="92"/>
      <c r="BV104" s="92"/>
      <c r="BW104" s="92"/>
      <c r="BX104" s="92"/>
      <c r="BY104" s="92"/>
      <c r="BZ104" s="92"/>
      <c r="CA104" s="92"/>
      <c r="CB104" s="92"/>
      <c r="CC104" s="92"/>
      <c r="CD104" s="92"/>
      <c r="CE104" s="92"/>
      <c r="CF104" s="92"/>
      <c r="CG104" s="92"/>
      <c r="CH104" s="92"/>
      <c r="CI104" s="92"/>
      <c r="CJ104" s="92"/>
      <c r="CK104" s="92"/>
      <c r="CL104" s="92"/>
      <c r="CM104" s="92"/>
      <c r="CN104" s="92"/>
      <c r="CO104" s="92"/>
      <c r="CP104" s="92"/>
      <c r="CQ104" s="23"/>
    </row>
    <row r="105" spans="1:95" outlineLevel="1" x14ac:dyDescent="0.2">
      <c r="B105" s="485" t="s">
        <v>299</v>
      </c>
      <c r="D105" s="485"/>
      <c r="E105" s="485"/>
      <c r="F105" s="485"/>
      <c r="G105" s="485"/>
      <c r="H105" s="485"/>
      <c r="I105" s="485"/>
      <c r="J105" s="485"/>
      <c r="K105" s="94" t="str">
        <f t="shared" ref="K105:BD105" si="132">IF(ISERROR(+K91/J91-1),"n.a.",+K91/J91-1)</f>
        <v>n.a.</v>
      </c>
      <c r="L105" s="94" t="str">
        <f t="shared" si="132"/>
        <v>n.a.</v>
      </c>
      <c r="M105" s="94" t="str">
        <f t="shared" si="132"/>
        <v>n.a.</v>
      </c>
      <c r="N105" s="94" t="str">
        <f t="shared" si="132"/>
        <v>n.a.</v>
      </c>
      <c r="O105" s="94">
        <f t="shared" si="132"/>
        <v>-0.11568799298860644</v>
      </c>
      <c r="P105" s="94">
        <f t="shared" si="132"/>
        <v>1.7839444995044529E-2</v>
      </c>
      <c r="Q105" s="94">
        <f t="shared" si="132"/>
        <v>-2.8237585199610615E-2</v>
      </c>
      <c r="R105" s="94">
        <f t="shared" si="132"/>
        <v>0.26152304609218446</v>
      </c>
      <c r="S105" s="94">
        <f t="shared" si="132"/>
        <v>0.17315329626687825</v>
      </c>
      <c r="T105" s="94">
        <f t="shared" si="132"/>
        <v>0.38194989844278937</v>
      </c>
      <c r="U105" s="94">
        <f t="shared" si="132"/>
        <v>0.12976081993395883</v>
      </c>
      <c r="V105" s="94">
        <f t="shared" si="132"/>
        <v>1.925411968777091E-2</v>
      </c>
      <c r="W105" s="94">
        <f t="shared" si="132"/>
        <v>7.853982300884943E-2</v>
      </c>
      <c r="X105" s="94">
        <f t="shared" si="132"/>
        <v>7.0086425059380009E-2</v>
      </c>
      <c r="Y105" s="94">
        <f t="shared" si="132"/>
        <v>9.6829287406104969E-2</v>
      </c>
      <c r="Z105" s="94">
        <f t="shared" si="132"/>
        <v>7.1818818787850569E-2</v>
      </c>
      <c r="AA105" s="94">
        <f t="shared" si="132"/>
        <v>2.6026474335528071E-2</v>
      </c>
      <c r="AB105" s="94">
        <f t="shared" si="132"/>
        <v>2.2575663020869108E-2</v>
      </c>
      <c r="AC105" s="94">
        <f t="shared" si="132"/>
        <v>2.1516348517994555E-2</v>
      </c>
      <c r="AD105" s="94">
        <f t="shared" si="132"/>
        <v>2.0483303388286966E-2</v>
      </c>
      <c r="AE105" s="94">
        <f t="shared" si="132"/>
        <v>-2.416766717781671E-2</v>
      </c>
      <c r="AF105" s="94">
        <f t="shared" si="132"/>
        <v>-4.1872045763337362E-2</v>
      </c>
      <c r="AG105" s="94">
        <f t="shared" si="132"/>
        <v>-4.8069559651200522E-2</v>
      </c>
      <c r="AH105" s="94">
        <f t="shared" si="132"/>
        <v>1.9794501917953067E-2</v>
      </c>
      <c r="AI105" s="94">
        <f t="shared" si="132"/>
        <v>1.9703560040444934E-2</v>
      </c>
      <c r="AJ105" s="94">
        <f t="shared" si="132"/>
        <v>5.6360217981588079E-3</v>
      </c>
      <c r="AK105" s="94">
        <f t="shared" si="132"/>
        <v>-4.4154115267006411E-2</v>
      </c>
      <c r="AL105" s="94">
        <f t="shared" si="132"/>
        <v>1.8987955962995073E-2</v>
      </c>
      <c r="AM105" s="94">
        <f t="shared" si="132"/>
        <v>1.9730882608036904E-2</v>
      </c>
      <c r="AN105" s="94">
        <f t="shared" si="132"/>
        <v>-2.0140228320581377E-2</v>
      </c>
      <c r="AO105" s="94">
        <f t="shared" si="132"/>
        <v>1.9773648028413859E-2</v>
      </c>
      <c r="AP105" s="94">
        <f t="shared" si="132"/>
        <v>1.9869844795496805E-2</v>
      </c>
      <c r="AQ105" s="94">
        <f t="shared" si="132"/>
        <v>1.9966104417952879E-2</v>
      </c>
      <c r="AR105" s="94">
        <f t="shared" si="132"/>
        <v>2.0056213404694878E-2</v>
      </c>
      <c r="AS105" s="94">
        <f t="shared" si="132"/>
        <v>2.0147622526932141E-2</v>
      </c>
      <c r="AT105" s="94">
        <f t="shared" si="132"/>
        <v>2.0236606671331758E-2</v>
      </c>
      <c r="AU105" s="94">
        <f t="shared" si="132"/>
        <v>2.0318696421497862E-2</v>
      </c>
      <c r="AV105" s="94">
        <f t="shared" si="132"/>
        <v>2.0406488880740925E-2</v>
      </c>
      <c r="AW105" s="94">
        <f t="shared" si="132"/>
        <v>-9.3355370608607324E-2</v>
      </c>
      <c r="AX105" s="94">
        <f t="shared" si="132"/>
        <v>2.0186569908020591E-2</v>
      </c>
      <c r="AY105" s="94">
        <f t="shared" si="132"/>
        <v>2.0271916759476927E-2</v>
      </c>
      <c r="AZ105" s="94">
        <f t="shared" si="132"/>
        <v>2.0352685928692882E-2</v>
      </c>
      <c r="BA105" s="94">
        <f t="shared" si="132"/>
        <v>2.0432566251920026E-2</v>
      </c>
      <c r="BB105" s="94">
        <f t="shared" si="132"/>
        <v>2.0511462405735648E-2</v>
      </c>
      <c r="BC105" s="94">
        <f t="shared" si="132"/>
        <v>2.0584979882500853E-2</v>
      </c>
      <c r="BD105" s="94">
        <f t="shared" si="132"/>
        <v>2.0658812137660298E-2</v>
      </c>
      <c r="BE105" s="94">
        <f t="shared" ref="BE105:CP105" si="133">IF(ISERROR(+BE91/BD91-1),"n.a.",+BE91/BD91-1)</f>
        <v>2.0732738973657128E-2</v>
      </c>
      <c r="BF105" s="94">
        <f t="shared" si="133"/>
        <v>2.0798494871232753E-2</v>
      </c>
      <c r="BG105" s="94">
        <f t="shared" si="133"/>
        <v>2.0870698670221621E-2</v>
      </c>
      <c r="BH105" s="94">
        <f t="shared" si="133"/>
        <v>2.093099617586458E-2</v>
      </c>
      <c r="BI105" s="94">
        <f t="shared" si="133"/>
        <v>2.0999476817721519E-2</v>
      </c>
      <c r="BJ105" s="94">
        <f t="shared" si="133"/>
        <v>2.1057533435104858E-2</v>
      </c>
      <c r="BK105" s="94">
        <f t="shared" si="133"/>
        <v>2.1120633949587075E-2</v>
      </c>
      <c r="BL105" s="94">
        <f t="shared" si="133"/>
        <v>2.1179242457135761E-2</v>
      </c>
      <c r="BM105" s="94">
        <f t="shared" si="133"/>
        <v>2.1236327185828463E-2</v>
      </c>
      <c r="BN105" s="94">
        <f t="shared" si="133"/>
        <v>2.1290978686598017E-2</v>
      </c>
      <c r="BO105" s="94">
        <f t="shared" si="133"/>
        <v>2.1345074306062806E-2</v>
      </c>
      <c r="BP105" s="94">
        <f t="shared" si="133"/>
        <v>2.1397720242628759E-2</v>
      </c>
      <c r="BQ105" s="94">
        <f t="shared" si="133"/>
        <v>2.1448952577649782E-2</v>
      </c>
      <c r="BR105" s="94">
        <f t="shared" si="133"/>
        <v>2.1497215001753389E-2</v>
      </c>
      <c r="BS105" s="94">
        <f t="shared" si="133"/>
        <v>-6.0844924048293447E-2</v>
      </c>
      <c r="BT105" s="94">
        <f t="shared" si="133"/>
        <v>2.1454062138698937E-2</v>
      </c>
      <c r="BU105" s="94">
        <f t="shared" si="133"/>
        <v>2.1502268764529653E-2</v>
      </c>
      <c r="BV105" s="94">
        <f t="shared" si="133"/>
        <v>2.1550852801535569E-2</v>
      </c>
      <c r="BW105" s="94">
        <f t="shared" si="133"/>
        <v>2.1597365909741262E-2</v>
      </c>
      <c r="BX105" s="94">
        <f t="shared" si="133"/>
        <v>2.1644184647147569E-2</v>
      </c>
      <c r="BY105" s="94">
        <f t="shared" si="133"/>
        <v>2.1685244854971808E-2</v>
      </c>
      <c r="BZ105" s="94">
        <f t="shared" si="133"/>
        <v>2.1730442068485623E-2</v>
      </c>
      <c r="CA105" s="94">
        <f t="shared" si="133"/>
        <v>2.1771513342023541E-2</v>
      </c>
      <c r="CB105" s="94">
        <f t="shared" si="133"/>
        <v>2.1815022317682287E-2</v>
      </c>
      <c r="CC105" s="94">
        <f t="shared" si="133"/>
        <v>2.1851159548977872E-2</v>
      </c>
      <c r="CD105" s="94">
        <f t="shared" si="133"/>
        <v>-7.6630791940753507E-2</v>
      </c>
      <c r="CE105" s="94">
        <f t="shared" si="133"/>
        <v>2.1789653868417913E-2</v>
      </c>
      <c r="CF105" s="94">
        <f t="shared" si="133"/>
        <v>2.1828613631938554E-2</v>
      </c>
      <c r="CG105" s="94">
        <f t="shared" si="133"/>
        <v>2.186803546298699E-2</v>
      </c>
      <c r="CH105" s="94">
        <f t="shared" si="133"/>
        <v>2.1907094375857028E-2</v>
      </c>
      <c r="CI105" s="94">
        <f t="shared" si="133"/>
        <v>2.1943126872262519E-2</v>
      </c>
      <c r="CJ105" s="94">
        <f t="shared" si="133"/>
        <v>2.1980894097822778E-2</v>
      </c>
      <c r="CK105" s="94">
        <f t="shared" si="133"/>
        <v>2.2015703354385519E-2</v>
      </c>
      <c r="CL105" s="94">
        <f t="shared" si="133"/>
        <v>2.2048416297076878E-2</v>
      </c>
      <c r="CM105" s="94">
        <f t="shared" si="133"/>
        <v>2.2081550973102937E-2</v>
      </c>
      <c r="CN105" s="94">
        <f t="shared" si="133"/>
        <v>2.2114456598995691E-2</v>
      </c>
      <c r="CO105" s="94">
        <f t="shared" si="133"/>
        <v>2.2147692298188248E-2</v>
      </c>
      <c r="CP105" s="94">
        <f t="shared" si="133"/>
        <v>2.2177730206284441E-2</v>
      </c>
      <c r="CQ105" s="23" t="s">
        <v>77</v>
      </c>
    </row>
    <row r="106" spans="1:95" outlineLevel="1" x14ac:dyDescent="0.2">
      <c r="B106" s="24"/>
      <c r="CQ106" s="23" t="s">
        <v>77</v>
      </c>
    </row>
    <row r="107" spans="1:95" x14ac:dyDescent="0.2">
      <c r="CQ107" s="23" t="s">
        <v>77</v>
      </c>
    </row>
    <row r="108" spans="1:95" s="233" customFormat="1" x14ac:dyDescent="0.2">
      <c r="B108" s="728" t="s">
        <v>336</v>
      </c>
      <c r="C108" s="312"/>
      <c r="D108" s="312"/>
      <c r="E108" s="312"/>
      <c r="F108" s="312">
        <f>Fiscal_Year</f>
        <v>36707</v>
      </c>
      <c r="G108" s="312">
        <f>Fiscal_Year</f>
        <v>37072</v>
      </c>
      <c r="H108" s="312">
        <f>Fiscal_Year</f>
        <v>37437</v>
      </c>
      <c r="I108" s="312">
        <f>Fiscal_Year</f>
        <v>37802</v>
      </c>
      <c r="J108" s="312">
        <f>Fiscal_Year</f>
        <v>38168</v>
      </c>
      <c r="K108" s="312">
        <f t="shared" ref="K108:BV108" si="134">Calendar_Year</f>
        <v>38717</v>
      </c>
      <c r="L108" s="312">
        <f t="shared" si="134"/>
        <v>39082</v>
      </c>
      <c r="M108" s="312">
        <f t="shared" si="134"/>
        <v>39447</v>
      </c>
      <c r="N108" s="312">
        <f t="shared" si="134"/>
        <v>39813</v>
      </c>
      <c r="O108" s="312">
        <f t="shared" si="134"/>
        <v>40178</v>
      </c>
      <c r="P108" s="312">
        <f t="shared" si="134"/>
        <v>40543</v>
      </c>
      <c r="Q108" s="312">
        <f t="shared" si="134"/>
        <v>40908</v>
      </c>
      <c r="R108" s="312">
        <f t="shared" si="134"/>
        <v>41274</v>
      </c>
      <c r="S108" s="312">
        <f t="shared" si="134"/>
        <v>41639</v>
      </c>
      <c r="T108" s="312">
        <f t="shared" si="134"/>
        <v>42004</v>
      </c>
      <c r="U108" s="312">
        <f t="shared" si="134"/>
        <v>42369</v>
      </c>
      <c r="V108" s="312">
        <f t="shared" si="134"/>
        <v>42735</v>
      </c>
      <c r="W108" s="312">
        <f t="shared" si="134"/>
        <v>43100</v>
      </c>
      <c r="X108" s="312">
        <f t="shared" si="134"/>
        <v>43465</v>
      </c>
      <c r="Y108" s="312">
        <f t="shared" si="134"/>
        <v>43830</v>
      </c>
      <c r="Z108" s="312">
        <f t="shared" si="134"/>
        <v>44196</v>
      </c>
      <c r="AA108" s="312">
        <f t="shared" si="134"/>
        <v>44561</v>
      </c>
      <c r="AB108" s="312">
        <f t="shared" si="134"/>
        <v>44926</v>
      </c>
      <c r="AC108" s="312">
        <f t="shared" si="134"/>
        <v>45291</v>
      </c>
      <c r="AD108" s="312">
        <f t="shared" si="134"/>
        <v>45657</v>
      </c>
      <c r="AE108" s="312">
        <f t="shared" si="134"/>
        <v>46022</v>
      </c>
      <c r="AF108" s="312">
        <f t="shared" si="134"/>
        <v>46387</v>
      </c>
      <c r="AG108" s="312">
        <f t="shared" si="134"/>
        <v>46752</v>
      </c>
      <c r="AH108" s="312">
        <f t="shared" si="134"/>
        <v>47118</v>
      </c>
      <c r="AI108" s="312">
        <f t="shared" si="134"/>
        <v>47483</v>
      </c>
      <c r="AJ108" s="312">
        <f t="shared" si="134"/>
        <v>47848</v>
      </c>
      <c r="AK108" s="312">
        <f t="shared" si="134"/>
        <v>48213</v>
      </c>
      <c r="AL108" s="312">
        <f t="shared" si="134"/>
        <v>48579</v>
      </c>
      <c r="AM108" s="312">
        <f t="shared" si="134"/>
        <v>48944</v>
      </c>
      <c r="AN108" s="312">
        <f t="shared" si="134"/>
        <v>49309</v>
      </c>
      <c r="AO108" s="312">
        <f t="shared" si="134"/>
        <v>49674</v>
      </c>
      <c r="AP108" s="312">
        <f t="shared" si="134"/>
        <v>50040</v>
      </c>
      <c r="AQ108" s="312">
        <f t="shared" si="134"/>
        <v>50405</v>
      </c>
      <c r="AR108" s="312">
        <f t="shared" si="134"/>
        <v>50770</v>
      </c>
      <c r="AS108" s="312">
        <f t="shared" si="134"/>
        <v>51135</v>
      </c>
      <c r="AT108" s="312">
        <f t="shared" si="134"/>
        <v>51501</v>
      </c>
      <c r="AU108" s="312">
        <f t="shared" si="134"/>
        <v>51866</v>
      </c>
      <c r="AV108" s="312">
        <f t="shared" si="134"/>
        <v>52231</v>
      </c>
      <c r="AW108" s="312">
        <f t="shared" si="134"/>
        <v>52596</v>
      </c>
      <c r="AX108" s="312">
        <f t="shared" si="134"/>
        <v>52962</v>
      </c>
      <c r="AY108" s="312">
        <f t="shared" si="134"/>
        <v>53327</v>
      </c>
      <c r="AZ108" s="312">
        <f t="shared" si="134"/>
        <v>53692</v>
      </c>
      <c r="BA108" s="312">
        <f t="shared" si="134"/>
        <v>54057</v>
      </c>
      <c r="BB108" s="312">
        <f t="shared" si="134"/>
        <v>54423</v>
      </c>
      <c r="BC108" s="312">
        <f t="shared" si="134"/>
        <v>54788</v>
      </c>
      <c r="BD108" s="312">
        <f t="shared" si="134"/>
        <v>55153</v>
      </c>
      <c r="BE108" s="312">
        <f t="shared" si="134"/>
        <v>55518</v>
      </c>
      <c r="BF108" s="312">
        <f t="shared" si="134"/>
        <v>55884</v>
      </c>
      <c r="BG108" s="312">
        <f t="shared" si="134"/>
        <v>56249</v>
      </c>
      <c r="BH108" s="312">
        <f t="shared" si="134"/>
        <v>56614</v>
      </c>
      <c r="BI108" s="312">
        <f t="shared" si="134"/>
        <v>56979</v>
      </c>
      <c r="BJ108" s="312">
        <f t="shared" si="134"/>
        <v>57345</v>
      </c>
      <c r="BK108" s="312">
        <f t="shared" si="134"/>
        <v>57710</v>
      </c>
      <c r="BL108" s="312">
        <f t="shared" si="134"/>
        <v>58075</v>
      </c>
      <c r="BM108" s="312">
        <f t="shared" si="134"/>
        <v>58440</v>
      </c>
      <c r="BN108" s="312">
        <f t="shared" si="134"/>
        <v>58806</v>
      </c>
      <c r="BO108" s="312">
        <f t="shared" si="134"/>
        <v>59171</v>
      </c>
      <c r="BP108" s="312">
        <f t="shared" si="134"/>
        <v>59536</v>
      </c>
      <c r="BQ108" s="312">
        <f t="shared" si="134"/>
        <v>59901</v>
      </c>
      <c r="BR108" s="312">
        <f t="shared" si="134"/>
        <v>60267</v>
      </c>
      <c r="BS108" s="312">
        <f t="shared" si="134"/>
        <v>60632</v>
      </c>
      <c r="BT108" s="312">
        <f t="shared" si="134"/>
        <v>60997</v>
      </c>
      <c r="BU108" s="312">
        <f t="shared" si="134"/>
        <v>61362</v>
      </c>
      <c r="BV108" s="312">
        <f t="shared" si="134"/>
        <v>61728</v>
      </c>
      <c r="BW108" s="312">
        <f t="shared" ref="BW108:CP108" si="135">Calendar_Year</f>
        <v>62093</v>
      </c>
      <c r="BX108" s="312">
        <f t="shared" si="135"/>
        <v>62458</v>
      </c>
      <c r="BY108" s="312">
        <f t="shared" si="135"/>
        <v>62823</v>
      </c>
      <c r="BZ108" s="312">
        <f t="shared" si="135"/>
        <v>63189</v>
      </c>
      <c r="CA108" s="312">
        <f t="shared" si="135"/>
        <v>63554</v>
      </c>
      <c r="CB108" s="312">
        <f t="shared" si="135"/>
        <v>63919</v>
      </c>
      <c r="CC108" s="312">
        <f t="shared" si="135"/>
        <v>64284</v>
      </c>
      <c r="CD108" s="312">
        <f t="shared" si="135"/>
        <v>64650</v>
      </c>
      <c r="CE108" s="312">
        <f t="shared" si="135"/>
        <v>65015</v>
      </c>
      <c r="CF108" s="312">
        <f t="shared" si="135"/>
        <v>65380</v>
      </c>
      <c r="CG108" s="312">
        <f t="shared" si="135"/>
        <v>65745</v>
      </c>
      <c r="CH108" s="312">
        <f t="shared" si="135"/>
        <v>66111</v>
      </c>
      <c r="CI108" s="312">
        <f t="shared" si="135"/>
        <v>66476</v>
      </c>
      <c r="CJ108" s="312">
        <f t="shared" si="135"/>
        <v>66841</v>
      </c>
      <c r="CK108" s="312">
        <f t="shared" si="135"/>
        <v>67206</v>
      </c>
      <c r="CL108" s="312">
        <f t="shared" si="135"/>
        <v>67572</v>
      </c>
      <c r="CM108" s="312">
        <f t="shared" si="135"/>
        <v>67937</v>
      </c>
      <c r="CN108" s="312">
        <f t="shared" si="135"/>
        <v>68302</v>
      </c>
      <c r="CO108" s="312">
        <f t="shared" si="135"/>
        <v>68667</v>
      </c>
      <c r="CP108" s="312">
        <f t="shared" si="135"/>
        <v>69033</v>
      </c>
      <c r="CQ108" s="23" t="s">
        <v>77</v>
      </c>
    </row>
    <row r="109" spans="1:95" ht="5.0999999999999996" customHeight="1" x14ac:dyDescent="0.2">
      <c r="B109" s="107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108"/>
      <c r="AU109" s="108"/>
      <c r="AV109" s="108"/>
      <c r="AW109" s="108"/>
      <c r="AX109" s="108"/>
      <c r="AY109" s="108"/>
      <c r="AZ109" s="108"/>
      <c r="BA109" s="108"/>
      <c r="BB109" s="108"/>
      <c r="BC109" s="108"/>
      <c r="BD109" s="108"/>
      <c r="BE109" s="108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Q109" s="108"/>
      <c r="BR109" s="10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M109" s="108"/>
      <c r="CN109" s="108"/>
      <c r="CO109" s="108"/>
      <c r="CP109" s="108"/>
      <c r="CQ109" s="23" t="s">
        <v>77</v>
      </c>
    </row>
    <row r="110" spans="1:95" outlineLevel="1" x14ac:dyDescent="0.2">
      <c r="B110" s="1" t="s">
        <v>317</v>
      </c>
      <c r="D110" s="3"/>
      <c r="E110" s="3"/>
      <c r="F110" s="3"/>
      <c r="G110" s="3"/>
      <c r="H110" s="3"/>
      <c r="I110" s="3"/>
      <c r="J110" s="3"/>
      <c r="K110" s="3">
        <v>490.3</v>
      </c>
      <c r="L110" s="3">
        <f>+K115</f>
        <v>480.3</v>
      </c>
      <c r="M110" s="3">
        <f>+L115</f>
        <v>471.1</v>
      </c>
      <c r="N110" s="3">
        <f>+M115</f>
        <v>461.00000000000006</v>
      </c>
      <c r="O110" s="3">
        <f>+N115</f>
        <v>450.40000000000003</v>
      </c>
      <c r="P110" s="3">
        <v>442.6</v>
      </c>
      <c r="Q110" s="3">
        <f t="shared" ref="Q110:BD110" si="136">+P115</f>
        <v>442.70000000000005</v>
      </c>
      <c r="R110" s="3">
        <f t="shared" si="136"/>
        <v>440.10000000000008</v>
      </c>
      <c r="S110" s="33">
        <f t="shared" si="136"/>
        <v>431.30000000000007</v>
      </c>
      <c r="T110" s="33">
        <f t="shared" si="136"/>
        <v>421.90000000000009</v>
      </c>
      <c r="U110" s="995">
        <v>390.36200000000002</v>
      </c>
      <c r="V110" s="33">
        <f t="shared" si="136"/>
        <v>393.69200000000001</v>
      </c>
      <c r="W110" s="33">
        <f t="shared" si="136"/>
        <v>391.202</v>
      </c>
      <c r="X110" s="33">
        <f t="shared" si="136"/>
        <v>386.38200000000001</v>
      </c>
      <c r="Y110" s="33">
        <f t="shared" si="136"/>
        <v>381.17099999999999</v>
      </c>
      <c r="Z110" s="33">
        <f t="shared" si="136"/>
        <v>375.71100000000001</v>
      </c>
      <c r="AA110" s="33">
        <f t="shared" si="136"/>
        <v>370.32930578318548</v>
      </c>
      <c r="AB110" s="33">
        <f t="shared" si="136"/>
        <v>365.02469909546454</v>
      </c>
      <c r="AC110" s="33">
        <f t="shared" si="136"/>
        <v>359.79607573304895</v>
      </c>
      <c r="AD110" s="33">
        <f t="shared" si="136"/>
        <v>354.6423473087944</v>
      </c>
      <c r="AE110" s="33">
        <f t="shared" si="136"/>
        <v>349.56244102564256</v>
      </c>
      <c r="AF110" s="33">
        <f t="shared" si="136"/>
        <v>344.55529945330829</v>
      </c>
      <c r="AG110" s="33">
        <f t="shared" si="136"/>
        <v>339.6198803081657</v>
      </c>
      <c r="AH110" s="33">
        <f t="shared" si="136"/>
        <v>334.75515623628684</v>
      </c>
      <c r="AI110" s="33">
        <f t="shared" si="136"/>
        <v>329.96011459958822</v>
      </c>
      <c r="AJ110" s="33">
        <f t="shared" si="136"/>
        <v>325.23375726504105</v>
      </c>
      <c r="AK110" s="33">
        <f t="shared" si="136"/>
        <v>320.57510039690004</v>
      </c>
      <c r="AL110" s="33">
        <f t="shared" si="136"/>
        <v>315.98317425190902</v>
      </c>
      <c r="AM110" s="33">
        <f t="shared" si="136"/>
        <v>311.45702297743958</v>
      </c>
      <c r="AN110" s="33">
        <f t="shared" si="136"/>
        <v>306.99570441252143</v>
      </c>
      <c r="AO110" s="33">
        <f t="shared" si="136"/>
        <v>302.59828989172286</v>
      </c>
      <c r="AP110" s="33">
        <f t="shared" si="136"/>
        <v>298.26386405183996</v>
      </c>
      <c r="AQ110" s="33">
        <f t="shared" si="136"/>
        <v>293.99152464135545</v>
      </c>
      <c r="AR110" s="33">
        <f t="shared" si="136"/>
        <v>289.78038233262657</v>
      </c>
      <c r="AS110" s="33">
        <f t="shared" si="136"/>
        <v>285.62956053676271</v>
      </c>
      <c r="AT110" s="33">
        <f t="shared" si="136"/>
        <v>281.53819522115583</v>
      </c>
      <c r="AU110" s="33">
        <f t="shared" si="136"/>
        <v>277.50543472962352</v>
      </c>
      <c r="AV110" s="33">
        <f t="shared" si="136"/>
        <v>273.53043960512883</v>
      </c>
      <c r="AW110" s="33">
        <f t="shared" si="136"/>
        <v>269.61238241503952</v>
      </c>
      <c r="AX110" s="33">
        <f t="shared" si="136"/>
        <v>265.75044757888992</v>
      </c>
      <c r="AY110" s="33">
        <f t="shared" si="136"/>
        <v>261.94383119861044</v>
      </c>
      <c r="AZ110" s="33">
        <f t="shared" si="136"/>
        <v>258.19174089118854</v>
      </c>
      <c r="BA110" s="33">
        <f t="shared" si="136"/>
        <v>254.49339562372663</v>
      </c>
      <c r="BB110" s="33">
        <f t="shared" si="136"/>
        <v>250.84802555086293</v>
      </c>
      <c r="BC110" s="33">
        <f t="shared" si="136"/>
        <v>247.25487185452073</v>
      </c>
      <c r="BD110" s="33">
        <f t="shared" si="136"/>
        <v>243.71318658595345</v>
      </c>
      <c r="BE110" s="33">
        <f t="shared" ref="BE110:CP110" si="137">+BD115</f>
        <v>240.22223251005187</v>
      </c>
      <c r="BF110" s="33">
        <f t="shared" si="137"/>
        <v>236.78128295188185</v>
      </c>
      <c r="BG110" s="33">
        <f t="shared" si="137"/>
        <v>233.38962164542005</v>
      </c>
      <c r="BH110" s="33">
        <f t="shared" si="137"/>
        <v>230.04654258445649</v>
      </c>
      <c r="BI110" s="33">
        <f t="shared" si="137"/>
        <v>226.75134987563257</v>
      </c>
      <c r="BJ110" s="33">
        <f t="shared" si="137"/>
        <v>223.50335759358447</v>
      </c>
      <c r="BK110" s="33">
        <f t="shared" si="137"/>
        <v>220.30188963816124</v>
      </c>
      <c r="BL110" s="33">
        <f t="shared" si="137"/>
        <v>217.14627959368821</v>
      </c>
      <c r="BM110" s="33">
        <f t="shared" si="137"/>
        <v>214.03587059024636</v>
      </c>
      <c r="BN110" s="33">
        <f t="shared" si="137"/>
        <v>210.97001516693859</v>
      </c>
      <c r="BO110" s="33">
        <f t="shared" si="137"/>
        <v>207.94807513711464</v>
      </c>
      <c r="BP110" s="33">
        <f t="shared" si="137"/>
        <v>204.96942145552663</v>
      </c>
      <c r="BQ110" s="33">
        <f t="shared" si="137"/>
        <v>202.03343408738723</v>
      </c>
      <c r="BR110" s="33">
        <f t="shared" si="137"/>
        <v>199.13950187930371</v>
      </c>
      <c r="BS110" s="33">
        <f t="shared" si="137"/>
        <v>196.28702243206055</v>
      </c>
      <c r="BT110" s="33">
        <f t="shared" si="137"/>
        <v>193.47540197522446</v>
      </c>
      <c r="BU110" s="33">
        <f t="shared" si="137"/>
        <v>190.70405524354524</v>
      </c>
      <c r="BV110" s="33">
        <f t="shared" si="137"/>
        <v>187.97240535512765</v>
      </c>
      <c r="BW110" s="33">
        <f t="shared" si="137"/>
        <v>185.27988369134778</v>
      </c>
      <c r="BX110" s="33">
        <f t="shared" si="137"/>
        <v>182.62592977848979</v>
      </c>
      <c r="BY110" s="33">
        <f t="shared" si="137"/>
        <v>180.00999117107804</v>
      </c>
      <c r="BZ110" s="33">
        <f t="shared" si="137"/>
        <v>177.43152333688042</v>
      </c>
      <c r="CA110" s="33">
        <f t="shared" si="137"/>
        <v>174.88998954355876</v>
      </c>
      <c r="CB110" s="33">
        <f t="shared" si="137"/>
        <v>172.38486074694296</v>
      </c>
      <c r="CC110" s="33">
        <f t="shared" si="137"/>
        <v>169.9156154809055</v>
      </c>
      <c r="CD110" s="33">
        <f t="shared" si="137"/>
        <v>167.48173974881337</v>
      </c>
      <c r="CE110" s="33">
        <f t="shared" si="137"/>
        <v>165.0827269165348</v>
      </c>
      <c r="CF110" s="33">
        <f t="shared" si="137"/>
        <v>162.71807760697857</v>
      </c>
      <c r="CG110" s="33">
        <f t="shared" si="137"/>
        <v>160.38729959614403</v>
      </c>
      <c r="CH110" s="33">
        <f t="shared" si="137"/>
        <v>158.08990771066007</v>
      </c>
      <c r="CI110" s="33">
        <f t="shared" si="137"/>
        <v>155.82542372679163</v>
      </c>
      <c r="CJ110" s="33">
        <f t="shared" si="137"/>
        <v>153.59337627089297</v>
      </c>
      <c r="CK110" s="33">
        <f t="shared" si="137"/>
        <v>151.39330072128681</v>
      </c>
      <c r="CL110" s="33">
        <f t="shared" si="137"/>
        <v>149.22473911154898</v>
      </c>
      <c r="CM110" s="33">
        <f t="shared" si="137"/>
        <v>147.08724003517835</v>
      </c>
      <c r="CN110" s="33">
        <f t="shared" si="137"/>
        <v>144.98035855163241</v>
      </c>
      <c r="CO110" s="33">
        <f t="shared" si="137"/>
        <v>142.90365609370858</v>
      </c>
      <c r="CP110" s="33">
        <f t="shared" si="137"/>
        <v>140.85670037625246</v>
      </c>
      <c r="CQ110" s="23" t="s">
        <v>77</v>
      </c>
    </row>
    <row r="111" spans="1:95" outlineLevel="1" x14ac:dyDescent="0.2">
      <c r="A111" s="98"/>
      <c r="B111" s="7" t="s">
        <v>318</v>
      </c>
      <c r="D111" s="9"/>
      <c r="E111" s="9"/>
      <c r="F111" s="9"/>
      <c r="G111" s="9"/>
      <c r="H111" s="9"/>
      <c r="I111" s="9"/>
      <c r="J111" s="9"/>
      <c r="K111" s="9">
        <v>1.5</v>
      </c>
      <c r="L111" s="9">
        <v>2.1</v>
      </c>
      <c r="M111" s="9">
        <v>1.8</v>
      </c>
      <c r="N111" s="9">
        <v>1.7</v>
      </c>
      <c r="O111" s="9">
        <v>3.3</v>
      </c>
      <c r="P111" s="9">
        <v>3.2</v>
      </c>
      <c r="Q111" s="9">
        <v>9.1</v>
      </c>
      <c r="R111" s="9">
        <v>3.7</v>
      </c>
      <c r="S111" s="208">
        <v>2.7</v>
      </c>
      <c r="T111" s="208">
        <v>2.2000000000000002</v>
      </c>
      <c r="U111" s="996">
        <v>4.7149999999999999</v>
      </c>
      <c r="V111" s="996">
        <v>2.8719999999999999</v>
      </c>
      <c r="W111" s="996">
        <v>0.76900000000000002</v>
      </c>
      <c r="X111" s="996">
        <v>0.59699999999999998</v>
      </c>
      <c r="Y111" s="996">
        <v>0.46100000000000002</v>
      </c>
      <c r="Z111" s="272">
        <f>+Y111/Y110*Z110</f>
        <v>0.4543965070794998</v>
      </c>
      <c r="AA111" s="272">
        <f t="shared" ref="AA111:BD111" si="138">+Z111/Z110*AA110</f>
        <v>0.44788771959579432</v>
      </c>
      <c r="AB111" s="272">
        <f t="shared" si="138"/>
        <v>0.44147216415469476</v>
      </c>
      <c r="AC111" s="272">
        <f t="shared" si="138"/>
        <v>0.43514850529797799</v>
      </c>
      <c r="AD111" s="272">
        <f t="shared" si="138"/>
        <v>0.42891542669655935</v>
      </c>
      <c r="AE111" s="272">
        <f t="shared" si="138"/>
        <v>0.42277163087648645</v>
      </c>
      <c r="AF111" s="272">
        <f t="shared" si="138"/>
        <v>0.41671583894885794</v>
      </c>
      <c r="AG111" s="272">
        <f t="shared" si="138"/>
        <v>0.41074679034361061</v>
      </c>
      <c r="AH111" s="272">
        <f t="shared" si="138"/>
        <v>0.40486324254711986</v>
      </c>
      <c r="AI111" s="272">
        <f t="shared" si="138"/>
        <v>0.39906397084355888</v>
      </c>
      <c r="AJ111" s="272">
        <f t="shared" si="138"/>
        <v>0.39334776805996241</v>
      </c>
      <c r="AK111" s="272">
        <f t="shared" si="138"/>
        <v>0.38771344431494242</v>
      </c>
      <c r="AL111" s="272">
        <f t="shared" si="138"/>
        <v>0.38215982677100319</v>
      </c>
      <c r="AM111" s="272">
        <f t="shared" si="138"/>
        <v>0.37668575939040388</v>
      </c>
      <c r="AN111" s="272">
        <f t="shared" si="138"/>
        <v>0.37129010269451868</v>
      </c>
      <c r="AO111" s="272">
        <f t="shared" si="138"/>
        <v>0.36597173352664353</v>
      </c>
      <c r="AP111" s="272">
        <f t="shared" si="138"/>
        <v>0.3607295448182003</v>
      </c>
      <c r="AQ111" s="272">
        <f t="shared" si="138"/>
        <v>0.35556244535829029</v>
      </c>
      <c r="AR111" s="272">
        <f t="shared" si="138"/>
        <v>0.35046935956654851</v>
      </c>
      <c r="AS111" s="272">
        <f t="shared" si="138"/>
        <v>0.34544922726925081</v>
      </c>
      <c r="AT111" s="272">
        <f t="shared" si="138"/>
        <v>0.34050100347862988</v>
      </c>
      <c r="AU111" s="272">
        <f t="shared" si="138"/>
        <v>0.33562365817535028</v>
      </c>
      <c r="AV111" s="272">
        <f t="shared" si="138"/>
        <v>0.33081617609410052</v>
      </c>
      <c r="AW111" s="272">
        <f t="shared" si="138"/>
        <v>0.32607755651225623</v>
      </c>
      <c r="AX111" s="272">
        <f t="shared" si="138"/>
        <v>0.32140681304156993</v>
      </c>
      <c r="AY111" s="272">
        <f t="shared" si="138"/>
        <v>0.31680297342284541</v>
      </c>
      <c r="AZ111" s="272">
        <f t="shared" si="138"/>
        <v>0.31226507932355274</v>
      </c>
      <c r="BA111" s="272">
        <f t="shared" si="138"/>
        <v>0.30779218613834203</v>
      </c>
      <c r="BB111" s="272">
        <f t="shared" si="138"/>
        <v>0.30338336279241551</v>
      </c>
      <c r="BC111" s="272">
        <f t="shared" si="138"/>
        <v>0.29903769154771498</v>
      </c>
      <c r="BD111" s="272">
        <f t="shared" si="138"/>
        <v>0.29475426781188641</v>
      </c>
      <c r="BE111" s="272">
        <f t="shared" ref="BE111:CP111" si="139">+BD111/BD110*BE110</f>
        <v>0.29053219994998025</v>
      </c>
      <c r="BF111" s="272">
        <f t="shared" si="139"/>
        <v>0.28637060909884948</v>
      </c>
      <c r="BG111" s="272">
        <f t="shared" si="139"/>
        <v>0.28226862898420568</v>
      </c>
      <c r="BH111" s="272">
        <f t="shared" si="139"/>
        <v>0.27822540574029625</v>
      </c>
      <c r="BI111" s="272">
        <f t="shared" si="139"/>
        <v>0.27424009773216385</v>
      </c>
      <c r="BJ111" s="272">
        <f t="shared" si="139"/>
        <v>0.27031187538045243</v>
      </c>
      <c r="BK111" s="272">
        <f t="shared" si="139"/>
        <v>0.26643992098872243</v>
      </c>
      <c r="BL111" s="272">
        <f t="shared" si="139"/>
        <v>0.26262342857323945</v>
      </c>
      <c r="BM111" s="272">
        <f t="shared" si="139"/>
        <v>0.25886160369520123</v>
      </c>
      <c r="BN111" s="272">
        <f t="shared" si="139"/>
        <v>0.25515366329536787</v>
      </c>
      <c r="BO111" s="272">
        <f t="shared" si="139"/>
        <v>0.25149883553106039</v>
      </c>
      <c r="BP111" s="272">
        <f t="shared" si="139"/>
        <v>0.24789635961549472</v>
      </c>
      <c r="BQ111" s="272">
        <f t="shared" si="139"/>
        <v>0.24434548565941661</v>
      </c>
      <c r="BR111" s="272">
        <f t="shared" si="139"/>
        <v>0.24084547451500501</v>
      </c>
      <c r="BS111" s="272">
        <f t="shared" si="139"/>
        <v>0.23739559762201187</v>
      </c>
      <c r="BT111" s="272">
        <f t="shared" si="139"/>
        <v>0.23399513685610512</v>
      </c>
      <c r="BU111" s="272">
        <f t="shared" si="139"/>
        <v>0.23064338437938439</v>
      </c>
      <c r="BV111" s="272">
        <f t="shared" si="139"/>
        <v>0.22733964249303806</v>
      </c>
      <c r="BW111" s="272">
        <f t="shared" si="139"/>
        <v>0.22408322349211063</v>
      </c>
      <c r="BX111" s="272">
        <f t="shared" si="139"/>
        <v>0.22087344952235025</v>
      </c>
      <c r="BY111" s="272">
        <f t="shared" si="139"/>
        <v>0.21770965243910725</v>
      </c>
      <c r="BZ111" s="272">
        <f t="shared" si="139"/>
        <v>0.21459117366825348</v>
      </c>
      <c r="CA111" s="272">
        <f t="shared" si="139"/>
        <v>0.21151736406909383</v>
      </c>
      <c r="CB111" s="272">
        <f t="shared" si="139"/>
        <v>0.20848758379924148</v>
      </c>
      <c r="CC111" s="272">
        <f t="shared" si="139"/>
        <v>0.20550120218142884</v>
      </c>
      <c r="CD111" s="272">
        <f t="shared" si="139"/>
        <v>0.20255759757222594</v>
      </c>
      <c r="CE111" s="272">
        <f t="shared" si="139"/>
        <v>0.19965615723263971</v>
      </c>
      <c r="CF111" s="272">
        <f t="shared" si="139"/>
        <v>0.19679627720056639</v>
      </c>
      <c r="CG111" s="272">
        <f t="shared" si="139"/>
        <v>0.19397736216507125</v>
      </c>
      <c r="CH111" s="272">
        <f t="shared" si="139"/>
        <v>0.19119882534246904</v>
      </c>
      <c r="CI111" s="272">
        <f t="shared" si="139"/>
        <v>0.18846008835417941</v>
      </c>
      <c r="CJ111" s="272">
        <f t="shared" si="139"/>
        <v>0.1857605811063319</v>
      </c>
      <c r="CK111" s="272">
        <f t="shared" si="139"/>
        <v>0.18309974167109563</v>
      </c>
      <c r="CL111" s="272">
        <f t="shared" si="139"/>
        <v>0.18047701616970876</v>
      </c>
      <c r="CM111" s="272">
        <f t="shared" si="139"/>
        <v>0.17789185865718327</v>
      </c>
      <c r="CN111" s="272">
        <f t="shared" si="139"/>
        <v>0.17534373100866152</v>
      </c>
      <c r="CO111" s="272">
        <f t="shared" si="139"/>
        <v>0.17283210280740044</v>
      </c>
      <c r="CP111" s="272">
        <f t="shared" si="139"/>
        <v>0.17035645123436033</v>
      </c>
      <c r="CQ111" s="362" t="s">
        <v>77</v>
      </c>
    </row>
    <row r="112" spans="1:95" outlineLevel="1" x14ac:dyDescent="0.2">
      <c r="B112" s="7" t="s">
        <v>328</v>
      </c>
      <c r="D112" s="9"/>
      <c r="E112" s="9"/>
      <c r="F112" s="9"/>
      <c r="G112" s="9"/>
      <c r="H112" s="9"/>
      <c r="I112" s="9"/>
      <c r="J112" s="9"/>
      <c r="K112" s="9">
        <v>0</v>
      </c>
      <c r="L112" s="9">
        <v>0</v>
      </c>
      <c r="M112" s="9">
        <v>0</v>
      </c>
      <c r="N112" s="9">
        <v>0</v>
      </c>
      <c r="O112" s="9">
        <v>0</v>
      </c>
      <c r="P112" s="9">
        <v>0</v>
      </c>
      <c r="Q112" s="9">
        <v>0</v>
      </c>
      <c r="R112" s="9">
        <v>0</v>
      </c>
      <c r="S112" s="208">
        <v>0</v>
      </c>
      <c r="T112" s="208">
        <v>0</v>
      </c>
      <c r="U112" s="209">
        <v>5.6989999999999998</v>
      </c>
      <c r="V112" s="209">
        <v>5.7480000000000002</v>
      </c>
      <c r="W112" s="209">
        <v>5.7119999999999997</v>
      </c>
      <c r="X112" s="209">
        <v>5.641</v>
      </c>
      <c r="Y112" s="209">
        <v>5.5650000000000004</v>
      </c>
      <c r="Z112" s="272">
        <f>Z119*Z110</f>
        <v>5.4853806000000001</v>
      </c>
      <c r="AA112" s="272">
        <f t="shared" ref="AA112:BD112" si="140">AA119*AA110</f>
        <v>5.4068078644345077</v>
      </c>
      <c r="AB112" s="272">
        <f t="shared" si="140"/>
        <v>5.3293606067937827</v>
      </c>
      <c r="AC112" s="272">
        <f t="shared" si="140"/>
        <v>5.2530227057025147</v>
      </c>
      <c r="AD112" s="272">
        <f t="shared" si="140"/>
        <v>5.1777782707083979</v>
      </c>
      <c r="AE112" s="272">
        <f t="shared" si="140"/>
        <v>5.1036116389743817</v>
      </c>
      <c r="AF112" s="272">
        <f t="shared" si="140"/>
        <v>5.0305073720183016</v>
      </c>
      <c r="AG112" s="272">
        <f t="shared" si="140"/>
        <v>4.9584502524992189</v>
      </c>
      <c r="AH112" s="272">
        <f t="shared" si="140"/>
        <v>4.8874252810497882</v>
      </c>
      <c r="AI112" s="272">
        <f t="shared" si="140"/>
        <v>4.8174176731539884</v>
      </c>
      <c r="AJ112" s="272">
        <f t="shared" si="140"/>
        <v>4.7484128560695993</v>
      </c>
      <c r="AK112" s="272">
        <f t="shared" si="140"/>
        <v>4.6803964657947406</v>
      </c>
      <c r="AL112" s="272">
        <f t="shared" si="140"/>
        <v>4.6133543440778721</v>
      </c>
      <c r="AM112" s="272">
        <f t="shared" si="140"/>
        <v>4.5472725354706176</v>
      </c>
      <c r="AN112" s="272">
        <f t="shared" si="140"/>
        <v>4.4821372844228131</v>
      </c>
      <c r="AO112" s="272">
        <f t="shared" si="140"/>
        <v>4.4179350324191535</v>
      </c>
      <c r="AP112" s="272">
        <f t="shared" si="140"/>
        <v>4.3546524151568633</v>
      </c>
      <c r="AQ112" s="272">
        <f t="shared" si="140"/>
        <v>4.2922762597637893</v>
      </c>
      <c r="AR112" s="272">
        <f t="shared" si="140"/>
        <v>4.2307935820563483</v>
      </c>
      <c r="AS112" s="272">
        <f t="shared" si="140"/>
        <v>4.1701915838367354</v>
      </c>
      <c r="AT112" s="272">
        <f t="shared" si="140"/>
        <v>4.1104576502288754</v>
      </c>
      <c r="AU112" s="272">
        <f t="shared" si="140"/>
        <v>4.0515793470525034</v>
      </c>
      <c r="AV112" s="272">
        <f t="shared" si="140"/>
        <v>3.9935444182348809</v>
      </c>
      <c r="AW112" s="272">
        <f t="shared" si="140"/>
        <v>3.9363407832595771</v>
      </c>
      <c r="AX112" s="272">
        <f t="shared" si="140"/>
        <v>3.879956534651793</v>
      </c>
      <c r="AY112" s="272">
        <f t="shared" si="140"/>
        <v>3.8243799354997123</v>
      </c>
      <c r="AZ112" s="272">
        <f t="shared" si="140"/>
        <v>3.7695994170113529</v>
      </c>
      <c r="BA112" s="272">
        <f t="shared" si="140"/>
        <v>3.715603576106409</v>
      </c>
      <c r="BB112" s="272">
        <f t="shared" si="140"/>
        <v>3.6623811730425988</v>
      </c>
      <c r="BC112" s="272">
        <f t="shared" si="140"/>
        <v>3.6099211290760027</v>
      </c>
      <c r="BD112" s="272">
        <f t="shared" si="140"/>
        <v>3.5582125241549205</v>
      </c>
      <c r="BE112" s="272">
        <f t="shared" ref="BE112:CP112" si="141">BE119*BE110</f>
        <v>3.5072445946467572</v>
      </c>
      <c r="BF112" s="272">
        <f t="shared" si="141"/>
        <v>3.4570067310974748</v>
      </c>
      <c r="BG112" s="272">
        <f t="shared" si="141"/>
        <v>3.4074884760231328</v>
      </c>
      <c r="BH112" s="272">
        <f t="shared" si="141"/>
        <v>3.3586795217330647</v>
      </c>
      <c r="BI112" s="272">
        <f t="shared" si="141"/>
        <v>3.3105697081842353</v>
      </c>
      <c r="BJ112" s="272">
        <f t="shared" si="141"/>
        <v>3.2631490208663334</v>
      </c>
      <c r="BK112" s="272">
        <f t="shared" si="141"/>
        <v>3.2164075887171544</v>
      </c>
      <c r="BL112" s="272">
        <f t="shared" si="141"/>
        <v>3.1703356820678477</v>
      </c>
      <c r="BM112" s="272">
        <f t="shared" si="141"/>
        <v>3.1249237106175971</v>
      </c>
      <c r="BN112" s="272">
        <f t="shared" si="141"/>
        <v>3.0801622214373037</v>
      </c>
      <c r="BO112" s="272">
        <f t="shared" si="141"/>
        <v>3.0360418970018737</v>
      </c>
      <c r="BP112" s="272">
        <f t="shared" si="141"/>
        <v>2.9925535532506888</v>
      </c>
      <c r="BQ112" s="272">
        <f t="shared" si="141"/>
        <v>2.9496881376758535</v>
      </c>
      <c r="BR112" s="272">
        <f t="shared" si="141"/>
        <v>2.9074367274378341</v>
      </c>
      <c r="BS112" s="272">
        <f t="shared" si="141"/>
        <v>2.8657905275080839</v>
      </c>
      <c r="BT112" s="272">
        <f t="shared" si="141"/>
        <v>2.8247408688382771</v>
      </c>
      <c r="BU112" s="272">
        <f t="shared" si="141"/>
        <v>2.7842792065557607</v>
      </c>
      <c r="BV112" s="272">
        <f t="shared" si="141"/>
        <v>2.7443971181848639</v>
      </c>
      <c r="BW112" s="272">
        <f t="shared" si="141"/>
        <v>2.7050863018936777</v>
      </c>
      <c r="BX112" s="272">
        <f t="shared" si="141"/>
        <v>2.6663385747659509</v>
      </c>
      <c r="BY112" s="272">
        <f t="shared" si="141"/>
        <v>2.6281458710977392</v>
      </c>
      <c r="BZ112" s="272">
        <f t="shared" si="141"/>
        <v>2.5905002407184541</v>
      </c>
      <c r="CA112" s="272">
        <f t="shared" si="141"/>
        <v>2.5533938473359576</v>
      </c>
      <c r="CB112" s="272">
        <f t="shared" si="141"/>
        <v>2.5168189669053671</v>
      </c>
      <c r="CC112" s="272">
        <f t="shared" si="141"/>
        <v>2.4807679860212204</v>
      </c>
      <c r="CD112" s="272">
        <f t="shared" si="141"/>
        <v>2.445233400332675</v>
      </c>
      <c r="CE112" s="272">
        <f t="shared" si="141"/>
        <v>2.4102078129814082</v>
      </c>
      <c r="CF112" s="272">
        <f t="shared" si="141"/>
        <v>2.3756839330618873</v>
      </c>
      <c r="CG112" s="272">
        <f t="shared" si="141"/>
        <v>2.3416545741037029</v>
      </c>
      <c r="CH112" s="272">
        <f t="shared" si="141"/>
        <v>2.308112652575637</v>
      </c>
      <c r="CI112" s="272">
        <f t="shared" si="141"/>
        <v>2.2750511864111576</v>
      </c>
      <c r="CJ112" s="272">
        <f t="shared" si="141"/>
        <v>2.2424632935550375</v>
      </c>
      <c r="CK112" s="272">
        <f t="shared" si="141"/>
        <v>2.2103421905307874</v>
      </c>
      <c r="CL112" s="272">
        <f t="shared" si="141"/>
        <v>2.1786811910286152</v>
      </c>
      <c r="CM112" s="272">
        <f t="shared" si="141"/>
        <v>2.1474737045136041</v>
      </c>
      <c r="CN112" s="272">
        <f t="shared" si="141"/>
        <v>2.1167132348538331</v>
      </c>
      <c r="CO112" s="272">
        <f t="shared" si="141"/>
        <v>2.086393378968145</v>
      </c>
      <c r="CP112" s="272">
        <f t="shared" si="141"/>
        <v>2.056507825493286</v>
      </c>
      <c r="CQ112" s="362" t="s">
        <v>77</v>
      </c>
    </row>
    <row r="113" spans="1:96" outlineLevel="1" x14ac:dyDescent="0.2">
      <c r="B113" s="7" t="s">
        <v>14</v>
      </c>
      <c r="D113" s="9"/>
      <c r="E113" s="9"/>
      <c r="F113" s="9"/>
      <c r="G113" s="9"/>
      <c r="H113" s="9"/>
      <c r="I113" s="9"/>
      <c r="J113" s="9"/>
      <c r="K113" s="9">
        <v>-11.4</v>
      </c>
      <c r="L113" s="9">
        <v>-11.6</v>
      </c>
      <c r="M113" s="9">
        <v>-11.9</v>
      </c>
      <c r="N113" s="9">
        <v>-12.1</v>
      </c>
      <c r="O113" s="9">
        <v>-11.6</v>
      </c>
      <c r="P113" s="9">
        <v>-3.9</v>
      </c>
      <c r="Q113" s="9">
        <v>-11.3</v>
      </c>
      <c r="R113" s="9">
        <v>-11.9</v>
      </c>
      <c r="S113" s="208">
        <v>-12.2</v>
      </c>
      <c r="T113" s="208">
        <v>-12.3</v>
      </c>
      <c r="U113" s="209">
        <v>-7.0839999999999996</v>
      </c>
      <c r="V113" s="209">
        <v>-11.11</v>
      </c>
      <c r="W113" s="209">
        <v>-11.301</v>
      </c>
      <c r="X113" s="209">
        <v>-11.449</v>
      </c>
      <c r="Y113" s="209">
        <v>-11.486000000000001</v>
      </c>
      <c r="Z113" s="272">
        <f t="shared" ref="Z113:BD113" si="142">+Y113/Y110*Z110</f>
        <v>-11.321471323894002</v>
      </c>
      <c r="AA113" s="272">
        <f t="shared" si="142"/>
        <v>-11.15930227175118</v>
      </c>
      <c r="AB113" s="272">
        <f t="shared" si="142"/>
        <v>-10.999456133364045</v>
      </c>
      <c r="AC113" s="272">
        <f t="shared" si="142"/>
        <v>-10.841899635255047</v>
      </c>
      <c r="AD113" s="272">
        <f t="shared" si="142"/>
        <v>-10.686599980556792</v>
      </c>
      <c r="AE113" s="272">
        <f t="shared" si="142"/>
        <v>-10.533524842185086</v>
      </c>
      <c r="AF113" s="272">
        <f t="shared" si="142"/>
        <v>-10.382642356109725</v>
      </c>
      <c r="AG113" s="272">
        <f t="shared" si="142"/>
        <v>-10.233921114721719</v>
      </c>
      <c r="AH113" s="272">
        <f t="shared" si="142"/>
        <v>-10.087330160295489</v>
      </c>
      <c r="AI113" s="272">
        <f t="shared" si="142"/>
        <v>-9.9428389785447262</v>
      </c>
      <c r="AJ113" s="272">
        <f t="shared" si="142"/>
        <v>-9.8004174922705634</v>
      </c>
      <c r="AK113" s="272">
        <f t="shared" si="142"/>
        <v>-9.6600360551007167</v>
      </c>
      <c r="AL113" s="272">
        <f t="shared" si="142"/>
        <v>-9.5216654453183178</v>
      </c>
      <c r="AM113" s="272">
        <f t="shared" si="142"/>
        <v>-9.3852768597791343</v>
      </c>
      <c r="AN113" s="272">
        <f t="shared" si="142"/>
        <v>-9.2508419079159303</v>
      </c>
      <c r="AO113" s="272">
        <f t="shared" si="142"/>
        <v>-9.118332605828698</v>
      </c>
      <c r="AP113" s="272">
        <f t="shared" si="142"/>
        <v>-8.9877213704595462</v>
      </c>
      <c r="AQ113" s="272">
        <f t="shared" si="142"/>
        <v>-8.8589810138510288</v>
      </c>
      <c r="AR113" s="272">
        <f t="shared" si="142"/>
        <v>-8.732084737486721</v>
      </c>
      <c r="AS113" s="272">
        <f t="shared" si="142"/>
        <v>-8.6070061267128359</v>
      </c>
      <c r="AT113" s="272">
        <f t="shared" si="142"/>
        <v>-8.4837191452397942</v>
      </c>
      <c r="AU113" s="272">
        <f t="shared" si="142"/>
        <v>-8.3621981297225059</v>
      </c>
      <c r="AV113" s="272">
        <f t="shared" si="142"/>
        <v>-8.2424177844183095</v>
      </c>
      <c r="AW113" s="272">
        <f t="shared" si="142"/>
        <v>-8.124353175921426</v>
      </c>
      <c r="AX113" s="272">
        <f t="shared" si="142"/>
        <v>-8.0079797279728293</v>
      </c>
      <c r="AY113" s="272">
        <f t="shared" si="142"/>
        <v>-7.8932732163444781</v>
      </c>
      <c r="AZ113" s="272">
        <f t="shared" si="142"/>
        <v>-7.7802097637968082</v>
      </c>
      <c r="BA113" s="272">
        <f t="shared" si="142"/>
        <v>-7.6687658351084567</v>
      </c>
      <c r="BB113" s="272">
        <f t="shared" si="142"/>
        <v>-7.5589182321771942</v>
      </c>
      <c r="BC113" s="272">
        <f t="shared" si="142"/>
        <v>-7.4506440891910106</v>
      </c>
      <c r="BD113" s="272">
        <f t="shared" si="142"/>
        <v>-7.343920867868392</v>
      </c>
      <c r="BE113" s="272">
        <f t="shared" ref="BE113:CP113" si="143">+BD113/BD110*BE110</f>
        <v>-7.238726352766756</v>
      </c>
      <c r="BF113" s="272">
        <f t="shared" si="143"/>
        <v>-7.1350386466581046</v>
      </c>
      <c r="BG113" s="272">
        <f t="shared" si="143"/>
        <v>-7.032836165970906</v>
      </c>
      <c r="BH113" s="272">
        <f t="shared" si="143"/>
        <v>-6.932097636297275</v>
      </c>
      <c r="BI113" s="272">
        <f t="shared" si="143"/>
        <v>-6.8328020879645015</v>
      </c>
      <c r="BJ113" s="272">
        <f t="shared" si="143"/>
        <v>-6.7349288516700181</v>
      </c>
      <c r="BK113" s="272">
        <f t="shared" si="143"/>
        <v>-6.6384575541788884</v>
      </c>
      <c r="BL113" s="272">
        <f t="shared" si="143"/>
        <v>-6.5433681140829281</v>
      </c>
      <c r="BM113" s="272">
        <f t="shared" si="143"/>
        <v>-6.4496407376205713</v>
      </c>
      <c r="BN113" s="272">
        <f t="shared" si="143"/>
        <v>-6.3572559145566103</v>
      </c>
      <c r="BO113" s="272">
        <f t="shared" si="143"/>
        <v>-6.2661944141209585</v>
      </c>
      <c r="BP113" s="272">
        <f t="shared" si="143"/>
        <v>-6.176437281005585</v>
      </c>
      <c r="BQ113" s="272">
        <f t="shared" si="143"/>
        <v>-6.0879658314187877</v>
      </c>
      <c r="BR113" s="272">
        <f t="shared" si="143"/>
        <v>-6.0007616491959865</v>
      </c>
      <c r="BS113" s="272">
        <f t="shared" si="143"/>
        <v>-5.9148065819662268</v>
      </c>
      <c r="BT113" s="272">
        <f t="shared" si="143"/>
        <v>-5.8300827373735915</v>
      </c>
      <c r="BU113" s="272">
        <f t="shared" si="143"/>
        <v>-5.7465724793527366</v>
      </c>
      <c r="BV113" s="272">
        <f t="shared" si="143"/>
        <v>-5.664258424457782</v>
      </c>
      <c r="BW113" s="272">
        <f t="shared" si="143"/>
        <v>-5.583123438243784</v>
      </c>
      <c r="BX113" s="272">
        <f t="shared" si="143"/>
        <v>-5.5031506317000369</v>
      </c>
      <c r="BY113" s="272">
        <f t="shared" si="143"/>
        <v>-5.4243233577344636</v>
      </c>
      <c r="BZ113" s="272">
        <f t="shared" si="143"/>
        <v>-5.3466252077083762</v>
      </c>
      <c r="CA113" s="272">
        <f t="shared" si="143"/>
        <v>-5.2700400080208532</v>
      </c>
      <c r="CB113" s="272">
        <f t="shared" si="143"/>
        <v>-5.1945518167420595</v>
      </c>
      <c r="CC113" s="272">
        <f t="shared" si="143"/>
        <v>-5.1201449202947789</v>
      </c>
      <c r="CD113" s="272">
        <f t="shared" si="143"/>
        <v>-5.0468038301834897</v>
      </c>
      <c r="CE113" s="272">
        <f t="shared" si="143"/>
        <v>-4.9745132797702851</v>
      </c>
      <c r="CF113" s="272">
        <f t="shared" si="143"/>
        <v>-4.9032582210969791</v>
      </c>
      <c r="CG113" s="272">
        <f t="shared" si="143"/>
        <v>-4.8330238217527333</v>
      </c>
      <c r="CH113" s="272">
        <f t="shared" si="143"/>
        <v>-4.7637954617865539</v>
      </c>
      <c r="CI113" s="272">
        <f t="shared" si="143"/>
        <v>-4.6955587306640059</v>
      </c>
      <c r="CJ113" s="272">
        <f t="shared" si="143"/>
        <v>-4.6282994242675279</v>
      </c>
      <c r="CK113" s="272">
        <f t="shared" si="143"/>
        <v>-4.5620035419397107</v>
      </c>
      <c r="CL113" s="272">
        <f t="shared" si="143"/>
        <v>-4.49665728356893</v>
      </c>
      <c r="CM113" s="272">
        <f t="shared" si="143"/>
        <v>-4.4322470467167214</v>
      </c>
      <c r="CN113" s="272">
        <f t="shared" si="143"/>
        <v>-4.3687594237863081</v>
      </c>
      <c r="CO113" s="272">
        <f t="shared" si="143"/>
        <v>-4.3061811992316779</v>
      </c>
      <c r="CP113" s="272">
        <f t="shared" si="143"/>
        <v>-4.2444993468066485</v>
      </c>
      <c r="CQ113" s="362" t="s">
        <v>77</v>
      </c>
    </row>
    <row r="114" spans="1:96" outlineLevel="1" x14ac:dyDescent="0.2">
      <c r="B114" s="7" t="s">
        <v>319</v>
      </c>
      <c r="D114" s="9"/>
      <c r="E114" s="9"/>
      <c r="F114" s="9"/>
      <c r="G114" s="9"/>
      <c r="H114" s="9"/>
      <c r="I114" s="9"/>
      <c r="J114" s="9"/>
      <c r="K114" s="9">
        <v>-0.1</v>
      </c>
      <c r="L114" s="9">
        <v>0.3</v>
      </c>
      <c r="M114" s="9">
        <v>0</v>
      </c>
      <c r="N114" s="9">
        <v>-0.2</v>
      </c>
      <c r="O114" s="9">
        <v>0.2</v>
      </c>
      <c r="P114" s="9">
        <v>0.8</v>
      </c>
      <c r="Q114" s="9">
        <v>-0.4</v>
      </c>
      <c r="R114" s="9">
        <v>-0.6</v>
      </c>
      <c r="S114" s="208">
        <v>0.1</v>
      </c>
      <c r="T114" s="208">
        <v>0.2</v>
      </c>
      <c r="U114" s="209">
        <v>0</v>
      </c>
      <c r="V114" s="209">
        <v>0</v>
      </c>
      <c r="W114" s="209">
        <v>0</v>
      </c>
      <c r="X114" s="209">
        <v>0</v>
      </c>
      <c r="Y114" s="209">
        <v>0</v>
      </c>
      <c r="Z114" s="157">
        <v>0</v>
      </c>
      <c r="AA114" s="157">
        <v>0</v>
      </c>
      <c r="AB114" s="157">
        <v>0</v>
      </c>
      <c r="AC114" s="157">
        <v>0</v>
      </c>
      <c r="AD114" s="157">
        <v>0</v>
      </c>
      <c r="AE114" s="157">
        <v>0</v>
      </c>
      <c r="AF114" s="157">
        <v>0</v>
      </c>
      <c r="AG114" s="157">
        <v>0</v>
      </c>
      <c r="AH114" s="157">
        <v>0</v>
      </c>
      <c r="AI114" s="157">
        <v>0</v>
      </c>
      <c r="AJ114" s="157">
        <v>0</v>
      </c>
      <c r="AK114" s="157">
        <v>0</v>
      </c>
      <c r="AL114" s="157">
        <v>0</v>
      </c>
      <c r="AM114" s="157">
        <v>0</v>
      </c>
      <c r="AN114" s="157">
        <v>0</v>
      </c>
      <c r="AO114" s="157">
        <v>0</v>
      </c>
      <c r="AP114" s="157">
        <v>0</v>
      </c>
      <c r="AQ114" s="157">
        <v>0</v>
      </c>
      <c r="AR114" s="157">
        <v>0</v>
      </c>
      <c r="AS114" s="157">
        <v>0</v>
      </c>
      <c r="AT114" s="157">
        <v>0</v>
      </c>
      <c r="AU114" s="157">
        <v>0</v>
      </c>
      <c r="AV114" s="157">
        <v>0</v>
      </c>
      <c r="AW114" s="157">
        <v>0</v>
      </c>
      <c r="AX114" s="157">
        <v>0</v>
      </c>
      <c r="AY114" s="157">
        <v>0</v>
      </c>
      <c r="AZ114" s="157">
        <v>0</v>
      </c>
      <c r="BA114" s="157">
        <v>0</v>
      </c>
      <c r="BB114" s="157">
        <v>0</v>
      </c>
      <c r="BC114" s="157">
        <v>0</v>
      </c>
      <c r="BD114" s="157">
        <v>0</v>
      </c>
      <c r="BE114" s="157">
        <v>0</v>
      </c>
      <c r="BF114" s="157">
        <v>0</v>
      </c>
      <c r="BG114" s="157">
        <v>0</v>
      </c>
      <c r="BH114" s="157">
        <v>0</v>
      </c>
      <c r="BI114" s="157">
        <v>0</v>
      </c>
      <c r="BJ114" s="157">
        <v>0</v>
      </c>
      <c r="BK114" s="157">
        <v>0</v>
      </c>
      <c r="BL114" s="157">
        <v>0</v>
      </c>
      <c r="BM114" s="157">
        <v>0</v>
      </c>
      <c r="BN114" s="157">
        <v>0</v>
      </c>
      <c r="BO114" s="157">
        <v>0</v>
      </c>
      <c r="BP114" s="157">
        <v>0</v>
      </c>
      <c r="BQ114" s="157">
        <v>0</v>
      </c>
      <c r="BR114" s="157">
        <v>0</v>
      </c>
      <c r="BS114" s="157">
        <v>0</v>
      </c>
      <c r="BT114" s="157">
        <v>0</v>
      </c>
      <c r="BU114" s="157">
        <v>0</v>
      </c>
      <c r="BV114" s="157">
        <v>0</v>
      </c>
      <c r="BW114" s="157">
        <v>0</v>
      </c>
      <c r="BX114" s="157">
        <v>0</v>
      </c>
      <c r="BY114" s="157">
        <v>0</v>
      </c>
      <c r="BZ114" s="157">
        <v>0</v>
      </c>
      <c r="CA114" s="157">
        <v>0</v>
      </c>
      <c r="CB114" s="157">
        <v>0</v>
      </c>
      <c r="CC114" s="157">
        <v>0</v>
      </c>
      <c r="CD114" s="157">
        <v>0</v>
      </c>
      <c r="CE114" s="157">
        <v>0</v>
      </c>
      <c r="CF114" s="157">
        <v>0</v>
      </c>
      <c r="CG114" s="157">
        <v>0</v>
      </c>
      <c r="CH114" s="157">
        <v>0</v>
      </c>
      <c r="CI114" s="157">
        <v>0</v>
      </c>
      <c r="CJ114" s="157">
        <v>0</v>
      </c>
      <c r="CK114" s="157">
        <v>0</v>
      </c>
      <c r="CL114" s="157">
        <v>0</v>
      </c>
      <c r="CM114" s="157">
        <v>0</v>
      </c>
      <c r="CN114" s="157">
        <v>0</v>
      </c>
      <c r="CO114" s="157">
        <v>0</v>
      </c>
      <c r="CP114" s="157">
        <v>0</v>
      </c>
      <c r="CQ114" s="23" t="s">
        <v>77</v>
      </c>
    </row>
    <row r="115" spans="1:96" outlineLevel="1" x14ac:dyDescent="0.2">
      <c r="A115" s="233"/>
      <c r="B115" s="1" t="s">
        <v>320</v>
      </c>
      <c r="D115" s="3"/>
      <c r="E115" s="3"/>
      <c r="F115" s="3"/>
      <c r="G115" s="3">
        <f t="shared" ref="G115:BD115" si="144">SUM(G110:G114)</f>
        <v>0</v>
      </c>
      <c r="H115" s="3">
        <f t="shared" si="144"/>
        <v>0</v>
      </c>
      <c r="I115" s="3">
        <f t="shared" si="144"/>
        <v>0</v>
      </c>
      <c r="J115" s="3">
        <f t="shared" si="144"/>
        <v>0</v>
      </c>
      <c r="K115" s="3">
        <f t="shared" si="144"/>
        <v>480.3</v>
      </c>
      <c r="L115" s="3">
        <f t="shared" si="144"/>
        <v>471.1</v>
      </c>
      <c r="M115" s="3">
        <f t="shared" si="144"/>
        <v>461.00000000000006</v>
      </c>
      <c r="N115" s="3">
        <f t="shared" si="144"/>
        <v>450.40000000000003</v>
      </c>
      <c r="O115" s="3">
        <f t="shared" si="144"/>
        <v>442.3</v>
      </c>
      <c r="P115" s="3">
        <f t="shared" si="144"/>
        <v>442.70000000000005</v>
      </c>
      <c r="Q115" s="3">
        <f t="shared" si="144"/>
        <v>440.10000000000008</v>
      </c>
      <c r="R115" s="3">
        <f t="shared" si="144"/>
        <v>431.30000000000007</v>
      </c>
      <c r="S115" s="33">
        <f t="shared" si="144"/>
        <v>421.90000000000009</v>
      </c>
      <c r="T115" s="33">
        <f t="shared" si="144"/>
        <v>412.00000000000006</v>
      </c>
      <c r="U115" s="33">
        <f>SUM(U110:U114)</f>
        <v>393.69200000000001</v>
      </c>
      <c r="V115" s="33">
        <f t="shared" si="144"/>
        <v>391.202</v>
      </c>
      <c r="W115" s="33">
        <f t="shared" si="144"/>
        <v>386.38200000000001</v>
      </c>
      <c r="X115" s="33">
        <f t="shared" si="144"/>
        <v>381.17099999999999</v>
      </c>
      <c r="Y115" s="33">
        <f t="shared" si="144"/>
        <v>375.71100000000001</v>
      </c>
      <c r="Z115" s="33">
        <f t="shared" si="144"/>
        <v>370.32930578318548</v>
      </c>
      <c r="AA115" s="33">
        <f t="shared" si="144"/>
        <v>365.02469909546454</v>
      </c>
      <c r="AB115" s="33">
        <f t="shared" si="144"/>
        <v>359.79607573304895</v>
      </c>
      <c r="AC115" s="33">
        <f t="shared" si="144"/>
        <v>354.6423473087944</v>
      </c>
      <c r="AD115" s="33">
        <f t="shared" si="144"/>
        <v>349.56244102564256</v>
      </c>
      <c r="AE115" s="33">
        <f t="shared" si="144"/>
        <v>344.55529945330829</v>
      </c>
      <c r="AF115" s="33">
        <f t="shared" si="144"/>
        <v>339.6198803081657</v>
      </c>
      <c r="AG115" s="33">
        <f t="shared" si="144"/>
        <v>334.75515623628684</v>
      </c>
      <c r="AH115" s="33">
        <f t="shared" si="144"/>
        <v>329.96011459958822</v>
      </c>
      <c r="AI115" s="33">
        <f t="shared" si="144"/>
        <v>325.23375726504105</v>
      </c>
      <c r="AJ115" s="33">
        <f t="shared" si="144"/>
        <v>320.57510039690004</v>
      </c>
      <c r="AK115" s="33">
        <f t="shared" si="144"/>
        <v>315.98317425190902</v>
      </c>
      <c r="AL115" s="33">
        <f t="shared" si="144"/>
        <v>311.45702297743958</v>
      </c>
      <c r="AM115" s="33">
        <f t="shared" si="144"/>
        <v>306.99570441252143</v>
      </c>
      <c r="AN115" s="33">
        <f t="shared" si="144"/>
        <v>302.59828989172286</v>
      </c>
      <c r="AO115" s="33">
        <f t="shared" si="144"/>
        <v>298.26386405183996</v>
      </c>
      <c r="AP115" s="33">
        <f t="shared" si="144"/>
        <v>293.99152464135545</v>
      </c>
      <c r="AQ115" s="33">
        <f t="shared" si="144"/>
        <v>289.78038233262657</v>
      </c>
      <c r="AR115" s="33">
        <f t="shared" si="144"/>
        <v>285.62956053676271</v>
      </c>
      <c r="AS115" s="33">
        <f t="shared" si="144"/>
        <v>281.53819522115583</v>
      </c>
      <c r="AT115" s="33">
        <f t="shared" si="144"/>
        <v>277.50543472962352</v>
      </c>
      <c r="AU115" s="33">
        <f t="shared" si="144"/>
        <v>273.53043960512883</v>
      </c>
      <c r="AV115" s="33">
        <f t="shared" si="144"/>
        <v>269.61238241503952</v>
      </c>
      <c r="AW115" s="33">
        <f t="shared" si="144"/>
        <v>265.75044757888992</v>
      </c>
      <c r="AX115" s="33">
        <f t="shared" si="144"/>
        <v>261.94383119861044</v>
      </c>
      <c r="AY115" s="33">
        <f t="shared" si="144"/>
        <v>258.19174089118854</v>
      </c>
      <c r="AZ115" s="33">
        <f t="shared" si="144"/>
        <v>254.49339562372663</v>
      </c>
      <c r="BA115" s="33">
        <f t="shared" si="144"/>
        <v>250.84802555086293</v>
      </c>
      <c r="BB115" s="33">
        <f t="shared" si="144"/>
        <v>247.25487185452073</v>
      </c>
      <c r="BC115" s="33">
        <f t="shared" si="144"/>
        <v>243.71318658595345</v>
      </c>
      <c r="BD115" s="33">
        <f t="shared" si="144"/>
        <v>240.22223251005187</v>
      </c>
      <c r="BE115" s="33">
        <f t="shared" ref="BE115:CP115" si="145">SUM(BE110:BE114)</f>
        <v>236.78128295188185</v>
      </c>
      <c r="BF115" s="33">
        <f t="shared" si="145"/>
        <v>233.38962164542005</v>
      </c>
      <c r="BG115" s="33">
        <f t="shared" si="145"/>
        <v>230.04654258445649</v>
      </c>
      <c r="BH115" s="33">
        <f t="shared" si="145"/>
        <v>226.75134987563257</v>
      </c>
      <c r="BI115" s="33">
        <f t="shared" si="145"/>
        <v>223.50335759358447</v>
      </c>
      <c r="BJ115" s="33">
        <f t="shared" si="145"/>
        <v>220.30188963816124</v>
      </c>
      <c r="BK115" s="33">
        <f t="shared" si="145"/>
        <v>217.14627959368821</v>
      </c>
      <c r="BL115" s="33">
        <f t="shared" si="145"/>
        <v>214.03587059024636</v>
      </c>
      <c r="BM115" s="33">
        <f t="shared" si="145"/>
        <v>210.97001516693859</v>
      </c>
      <c r="BN115" s="33">
        <f t="shared" si="145"/>
        <v>207.94807513711464</v>
      </c>
      <c r="BO115" s="33">
        <f t="shared" si="145"/>
        <v>204.96942145552663</v>
      </c>
      <c r="BP115" s="33">
        <f t="shared" si="145"/>
        <v>202.03343408738723</v>
      </c>
      <c r="BQ115" s="33">
        <f t="shared" si="145"/>
        <v>199.13950187930371</v>
      </c>
      <c r="BR115" s="33">
        <f t="shared" si="145"/>
        <v>196.28702243206055</v>
      </c>
      <c r="BS115" s="33">
        <f t="shared" si="145"/>
        <v>193.47540197522446</v>
      </c>
      <c r="BT115" s="33">
        <f t="shared" si="145"/>
        <v>190.70405524354524</v>
      </c>
      <c r="BU115" s="33">
        <f t="shared" si="145"/>
        <v>187.97240535512765</v>
      </c>
      <c r="BV115" s="33">
        <f t="shared" si="145"/>
        <v>185.27988369134778</v>
      </c>
      <c r="BW115" s="33">
        <f t="shared" si="145"/>
        <v>182.62592977848979</v>
      </c>
      <c r="BX115" s="33">
        <f t="shared" si="145"/>
        <v>180.00999117107804</v>
      </c>
      <c r="BY115" s="33">
        <f t="shared" si="145"/>
        <v>177.43152333688042</v>
      </c>
      <c r="BZ115" s="33">
        <f t="shared" si="145"/>
        <v>174.88998954355876</v>
      </c>
      <c r="CA115" s="33">
        <f t="shared" si="145"/>
        <v>172.38486074694296</v>
      </c>
      <c r="CB115" s="33">
        <f t="shared" si="145"/>
        <v>169.9156154809055</v>
      </c>
      <c r="CC115" s="33">
        <f t="shared" si="145"/>
        <v>167.48173974881337</v>
      </c>
      <c r="CD115" s="33">
        <f t="shared" si="145"/>
        <v>165.0827269165348</v>
      </c>
      <c r="CE115" s="33">
        <f t="shared" si="145"/>
        <v>162.71807760697857</v>
      </c>
      <c r="CF115" s="33">
        <f t="shared" si="145"/>
        <v>160.38729959614403</v>
      </c>
      <c r="CG115" s="33">
        <f t="shared" si="145"/>
        <v>158.08990771066007</v>
      </c>
      <c r="CH115" s="33">
        <f t="shared" si="145"/>
        <v>155.82542372679163</v>
      </c>
      <c r="CI115" s="33">
        <f t="shared" si="145"/>
        <v>153.59337627089297</v>
      </c>
      <c r="CJ115" s="33">
        <f t="shared" si="145"/>
        <v>151.39330072128681</v>
      </c>
      <c r="CK115" s="33">
        <f t="shared" si="145"/>
        <v>149.22473911154898</v>
      </c>
      <c r="CL115" s="33">
        <f t="shared" si="145"/>
        <v>147.08724003517835</v>
      </c>
      <c r="CM115" s="33">
        <f t="shared" si="145"/>
        <v>144.98035855163241</v>
      </c>
      <c r="CN115" s="33">
        <f t="shared" si="145"/>
        <v>142.90365609370858</v>
      </c>
      <c r="CO115" s="33">
        <f t="shared" si="145"/>
        <v>140.85670037625246</v>
      </c>
      <c r="CP115" s="33">
        <f t="shared" si="145"/>
        <v>138.8390653061735</v>
      </c>
      <c r="CQ115" s="23" t="s">
        <v>77</v>
      </c>
    </row>
    <row r="116" spans="1:96" outlineLevel="1" x14ac:dyDescent="0.2">
      <c r="CQ116" s="23" t="s">
        <v>77</v>
      </c>
    </row>
    <row r="117" spans="1:96" outlineLevel="1" x14ac:dyDescent="0.2">
      <c r="A117" s="233"/>
      <c r="B117" s="358" t="s">
        <v>323</v>
      </c>
      <c r="D117" s="66"/>
      <c r="E117" s="66"/>
      <c r="F117" s="66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  <c r="AB117" s="66"/>
      <c r="AC117" s="66"/>
      <c r="AD117" s="66"/>
      <c r="AE117" s="66"/>
      <c r="AF117" s="66"/>
      <c r="AG117" s="66"/>
      <c r="AH117" s="66"/>
      <c r="AI117" s="66"/>
      <c r="AJ117" s="66"/>
      <c r="AK117" s="66"/>
      <c r="AL117" s="66"/>
      <c r="AM117" s="66"/>
      <c r="AN117" s="66"/>
      <c r="AO117" s="66"/>
      <c r="AP117" s="66"/>
      <c r="AQ117" s="66"/>
      <c r="AR117" s="66"/>
      <c r="AS117" s="66"/>
      <c r="AT117" s="66"/>
      <c r="AU117" s="66"/>
      <c r="AV117" s="66"/>
      <c r="AW117" s="66"/>
      <c r="AX117" s="66"/>
      <c r="AY117" s="66"/>
      <c r="AZ117" s="66"/>
      <c r="BA117" s="66"/>
      <c r="BB117" s="66"/>
      <c r="BC117" s="66"/>
      <c r="BD117" s="66"/>
      <c r="BE117" s="66"/>
      <c r="BF117" s="66"/>
      <c r="BG117" s="66"/>
      <c r="BH117" s="66"/>
      <c r="BI117" s="66"/>
      <c r="BJ117" s="66"/>
      <c r="BK117" s="66"/>
      <c r="BL117" s="66"/>
      <c r="BM117" s="66"/>
      <c r="BN117" s="66"/>
      <c r="BO117" s="66"/>
      <c r="BP117" s="66"/>
      <c r="BQ117" s="66"/>
      <c r="BR117" s="66"/>
      <c r="BS117" s="66"/>
      <c r="BT117" s="66"/>
      <c r="BU117" s="66"/>
      <c r="BV117" s="66"/>
      <c r="BW117" s="66"/>
      <c r="BX117" s="66"/>
      <c r="BY117" s="66"/>
      <c r="BZ117" s="66"/>
      <c r="CA117" s="66"/>
      <c r="CB117" s="66"/>
      <c r="CC117" s="66"/>
      <c r="CD117" s="66"/>
      <c r="CE117" s="66"/>
      <c r="CF117" s="66"/>
      <c r="CG117" s="66"/>
      <c r="CH117" s="66"/>
      <c r="CI117" s="66"/>
      <c r="CJ117" s="66"/>
      <c r="CK117" s="66"/>
      <c r="CL117" s="66"/>
      <c r="CM117" s="66"/>
      <c r="CN117" s="66"/>
      <c r="CO117" s="66"/>
      <c r="CP117" s="66"/>
      <c r="CQ117" s="23" t="s">
        <v>77</v>
      </c>
      <c r="CR117" s="233"/>
    </row>
    <row r="118" spans="1:96" outlineLevel="1" x14ac:dyDescent="0.2">
      <c r="B118" s="8" t="s">
        <v>51</v>
      </c>
      <c r="D118" s="75"/>
      <c r="E118" s="75"/>
      <c r="F118" s="75"/>
      <c r="G118" s="72"/>
      <c r="H118" s="72"/>
      <c r="I118" s="72"/>
      <c r="J118" s="72"/>
      <c r="K118" s="72"/>
      <c r="L118" s="125"/>
      <c r="M118" s="72">
        <f t="shared" ref="M118:Q127" si="146">+L118</f>
        <v>0</v>
      </c>
      <c r="N118" s="72">
        <f t="shared" si="146"/>
        <v>0</v>
      </c>
      <c r="O118" s="72">
        <f t="shared" si="146"/>
        <v>0</v>
      </c>
      <c r="P118" s="125">
        <v>5.79E-2</v>
      </c>
      <c r="Q118" s="72">
        <f t="shared" si="146"/>
        <v>5.79E-2</v>
      </c>
      <c r="R118" s="72">
        <f t="shared" ref="R118:R127" si="147">+Q118</f>
        <v>5.79E-2</v>
      </c>
      <c r="S118" s="72">
        <f t="shared" ref="S118:T127" si="148">+R118</f>
        <v>5.79E-2</v>
      </c>
      <c r="T118" s="72">
        <f t="shared" si="148"/>
        <v>5.79E-2</v>
      </c>
      <c r="U118" s="990">
        <v>2.5999999999999999E-2</v>
      </c>
      <c r="V118" s="991">
        <v>1.8200000000000001E-2</v>
      </c>
      <c r="W118" s="210">
        <f t="shared" ref="V118:X127" si="149">+V118</f>
        <v>1.8200000000000001E-2</v>
      </c>
      <c r="X118" s="210">
        <f t="shared" si="149"/>
        <v>1.8200000000000001E-2</v>
      </c>
      <c r="Y118" s="210">
        <f t="shared" ref="Y118:BD118" si="150">+X118</f>
        <v>1.8200000000000001E-2</v>
      </c>
      <c r="Z118" s="164">
        <v>0.04</v>
      </c>
      <c r="AA118" s="163">
        <f t="shared" si="150"/>
        <v>0.04</v>
      </c>
      <c r="AB118" s="163">
        <f t="shared" si="150"/>
        <v>0.04</v>
      </c>
      <c r="AC118" s="163">
        <f t="shared" si="150"/>
        <v>0.04</v>
      </c>
      <c r="AD118" s="163">
        <f t="shared" si="150"/>
        <v>0.04</v>
      </c>
      <c r="AE118" s="163">
        <f t="shared" si="150"/>
        <v>0.04</v>
      </c>
      <c r="AF118" s="163">
        <f t="shared" si="150"/>
        <v>0.04</v>
      </c>
      <c r="AG118" s="163">
        <f t="shared" si="150"/>
        <v>0.04</v>
      </c>
      <c r="AH118" s="163">
        <f t="shared" si="150"/>
        <v>0.04</v>
      </c>
      <c r="AI118" s="163">
        <f t="shared" si="150"/>
        <v>0.04</v>
      </c>
      <c r="AJ118" s="163">
        <f t="shared" si="150"/>
        <v>0.04</v>
      </c>
      <c r="AK118" s="163">
        <f t="shared" si="150"/>
        <v>0.04</v>
      </c>
      <c r="AL118" s="163">
        <f t="shared" si="150"/>
        <v>0.04</v>
      </c>
      <c r="AM118" s="163">
        <f t="shared" si="150"/>
        <v>0.04</v>
      </c>
      <c r="AN118" s="163">
        <f t="shared" si="150"/>
        <v>0.04</v>
      </c>
      <c r="AO118" s="163">
        <f t="shared" si="150"/>
        <v>0.04</v>
      </c>
      <c r="AP118" s="163">
        <f t="shared" si="150"/>
        <v>0.04</v>
      </c>
      <c r="AQ118" s="163">
        <f t="shared" si="150"/>
        <v>0.04</v>
      </c>
      <c r="AR118" s="163">
        <f t="shared" si="150"/>
        <v>0.04</v>
      </c>
      <c r="AS118" s="163">
        <f t="shared" si="150"/>
        <v>0.04</v>
      </c>
      <c r="AT118" s="163">
        <f t="shared" si="150"/>
        <v>0.04</v>
      </c>
      <c r="AU118" s="163">
        <f t="shared" si="150"/>
        <v>0.04</v>
      </c>
      <c r="AV118" s="163">
        <f t="shared" si="150"/>
        <v>0.04</v>
      </c>
      <c r="AW118" s="163">
        <f t="shared" si="150"/>
        <v>0.04</v>
      </c>
      <c r="AX118" s="163">
        <f t="shared" si="150"/>
        <v>0.04</v>
      </c>
      <c r="AY118" s="163">
        <f t="shared" si="150"/>
        <v>0.04</v>
      </c>
      <c r="AZ118" s="163">
        <f t="shared" si="150"/>
        <v>0.04</v>
      </c>
      <c r="BA118" s="163">
        <f t="shared" si="150"/>
        <v>0.04</v>
      </c>
      <c r="BB118" s="163">
        <f t="shared" si="150"/>
        <v>0.04</v>
      </c>
      <c r="BC118" s="163">
        <f t="shared" si="150"/>
        <v>0.04</v>
      </c>
      <c r="BD118" s="163">
        <f t="shared" si="150"/>
        <v>0.04</v>
      </c>
      <c r="BE118" s="163">
        <f t="shared" ref="BE118:BE127" si="151">+BD118</f>
        <v>0.04</v>
      </c>
      <c r="BF118" s="163">
        <f t="shared" ref="BF118:BF127" si="152">+BE118</f>
        <v>0.04</v>
      </c>
      <c r="BG118" s="163">
        <f t="shared" ref="BG118:BG127" si="153">+BF118</f>
        <v>0.04</v>
      </c>
      <c r="BH118" s="163">
        <f t="shared" ref="BH118:BH127" si="154">+BG118</f>
        <v>0.04</v>
      </c>
      <c r="BI118" s="163">
        <f t="shared" ref="BI118:BI127" si="155">+BH118</f>
        <v>0.04</v>
      </c>
      <c r="BJ118" s="163">
        <f t="shared" ref="BJ118:BJ127" si="156">+BI118</f>
        <v>0.04</v>
      </c>
      <c r="BK118" s="163">
        <f t="shared" ref="BK118:BK127" si="157">+BJ118</f>
        <v>0.04</v>
      </c>
      <c r="BL118" s="163">
        <f t="shared" ref="BL118:BL127" si="158">+BK118</f>
        <v>0.04</v>
      </c>
      <c r="BM118" s="163">
        <f t="shared" ref="BM118:BM127" si="159">+BL118</f>
        <v>0.04</v>
      </c>
      <c r="BN118" s="163">
        <f t="shared" ref="BN118:BN127" si="160">+BM118</f>
        <v>0.04</v>
      </c>
      <c r="BO118" s="163">
        <f t="shared" ref="BO118:BO127" si="161">+BN118</f>
        <v>0.04</v>
      </c>
      <c r="BP118" s="163">
        <f t="shared" ref="BP118:BP127" si="162">+BO118</f>
        <v>0.04</v>
      </c>
      <c r="BQ118" s="163">
        <f t="shared" ref="BQ118:BQ127" si="163">+BP118</f>
        <v>0.04</v>
      </c>
      <c r="BR118" s="163">
        <f t="shared" ref="BR118:BR127" si="164">+BQ118</f>
        <v>0.04</v>
      </c>
      <c r="BS118" s="163">
        <f t="shared" ref="BS118:BS127" si="165">+BR118</f>
        <v>0.04</v>
      </c>
      <c r="BT118" s="163">
        <f t="shared" ref="BT118:BT127" si="166">+BS118</f>
        <v>0.04</v>
      </c>
      <c r="BU118" s="163">
        <f t="shared" ref="BU118:BU127" si="167">+BT118</f>
        <v>0.04</v>
      </c>
      <c r="BV118" s="163">
        <f t="shared" ref="BV118:BV127" si="168">+BU118</f>
        <v>0.04</v>
      </c>
      <c r="BW118" s="163">
        <f t="shared" ref="BW118:BW127" si="169">+BV118</f>
        <v>0.04</v>
      </c>
      <c r="BX118" s="163">
        <f t="shared" ref="BX118:BX127" si="170">+BW118</f>
        <v>0.04</v>
      </c>
      <c r="BY118" s="163">
        <f t="shared" ref="BY118:BY127" si="171">+BX118</f>
        <v>0.04</v>
      </c>
      <c r="BZ118" s="163">
        <f t="shared" ref="BZ118:BZ127" si="172">+BY118</f>
        <v>0.04</v>
      </c>
      <c r="CA118" s="163">
        <f t="shared" ref="CA118:CA127" si="173">+BZ118</f>
        <v>0.04</v>
      </c>
      <c r="CB118" s="163">
        <f t="shared" ref="CB118:CB127" si="174">+CA118</f>
        <v>0.04</v>
      </c>
      <c r="CC118" s="163">
        <f t="shared" ref="CC118:CC127" si="175">+CB118</f>
        <v>0.04</v>
      </c>
      <c r="CD118" s="163">
        <f t="shared" ref="CD118:CD127" si="176">+CC118</f>
        <v>0.04</v>
      </c>
      <c r="CE118" s="163">
        <f t="shared" ref="CE118:CE127" si="177">+CD118</f>
        <v>0.04</v>
      </c>
      <c r="CF118" s="163">
        <f t="shared" ref="CF118:CF127" si="178">+CE118</f>
        <v>0.04</v>
      </c>
      <c r="CG118" s="163">
        <f t="shared" ref="CG118:CG127" si="179">+CF118</f>
        <v>0.04</v>
      </c>
      <c r="CH118" s="163">
        <f t="shared" ref="CH118:CH127" si="180">+CG118</f>
        <v>0.04</v>
      </c>
      <c r="CI118" s="163">
        <f t="shared" ref="CI118:CI127" si="181">+CH118</f>
        <v>0.04</v>
      </c>
      <c r="CJ118" s="163">
        <f t="shared" ref="CJ118:CJ127" si="182">+CI118</f>
        <v>0.04</v>
      </c>
      <c r="CK118" s="163">
        <f t="shared" ref="CK118:CK127" si="183">+CJ118</f>
        <v>0.04</v>
      </c>
      <c r="CL118" s="163">
        <f t="shared" ref="CL118:CL127" si="184">+CK118</f>
        <v>0.04</v>
      </c>
      <c r="CM118" s="163">
        <f t="shared" ref="CM118:CM127" si="185">+CL118</f>
        <v>0.04</v>
      </c>
      <c r="CN118" s="163">
        <f t="shared" ref="CN118:CN127" si="186">+CM118</f>
        <v>0.04</v>
      </c>
      <c r="CO118" s="163">
        <f t="shared" ref="CO118:CO127" si="187">+CN118</f>
        <v>0.04</v>
      </c>
      <c r="CP118" s="163">
        <f t="shared" ref="CP118:CP127" si="188">+CO118</f>
        <v>0.04</v>
      </c>
      <c r="CQ118" s="23" t="s">
        <v>77</v>
      </c>
    </row>
    <row r="119" spans="1:96" outlineLevel="1" x14ac:dyDescent="0.2">
      <c r="B119" s="8" t="s">
        <v>53</v>
      </c>
      <c r="D119" s="72"/>
      <c r="E119" s="72"/>
      <c r="F119" s="72"/>
      <c r="G119" s="72"/>
      <c r="H119" s="72"/>
      <c r="I119" s="72"/>
      <c r="J119" s="72"/>
      <c r="K119" s="72"/>
      <c r="L119" s="125"/>
      <c r="M119" s="72">
        <f t="shared" si="146"/>
        <v>0</v>
      </c>
      <c r="N119" s="72">
        <f t="shared" si="146"/>
        <v>0</v>
      </c>
      <c r="O119" s="72">
        <f t="shared" si="146"/>
        <v>0</v>
      </c>
      <c r="P119" s="125">
        <v>2.5000000000000001E-2</v>
      </c>
      <c r="Q119" s="72">
        <f t="shared" si="146"/>
        <v>2.5000000000000001E-2</v>
      </c>
      <c r="R119" s="72">
        <f t="shared" si="147"/>
        <v>2.5000000000000001E-2</v>
      </c>
      <c r="S119" s="72">
        <f t="shared" si="148"/>
        <v>2.5000000000000001E-2</v>
      </c>
      <c r="T119" s="72">
        <f t="shared" si="148"/>
        <v>2.5000000000000001E-2</v>
      </c>
      <c r="U119" s="125">
        <v>2.5000000000000001E-2</v>
      </c>
      <c r="V119" s="991">
        <v>1.46E-2</v>
      </c>
      <c r="W119" s="210">
        <f t="shared" si="149"/>
        <v>1.46E-2</v>
      </c>
      <c r="X119" s="210">
        <f t="shared" si="149"/>
        <v>1.46E-2</v>
      </c>
      <c r="Y119" s="210">
        <f t="shared" ref="Y119:BD119" si="189">+X119</f>
        <v>1.46E-2</v>
      </c>
      <c r="Z119" s="292">
        <f t="shared" si="189"/>
        <v>1.46E-2</v>
      </c>
      <c r="AA119" s="163">
        <f t="shared" si="189"/>
        <v>1.46E-2</v>
      </c>
      <c r="AB119" s="163">
        <f t="shared" si="189"/>
        <v>1.46E-2</v>
      </c>
      <c r="AC119" s="163">
        <f t="shared" si="189"/>
        <v>1.46E-2</v>
      </c>
      <c r="AD119" s="163">
        <f t="shared" si="189"/>
        <v>1.46E-2</v>
      </c>
      <c r="AE119" s="163">
        <f t="shared" si="189"/>
        <v>1.46E-2</v>
      </c>
      <c r="AF119" s="163">
        <f t="shared" si="189"/>
        <v>1.46E-2</v>
      </c>
      <c r="AG119" s="163">
        <f t="shared" si="189"/>
        <v>1.46E-2</v>
      </c>
      <c r="AH119" s="163">
        <f t="shared" si="189"/>
        <v>1.46E-2</v>
      </c>
      <c r="AI119" s="163">
        <f t="shared" si="189"/>
        <v>1.46E-2</v>
      </c>
      <c r="AJ119" s="163">
        <f t="shared" si="189"/>
        <v>1.46E-2</v>
      </c>
      <c r="AK119" s="163">
        <f t="shared" si="189"/>
        <v>1.46E-2</v>
      </c>
      <c r="AL119" s="163">
        <f t="shared" si="189"/>
        <v>1.46E-2</v>
      </c>
      <c r="AM119" s="163">
        <f t="shared" si="189"/>
        <v>1.46E-2</v>
      </c>
      <c r="AN119" s="163">
        <f t="shared" si="189"/>
        <v>1.46E-2</v>
      </c>
      <c r="AO119" s="163">
        <f t="shared" si="189"/>
        <v>1.46E-2</v>
      </c>
      <c r="AP119" s="163">
        <f t="shared" si="189"/>
        <v>1.46E-2</v>
      </c>
      <c r="AQ119" s="163">
        <f t="shared" si="189"/>
        <v>1.46E-2</v>
      </c>
      <c r="AR119" s="163">
        <f t="shared" si="189"/>
        <v>1.46E-2</v>
      </c>
      <c r="AS119" s="163">
        <f t="shared" si="189"/>
        <v>1.46E-2</v>
      </c>
      <c r="AT119" s="163">
        <f t="shared" si="189"/>
        <v>1.46E-2</v>
      </c>
      <c r="AU119" s="163">
        <f t="shared" si="189"/>
        <v>1.46E-2</v>
      </c>
      <c r="AV119" s="163">
        <f t="shared" si="189"/>
        <v>1.46E-2</v>
      </c>
      <c r="AW119" s="163">
        <f t="shared" si="189"/>
        <v>1.46E-2</v>
      </c>
      <c r="AX119" s="163">
        <f t="shared" si="189"/>
        <v>1.46E-2</v>
      </c>
      <c r="AY119" s="163">
        <f t="shared" si="189"/>
        <v>1.46E-2</v>
      </c>
      <c r="AZ119" s="163">
        <f t="shared" si="189"/>
        <v>1.46E-2</v>
      </c>
      <c r="BA119" s="163">
        <f t="shared" si="189"/>
        <v>1.46E-2</v>
      </c>
      <c r="BB119" s="163">
        <f t="shared" si="189"/>
        <v>1.46E-2</v>
      </c>
      <c r="BC119" s="163">
        <f t="shared" si="189"/>
        <v>1.46E-2</v>
      </c>
      <c r="BD119" s="163">
        <f t="shared" si="189"/>
        <v>1.46E-2</v>
      </c>
      <c r="BE119" s="163">
        <f t="shared" si="151"/>
        <v>1.46E-2</v>
      </c>
      <c r="BF119" s="163">
        <f t="shared" si="152"/>
        <v>1.46E-2</v>
      </c>
      <c r="BG119" s="163">
        <f t="shared" si="153"/>
        <v>1.46E-2</v>
      </c>
      <c r="BH119" s="163">
        <f t="shared" si="154"/>
        <v>1.46E-2</v>
      </c>
      <c r="BI119" s="163">
        <f t="shared" si="155"/>
        <v>1.46E-2</v>
      </c>
      <c r="BJ119" s="163">
        <f t="shared" si="156"/>
        <v>1.46E-2</v>
      </c>
      <c r="BK119" s="163">
        <f t="shared" si="157"/>
        <v>1.46E-2</v>
      </c>
      <c r="BL119" s="163">
        <f t="shared" si="158"/>
        <v>1.46E-2</v>
      </c>
      <c r="BM119" s="163">
        <f t="shared" si="159"/>
        <v>1.46E-2</v>
      </c>
      <c r="BN119" s="163">
        <f t="shared" si="160"/>
        <v>1.46E-2</v>
      </c>
      <c r="BO119" s="163">
        <f t="shared" si="161"/>
        <v>1.46E-2</v>
      </c>
      <c r="BP119" s="163">
        <f t="shared" si="162"/>
        <v>1.46E-2</v>
      </c>
      <c r="BQ119" s="163">
        <f t="shared" si="163"/>
        <v>1.46E-2</v>
      </c>
      <c r="BR119" s="163">
        <f t="shared" si="164"/>
        <v>1.46E-2</v>
      </c>
      <c r="BS119" s="163">
        <f t="shared" si="165"/>
        <v>1.46E-2</v>
      </c>
      <c r="BT119" s="163">
        <f t="shared" si="166"/>
        <v>1.46E-2</v>
      </c>
      <c r="BU119" s="163">
        <f t="shared" si="167"/>
        <v>1.46E-2</v>
      </c>
      <c r="BV119" s="163">
        <f t="shared" si="168"/>
        <v>1.46E-2</v>
      </c>
      <c r="BW119" s="163">
        <f t="shared" si="169"/>
        <v>1.46E-2</v>
      </c>
      <c r="BX119" s="163">
        <f t="shared" si="170"/>
        <v>1.46E-2</v>
      </c>
      <c r="BY119" s="163">
        <f t="shared" si="171"/>
        <v>1.46E-2</v>
      </c>
      <c r="BZ119" s="163">
        <f t="shared" si="172"/>
        <v>1.46E-2</v>
      </c>
      <c r="CA119" s="163">
        <f t="shared" si="173"/>
        <v>1.46E-2</v>
      </c>
      <c r="CB119" s="163">
        <f t="shared" si="174"/>
        <v>1.46E-2</v>
      </c>
      <c r="CC119" s="163">
        <f t="shared" si="175"/>
        <v>1.46E-2</v>
      </c>
      <c r="CD119" s="163">
        <f t="shared" si="176"/>
        <v>1.46E-2</v>
      </c>
      <c r="CE119" s="163">
        <f t="shared" si="177"/>
        <v>1.46E-2</v>
      </c>
      <c r="CF119" s="163">
        <f t="shared" si="178"/>
        <v>1.46E-2</v>
      </c>
      <c r="CG119" s="163">
        <f t="shared" si="179"/>
        <v>1.46E-2</v>
      </c>
      <c r="CH119" s="163">
        <f t="shared" si="180"/>
        <v>1.46E-2</v>
      </c>
      <c r="CI119" s="163">
        <f t="shared" si="181"/>
        <v>1.46E-2</v>
      </c>
      <c r="CJ119" s="163">
        <f t="shared" si="182"/>
        <v>1.46E-2</v>
      </c>
      <c r="CK119" s="163">
        <f t="shared" si="183"/>
        <v>1.46E-2</v>
      </c>
      <c r="CL119" s="163">
        <f t="shared" si="184"/>
        <v>1.46E-2</v>
      </c>
      <c r="CM119" s="163">
        <f t="shared" si="185"/>
        <v>1.46E-2</v>
      </c>
      <c r="CN119" s="163">
        <f t="shared" si="186"/>
        <v>1.46E-2</v>
      </c>
      <c r="CO119" s="163">
        <f t="shared" si="187"/>
        <v>1.46E-2</v>
      </c>
      <c r="CP119" s="163">
        <f t="shared" si="188"/>
        <v>1.46E-2</v>
      </c>
      <c r="CQ119" s="23" t="s">
        <v>77</v>
      </c>
    </row>
    <row r="120" spans="1:96" outlineLevel="1" x14ac:dyDescent="0.2">
      <c r="B120" s="8" t="s">
        <v>52</v>
      </c>
      <c r="D120" s="72"/>
      <c r="E120" s="72"/>
      <c r="F120" s="72"/>
      <c r="G120" s="72"/>
      <c r="H120" s="72"/>
      <c r="I120" s="72"/>
      <c r="J120" s="72"/>
      <c r="K120" s="72"/>
      <c r="L120" s="79">
        <f>(1+L118)/(1+L119)-1</f>
        <v>0</v>
      </c>
      <c r="M120" s="72">
        <f t="shared" si="146"/>
        <v>0</v>
      </c>
      <c r="N120" s="72">
        <f t="shared" si="146"/>
        <v>0</v>
      </c>
      <c r="O120" s="72">
        <f t="shared" si="146"/>
        <v>0</v>
      </c>
      <c r="P120" s="79">
        <f>(1+P118)/(1+P119)-1</f>
        <v>3.2097560975610007E-2</v>
      </c>
      <c r="Q120" s="72">
        <f t="shared" si="146"/>
        <v>3.2097560975610007E-2</v>
      </c>
      <c r="R120" s="72">
        <f t="shared" si="147"/>
        <v>3.2097560975610007E-2</v>
      </c>
      <c r="S120" s="72">
        <f t="shared" si="148"/>
        <v>3.2097560975610007E-2</v>
      </c>
      <c r="T120" s="72">
        <f t="shared" si="148"/>
        <v>3.2097560975610007E-2</v>
      </c>
      <c r="U120" s="79">
        <f>(1+U118)/(1+U119)-1</f>
        <v>9.7560975609756184E-4</v>
      </c>
      <c r="V120" s="991">
        <v>3.5000000000000001E-3</v>
      </c>
      <c r="W120" s="210">
        <f t="shared" si="149"/>
        <v>3.5000000000000001E-3</v>
      </c>
      <c r="X120" s="210">
        <f t="shared" si="149"/>
        <v>3.5000000000000001E-3</v>
      </c>
      <c r="Y120" s="210">
        <f t="shared" ref="Y120:BD120" si="190">+X120</f>
        <v>3.5000000000000001E-3</v>
      </c>
      <c r="Z120" s="165">
        <f t="shared" si="190"/>
        <v>3.5000000000000001E-3</v>
      </c>
      <c r="AA120" s="163">
        <f t="shared" si="190"/>
        <v>3.5000000000000001E-3</v>
      </c>
      <c r="AB120" s="163">
        <f t="shared" si="190"/>
        <v>3.5000000000000001E-3</v>
      </c>
      <c r="AC120" s="163">
        <f t="shared" si="190"/>
        <v>3.5000000000000001E-3</v>
      </c>
      <c r="AD120" s="163">
        <f t="shared" si="190"/>
        <v>3.5000000000000001E-3</v>
      </c>
      <c r="AE120" s="163">
        <f t="shared" si="190"/>
        <v>3.5000000000000001E-3</v>
      </c>
      <c r="AF120" s="163">
        <f t="shared" si="190"/>
        <v>3.5000000000000001E-3</v>
      </c>
      <c r="AG120" s="163">
        <f t="shared" si="190"/>
        <v>3.5000000000000001E-3</v>
      </c>
      <c r="AH120" s="163">
        <f t="shared" si="190"/>
        <v>3.5000000000000001E-3</v>
      </c>
      <c r="AI120" s="163">
        <f t="shared" si="190"/>
        <v>3.5000000000000001E-3</v>
      </c>
      <c r="AJ120" s="163">
        <f t="shared" si="190"/>
        <v>3.5000000000000001E-3</v>
      </c>
      <c r="AK120" s="163">
        <f t="shared" si="190"/>
        <v>3.5000000000000001E-3</v>
      </c>
      <c r="AL120" s="163">
        <f t="shared" si="190"/>
        <v>3.5000000000000001E-3</v>
      </c>
      <c r="AM120" s="163">
        <f t="shared" si="190"/>
        <v>3.5000000000000001E-3</v>
      </c>
      <c r="AN120" s="163">
        <f t="shared" si="190"/>
        <v>3.5000000000000001E-3</v>
      </c>
      <c r="AO120" s="163">
        <f t="shared" si="190"/>
        <v>3.5000000000000001E-3</v>
      </c>
      <c r="AP120" s="163">
        <f t="shared" si="190"/>
        <v>3.5000000000000001E-3</v>
      </c>
      <c r="AQ120" s="163">
        <f t="shared" si="190"/>
        <v>3.5000000000000001E-3</v>
      </c>
      <c r="AR120" s="163">
        <f t="shared" si="190"/>
        <v>3.5000000000000001E-3</v>
      </c>
      <c r="AS120" s="163">
        <f t="shared" si="190"/>
        <v>3.5000000000000001E-3</v>
      </c>
      <c r="AT120" s="163">
        <f t="shared" si="190"/>
        <v>3.5000000000000001E-3</v>
      </c>
      <c r="AU120" s="163">
        <f t="shared" si="190"/>
        <v>3.5000000000000001E-3</v>
      </c>
      <c r="AV120" s="163">
        <f t="shared" si="190"/>
        <v>3.5000000000000001E-3</v>
      </c>
      <c r="AW120" s="163">
        <f t="shared" si="190"/>
        <v>3.5000000000000001E-3</v>
      </c>
      <c r="AX120" s="163">
        <f t="shared" si="190"/>
        <v>3.5000000000000001E-3</v>
      </c>
      <c r="AY120" s="163">
        <f t="shared" si="190"/>
        <v>3.5000000000000001E-3</v>
      </c>
      <c r="AZ120" s="163">
        <f t="shared" si="190"/>
        <v>3.5000000000000001E-3</v>
      </c>
      <c r="BA120" s="163">
        <f t="shared" si="190"/>
        <v>3.5000000000000001E-3</v>
      </c>
      <c r="BB120" s="163">
        <f t="shared" si="190"/>
        <v>3.5000000000000001E-3</v>
      </c>
      <c r="BC120" s="163">
        <f t="shared" si="190"/>
        <v>3.5000000000000001E-3</v>
      </c>
      <c r="BD120" s="163">
        <f t="shared" si="190"/>
        <v>3.5000000000000001E-3</v>
      </c>
      <c r="BE120" s="163">
        <f t="shared" si="151"/>
        <v>3.5000000000000001E-3</v>
      </c>
      <c r="BF120" s="163">
        <f t="shared" si="152"/>
        <v>3.5000000000000001E-3</v>
      </c>
      <c r="BG120" s="163">
        <f t="shared" si="153"/>
        <v>3.5000000000000001E-3</v>
      </c>
      <c r="BH120" s="163">
        <f t="shared" si="154"/>
        <v>3.5000000000000001E-3</v>
      </c>
      <c r="BI120" s="163">
        <f t="shared" si="155"/>
        <v>3.5000000000000001E-3</v>
      </c>
      <c r="BJ120" s="163">
        <f t="shared" si="156"/>
        <v>3.5000000000000001E-3</v>
      </c>
      <c r="BK120" s="163">
        <f t="shared" si="157"/>
        <v>3.5000000000000001E-3</v>
      </c>
      <c r="BL120" s="163">
        <f t="shared" si="158"/>
        <v>3.5000000000000001E-3</v>
      </c>
      <c r="BM120" s="163">
        <f t="shared" si="159"/>
        <v>3.5000000000000001E-3</v>
      </c>
      <c r="BN120" s="163">
        <f t="shared" si="160"/>
        <v>3.5000000000000001E-3</v>
      </c>
      <c r="BO120" s="163">
        <f t="shared" si="161"/>
        <v>3.5000000000000001E-3</v>
      </c>
      <c r="BP120" s="163">
        <f t="shared" si="162"/>
        <v>3.5000000000000001E-3</v>
      </c>
      <c r="BQ120" s="163">
        <f t="shared" si="163"/>
        <v>3.5000000000000001E-3</v>
      </c>
      <c r="BR120" s="163">
        <f t="shared" si="164"/>
        <v>3.5000000000000001E-3</v>
      </c>
      <c r="BS120" s="163">
        <f t="shared" si="165"/>
        <v>3.5000000000000001E-3</v>
      </c>
      <c r="BT120" s="163">
        <f t="shared" si="166"/>
        <v>3.5000000000000001E-3</v>
      </c>
      <c r="BU120" s="163">
        <f t="shared" si="167"/>
        <v>3.5000000000000001E-3</v>
      </c>
      <c r="BV120" s="163">
        <f t="shared" si="168"/>
        <v>3.5000000000000001E-3</v>
      </c>
      <c r="BW120" s="163">
        <f t="shared" si="169"/>
        <v>3.5000000000000001E-3</v>
      </c>
      <c r="BX120" s="163">
        <f t="shared" si="170"/>
        <v>3.5000000000000001E-3</v>
      </c>
      <c r="BY120" s="163">
        <f t="shared" si="171"/>
        <v>3.5000000000000001E-3</v>
      </c>
      <c r="BZ120" s="163">
        <f t="shared" si="172"/>
        <v>3.5000000000000001E-3</v>
      </c>
      <c r="CA120" s="163">
        <f t="shared" si="173"/>
        <v>3.5000000000000001E-3</v>
      </c>
      <c r="CB120" s="163">
        <f t="shared" si="174"/>
        <v>3.5000000000000001E-3</v>
      </c>
      <c r="CC120" s="163">
        <f t="shared" si="175"/>
        <v>3.5000000000000001E-3</v>
      </c>
      <c r="CD120" s="163">
        <f t="shared" si="176"/>
        <v>3.5000000000000001E-3</v>
      </c>
      <c r="CE120" s="163">
        <f t="shared" si="177"/>
        <v>3.5000000000000001E-3</v>
      </c>
      <c r="CF120" s="163">
        <f t="shared" si="178"/>
        <v>3.5000000000000001E-3</v>
      </c>
      <c r="CG120" s="163">
        <f t="shared" si="179"/>
        <v>3.5000000000000001E-3</v>
      </c>
      <c r="CH120" s="163">
        <f t="shared" si="180"/>
        <v>3.5000000000000001E-3</v>
      </c>
      <c r="CI120" s="163">
        <f t="shared" si="181"/>
        <v>3.5000000000000001E-3</v>
      </c>
      <c r="CJ120" s="163">
        <f t="shared" si="182"/>
        <v>3.5000000000000001E-3</v>
      </c>
      <c r="CK120" s="163">
        <f t="shared" si="183"/>
        <v>3.5000000000000001E-3</v>
      </c>
      <c r="CL120" s="163">
        <f t="shared" si="184"/>
        <v>3.5000000000000001E-3</v>
      </c>
      <c r="CM120" s="163">
        <f t="shared" si="185"/>
        <v>3.5000000000000001E-3</v>
      </c>
      <c r="CN120" s="163">
        <f t="shared" si="186"/>
        <v>3.5000000000000001E-3</v>
      </c>
      <c r="CO120" s="163">
        <f t="shared" si="187"/>
        <v>3.5000000000000001E-3</v>
      </c>
      <c r="CP120" s="163">
        <f t="shared" si="188"/>
        <v>3.5000000000000001E-3</v>
      </c>
      <c r="CQ120" s="23" t="s">
        <v>77</v>
      </c>
    </row>
    <row r="121" spans="1:96" s="234" customFormat="1" outlineLevel="1" x14ac:dyDescent="0.2">
      <c r="B121" s="234" t="s">
        <v>54</v>
      </c>
      <c r="C121" s="86"/>
      <c r="D121" s="73"/>
      <c r="E121" s="73"/>
      <c r="F121" s="73"/>
      <c r="G121" s="73"/>
      <c r="H121" s="73"/>
      <c r="I121" s="73"/>
      <c r="J121" s="73"/>
      <c r="K121" s="73"/>
      <c r="L121" s="200"/>
      <c r="M121" s="73">
        <f t="shared" si="146"/>
        <v>0</v>
      </c>
      <c r="N121" s="73">
        <f t="shared" si="146"/>
        <v>0</v>
      </c>
      <c r="O121" s="73">
        <f t="shared" si="146"/>
        <v>0</v>
      </c>
      <c r="P121" s="200">
        <v>0.6</v>
      </c>
      <c r="Q121" s="73">
        <f t="shared" si="146"/>
        <v>0.6</v>
      </c>
      <c r="R121" s="73">
        <f t="shared" si="147"/>
        <v>0.6</v>
      </c>
      <c r="S121" s="73">
        <f t="shared" si="148"/>
        <v>0.6</v>
      </c>
      <c r="T121" s="73">
        <f t="shared" si="148"/>
        <v>0.6</v>
      </c>
      <c r="U121" s="200">
        <v>0.6</v>
      </c>
      <c r="V121" s="992">
        <f t="shared" si="149"/>
        <v>0.6</v>
      </c>
      <c r="W121" s="211">
        <f t="shared" si="149"/>
        <v>0.6</v>
      </c>
      <c r="X121" s="211">
        <f t="shared" si="149"/>
        <v>0.6</v>
      </c>
      <c r="Y121" s="211">
        <f t="shared" ref="Y121:BD121" si="191">+X121</f>
        <v>0.6</v>
      </c>
      <c r="Z121" s="293">
        <f t="shared" si="191"/>
        <v>0.6</v>
      </c>
      <c r="AA121" s="166">
        <f t="shared" si="191"/>
        <v>0.6</v>
      </c>
      <c r="AB121" s="166">
        <f t="shared" si="191"/>
        <v>0.6</v>
      </c>
      <c r="AC121" s="166">
        <f t="shared" si="191"/>
        <v>0.6</v>
      </c>
      <c r="AD121" s="166">
        <f t="shared" si="191"/>
        <v>0.6</v>
      </c>
      <c r="AE121" s="166">
        <f t="shared" si="191"/>
        <v>0.6</v>
      </c>
      <c r="AF121" s="166">
        <f t="shared" si="191"/>
        <v>0.6</v>
      </c>
      <c r="AG121" s="166">
        <f t="shared" si="191"/>
        <v>0.6</v>
      </c>
      <c r="AH121" s="166">
        <f t="shared" si="191"/>
        <v>0.6</v>
      </c>
      <c r="AI121" s="166">
        <f t="shared" si="191"/>
        <v>0.6</v>
      </c>
      <c r="AJ121" s="166">
        <f t="shared" si="191"/>
        <v>0.6</v>
      </c>
      <c r="AK121" s="166">
        <f t="shared" si="191"/>
        <v>0.6</v>
      </c>
      <c r="AL121" s="166">
        <f t="shared" si="191"/>
        <v>0.6</v>
      </c>
      <c r="AM121" s="166">
        <f t="shared" si="191"/>
        <v>0.6</v>
      </c>
      <c r="AN121" s="166">
        <f t="shared" si="191"/>
        <v>0.6</v>
      </c>
      <c r="AO121" s="166">
        <f t="shared" si="191"/>
        <v>0.6</v>
      </c>
      <c r="AP121" s="166">
        <f t="shared" si="191"/>
        <v>0.6</v>
      </c>
      <c r="AQ121" s="166">
        <f t="shared" si="191"/>
        <v>0.6</v>
      </c>
      <c r="AR121" s="166">
        <f t="shared" si="191"/>
        <v>0.6</v>
      </c>
      <c r="AS121" s="166">
        <f t="shared" si="191"/>
        <v>0.6</v>
      </c>
      <c r="AT121" s="166">
        <f t="shared" si="191"/>
        <v>0.6</v>
      </c>
      <c r="AU121" s="166">
        <f t="shared" si="191"/>
        <v>0.6</v>
      </c>
      <c r="AV121" s="166">
        <f t="shared" si="191"/>
        <v>0.6</v>
      </c>
      <c r="AW121" s="166">
        <f t="shared" si="191"/>
        <v>0.6</v>
      </c>
      <c r="AX121" s="166">
        <f t="shared" si="191"/>
        <v>0.6</v>
      </c>
      <c r="AY121" s="166">
        <f t="shared" si="191"/>
        <v>0.6</v>
      </c>
      <c r="AZ121" s="166">
        <f t="shared" si="191"/>
        <v>0.6</v>
      </c>
      <c r="BA121" s="166">
        <f t="shared" si="191"/>
        <v>0.6</v>
      </c>
      <c r="BB121" s="166">
        <f t="shared" si="191"/>
        <v>0.6</v>
      </c>
      <c r="BC121" s="166">
        <f t="shared" si="191"/>
        <v>0.6</v>
      </c>
      <c r="BD121" s="166">
        <f t="shared" si="191"/>
        <v>0.6</v>
      </c>
      <c r="BE121" s="166">
        <f t="shared" si="151"/>
        <v>0.6</v>
      </c>
      <c r="BF121" s="166">
        <f t="shared" si="152"/>
        <v>0.6</v>
      </c>
      <c r="BG121" s="166">
        <f t="shared" si="153"/>
        <v>0.6</v>
      </c>
      <c r="BH121" s="166">
        <f t="shared" si="154"/>
        <v>0.6</v>
      </c>
      <c r="BI121" s="166">
        <f t="shared" si="155"/>
        <v>0.6</v>
      </c>
      <c r="BJ121" s="166">
        <f t="shared" si="156"/>
        <v>0.6</v>
      </c>
      <c r="BK121" s="166">
        <f t="shared" si="157"/>
        <v>0.6</v>
      </c>
      <c r="BL121" s="166">
        <f t="shared" si="158"/>
        <v>0.6</v>
      </c>
      <c r="BM121" s="166">
        <f t="shared" si="159"/>
        <v>0.6</v>
      </c>
      <c r="BN121" s="166">
        <f t="shared" si="160"/>
        <v>0.6</v>
      </c>
      <c r="BO121" s="166">
        <f t="shared" si="161"/>
        <v>0.6</v>
      </c>
      <c r="BP121" s="166">
        <f t="shared" si="162"/>
        <v>0.6</v>
      </c>
      <c r="BQ121" s="166">
        <f t="shared" si="163"/>
        <v>0.6</v>
      </c>
      <c r="BR121" s="166">
        <f t="shared" si="164"/>
        <v>0.6</v>
      </c>
      <c r="BS121" s="166">
        <f t="shared" si="165"/>
        <v>0.6</v>
      </c>
      <c r="BT121" s="166">
        <f t="shared" si="166"/>
        <v>0.6</v>
      </c>
      <c r="BU121" s="166">
        <f t="shared" si="167"/>
        <v>0.6</v>
      </c>
      <c r="BV121" s="166">
        <f t="shared" si="168"/>
        <v>0.6</v>
      </c>
      <c r="BW121" s="166">
        <f t="shared" si="169"/>
        <v>0.6</v>
      </c>
      <c r="BX121" s="166">
        <f t="shared" si="170"/>
        <v>0.6</v>
      </c>
      <c r="BY121" s="166">
        <f t="shared" si="171"/>
        <v>0.6</v>
      </c>
      <c r="BZ121" s="166">
        <f t="shared" si="172"/>
        <v>0.6</v>
      </c>
      <c r="CA121" s="166">
        <f t="shared" si="173"/>
        <v>0.6</v>
      </c>
      <c r="CB121" s="166">
        <f t="shared" si="174"/>
        <v>0.6</v>
      </c>
      <c r="CC121" s="166">
        <f t="shared" si="175"/>
        <v>0.6</v>
      </c>
      <c r="CD121" s="166">
        <f t="shared" si="176"/>
        <v>0.6</v>
      </c>
      <c r="CE121" s="166">
        <f t="shared" si="177"/>
        <v>0.6</v>
      </c>
      <c r="CF121" s="166">
        <f t="shared" si="178"/>
        <v>0.6</v>
      </c>
      <c r="CG121" s="166">
        <f t="shared" si="179"/>
        <v>0.6</v>
      </c>
      <c r="CH121" s="166">
        <f t="shared" si="180"/>
        <v>0.6</v>
      </c>
      <c r="CI121" s="166">
        <f t="shared" si="181"/>
        <v>0.6</v>
      </c>
      <c r="CJ121" s="166">
        <f t="shared" si="182"/>
        <v>0.6</v>
      </c>
      <c r="CK121" s="166">
        <f t="shared" si="183"/>
        <v>0.6</v>
      </c>
      <c r="CL121" s="166">
        <f t="shared" si="184"/>
        <v>0.6</v>
      </c>
      <c r="CM121" s="166">
        <f t="shared" si="185"/>
        <v>0.6</v>
      </c>
      <c r="CN121" s="166">
        <f t="shared" si="186"/>
        <v>0.6</v>
      </c>
      <c r="CO121" s="166">
        <f t="shared" si="187"/>
        <v>0.6</v>
      </c>
      <c r="CP121" s="166">
        <f t="shared" si="188"/>
        <v>0.6</v>
      </c>
      <c r="CQ121" s="73" t="s">
        <v>77</v>
      </c>
    </row>
    <row r="122" spans="1:96" s="234" customFormat="1" outlineLevel="1" x14ac:dyDescent="0.2">
      <c r="B122" s="234" t="s">
        <v>56</v>
      </c>
      <c r="C122" s="86"/>
      <c r="D122" s="73"/>
      <c r="E122" s="73"/>
      <c r="F122" s="73"/>
      <c r="G122" s="73"/>
      <c r="H122" s="73"/>
      <c r="I122" s="73"/>
      <c r="J122" s="73"/>
      <c r="K122" s="73"/>
      <c r="L122" s="201">
        <f>1-L121</f>
        <v>1</v>
      </c>
      <c r="M122" s="73">
        <f t="shared" si="146"/>
        <v>1</v>
      </c>
      <c r="N122" s="73">
        <f t="shared" si="146"/>
        <v>1</v>
      </c>
      <c r="O122" s="73">
        <f t="shared" si="146"/>
        <v>1</v>
      </c>
      <c r="P122" s="201">
        <f>1-P121</f>
        <v>0.4</v>
      </c>
      <c r="Q122" s="73">
        <f t="shared" si="146"/>
        <v>0.4</v>
      </c>
      <c r="R122" s="73">
        <f t="shared" si="147"/>
        <v>0.4</v>
      </c>
      <c r="S122" s="73">
        <f t="shared" si="148"/>
        <v>0.4</v>
      </c>
      <c r="T122" s="73">
        <f t="shared" si="148"/>
        <v>0.4</v>
      </c>
      <c r="U122" s="201">
        <f>1-U121</f>
        <v>0.4</v>
      </c>
      <c r="V122" s="73">
        <f t="shared" si="149"/>
        <v>0.4</v>
      </c>
      <c r="W122" s="211">
        <f t="shared" si="149"/>
        <v>0.4</v>
      </c>
      <c r="X122" s="211">
        <f t="shared" si="149"/>
        <v>0.4</v>
      </c>
      <c r="Y122" s="211">
        <f t="shared" ref="Y122:BD122" si="192">+X122</f>
        <v>0.4</v>
      </c>
      <c r="Z122" s="167">
        <f t="shared" si="192"/>
        <v>0.4</v>
      </c>
      <c r="AA122" s="166">
        <f t="shared" si="192"/>
        <v>0.4</v>
      </c>
      <c r="AB122" s="166">
        <f t="shared" si="192"/>
        <v>0.4</v>
      </c>
      <c r="AC122" s="166">
        <f t="shared" si="192"/>
        <v>0.4</v>
      </c>
      <c r="AD122" s="166">
        <f t="shared" si="192"/>
        <v>0.4</v>
      </c>
      <c r="AE122" s="166">
        <f t="shared" si="192"/>
        <v>0.4</v>
      </c>
      <c r="AF122" s="166">
        <f t="shared" si="192"/>
        <v>0.4</v>
      </c>
      <c r="AG122" s="166">
        <f t="shared" si="192"/>
        <v>0.4</v>
      </c>
      <c r="AH122" s="166">
        <f t="shared" si="192"/>
        <v>0.4</v>
      </c>
      <c r="AI122" s="166">
        <f t="shared" si="192"/>
        <v>0.4</v>
      </c>
      <c r="AJ122" s="166">
        <f t="shared" si="192"/>
        <v>0.4</v>
      </c>
      <c r="AK122" s="166">
        <f t="shared" si="192"/>
        <v>0.4</v>
      </c>
      <c r="AL122" s="166">
        <f t="shared" si="192"/>
        <v>0.4</v>
      </c>
      <c r="AM122" s="166">
        <f t="shared" si="192"/>
        <v>0.4</v>
      </c>
      <c r="AN122" s="166">
        <f t="shared" si="192"/>
        <v>0.4</v>
      </c>
      <c r="AO122" s="166">
        <f t="shared" si="192"/>
        <v>0.4</v>
      </c>
      <c r="AP122" s="166">
        <f t="shared" si="192"/>
        <v>0.4</v>
      </c>
      <c r="AQ122" s="166">
        <f t="shared" si="192"/>
        <v>0.4</v>
      </c>
      <c r="AR122" s="166">
        <f t="shared" si="192"/>
        <v>0.4</v>
      </c>
      <c r="AS122" s="166">
        <f t="shared" si="192"/>
        <v>0.4</v>
      </c>
      <c r="AT122" s="166">
        <f t="shared" si="192"/>
        <v>0.4</v>
      </c>
      <c r="AU122" s="166">
        <f t="shared" si="192"/>
        <v>0.4</v>
      </c>
      <c r="AV122" s="166">
        <f t="shared" si="192"/>
        <v>0.4</v>
      </c>
      <c r="AW122" s="166">
        <f t="shared" si="192"/>
        <v>0.4</v>
      </c>
      <c r="AX122" s="166">
        <f t="shared" si="192"/>
        <v>0.4</v>
      </c>
      <c r="AY122" s="166">
        <f t="shared" si="192"/>
        <v>0.4</v>
      </c>
      <c r="AZ122" s="166">
        <f t="shared" si="192"/>
        <v>0.4</v>
      </c>
      <c r="BA122" s="166">
        <f t="shared" si="192"/>
        <v>0.4</v>
      </c>
      <c r="BB122" s="166">
        <f t="shared" si="192"/>
        <v>0.4</v>
      </c>
      <c r="BC122" s="166">
        <f t="shared" si="192"/>
        <v>0.4</v>
      </c>
      <c r="BD122" s="166">
        <f t="shared" si="192"/>
        <v>0.4</v>
      </c>
      <c r="BE122" s="166">
        <f t="shared" si="151"/>
        <v>0.4</v>
      </c>
      <c r="BF122" s="166">
        <f t="shared" si="152"/>
        <v>0.4</v>
      </c>
      <c r="BG122" s="166">
        <f t="shared" si="153"/>
        <v>0.4</v>
      </c>
      <c r="BH122" s="166">
        <f t="shared" si="154"/>
        <v>0.4</v>
      </c>
      <c r="BI122" s="166">
        <f t="shared" si="155"/>
        <v>0.4</v>
      </c>
      <c r="BJ122" s="166">
        <f t="shared" si="156"/>
        <v>0.4</v>
      </c>
      <c r="BK122" s="166">
        <f t="shared" si="157"/>
        <v>0.4</v>
      </c>
      <c r="BL122" s="166">
        <f t="shared" si="158"/>
        <v>0.4</v>
      </c>
      <c r="BM122" s="166">
        <f t="shared" si="159"/>
        <v>0.4</v>
      </c>
      <c r="BN122" s="166">
        <f t="shared" si="160"/>
        <v>0.4</v>
      </c>
      <c r="BO122" s="166">
        <f t="shared" si="161"/>
        <v>0.4</v>
      </c>
      <c r="BP122" s="166">
        <f t="shared" si="162"/>
        <v>0.4</v>
      </c>
      <c r="BQ122" s="166">
        <f t="shared" si="163"/>
        <v>0.4</v>
      </c>
      <c r="BR122" s="166">
        <f t="shared" si="164"/>
        <v>0.4</v>
      </c>
      <c r="BS122" s="166">
        <f t="shared" si="165"/>
        <v>0.4</v>
      </c>
      <c r="BT122" s="166">
        <f t="shared" si="166"/>
        <v>0.4</v>
      </c>
      <c r="BU122" s="166">
        <f t="shared" si="167"/>
        <v>0.4</v>
      </c>
      <c r="BV122" s="166">
        <f t="shared" si="168"/>
        <v>0.4</v>
      </c>
      <c r="BW122" s="166">
        <f t="shared" si="169"/>
        <v>0.4</v>
      </c>
      <c r="BX122" s="166">
        <f t="shared" si="170"/>
        <v>0.4</v>
      </c>
      <c r="BY122" s="166">
        <f t="shared" si="171"/>
        <v>0.4</v>
      </c>
      <c r="BZ122" s="166">
        <f t="shared" si="172"/>
        <v>0.4</v>
      </c>
      <c r="CA122" s="166">
        <f t="shared" si="173"/>
        <v>0.4</v>
      </c>
      <c r="CB122" s="166">
        <f t="shared" si="174"/>
        <v>0.4</v>
      </c>
      <c r="CC122" s="166">
        <f t="shared" si="175"/>
        <v>0.4</v>
      </c>
      <c r="CD122" s="166">
        <f t="shared" si="176"/>
        <v>0.4</v>
      </c>
      <c r="CE122" s="166">
        <f t="shared" si="177"/>
        <v>0.4</v>
      </c>
      <c r="CF122" s="166">
        <f t="shared" si="178"/>
        <v>0.4</v>
      </c>
      <c r="CG122" s="166">
        <f t="shared" si="179"/>
        <v>0.4</v>
      </c>
      <c r="CH122" s="166">
        <f t="shared" si="180"/>
        <v>0.4</v>
      </c>
      <c r="CI122" s="166">
        <f t="shared" si="181"/>
        <v>0.4</v>
      </c>
      <c r="CJ122" s="166">
        <f t="shared" si="182"/>
        <v>0.4</v>
      </c>
      <c r="CK122" s="166">
        <f t="shared" si="183"/>
        <v>0.4</v>
      </c>
      <c r="CL122" s="166">
        <f t="shared" si="184"/>
        <v>0.4</v>
      </c>
      <c r="CM122" s="166">
        <f t="shared" si="185"/>
        <v>0.4</v>
      </c>
      <c r="CN122" s="166">
        <f t="shared" si="186"/>
        <v>0.4</v>
      </c>
      <c r="CO122" s="166">
        <f t="shared" si="187"/>
        <v>0.4</v>
      </c>
      <c r="CP122" s="166">
        <f t="shared" si="188"/>
        <v>0.4</v>
      </c>
      <c r="CQ122" s="73" t="s">
        <v>77</v>
      </c>
    </row>
    <row r="123" spans="1:96" outlineLevel="1" x14ac:dyDescent="0.2">
      <c r="B123" s="8" t="s">
        <v>55</v>
      </c>
      <c r="D123" s="72"/>
      <c r="E123" s="72"/>
      <c r="F123" s="72"/>
      <c r="G123" s="72"/>
      <c r="H123" s="72"/>
      <c r="I123" s="72"/>
      <c r="J123" s="72"/>
      <c r="K123" s="72"/>
      <c r="L123" s="125"/>
      <c r="M123" s="72">
        <f t="shared" si="146"/>
        <v>0</v>
      </c>
      <c r="N123" s="72">
        <f t="shared" si="146"/>
        <v>0</v>
      </c>
      <c r="O123" s="72">
        <f t="shared" si="146"/>
        <v>0</v>
      </c>
      <c r="P123" s="125">
        <f>8.75%-P118</f>
        <v>2.9599999999999994E-2</v>
      </c>
      <c r="Q123" s="72">
        <f t="shared" si="146"/>
        <v>2.9599999999999994E-2</v>
      </c>
      <c r="R123" s="72">
        <f t="shared" si="147"/>
        <v>2.9599999999999994E-2</v>
      </c>
      <c r="S123" s="72">
        <f t="shared" si="148"/>
        <v>2.9599999999999994E-2</v>
      </c>
      <c r="T123" s="72">
        <f t="shared" si="148"/>
        <v>2.9599999999999994E-2</v>
      </c>
      <c r="U123" s="79">
        <f>U129-U118</f>
        <v>1.9E-2</v>
      </c>
      <c r="V123" s="72">
        <f>V129-V118</f>
        <v>3.2500000000000001E-2</v>
      </c>
      <c r="W123" s="72">
        <f>W129-W118</f>
        <v>3.2500000000000001E-2</v>
      </c>
      <c r="X123" s="72">
        <f>X129-X118</f>
        <v>3.2500000000000001E-2</v>
      </c>
      <c r="Y123" s="72">
        <f>Y129-Y118</f>
        <v>3.2500000000000001E-2</v>
      </c>
      <c r="Z123" s="79">
        <f t="shared" ref="Z123:BD123" si="193">+Y123</f>
        <v>3.2500000000000001E-2</v>
      </c>
      <c r="AA123" s="72">
        <f t="shared" si="193"/>
        <v>3.2500000000000001E-2</v>
      </c>
      <c r="AB123" s="72">
        <f t="shared" si="193"/>
        <v>3.2500000000000001E-2</v>
      </c>
      <c r="AC123" s="72">
        <f t="shared" si="193"/>
        <v>3.2500000000000001E-2</v>
      </c>
      <c r="AD123" s="72">
        <f t="shared" si="193"/>
        <v>3.2500000000000001E-2</v>
      </c>
      <c r="AE123" s="72">
        <f t="shared" si="193"/>
        <v>3.2500000000000001E-2</v>
      </c>
      <c r="AF123" s="72">
        <f t="shared" si="193"/>
        <v>3.2500000000000001E-2</v>
      </c>
      <c r="AG123" s="72">
        <f t="shared" si="193"/>
        <v>3.2500000000000001E-2</v>
      </c>
      <c r="AH123" s="72">
        <f t="shared" si="193"/>
        <v>3.2500000000000001E-2</v>
      </c>
      <c r="AI123" s="72">
        <f t="shared" si="193"/>
        <v>3.2500000000000001E-2</v>
      </c>
      <c r="AJ123" s="72">
        <f t="shared" si="193"/>
        <v>3.2500000000000001E-2</v>
      </c>
      <c r="AK123" s="72">
        <f t="shared" si="193"/>
        <v>3.2500000000000001E-2</v>
      </c>
      <c r="AL123" s="72">
        <f t="shared" si="193"/>
        <v>3.2500000000000001E-2</v>
      </c>
      <c r="AM123" s="72">
        <f t="shared" si="193"/>
        <v>3.2500000000000001E-2</v>
      </c>
      <c r="AN123" s="72">
        <f t="shared" si="193"/>
        <v>3.2500000000000001E-2</v>
      </c>
      <c r="AO123" s="72">
        <f t="shared" si="193"/>
        <v>3.2500000000000001E-2</v>
      </c>
      <c r="AP123" s="72">
        <f t="shared" si="193"/>
        <v>3.2500000000000001E-2</v>
      </c>
      <c r="AQ123" s="72">
        <f t="shared" si="193"/>
        <v>3.2500000000000001E-2</v>
      </c>
      <c r="AR123" s="72">
        <f t="shared" si="193"/>
        <v>3.2500000000000001E-2</v>
      </c>
      <c r="AS123" s="72">
        <f t="shared" si="193"/>
        <v>3.2500000000000001E-2</v>
      </c>
      <c r="AT123" s="72">
        <f t="shared" si="193"/>
        <v>3.2500000000000001E-2</v>
      </c>
      <c r="AU123" s="72">
        <f t="shared" si="193"/>
        <v>3.2500000000000001E-2</v>
      </c>
      <c r="AV123" s="72">
        <f t="shared" si="193"/>
        <v>3.2500000000000001E-2</v>
      </c>
      <c r="AW123" s="72">
        <f t="shared" si="193"/>
        <v>3.2500000000000001E-2</v>
      </c>
      <c r="AX123" s="72">
        <f t="shared" si="193"/>
        <v>3.2500000000000001E-2</v>
      </c>
      <c r="AY123" s="72">
        <f t="shared" si="193"/>
        <v>3.2500000000000001E-2</v>
      </c>
      <c r="AZ123" s="72">
        <f t="shared" si="193"/>
        <v>3.2500000000000001E-2</v>
      </c>
      <c r="BA123" s="72">
        <f t="shared" si="193"/>
        <v>3.2500000000000001E-2</v>
      </c>
      <c r="BB123" s="72">
        <f t="shared" si="193"/>
        <v>3.2500000000000001E-2</v>
      </c>
      <c r="BC123" s="72">
        <f t="shared" si="193"/>
        <v>3.2500000000000001E-2</v>
      </c>
      <c r="BD123" s="72">
        <f t="shared" si="193"/>
        <v>3.2500000000000001E-2</v>
      </c>
      <c r="BE123" s="72">
        <f t="shared" si="151"/>
        <v>3.2500000000000001E-2</v>
      </c>
      <c r="BF123" s="72">
        <f t="shared" si="152"/>
        <v>3.2500000000000001E-2</v>
      </c>
      <c r="BG123" s="72">
        <f t="shared" si="153"/>
        <v>3.2500000000000001E-2</v>
      </c>
      <c r="BH123" s="72">
        <f t="shared" si="154"/>
        <v>3.2500000000000001E-2</v>
      </c>
      <c r="BI123" s="72">
        <f t="shared" si="155"/>
        <v>3.2500000000000001E-2</v>
      </c>
      <c r="BJ123" s="72">
        <f t="shared" si="156"/>
        <v>3.2500000000000001E-2</v>
      </c>
      <c r="BK123" s="72">
        <f t="shared" si="157"/>
        <v>3.2500000000000001E-2</v>
      </c>
      <c r="BL123" s="72">
        <f t="shared" si="158"/>
        <v>3.2500000000000001E-2</v>
      </c>
      <c r="BM123" s="72">
        <f t="shared" si="159"/>
        <v>3.2500000000000001E-2</v>
      </c>
      <c r="BN123" s="72">
        <f t="shared" si="160"/>
        <v>3.2500000000000001E-2</v>
      </c>
      <c r="BO123" s="72">
        <f t="shared" si="161"/>
        <v>3.2500000000000001E-2</v>
      </c>
      <c r="BP123" s="72">
        <f t="shared" si="162"/>
        <v>3.2500000000000001E-2</v>
      </c>
      <c r="BQ123" s="72">
        <f t="shared" si="163"/>
        <v>3.2500000000000001E-2</v>
      </c>
      <c r="BR123" s="72">
        <f t="shared" si="164"/>
        <v>3.2500000000000001E-2</v>
      </c>
      <c r="BS123" s="72">
        <f t="shared" si="165"/>
        <v>3.2500000000000001E-2</v>
      </c>
      <c r="BT123" s="72">
        <f t="shared" si="166"/>
        <v>3.2500000000000001E-2</v>
      </c>
      <c r="BU123" s="72">
        <f t="shared" si="167"/>
        <v>3.2500000000000001E-2</v>
      </c>
      <c r="BV123" s="72">
        <f t="shared" si="168"/>
        <v>3.2500000000000001E-2</v>
      </c>
      <c r="BW123" s="72">
        <f t="shared" si="169"/>
        <v>3.2500000000000001E-2</v>
      </c>
      <c r="BX123" s="72">
        <f t="shared" si="170"/>
        <v>3.2500000000000001E-2</v>
      </c>
      <c r="BY123" s="72">
        <f t="shared" si="171"/>
        <v>3.2500000000000001E-2</v>
      </c>
      <c r="BZ123" s="72">
        <f t="shared" si="172"/>
        <v>3.2500000000000001E-2</v>
      </c>
      <c r="CA123" s="72">
        <f t="shared" si="173"/>
        <v>3.2500000000000001E-2</v>
      </c>
      <c r="CB123" s="72">
        <f t="shared" si="174"/>
        <v>3.2500000000000001E-2</v>
      </c>
      <c r="CC123" s="72">
        <f t="shared" si="175"/>
        <v>3.2500000000000001E-2</v>
      </c>
      <c r="CD123" s="72">
        <f t="shared" si="176"/>
        <v>3.2500000000000001E-2</v>
      </c>
      <c r="CE123" s="72">
        <f t="shared" si="177"/>
        <v>3.2500000000000001E-2</v>
      </c>
      <c r="CF123" s="72">
        <f t="shared" si="178"/>
        <v>3.2500000000000001E-2</v>
      </c>
      <c r="CG123" s="72">
        <f t="shared" si="179"/>
        <v>3.2500000000000001E-2</v>
      </c>
      <c r="CH123" s="72">
        <f t="shared" si="180"/>
        <v>3.2500000000000001E-2</v>
      </c>
      <c r="CI123" s="72">
        <f t="shared" si="181"/>
        <v>3.2500000000000001E-2</v>
      </c>
      <c r="CJ123" s="72">
        <f t="shared" si="182"/>
        <v>3.2500000000000001E-2</v>
      </c>
      <c r="CK123" s="72">
        <f t="shared" si="183"/>
        <v>3.2500000000000001E-2</v>
      </c>
      <c r="CL123" s="72">
        <f t="shared" si="184"/>
        <v>3.2500000000000001E-2</v>
      </c>
      <c r="CM123" s="72">
        <f t="shared" si="185"/>
        <v>3.2500000000000001E-2</v>
      </c>
      <c r="CN123" s="72">
        <f t="shared" si="186"/>
        <v>3.2500000000000001E-2</v>
      </c>
      <c r="CO123" s="72">
        <f t="shared" si="187"/>
        <v>3.2500000000000001E-2</v>
      </c>
      <c r="CP123" s="72">
        <f t="shared" si="188"/>
        <v>3.2500000000000001E-2</v>
      </c>
      <c r="CQ123" s="23" t="s">
        <v>77</v>
      </c>
    </row>
    <row r="124" spans="1:96" outlineLevel="1" x14ac:dyDescent="0.2">
      <c r="B124" s="8" t="s">
        <v>57</v>
      </c>
      <c r="D124" s="75"/>
      <c r="E124" s="75"/>
      <c r="F124" s="75"/>
      <c r="G124" s="75"/>
      <c r="H124" s="75"/>
      <c r="I124" s="75"/>
      <c r="J124" s="75"/>
      <c r="K124" s="75"/>
      <c r="L124" s="125"/>
      <c r="M124" s="72">
        <f t="shared" si="146"/>
        <v>0</v>
      </c>
      <c r="N124" s="72">
        <f t="shared" si="146"/>
        <v>0</v>
      </c>
      <c r="O124" s="72">
        <f t="shared" si="146"/>
        <v>0</v>
      </c>
      <c r="P124" s="125">
        <v>0.05</v>
      </c>
      <c r="Q124" s="72">
        <f t="shared" si="146"/>
        <v>0.05</v>
      </c>
      <c r="R124" s="72">
        <f t="shared" si="147"/>
        <v>0.05</v>
      </c>
      <c r="S124" s="72">
        <f t="shared" si="148"/>
        <v>0.05</v>
      </c>
      <c r="T124" s="72">
        <f t="shared" si="148"/>
        <v>0.05</v>
      </c>
      <c r="U124" s="125">
        <v>6.5000000000000002E-2</v>
      </c>
      <c r="V124" s="991">
        <v>7.3999999999999996E-2</v>
      </c>
      <c r="W124" s="212">
        <f t="shared" si="149"/>
        <v>7.3999999999999996E-2</v>
      </c>
      <c r="X124" s="212">
        <f t="shared" si="149"/>
        <v>7.3999999999999996E-2</v>
      </c>
      <c r="Y124" s="212">
        <f t="shared" ref="Y124:BD124" si="194">+X124</f>
        <v>7.3999999999999996E-2</v>
      </c>
      <c r="Z124" s="164">
        <v>0.06</v>
      </c>
      <c r="AA124" s="173">
        <f t="shared" si="194"/>
        <v>0.06</v>
      </c>
      <c r="AB124" s="173">
        <f t="shared" si="194"/>
        <v>0.06</v>
      </c>
      <c r="AC124" s="173">
        <f t="shared" si="194"/>
        <v>0.06</v>
      </c>
      <c r="AD124" s="173">
        <f t="shared" si="194"/>
        <v>0.06</v>
      </c>
      <c r="AE124" s="173">
        <f t="shared" si="194"/>
        <v>0.06</v>
      </c>
      <c r="AF124" s="173">
        <f t="shared" si="194"/>
        <v>0.06</v>
      </c>
      <c r="AG124" s="173">
        <f t="shared" si="194"/>
        <v>0.06</v>
      </c>
      <c r="AH124" s="173">
        <f t="shared" si="194"/>
        <v>0.06</v>
      </c>
      <c r="AI124" s="173">
        <f t="shared" si="194"/>
        <v>0.06</v>
      </c>
      <c r="AJ124" s="173">
        <f t="shared" si="194"/>
        <v>0.06</v>
      </c>
      <c r="AK124" s="173">
        <f t="shared" si="194"/>
        <v>0.06</v>
      </c>
      <c r="AL124" s="173">
        <f t="shared" si="194"/>
        <v>0.06</v>
      </c>
      <c r="AM124" s="173">
        <f t="shared" si="194"/>
        <v>0.06</v>
      </c>
      <c r="AN124" s="173">
        <f t="shared" si="194"/>
        <v>0.06</v>
      </c>
      <c r="AO124" s="173">
        <f t="shared" si="194"/>
        <v>0.06</v>
      </c>
      <c r="AP124" s="173">
        <f t="shared" si="194"/>
        <v>0.06</v>
      </c>
      <c r="AQ124" s="173">
        <f t="shared" si="194"/>
        <v>0.06</v>
      </c>
      <c r="AR124" s="173">
        <f t="shared" si="194"/>
        <v>0.06</v>
      </c>
      <c r="AS124" s="173">
        <f t="shared" si="194"/>
        <v>0.06</v>
      </c>
      <c r="AT124" s="173">
        <f t="shared" si="194"/>
        <v>0.06</v>
      </c>
      <c r="AU124" s="173">
        <f t="shared" si="194"/>
        <v>0.06</v>
      </c>
      <c r="AV124" s="173">
        <f t="shared" si="194"/>
        <v>0.06</v>
      </c>
      <c r="AW124" s="173">
        <f t="shared" si="194"/>
        <v>0.06</v>
      </c>
      <c r="AX124" s="173">
        <f t="shared" si="194"/>
        <v>0.06</v>
      </c>
      <c r="AY124" s="173">
        <f t="shared" si="194"/>
        <v>0.06</v>
      </c>
      <c r="AZ124" s="173">
        <f t="shared" si="194"/>
        <v>0.06</v>
      </c>
      <c r="BA124" s="173">
        <f t="shared" si="194"/>
        <v>0.06</v>
      </c>
      <c r="BB124" s="173">
        <f t="shared" si="194"/>
        <v>0.06</v>
      </c>
      <c r="BC124" s="173">
        <f t="shared" si="194"/>
        <v>0.06</v>
      </c>
      <c r="BD124" s="173">
        <f t="shared" si="194"/>
        <v>0.06</v>
      </c>
      <c r="BE124" s="173">
        <f t="shared" si="151"/>
        <v>0.06</v>
      </c>
      <c r="BF124" s="173">
        <f t="shared" si="152"/>
        <v>0.06</v>
      </c>
      <c r="BG124" s="173">
        <f t="shared" si="153"/>
        <v>0.06</v>
      </c>
      <c r="BH124" s="173">
        <f t="shared" si="154"/>
        <v>0.06</v>
      </c>
      <c r="BI124" s="173">
        <f t="shared" si="155"/>
        <v>0.06</v>
      </c>
      <c r="BJ124" s="173">
        <f t="shared" si="156"/>
        <v>0.06</v>
      </c>
      <c r="BK124" s="173">
        <f t="shared" si="157"/>
        <v>0.06</v>
      </c>
      <c r="BL124" s="173">
        <f t="shared" si="158"/>
        <v>0.06</v>
      </c>
      <c r="BM124" s="173">
        <f t="shared" si="159"/>
        <v>0.06</v>
      </c>
      <c r="BN124" s="173">
        <f t="shared" si="160"/>
        <v>0.06</v>
      </c>
      <c r="BO124" s="173">
        <f t="shared" si="161"/>
        <v>0.06</v>
      </c>
      <c r="BP124" s="173">
        <f t="shared" si="162"/>
        <v>0.06</v>
      </c>
      <c r="BQ124" s="173">
        <f t="shared" si="163"/>
        <v>0.06</v>
      </c>
      <c r="BR124" s="173">
        <f t="shared" si="164"/>
        <v>0.06</v>
      </c>
      <c r="BS124" s="173">
        <f t="shared" si="165"/>
        <v>0.06</v>
      </c>
      <c r="BT124" s="173">
        <f t="shared" si="166"/>
        <v>0.06</v>
      </c>
      <c r="BU124" s="173">
        <f t="shared" si="167"/>
        <v>0.06</v>
      </c>
      <c r="BV124" s="173">
        <f t="shared" si="168"/>
        <v>0.06</v>
      </c>
      <c r="BW124" s="173">
        <f t="shared" si="169"/>
        <v>0.06</v>
      </c>
      <c r="BX124" s="173">
        <f t="shared" si="170"/>
        <v>0.06</v>
      </c>
      <c r="BY124" s="173">
        <f t="shared" si="171"/>
        <v>0.06</v>
      </c>
      <c r="BZ124" s="173">
        <f t="shared" si="172"/>
        <v>0.06</v>
      </c>
      <c r="CA124" s="173">
        <f t="shared" si="173"/>
        <v>0.06</v>
      </c>
      <c r="CB124" s="173">
        <f t="shared" si="174"/>
        <v>0.06</v>
      </c>
      <c r="CC124" s="173">
        <f t="shared" si="175"/>
        <v>0.06</v>
      </c>
      <c r="CD124" s="173">
        <f t="shared" si="176"/>
        <v>0.06</v>
      </c>
      <c r="CE124" s="173">
        <f t="shared" si="177"/>
        <v>0.06</v>
      </c>
      <c r="CF124" s="173">
        <f t="shared" si="178"/>
        <v>0.06</v>
      </c>
      <c r="CG124" s="173">
        <f t="shared" si="179"/>
        <v>0.06</v>
      </c>
      <c r="CH124" s="173">
        <f t="shared" si="180"/>
        <v>0.06</v>
      </c>
      <c r="CI124" s="173">
        <f t="shared" si="181"/>
        <v>0.06</v>
      </c>
      <c r="CJ124" s="173">
        <f t="shared" si="182"/>
        <v>0.06</v>
      </c>
      <c r="CK124" s="173">
        <f t="shared" si="183"/>
        <v>0.06</v>
      </c>
      <c r="CL124" s="173">
        <f t="shared" si="184"/>
        <v>0.06</v>
      </c>
      <c r="CM124" s="173">
        <f t="shared" si="185"/>
        <v>0.06</v>
      </c>
      <c r="CN124" s="173">
        <f t="shared" si="186"/>
        <v>0.06</v>
      </c>
      <c r="CO124" s="173">
        <f t="shared" si="187"/>
        <v>0.06</v>
      </c>
      <c r="CP124" s="173">
        <f t="shared" si="188"/>
        <v>0.06</v>
      </c>
      <c r="CQ124" s="23" t="s">
        <v>77</v>
      </c>
    </row>
    <row r="125" spans="1:96" outlineLevel="1" x14ac:dyDescent="0.2">
      <c r="B125" s="8" t="s">
        <v>58</v>
      </c>
      <c r="D125" s="75"/>
      <c r="E125" s="75"/>
      <c r="F125" s="75"/>
      <c r="G125" s="75"/>
      <c r="H125" s="75"/>
      <c r="I125" s="75"/>
      <c r="J125" s="75"/>
      <c r="K125" s="75"/>
      <c r="L125" s="202"/>
      <c r="M125" s="90">
        <f t="shared" si="146"/>
        <v>0</v>
      </c>
      <c r="N125" s="90">
        <f t="shared" si="146"/>
        <v>0</v>
      </c>
      <c r="O125" s="90">
        <f t="shared" si="146"/>
        <v>0</v>
      </c>
      <c r="P125" s="202">
        <v>0.8</v>
      </c>
      <c r="Q125" s="90">
        <f t="shared" si="146"/>
        <v>0.8</v>
      </c>
      <c r="R125" s="90">
        <f t="shared" si="147"/>
        <v>0.8</v>
      </c>
      <c r="S125" s="90">
        <f t="shared" si="148"/>
        <v>0.8</v>
      </c>
      <c r="T125" s="90">
        <f t="shared" si="148"/>
        <v>0.8</v>
      </c>
      <c r="U125" s="202">
        <v>0.7</v>
      </c>
      <c r="V125" s="994">
        <f t="shared" si="149"/>
        <v>0.7</v>
      </c>
      <c r="W125" s="213">
        <f t="shared" si="149"/>
        <v>0.7</v>
      </c>
      <c r="X125" s="213">
        <f t="shared" si="149"/>
        <v>0.7</v>
      </c>
      <c r="Y125" s="213">
        <f t="shared" ref="Y125:BD125" si="195">+X125</f>
        <v>0.7</v>
      </c>
      <c r="Z125" s="295">
        <f t="shared" si="195"/>
        <v>0.7</v>
      </c>
      <c r="AA125" s="174">
        <f t="shared" si="195"/>
        <v>0.7</v>
      </c>
      <c r="AB125" s="174">
        <f t="shared" si="195"/>
        <v>0.7</v>
      </c>
      <c r="AC125" s="174">
        <f t="shared" si="195"/>
        <v>0.7</v>
      </c>
      <c r="AD125" s="174">
        <f t="shared" si="195"/>
        <v>0.7</v>
      </c>
      <c r="AE125" s="174">
        <f t="shared" si="195"/>
        <v>0.7</v>
      </c>
      <c r="AF125" s="174">
        <f t="shared" si="195"/>
        <v>0.7</v>
      </c>
      <c r="AG125" s="174">
        <f t="shared" si="195"/>
        <v>0.7</v>
      </c>
      <c r="AH125" s="174">
        <f t="shared" si="195"/>
        <v>0.7</v>
      </c>
      <c r="AI125" s="174">
        <f t="shared" si="195"/>
        <v>0.7</v>
      </c>
      <c r="AJ125" s="174">
        <f t="shared" si="195"/>
        <v>0.7</v>
      </c>
      <c r="AK125" s="174">
        <f t="shared" si="195"/>
        <v>0.7</v>
      </c>
      <c r="AL125" s="174">
        <f t="shared" si="195"/>
        <v>0.7</v>
      </c>
      <c r="AM125" s="174">
        <f t="shared" si="195"/>
        <v>0.7</v>
      </c>
      <c r="AN125" s="174">
        <f t="shared" si="195"/>
        <v>0.7</v>
      </c>
      <c r="AO125" s="174">
        <f t="shared" si="195"/>
        <v>0.7</v>
      </c>
      <c r="AP125" s="174">
        <f t="shared" si="195"/>
        <v>0.7</v>
      </c>
      <c r="AQ125" s="174">
        <f t="shared" si="195"/>
        <v>0.7</v>
      </c>
      <c r="AR125" s="174">
        <f t="shared" si="195"/>
        <v>0.7</v>
      </c>
      <c r="AS125" s="174">
        <f t="shared" si="195"/>
        <v>0.7</v>
      </c>
      <c r="AT125" s="174">
        <f t="shared" si="195"/>
        <v>0.7</v>
      </c>
      <c r="AU125" s="174">
        <f t="shared" si="195"/>
        <v>0.7</v>
      </c>
      <c r="AV125" s="174">
        <f t="shared" si="195"/>
        <v>0.7</v>
      </c>
      <c r="AW125" s="174">
        <f t="shared" si="195"/>
        <v>0.7</v>
      </c>
      <c r="AX125" s="174">
        <f t="shared" si="195"/>
        <v>0.7</v>
      </c>
      <c r="AY125" s="174">
        <f t="shared" si="195"/>
        <v>0.7</v>
      </c>
      <c r="AZ125" s="174">
        <f t="shared" si="195"/>
        <v>0.7</v>
      </c>
      <c r="BA125" s="174">
        <f t="shared" si="195"/>
        <v>0.7</v>
      </c>
      <c r="BB125" s="174">
        <f t="shared" si="195"/>
        <v>0.7</v>
      </c>
      <c r="BC125" s="174">
        <f t="shared" si="195"/>
        <v>0.7</v>
      </c>
      <c r="BD125" s="174">
        <f t="shared" si="195"/>
        <v>0.7</v>
      </c>
      <c r="BE125" s="174">
        <f t="shared" si="151"/>
        <v>0.7</v>
      </c>
      <c r="BF125" s="174">
        <f t="shared" si="152"/>
        <v>0.7</v>
      </c>
      <c r="BG125" s="174">
        <f t="shared" si="153"/>
        <v>0.7</v>
      </c>
      <c r="BH125" s="174">
        <f t="shared" si="154"/>
        <v>0.7</v>
      </c>
      <c r="BI125" s="174">
        <f t="shared" si="155"/>
        <v>0.7</v>
      </c>
      <c r="BJ125" s="174">
        <f t="shared" si="156"/>
        <v>0.7</v>
      </c>
      <c r="BK125" s="174">
        <f t="shared" si="157"/>
        <v>0.7</v>
      </c>
      <c r="BL125" s="174">
        <f t="shared" si="158"/>
        <v>0.7</v>
      </c>
      <c r="BM125" s="174">
        <f t="shared" si="159"/>
        <v>0.7</v>
      </c>
      <c r="BN125" s="174">
        <f t="shared" si="160"/>
        <v>0.7</v>
      </c>
      <c r="BO125" s="174">
        <f t="shared" si="161"/>
        <v>0.7</v>
      </c>
      <c r="BP125" s="174">
        <f t="shared" si="162"/>
        <v>0.7</v>
      </c>
      <c r="BQ125" s="174">
        <f t="shared" si="163"/>
        <v>0.7</v>
      </c>
      <c r="BR125" s="174">
        <f t="shared" si="164"/>
        <v>0.7</v>
      </c>
      <c r="BS125" s="174">
        <f t="shared" si="165"/>
        <v>0.7</v>
      </c>
      <c r="BT125" s="174">
        <f t="shared" si="166"/>
        <v>0.7</v>
      </c>
      <c r="BU125" s="174">
        <f t="shared" si="167"/>
        <v>0.7</v>
      </c>
      <c r="BV125" s="174">
        <f t="shared" si="168"/>
        <v>0.7</v>
      </c>
      <c r="BW125" s="174">
        <f t="shared" si="169"/>
        <v>0.7</v>
      </c>
      <c r="BX125" s="174">
        <f t="shared" si="170"/>
        <v>0.7</v>
      </c>
      <c r="BY125" s="174">
        <f t="shared" si="171"/>
        <v>0.7</v>
      </c>
      <c r="BZ125" s="174">
        <f t="shared" si="172"/>
        <v>0.7</v>
      </c>
      <c r="CA125" s="174">
        <f t="shared" si="173"/>
        <v>0.7</v>
      </c>
      <c r="CB125" s="174">
        <f t="shared" si="174"/>
        <v>0.7</v>
      </c>
      <c r="CC125" s="174">
        <f t="shared" si="175"/>
        <v>0.7</v>
      </c>
      <c r="CD125" s="174">
        <f t="shared" si="176"/>
        <v>0.7</v>
      </c>
      <c r="CE125" s="174">
        <f t="shared" si="177"/>
        <v>0.7</v>
      </c>
      <c r="CF125" s="174">
        <f t="shared" si="178"/>
        <v>0.7</v>
      </c>
      <c r="CG125" s="174">
        <f t="shared" si="179"/>
        <v>0.7</v>
      </c>
      <c r="CH125" s="174">
        <f t="shared" si="180"/>
        <v>0.7</v>
      </c>
      <c r="CI125" s="174">
        <f t="shared" si="181"/>
        <v>0.7</v>
      </c>
      <c r="CJ125" s="174">
        <f t="shared" si="182"/>
        <v>0.7</v>
      </c>
      <c r="CK125" s="174">
        <f t="shared" si="183"/>
        <v>0.7</v>
      </c>
      <c r="CL125" s="174">
        <f t="shared" si="184"/>
        <v>0.7</v>
      </c>
      <c r="CM125" s="174">
        <f t="shared" si="185"/>
        <v>0.7</v>
      </c>
      <c r="CN125" s="174">
        <f t="shared" si="186"/>
        <v>0.7</v>
      </c>
      <c r="CO125" s="174">
        <f t="shared" si="187"/>
        <v>0.7</v>
      </c>
      <c r="CP125" s="174">
        <f t="shared" si="188"/>
        <v>0.7</v>
      </c>
      <c r="CQ125" s="23" t="s">
        <v>77</v>
      </c>
    </row>
    <row r="126" spans="1:96" outlineLevel="1" x14ac:dyDescent="0.2">
      <c r="B126" s="8" t="s">
        <v>59</v>
      </c>
      <c r="D126" s="75"/>
      <c r="E126" s="75"/>
      <c r="F126" s="75"/>
      <c r="G126" s="75"/>
      <c r="H126" s="75"/>
      <c r="I126" s="75"/>
      <c r="J126" s="75"/>
      <c r="K126" s="75"/>
      <c r="L126" s="203"/>
      <c r="M126" s="199">
        <f t="shared" si="146"/>
        <v>0</v>
      </c>
      <c r="N126" s="199">
        <f t="shared" si="146"/>
        <v>0</v>
      </c>
      <c r="O126" s="199">
        <f t="shared" si="146"/>
        <v>0</v>
      </c>
      <c r="P126" s="203">
        <v>0.3</v>
      </c>
      <c r="Q126" s="199">
        <f t="shared" si="146"/>
        <v>0.3</v>
      </c>
      <c r="R126" s="199">
        <f t="shared" si="147"/>
        <v>0.3</v>
      </c>
      <c r="S126" s="199">
        <f t="shared" si="148"/>
        <v>0.3</v>
      </c>
      <c r="T126" s="199">
        <f t="shared" si="148"/>
        <v>0.3</v>
      </c>
      <c r="U126" s="203">
        <v>0.3</v>
      </c>
      <c r="V126" s="993">
        <v>0.3</v>
      </c>
      <c r="W126" s="214">
        <f t="shared" si="149"/>
        <v>0.3</v>
      </c>
      <c r="X126" s="214">
        <f t="shared" si="149"/>
        <v>0.3</v>
      </c>
      <c r="Y126" s="214">
        <f t="shared" ref="Y126:BD126" si="196">+X126</f>
        <v>0.3</v>
      </c>
      <c r="Z126" s="296">
        <f t="shared" si="196"/>
        <v>0.3</v>
      </c>
      <c r="AA126" s="175">
        <f t="shared" si="196"/>
        <v>0.3</v>
      </c>
      <c r="AB126" s="175">
        <f t="shared" si="196"/>
        <v>0.3</v>
      </c>
      <c r="AC126" s="175">
        <f t="shared" si="196"/>
        <v>0.3</v>
      </c>
      <c r="AD126" s="175">
        <f t="shared" si="196"/>
        <v>0.3</v>
      </c>
      <c r="AE126" s="175">
        <f t="shared" si="196"/>
        <v>0.3</v>
      </c>
      <c r="AF126" s="175">
        <f t="shared" si="196"/>
        <v>0.3</v>
      </c>
      <c r="AG126" s="175">
        <f t="shared" si="196"/>
        <v>0.3</v>
      </c>
      <c r="AH126" s="175">
        <f t="shared" si="196"/>
        <v>0.3</v>
      </c>
      <c r="AI126" s="175">
        <f t="shared" si="196"/>
        <v>0.3</v>
      </c>
      <c r="AJ126" s="175">
        <f t="shared" si="196"/>
        <v>0.3</v>
      </c>
      <c r="AK126" s="175">
        <f t="shared" si="196"/>
        <v>0.3</v>
      </c>
      <c r="AL126" s="175">
        <f t="shared" si="196"/>
        <v>0.3</v>
      </c>
      <c r="AM126" s="175">
        <f t="shared" si="196"/>
        <v>0.3</v>
      </c>
      <c r="AN126" s="175">
        <f t="shared" si="196"/>
        <v>0.3</v>
      </c>
      <c r="AO126" s="175">
        <f t="shared" si="196"/>
        <v>0.3</v>
      </c>
      <c r="AP126" s="175">
        <f t="shared" si="196"/>
        <v>0.3</v>
      </c>
      <c r="AQ126" s="175">
        <f t="shared" si="196"/>
        <v>0.3</v>
      </c>
      <c r="AR126" s="175">
        <f t="shared" si="196"/>
        <v>0.3</v>
      </c>
      <c r="AS126" s="175">
        <f t="shared" si="196"/>
        <v>0.3</v>
      </c>
      <c r="AT126" s="175">
        <f t="shared" si="196"/>
        <v>0.3</v>
      </c>
      <c r="AU126" s="175">
        <f t="shared" si="196"/>
        <v>0.3</v>
      </c>
      <c r="AV126" s="175">
        <f t="shared" si="196"/>
        <v>0.3</v>
      </c>
      <c r="AW126" s="175">
        <f t="shared" si="196"/>
        <v>0.3</v>
      </c>
      <c r="AX126" s="175">
        <f t="shared" si="196"/>
        <v>0.3</v>
      </c>
      <c r="AY126" s="175">
        <f t="shared" si="196"/>
        <v>0.3</v>
      </c>
      <c r="AZ126" s="175">
        <f t="shared" si="196"/>
        <v>0.3</v>
      </c>
      <c r="BA126" s="175">
        <f t="shared" si="196"/>
        <v>0.3</v>
      </c>
      <c r="BB126" s="175">
        <f t="shared" si="196"/>
        <v>0.3</v>
      </c>
      <c r="BC126" s="175">
        <f t="shared" si="196"/>
        <v>0.3</v>
      </c>
      <c r="BD126" s="175">
        <f t="shared" si="196"/>
        <v>0.3</v>
      </c>
      <c r="BE126" s="175">
        <f t="shared" si="151"/>
        <v>0.3</v>
      </c>
      <c r="BF126" s="175">
        <f t="shared" si="152"/>
        <v>0.3</v>
      </c>
      <c r="BG126" s="175">
        <f t="shared" si="153"/>
        <v>0.3</v>
      </c>
      <c r="BH126" s="175">
        <f t="shared" si="154"/>
        <v>0.3</v>
      </c>
      <c r="BI126" s="175">
        <f t="shared" si="155"/>
        <v>0.3</v>
      </c>
      <c r="BJ126" s="175">
        <f t="shared" si="156"/>
        <v>0.3</v>
      </c>
      <c r="BK126" s="175">
        <f t="shared" si="157"/>
        <v>0.3</v>
      </c>
      <c r="BL126" s="175">
        <f t="shared" si="158"/>
        <v>0.3</v>
      </c>
      <c r="BM126" s="175">
        <f t="shared" si="159"/>
        <v>0.3</v>
      </c>
      <c r="BN126" s="175">
        <f t="shared" si="160"/>
        <v>0.3</v>
      </c>
      <c r="BO126" s="175">
        <f t="shared" si="161"/>
        <v>0.3</v>
      </c>
      <c r="BP126" s="175">
        <f t="shared" si="162"/>
        <v>0.3</v>
      </c>
      <c r="BQ126" s="175">
        <f t="shared" si="163"/>
        <v>0.3</v>
      </c>
      <c r="BR126" s="175">
        <f t="shared" si="164"/>
        <v>0.3</v>
      </c>
      <c r="BS126" s="175">
        <f t="shared" si="165"/>
        <v>0.3</v>
      </c>
      <c r="BT126" s="175">
        <f t="shared" si="166"/>
        <v>0.3</v>
      </c>
      <c r="BU126" s="175">
        <f t="shared" si="167"/>
        <v>0.3</v>
      </c>
      <c r="BV126" s="175">
        <f t="shared" si="168"/>
        <v>0.3</v>
      </c>
      <c r="BW126" s="175">
        <f t="shared" si="169"/>
        <v>0.3</v>
      </c>
      <c r="BX126" s="175">
        <f t="shared" si="170"/>
        <v>0.3</v>
      </c>
      <c r="BY126" s="175">
        <f t="shared" si="171"/>
        <v>0.3</v>
      </c>
      <c r="BZ126" s="175">
        <f t="shared" si="172"/>
        <v>0.3</v>
      </c>
      <c r="CA126" s="175">
        <f t="shared" si="173"/>
        <v>0.3</v>
      </c>
      <c r="CB126" s="175">
        <f t="shared" si="174"/>
        <v>0.3</v>
      </c>
      <c r="CC126" s="175">
        <f t="shared" si="175"/>
        <v>0.3</v>
      </c>
      <c r="CD126" s="175">
        <f t="shared" si="176"/>
        <v>0.3</v>
      </c>
      <c r="CE126" s="175">
        <f t="shared" si="177"/>
        <v>0.3</v>
      </c>
      <c r="CF126" s="175">
        <f t="shared" si="178"/>
        <v>0.3</v>
      </c>
      <c r="CG126" s="175">
        <f t="shared" si="179"/>
        <v>0.3</v>
      </c>
      <c r="CH126" s="175">
        <f t="shared" si="180"/>
        <v>0.3</v>
      </c>
      <c r="CI126" s="175">
        <f t="shared" si="181"/>
        <v>0.3</v>
      </c>
      <c r="CJ126" s="175">
        <f t="shared" si="182"/>
        <v>0.3</v>
      </c>
      <c r="CK126" s="175">
        <f t="shared" si="183"/>
        <v>0.3</v>
      </c>
      <c r="CL126" s="175">
        <f t="shared" si="184"/>
        <v>0.3</v>
      </c>
      <c r="CM126" s="175">
        <f t="shared" si="185"/>
        <v>0.3</v>
      </c>
      <c r="CN126" s="175">
        <f t="shared" si="186"/>
        <v>0.3</v>
      </c>
      <c r="CO126" s="175">
        <f t="shared" si="187"/>
        <v>0.3</v>
      </c>
      <c r="CP126" s="175">
        <f t="shared" si="188"/>
        <v>0.3</v>
      </c>
      <c r="CQ126" s="23" t="s">
        <v>77</v>
      </c>
    </row>
    <row r="127" spans="1:96" outlineLevel="1" x14ac:dyDescent="0.2">
      <c r="B127" s="8" t="s">
        <v>80</v>
      </c>
      <c r="D127" s="75"/>
      <c r="E127" s="75"/>
      <c r="F127" s="75"/>
      <c r="G127" s="75"/>
      <c r="H127" s="75"/>
      <c r="I127" s="75"/>
      <c r="J127" s="75"/>
      <c r="K127" s="75"/>
      <c r="L127" s="204"/>
      <c r="M127" s="199">
        <f t="shared" si="146"/>
        <v>0</v>
      </c>
      <c r="N127" s="199">
        <f t="shared" si="146"/>
        <v>0</v>
      </c>
      <c r="O127" s="199">
        <f t="shared" si="146"/>
        <v>0</v>
      </c>
      <c r="P127" s="204">
        <v>0.81</v>
      </c>
      <c r="Q127" s="199">
        <f t="shared" si="146"/>
        <v>0.81</v>
      </c>
      <c r="R127" s="199">
        <f t="shared" si="147"/>
        <v>0.81</v>
      </c>
      <c r="S127" s="199">
        <f t="shared" si="148"/>
        <v>0.81</v>
      </c>
      <c r="T127" s="199">
        <f t="shared" si="148"/>
        <v>0.81</v>
      </c>
      <c r="U127" s="204">
        <v>0.5</v>
      </c>
      <c r="V127" s="993">
        <v>0.4</v>
      </c>
      <c r="W127" s="214">
        <f t="shared" si="149"/>
        <v>0.4</v>
      </c>
      <c r="X127" s="214">
        <f t="shared" si="149"/>
        <v>0.4</v>
      </c>
      <c r="Y127" s="214">
        <f t="shared" ref="Y127:BD127" si="197">+X127</f>
        <v>0.4</v>
      </c>
      <c r="Z127" s="170">
        <v>0.4</v>
      </c>
      <c r="AA127" s="175">
        <f t="shared" si="197"/>
        <v>0.4</v>
      </c>
      <c r="AB127" s="175">
        <f t="shared" si="197"/>
        <v>0.4</v>
      </c>
      <c r="AC127" s="175">
        <f t="shared" si="197"/>
        <v>0.4</v>
      </c>
      <c r="AD127" s="175">
        <f t="shared" si="197"/>
        <v>0.4</v>
      </c>
      <c r="AE127" s="175">
        <f t="shared" si="197"/>
        <v>0.4</v>
      </c>
      <c r="AF127" s="175">
        <f t="shared" si="197"/>
        <v>0.4</v>
      </c>
      <c r="AG127" s="175">
        <f t="shared" si="197"/>
        <v>0.4</v>
      </c>
      <c r="AH127" s="175">
        <f t="shared" si="197"/>
        <v>0.4</v>
      </c>
      <c r="AI127" s="175">
        <f t="shared" si="197"/>
        <v>0.4</v>
      </c>
      <c r="AJ127" s="175">
        <f t="shared" si="197"/>
        <v>0.4</v>
      </c>
      <c r="AK127" s="175">
        <f t="shared" si="197"/>
        <v>0.4</v>
      </c>
      <c r="AL127" s="175">
        <f t="shared" si="197"/>
        <v>0.4</v>
      </c>
      <c r="AM127" s="175">
        <f t="shared" si="197"/>
        <v>0.4</v>
      </c>
      <c r="AN127" s="175">
        <f t="shared" si="197"/>
        <v>0.4</v>
      </c>
      <c r="AO127" s="175">
        <f t="shared" si="197"/>
        <v>0.4</v>
      </c>
      <c r="AP127" s="175">
        <f t="shared" si="197"/>
        <v>0.4</v>
      </c>
      <c r="AQ127" s="175">
        <f t="shared" si="197"/>
        <v>0.4</v>
      </c>
      <c r="AR127" s="175">
        <f t="shared" si="197"/>
        <v>0.4</v>
      </c>
      <c r="AS127" s="175">
        <f t="shared" si="197"/>
        <v>0.4</v>
      </c>
      <c r="AT127" s="175">
        <f t="shared" si="197"/>
        <v>0.4</v>
      </c>
      <c r="AU127" s="175">
        <f t="shared" si="197"/>
        <v>0.4</v>
      </c>
      <c r="AV127" s="175">
        <f t="shared" si="197"/>
        <v>0.4</v>
      </c>
      <c r="AW127" s="175">
        <f t="shared" si="197"/>
        <v>0.4</v>
      </c>
      <c r="AX127" s="175">
        <f t="shared" si="197"/>
        <v>0.4</v>
      </c>
      <c r="AY127" s="175">
        <f t="shared" si="197"/>
        <v>0.4</v>
      </c>
      <c r="AZ127" s="175">
        <f t="shared" si="197"/>
        <v>0.4</v>
      </c>
      <c r="BA127" s="175">
        <f t="shared" si="197"/>
        <v>0.4</v>
      </c>
      <c r="BB127" s="175">
        <f t="shared" si="197"/>
        <v>0.4</v>
      </c>
      <c r="BC127" s="175">
        <f t="shared" si="197"/>
        <v>0.4</v>
      </c>
      <c r="BD127" s="175">
        <f t="shared" si="197"/>
        <v>0.4</v>
      </c>
      <c r="BE127" s="175">
        <f t="shared" si="151"/>
        <v>0.4</v>
      </c>
      <c r="BF127" s="175">
        <f t="shared" si="152"/>
        <v>0.4</v>
      </c>
      <c r="BG127" s="175">
        <f t="shared" si="153"/>
        <v>0.4</v>
      </c>
      <c r="BH127" s="175">
        <f t="shared" si="154"/>
        <v>0.4</v>
      </c>
      <c r="BI127" s="175">
        <f t="shared" si="155"/>
        <v>0.4</v>
      </c>
      <c r="BJ127" s="175">
        <f t="shared" si="156"/>
        <v>0.4</v>
      </c>
      <c r="BK127" s="175">
        <f t="shared" si="157"/>
        <v>0.4</v>
      </c>
      <c r="BL127" s="175">
        <f t="shared" si="158"/>
        <v>0.4</v>
      </c>
      <c r="BM127" s="175">
        <f t="shared" si="159"/>
        <v>0.4</v>
      </c>
      <c r="BN127" s="175">
        <f t="shared" si="160"/>
        <v>0.4</v>
      </c>
      <c r="BO127" s="175">
        <f t="shared" si="161"/>
        <v>0.4</v>
      </c>
      <c r="BP127" s="175">
        <f t="shared" si="162"/>
        <v>0.4</v>
      </c>
      <c r="BQ127" s="175">
        <f t="shared" si="163"/>
        <v>0.4</v>
      </c>
      <c r="BR127" s="175">
        <f t="shared" si="164"/>
        <v>0.4</v>
      </c>
      <c r="BS127" s="175">
        <f t="shared" si="165"/>
        <v>0.4</v>
      </c>
      <c r="BT127" s="175">
        <f t="shared" si="166"/>
        <v>0.4</v>
      </c>
      <c r="BU127" s="175">
        <f t="shared" si="167"/>
        <v>0.4</v>
      </c>
      <c r="BV127" s="175">
        <f t="shared" si="168"/>
        <v>0.4</v>
      </c>
      <c r="BW127" s="175">
        <f t="shared" si="169"/>
        <v>0.4</v>
      </c>
      <c r="BX127" s="175">
        <f t="shared" si="170"/>
        <v>0.4</v>
      </c>
      <c r="BY127" s="175">
        <f t="shared" si="171"/>
        <v>0.4</v>
      </c>
      <c r="BZ127" s="175">
        <f t="shared" si="172"/>
        <v>0.4</v>
      </c>
      <c r="CA127" s="175">
        <f t="shared" si="173"/>
        <v>0.4</v>
      </c>
      <c r="CB127" s="175">
        <f t="shared" si="174"/>
        <v>0.4</v>
      </c>
      <c r="CC127" s="175">
        <f t="shared" si="175"/>
        <v>0.4</v>
      </c>
      <c r="CD127" s="175">
        <f t="shared" si="176"/>
        <v>0.4</v>
      </c>
      <c r="CE127" s="175">
        <f t="shared" si="177"/>
        <v>0.4</v>
      </c>
      <c r="CF127" s="175">
        <f t="shared" si="178"/>
        <v>0.4</v>
      </c>
      <c r="CG127" s="175">
        <f t="shared" si="179"/>
        <v>0.4</v>
      </c>
      <c r="CH127" s="175">
        <f t="shared" si="180"/>
        <v>0.4</v>
      </c>
      <c r="CI127" s="175">
        <f t="shared" si="181"/>
        <v>0.4</v>
      </c>
      <c r="CJ127" s="175">
        <f t="shared" si="182"/>
        <v>0.4</v>
      </c>
      <c r="CK127" s="175">
        <f t="shared" si="183"/>
        <v>0.4</v>
      </c>
      <c r="CL127" s="175">
        <f t="shared" si="184"/>
        <v>0.4</v>
      </c>
      <c r="CM127" s="175">
        <f t="shared" si="185"/>
        <v>0.4</v>
      </c>
      <c r="CN127" s="175">
        <f t="shared" si="186"/>
        <v>0.4</v>
      </c>
      <c r="CO127" s="175">
        <f t="shared" si="187"/>
        <v>0.4</v>
      </c>
      <c r="CP127" s="175">
        <f t="shared" si="188"/>
        <v>0.4</v>
      </c>
      <c r="CQ127" s="23" t="s">
        <v>77</v>
      </c>
    </row>
    <row r="128" spans="1:96" outlineLevel="1" x14ac:dyDescent="0.2">
      <c r="A128" s="233"/>
      <c r="B128" s="358" t="s">
        <v>66</v>
      </c>
      <c r="D128" s="66"/>
      <c r="E128" s="66"/>
      <c r="F128" s="66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  <c r="Y128" s="66"/>
      <c r="Z128" s="66"/>
      <c r="AA128" s="66"/>
      <c r="AB128" s="66"/>
      <c r="AC128" s="66"/>
      <c r="AD128" s="66"/>
      <c r="AE128" s="66"/>
      <c r="AF128" s="66"/>
      <c r="AG128" s="66"/>
      <c r="AH128" s="66"/>
      <c r="AI128" s="66"/>
      <c r="AJ128" s="66"/>
      <c r="AK128" s="66"/>
      <c r="AL128" s="66"/>
      <c r="AM128" s="66"/>
      <c r="AN128" s="66"/>
      <c r="AO128" s="66"/>
      <c r="AP128" s="66"/>
      <c r="AQ128" s="66"/>
      <c r="AR128" s="66"/>
      <c r="AS128" s="66"/>
      <c r="AT128" s="66"/>
      <c r="AU128" s="66"/>
      <c r="AV128" s="66"/>
      <c r="AW128" s="66"/>
      <c r="AX128" s="66"/>
      <c r="AY128" s="66"/>
      <c r="AZ128" s="66"/>
      <c r="BA128" s="66"/>
      <c r="BB128" s="66"/>
      <c r="BC128" s="66"/>
      <c r="BD128" s="66"/>
      <c r="BE128" s="66"/>
      <c r="BF128" s="66"/>
      <c r="BG128" s="66"/>
      <c r="BH128" s="66"/>
      <c r="BI128" s="66"/>
      <c r="BJ128" s="66"/>
      <c r="BK128" s="66"/>
      <c r="BL128" s="66"/>
      <c r="BM128" s="66"/>
      <c r="BN128" s="66"/>
      <c r="BO128" s="66"/>
      <c r="BP128" s="66"/>
      <c r="BQ128" s="66"/>
      <c r="BR128" s="66"/>
      <c r="BS128" s="66"/>
      <c r="BT128" s="66"/>
      <c r="BU128" s="66"/>
      <c r="BV128" s="66"/>
      <c r="BW128" s="66"/>
      <c r="BX128" s="66"/>
      <c r="BY128" s="66"/>
      <c r="BZ128" s="66"/>
      <c r="CA128" s="66"/>
      <c r="CB128" s="66"/>
      <c r="CC128" s="66"/>
      <c r="CD128" s="66"/>
      <c r="CE128" s="66"/>
      <c r="CF128" s="66"/>
      <c r="CG128" s="66"/>
      <c r="CH128" s="66"/>
      <c r="CI128" s="66"/>
      <c r="CJ128" s="66"/>
      <c r="CK128" s="66"/>
      <c r="CL128" s="66"/>
      <c r="CM128" s="66"/>
      <c r="CN128" s="66"/>
      <c r="CO128" s="66"/>
      <c r="CP128" s="66"/>
      <c r="CQ128" s="23" t="s">
        <v>77</v>
      </c>
      <c r="CR128" s="233"/>
    </row>
    <row r="129" spans="1:96" outlineLevel="1" x14ac:dyDescent="0.2">
      <c r="B129" s="8" t="s">
        <v>60</v>
      </c>
      <c r="D129" s="9"/>
      <c r="E129" s="9"/>
      <c r="F129" s="9"/>
      <c r="G129" s="75"/>
      <c r="H129" s="75"/>
      <c r="I129" s="75"/>
      <c r="J129" s="75"/>
      <c r="K129" s="75"/>
      <c r="L129" s="536">
        <f t="shared" ref="L129:T129" si="198">+L118+L123</f>
        <v>0</v>
      </c>
      <c r="M129" s="72">
        <f t="shared" si="198"/>
        <v>0</v>
      </c>
      <c r="N129" s="72">
        <f t="shared" si="198"/>
        <v>0</v>
      </c>
      <c r="O129" s="72">
        <f t="shared" si="198"/>
        <v>0</v>
      </c>
      <c r="P129" s="536">
        <f>+P118+P123</f>
        <v>8.7499999999999994E-2</v>
      </c>
      <c r="Q129" s="72">
        <f t="shared" si="198"/>
        <v>8.7499999999999994E-2</v>
      </c>
      <c r="R129" s="72">
        <f>+R118+R123</f>
        <v>8.7499999999999994E-2</v>
      </c>
      <c r="S129" s="72">
        <f t="shared" si="198"/>
        <v>8.7499999999999994E-2</v>
      </c>
      <c r="T129" s="72">
        <f t="shared" si="198"/>
        <v>8.7499999999999994E-2</v>
      </c>
      <c r="U129" s="205">
        <v>4.4999999999999998E-2</v>
      </c>
      <c r="V129" s="235">
        <v>5.0700000000000002E-2</v>
      </c>
      <c r="W129" s="212">
        <f>V129</f>
        <v>5.0700000000000002E-2</v>
      </c>
      <c r="X129" s="212">
        <f>W129</f>
        <v>5.0700000000000002E-2</v>
      </c>
      <c r="Y129" s="212">
        <f>X129</f>
        <v>5.0700000000000002E-2</v>
      </c>
      <c r="Z129" s="176">
        <v>0.05</v>
      </c>
      <c r="AA129" s="173">
        <f>Z129</f>
        <v>0.05</v>
      </c>
      <c r="AB129" s="173">
        <f t="shared" ref="AB129:BD129" si="199">AA129</f>
        <v>0.05</v>
      </c>
      <c r="AC129" s="173">
        <f t="shared" si="199"/>
        <v>0.05</v>
      </c>
      <c r="AD129" s="173">
        <f t="shared" si="199"/>
        <v>0.05</v>
      </c>
      <c r="AE129" s="173">
        <f t="shared" si="199"/>
        <v>0.05</v>
      </c>
      <c r="AF129" s="173">
        <f t="shared" si="199"/>
        <v>0.05</v>
      </c>
      <c r="AG129" s="173">
        <f t="shared" si="199"/>
        <v>0.05</v>
      </c>
      <c r="AH129" s="173">
        <f t="shared" si="199"/>
        <v>0.05</v>
      </c>
      <c r="AI129" s="173">
        <f t="shared" si="199"/>
        <v>0.05</v>
      </c>
      <c r="AJ129" s="173">
        <f t="shared" si="199"/>
        <v>0.05</v>
      </c>
      <c r="AK129" s="173">
        <f t="shared" si="199"/>
        <v>0.05</v>
      </c>
      <c r="AL129" s="173">
        <f t="shared" si="199"/>
        <v>0.05</v>
      </c>
      <c r="AM129" s="173">
        <f t="shared" si="199"/>
        <v>0.05</v>
      </c>
      <c r="AN129" s="173">
        <f t="shared" si="199"/>
        <v>0.05</v>
      </c>
      <c r="AO129" s="173">
        <f t="shared" si="199"/>
        <v>0.05</v>
      </c>
      <c r="AP129" s="173">
        <f t="shared" si="199"/>
        <v>0.05</v>
      </c>
      <c r="AQ129" s="173">
        <f t="shared" si="199"/>
        <v>0.05</v>
      </c>
      <c r="AR129" s="173">
        <f t="shared" si="199"/>
        <v>0.05</v>
      </c>
      <c r="AS129" s="173">
        <f t="shared" si="199"/>
        <v>0.05</v>
      </c>
      <c r="AT129" s="173">
        <f t="shared" si="199"/>
        <v>0.05</v>
      </c>
      <c r="AU129" s="173">
        <f t="shared" si="199"/>
        <v>0.05</v>
      </c>
      <c r="AV129" s="173">
        <f t="shared" si="199"/>
        <v>0.05</v>
      </c>
      <c r="AW129" s="173">
        <f t="shared" si="199"/>
        <v>0.05</v>
      </c>
      <c r="AX129" s="173">
        <f t="shared" si="199"/>
        <v>0.05</v>
      </c>
      <c r="AY129" s="173">
        <f t="shared" si="199"/>
        <v>0.05</v>
      </c>
      <c r="AZ129" s="173">
        <f t="shared" si="199"/>
        <v>0.05</v>
      </c>
      <c r="BA129" s="173">
        <f t="shared" si="199"/>
        <v>0.05</v>
      </c>
      <c r="BB129" s="173">
        <f t="shared" si="199"/>
        <v>0.05</v>
      </c>
      <c r="BC129" s="173">
        <f t="shared" si="199"/>
        <v>0.05</v>
      </c>
      <c r="BD129" s="173">
        <f t="shared" si="199"/>
        <v>0.05</v>
      </c>
      <c r="BE129" s="173">
        <f t="shared" ref="BE129:CP129" si="200">BD129</f>
        <v>0.05</v>
      </c>
      <c r="BF129" s="173">
        <f t="shared" si="200"/>
        <v>0.05</v>
      </c>
      <c r="BG129" s="173">
        <f t="shared" si="200"/>
        <v>0.05</v>
      </c>
      <c r="BH129" s="173">
        <f t="shared" si="200"/>
        <v>0.05</v>
      </c>
      <c r="BI129" s="173">
        <f t="shared" si="200"/>
        <v>0.05</v>
      </c>
      <c r="BJ129" s="173">
        <f t="shared" si="200"/>
        <v>0.05</v>
      </c>
      <c r="BK129" s="173">
        <f t="shared" si="200"/>
        <v>0.05</v>
      </c>
      <c r="BL129" s="173">
        <f t="shared" si="200"/>
        <v>0.05</v>
      </c>
      <c r="BM129" s="173">
        <f t="shared" si="200"/>
        <v>0.05</v>
      </c>
      <c r="BN129" s="173">
        <f t="shared" si="200"/>
        <v>0.05</v>
      </c>
      <c r="BO129" s="173">
        <f t="shared" si="200"/>
        <v>0.05</v>
      </c>
      <c r="BP129" s="173">
        <f t="shared" si="200"/>
        <v>0.05</v>
      </c>
      <c r="BQ129" s="173">
        <f t="shared" si="200"/>
        <v>0.05</v>
      </c>
      <c r="BR129" s="173">
        <f t="shared" si="200"/>
        <v>0.05</v>
      </c>
      <c r="BS129" s="173">
        <f t="shared" si="200"/>
        <v>0.05</v>
      </c>
      <c r="BT129" s="173">
        <f t="shared" si="200"/>
        <v>0.05</v>
      </c>
      <c r="BU129" s="173">
        <f t="shared" si="200"/>
        <v>0.05</v>
      </c>
      <c r="BV129" s="173">
        <f t="shared" si="200"/>
        <v>0.05</v>
      </c>
      <c r="BW129" s="173">
        <f t="shared" si="200"/>
        <v>0.05</v>
      </c>
      <c r="BX129" s="173">
        <f t="shared" si="200"/>
        <v>0.05</v>
      </c>
      <c r="BY129" s="173">
        <f t="shared" si="200"/>
        <v>0.05</v>
      </c>
      <c r="BZ129" s="173">
        <f t="shared" si="200"/>
        <v>0.05</v>
      </c>
      <c r="CA129" s="173">
        <f t="shared" si="200"/>
        <v>0.05</v>
      </c>
      <c r="CB129" s="173">
        <f t="shared" si="200"/>
        <v>0.05</v>
      </c>
      <c r="CC129" s="173">
        <f t="shared" si="200"/>
        <v>0.05</v>
      </c>
      <c r="CD129" s="173">
        <f t="shared" si="200"/>
        <v>0.05</v>
      </c>
      <c r="CE129" s="173">
        <f t="shared" si="200"/>
        <v>0.05</v>
      </c>
      <c r="CF129" s="173">
        <f t="shared" si="200"/>
        <v>0.05</v>
      </c>
      <c r="CG129" s="173">
        <f t="shared" si="200"/>
        <v>0.05</v>
      </c>
      <c r="CH129" s="173">
        <f t="shared" si="200"/>
        <v>0.05</v>
      </c>
      <c r="CI129" s="173">
        <f t="shared" si="200"/>
        <v>0.05</v>
      </c>
      <c r="CJ129" s="173">
        <f t="shared" si="200"/>
        <v>0.05</v>
      </c>
      <c r="CK129" s="173">
        <f t="shared" si="200"/>
        <v>0.05</v>
      </c>
      <c r="CL129" s="173">
        <f t="shared" si="200"/>
        <v>0.05</v>
      </c>
      <c r="CM129" s="173">
        <f t="shared" si="200"/>
        <v>0.05</v>
      </c>
      <c r="CN129" s="173">
        <f t="shared" si="200"/>
        <v>0.05</v>
      </c>
      <c r="CO129" s="173">
        <f t="shared" si="200"/>
        <v>0.05</v>
      </c>
      <c r="CP129" s="173">
        <f t="shared" si="200"/>
        <v>0.05</v>
      </c>
      <c r="CQ129" s="23" t="s">
        <v>77</v>
      </c>
    </row>
    <row r="130" spans="1:96" outlineLevel="1" x14ac:dyDescent="0.2">
      <c r="B130" s="8" t="s">
        <v>61</v>
      </c>
      <c r="D130" s="9"/>
      <c r="E130" s="9"/>
      <c r="F130" s="9"/>
      <c r="G130" s="75"/>
      <c r="H130" s="75"/>
      <c r="I130" s="75"/>
      <c r="J130" s="75"/>
      <c r="K130" s="75"/>
      <c r="L130" s="237">
        <f t="shared" ref="L130:BD130" si="201">+(1+L129)/(1+L119)-1</f>
        <v>0</v>
      </c>
      <c r="M130" s="72">
        <f t="shared" si="201"/>
        <v>0</v>
      </c>
      <c r="N130" s="72">
        <f t="shared" si="201"/>
        <v>0</v>
      </c>
      <c r="O130" s="72">
        <f t="shared" si="201"/>
        <v>0</v>
      </c>
      <c r="P130" s="237">
        <f t="shared" si="201"/>
        <v>6.0975609756097615E-2</v>
      </c>
      <c r="Q130" s="72">
        <f t="shared" si="201"/>
        <v>6.0975609756097615E-2</v>
      </c>
      <c r="R130" s="72">
        <f t="shared" si="201"/>
        <v>6.0975609756097615E-2</v>
      </c>
      <c r="S130" s="72">
        <f t="shared" si="201"/>
        <v>6.0975609756097615E-2</v>
      </c>
      <c r="T130" s="72">
        <f t="shared" si="201"/>
        <v>6.0975609756097615E-2</v>
      </c>
      <c r="U130" s="75">
        <f t="shared" si="201"/>
        <v>1.9512195121951237E-2</v>
      </c>
      <c r="V130" s="75">
        <f>+(1+V129)/(1+V119)-1</f>
        <v>3.5580524344569264E-2</v>
      </c>
      <c r="W130" s="75">
        <f>+(1+W129)/(1+W119)-1</f>
        <v>3.5580524344569264E-2</v>
      </c>
      <c r="X130" s="75">
        <f>+(1+X129)/(1+X119)-1</f>
        <v>3.5580524344569264E-2</v>
      </c>
      <c r="Y130" s="75">
        <f t="shared" si="201"/>
        <v>3.5580524344569264E-2</v>
      </c>
      <c r="Z130" s="173">
        <f t="shared" si="201"/>
        <v>3.4890597279716218E-2</v>
      </c>
      <c r="AA130" s="173">
        <f t="shared" si="201"/>
        <v>3.4890597279716218E-2</v>
      </c>
      <c r="AB130" s="173">
        <f t="shared" si="201"/>
        <v>3.4890597279716218E-2</v>
      </c>
      <c r="AC130" s="173">
        <f t="shared" si="201"/>
        <v>3.4890597279716218E-2</v>
      </c>
      <c r="AD130" s="173">
        <f t="shared" si="201"/>
        <v>3.4890597279716218E-2</v>
      </c>
      <c r="AE130" s="173">
        <f t="shared" si="201"/>
        <v>3.4890597279716218E-2</v>
      </c>
      <c r="AF130" s="173">
        <f t="shared" si="201"/>
        <v>3.4890597279716218E-2</v>
      </c>
      <c r="AG130" s="173">
        <f t="shared" si="201"/>
        <v>3.4890597279716218E-2</v>
      </c>
      <c r="AH130" s="173">
        <f t="shared" si="201"/>
        <v>3.4890597279716218E-2</v>
      </c>
      <c r="AI130" s="173">
        <f t="shared" si="201"/>
        <v>3.4890597279716218E-2</v>
      </c>
      <c r="AJ130" s="173">
        <f t="shared" si="201"/>
        <v>3.4890597279716218E-2</v>
      </c>
      <c r="AK130" s="173">
        <f t="shared" si="201"/>
        <v>3.4890597279716218E-2</v>
      </c>
      <c r="AL130" s="173">
        <f t="shared" si="201"/>
        <v>3.4890597279716218E-2</v>
      </c>
      <c r="AM130" s="173">
        <f t="shared" si="201"/>
        <v>3.4890597279716218E-2</v>
      </c>
      <c r="AN130" s="173">
        <f t="shared" si="201"/>
        <v>3.4890597279716218E-2</v>
      </c>
      <c r="AO130" s="173">
        <f t="shared" si="201"/>
        <v>3.4890597279716218E-2</v>
      </c>
      <c r="AP130" s="173">
        <f t="shared" si="201"/>
        <v>3.4890597279716218E-2</v>
      </c>
      <c r="AQ130" s="173">
        <f t="shared" si="201"/>
        <v>3.4890597279716218E-2</v>
      </c>
      <c r="AR130" s="173">
        <f t="shared" si="201"/>
        <v>3.4890597279716218E-2</v>
      </c>
      <c r="AS130" s="173">
        <f t="shared" si="201"/>
        <v>3.4890597279716218E-2</v>
      </c>
      <c r="AT130" s="173">
        <f t="shared" si="201"/>
        <v>3.4890597279716218E-2</v>
      </c>
      <c r="AU130" s="173">
        <f t="shared" si="201"/>
        <v>3.4890597279716218E-2</v>
      </c>
      <c r="AV130" s="173">
        <f t="shared" si="201"/>
        <v>3.4890597279716218E-2</v>
      </c>
      <c r="AW130" s="173">
        <f t="shared" si="201"/>
        <v>3.4890597279716218E-2</v>
      </c>
      <c r="AX130" s="173">
        <f t="shared" si="201"/>
        <v>3.4890597279716218E-2</v>
      </c>
      <c r="AY130" s="173">
        <f t="shared" si="201"/>
        <v>3.4890597279716218E-2</v>
      </c>
      <c r="AZ130" s="173">
        <f t="shared" si="201"/>
        <v>3.4890597279716218E-2</v>
      </c>
      <c r="BA130" s="173">
        <f t="shared" si="201"/>
        <v>3.4890597279716218E-2</v>
      </c>
      <c r="BB130" s="173">
        <f t="shared" si="201"/>
        <v>3.4890597279716218E-2</v>
      </c>
      <c r="BC130" s="173">
        <f t="shared" si="201"/>
        <v>3.4890597279716218E-2</v>
      </c>
      <c r="BD130" s="173">
        <f t="shared" si="201"/>
        <v>3.4890597279716218E-2</v>
      </c>
      <c r="BE130" s="173">
        <f t="shared" ref="BE130:CP130" si="202">+(1+BE129)/(1+BE119)-1</f>
        <v>3.4890597279716218E-2</v>
      </c>
      <c r="BF130" s="173">
        <f t="shared" si="202"/>
        <v>3.4890597279716218E-2</v>
      </c>
      <c r="BG130" s="173">
        <f t="shared" si="202"/>
        <v>3.4890597279716218E-2</v>
      </c>
      <c r="BH130" s="173">
        <f t="shared" si="202"/>
        <v>3.4890597279716218E-2</v>
      </c>
      <c r="BI130" s="173">
        <f t="shared" si="202"/>
        <v>3.4890597279716218E-2</v>
      </c>
      <c r="BJ130" s="173">
        <f t="shared" si="202"/>
        <v>3.4890597279716218E-2</v>
      </c>
      <c r="BK130" s="173">
        <f t="shared" si="202"/>
        <v>3.4890597279716218E-2</v>
      </c>
      <c r="BL130" s="173">
        <f t="shared" si="202"/>
        <v>3.4890597279716218E-2</v>
      </c>
      <c r="BM130" s="173">
        <f t="shared" si="202"/>
        <v>3.4890597279716218E-2</v>
      </c>
      <c r="BN130" s="173">
        <f t="shared" si="202"/>
        <v>3.4890597279716218E-2</v>
      </c>
      <c r="BO130" s="173">
        <f t="shared" si="202"/>
        <v>3.4890597279716218E-2</v>
      </c>
      <c r="BP130" s="173">
        <f t="shared" si="202"/>
        <v>3.4890597279716218E-2</v>
      </c>
      <c r="BQ130" s="173">
        <f t="shared" si="202"/>
        <v>3.4890597279716218E-2</v>
      </c>
      <c r="BR130" s="173">
        <f t="shared" si="202"/>
        <v>3.4890597279716218E-2</v>
      </c>
      <c r="BS130" s="173">
        <f t="shared" si="202"/>
        <v>3.4890597279716218E-2</v>
      </c>
      <c r="BT130" s="173">
        <f t="shared" si="202"/>
        <v>3.4890597279716218E-2</v>
      </c>
      <c r="BU130" s="173">
        <f t="shared" si="202"/>
        <v>3.4890597279716218E-2</v>
      </c>
      <c r="BV130" s="173">
        <f t="shared" si="202"/>
        <v>3.4890597279716218E-2</v>
      </c>
      <c r="BW130" s="173">
        <f t="shared" si="202"/>
        <v>3.4890597279716218E-2</v>
      </c>
      <c r="BX130" s="173">
        <f t="shared" si="202"/>
        <v>3.4890597279716218E-2</v>
      </c>
      <c r="BY130" s="173">
        <f t="shared" si="202"/>
        <v>3.4890597279716218E-2</v>
      </c>
      <c r="BZ130" s="173">
        <f t="shared" si="202"/>
        <v>3.4890597279716218E-2</v>
      </c>
      <c r="CA130" s="173">
        <f t="shared" si="202"/>
        <v>3.4890597279716218E-2</v>
      </c>
      <c r="CB130" s="173">
        <f t="shared" si="202"/>
        <v>3.4890597279716218E-2</v>
      </c>
      <c r="CC130" s="173">
        <f t="shared" si="202"/>
        <v>3.4890597279716218E-2</v>
      </c>
      <c r="CD130" s="173">
        <f t="shared" si="202"/>
        <v>3.4890597279716218E-2</v>
      </c>
      <c r="CE130" s="173">
        <f t="shared" si="202"/>
        <v>3.4890597279716218E-2</v>
      </c>
      <c r="CF130" s="173">
        <f t="shared" si="202"/>
        <v>3.4890597279716218E-2</v>
      </c>
      <c r="CG130" s="173">
        <f t="shared" si="202"/>
        <v>3.4890597279716218E-2</v>
      </c>
      <c r="CH130" s="173">
        <f t="shared" si="202"/>
        <v>3.4890597279716218E-2</v>
      </c>
      <c r="CI130" s="173">
        <f t="shared" si="202"/>
        <v>3.4890597279716218E-2</v>
      </c>
      <c r="CJ130" s="173">
        <f t="shared" si="202"/>
        <v>3.4890597279716218E-2</v>
      </c>
      <c r="CK130" s="173">
        <f t="shared" si="202"/>
        <v>3.4890597279716218E-2</v>
      </c>
      <c r="CL130" s="173">
        <f t="shared" si="202"/>
        <v>3.4890597279716218E-2</v>
      </c>
      <c r="CM130" s="173">
        <f t="shared" si="202"/>
        <v>3.4890597279716218E-2</v>
      </c>
      <c r="CN130" s="173">
        <f t="shared" si="202"/>
        <v>3.4890597279716218E-2</v>
      </c>
      <c r="CO130" s="173">
        <f t="shared" si="202"/>
        <v>3.4890597279716218E-2</v>
      </c>
      <c r="CP130" s="173">
        <f t="shared" si="202"/>
        <v>3.4890597279716218E-2</v>
      </c>
      <c r="CQ130" s="23" t="s">
        <v>77</v>
      </c>
    </row>
    <row r="131" spans="1:96" outlineLevel="1" x14ac:dyDescent="0.2">
      <c r="A131" s="233"/>
      <c r="B131" s="358" t="s">
        <v>67</v>
      </c>
      <c r="D131" s="66"/>
      <c r="E131" s="66"/>
      <c r="F131" s="66"/>
      <c r="G131" s="66"/>
      <c r="H131" s="66"/>
      <c r="I131" s="66"/>
      <c r="J131" s="66"/>
      <c r="K131" s="66"/>
      <c r="L131" s="238"/>
      <c r="M131" s="66"/>
      <c r="N131" s="66"/>
      <c r="O131" s="66"/>
      <c r="P131" s="238"/>
      <c r="Q131" s="66"/>
      <c r="R131" s="66"/>
      <c r="S131" s="66"/>
      <c r="T131" s="66"/>
      <c r="U131" s="66"/>
      <c r="V131" s="236"/>
      <c r="W131" s="236"/>
      <c r="X131" s="236"/>
      <c r="Y131" s="236"/>
      <c r="Z131" s="66"/>
      <c r="AA131" s="66"/>
      <c r="AB131" s="66"/>
      <c r="AC131" s="66"/>
      <c r="AD131" s="66"/>
      <c r="AE131" s="66"/>
      <c r="AF131" s="66"/>
      <c r="AG131" s="66"/>
      <c r="AH131" s="66"/>
      <c r="AI131" s="66"/>
      <c r="AJ131" s="66"/>
      <c r="AK131" s="66"/>
      <c r="AL131" s="66"/>
      <c r="AM131" s="66"/>
      <c r="AN131" s="66"/>
      <c r="AO131" s="66"/>
      <c r="AP131" s="66"/>
      <c r="AQ131" s="66"/>
      <c r="AR131" s="66"/>
      <c r="AS131" s="66"/>
      <c r="AT131" s="66"/>
      <c r="AU131" s="66"/>
      <c r="AV131" s="66"/>
      <c r="AW131" s="66"/>
      <c r="AX131" s="66"/>
      <c r="AY131" s="66"/>
      <c r="AZ131" s="66"/>
      <c r="BA131" s="66"/>
      <c r="BB131" s="66"/>
      <c r="BC131" s="66"/>
      <c r="BD131" s="66"/>
      <c r="BE131" s="66"/>
      <c r="BF131" s="66"/>
      <c r="BG131" s="66"/>
      <c r="BH131" s="66"/>
      <c r="BI131" s="66"/>
      <c r="BJ131" s="66"/>
      <c r="BK131" s="66"/>
      <c r="BL131" s="66"/>
      <c r="BM131" s="66"/>
      <c r="BN131" s="66"/>
      <c r="BO131" s="66"/>
      <c r="BP131" s="66"/>
      <c r="BQ131" s="66"/>
      <c r="BR131" s="66"/>
      <c r="BS131" s="66"/>
      <c r="BT131" s="66"/>
      <c r="BU131" s="66"/>
      <c r="BV131" s="66"/>
      <c r="BW131" s="66"/>
      <c r="BX131" s="66"/>
      <c r="BY131" s="66"/>
      <c r="BZ131" s="66"/>
      <c r="CA131" s="66"/>
      <c r="CB131" s="66"/>
      <c r="CC131" s="66"/>
      <c r="CD131" s="66"/>
      <c r="CE131" s="66"/>
      <c r="CF131" s="66"/>
      <c r="CG131" s="66"/>
      <c r="CH131" s="66"/>
      <c r="CI131" s="66"/>
      <c r="CJ131" s="66"/>
      <c r="CK131" s="66"/>
      <c r="CL131" s="66"/>
      <c r="CM131" s="66"/>
      <c r="CN131" s="66"/>
      <c r="CO131" s="66"/>
      <c r="CP131" s="66"/>
      <c r="CQ131" s="23" t="s">
        <v>77</v>
      </c>
      <c r="CR131" s="233"/>
    </row>
    <row r="132" spans="1:96" outlineLevel="1" x14ac:dyDescent="0.2">
      <c r="B132" s="8" t="s">
        <v>62</v>
      </c>
      <c r="D132" s="75"/>
      <c r="E132" s="75"/>
      <c r="F132" s="75"/>
      <c r="G132" s="75"/>
      <c r="H132" s="75"/>
      <c r="I132" s="75"/>
      <c r="J132" s="75"/>
      <c r="K132" s="75"/>
      <c r="L132" s="237">
        <f t="shared" ref="L132:BD132" si="203">L134/(1-L126*(1-L127))</f>
        <v>0</v>
      </c>
      <c r="M132" s="72">
        <f t="shared" si="203"/>
        <v>0</v>
      </c>
      <c r="N132" s="72">
        <f t="shared" si="203"/>
        <v>0</v>
      </c>
      <c r="O132" s="72">
        <f t="shared" si="203"/>
        <v>0</v>
      </c>
      <c r="P132" s="237">
        <f>P134/(1-P126*(1-P127))</f>
        <v>0.10381760339342525</v>
      </c>
      <c r="Q132" s="72">
        <f t="shared" si="203"/>
        <v>0.10381760339342525</v>
      </c>
      <c r="R132" s="72">
        <f>R134/(1-R126*(1-R127))</f>
        <v>0.10381760339342525</v>
      </c>
      <c r="S132" s="72">
        <f t="shared" si="203"/>
        <v>0.10381760339342525</v>
      </c>
      <c r="T132" s="72">
        <f t="shared" si="203"/>
        <v>0.10381760339342525</v>
      </c>
      <c r="U132" s="75">
        <f t="shared" si="203"/>
        <v>8.4117647058823519E-2</v>
      </c>
      <c r="V132" s="215">
        <f t="shared" si="203"/>
        <v>8.5365853658536564E-2</v>
      </c>
      <c r="W132" s="215">
        <f>W134/(1-W126*(1-W127))</f>
        <v>8.5365853658536564E-2</v>
      </c>
      <c r="X132" s="215">
        <f>X134/(1-X126*(1-X127))</f>
        <v>8.5365853658536564E-2</v>
      </c>
      <c r="Y132" s="215">
        <f t="shared" si="203"/>
        <v>8.5365853658536564E-2</v>
      </c>
      <c r="Z132" s="173">
        <f t="shared" si="203"/>
        <v>9.9999999999999978E-2</v>
      </c>
      <c r="AA132" s="173">
        <f t="shared" si="203"/>
        <v>9.9999999999999978E-2</v>
      </c>
      <c r="AB132" s="173">
        <f t="shared" si="203"/>
        <v>9.9999999999999978E-2</v>
      </c>
      <c r="AC132" s="173">
        <f t="shared" si="203"/>
        <v>9.9999999999999978E-2</v>
      </c>
      <c r="AD132" s="173">
        <f t="shared" si="203"/>
        <v>9.9999999999999978E-2</v>
      </c>
      <c r="AE132" s="173">
        <f t="shared" si="203"/>
        <v>9.9999999999999978E-2</v>
      </c>
      <c r="AF132" s="173">
        <f t="shared" si="203"/>
        <v>9.9999999999999978E-2</v>
      </c>
      <c r="AG132" s="173">
        <f t="shared" si="203"/>
        <v>9.9999999999999978E-2</v>
      </c>
      <c r="AH132" s="173">
        <f t="shared" si="203"/>
        <v>9.9999999999999978E-2</v>
      </c>
      <c r="AI132" s="173">
        <f t="shared" si="203"/>
        <v>9.9999999999999978E-2</v>
      </c>
      <c r="AJ132" s="173">
        <f t="shared" si="203"/>
        <v>9.9999999999999978E-2</v>
      </c>
      <c r="AK132" s="173">
        <f t="shared" si="203"/>
        <v>9.9999999999999978E-2</v>
      </c>
      <c r="AL132" s="173">
        <f t="shared" si="203"/>
        <v>9.9999999999999978E-2</v>
      </c>
      <c r="AM132" s="173">
        <f t="shared" si="203"/>
        <v>9.9999999999999978E-2</v>
      </c>
      <c r="AN132" s="173">
        <f t="shared" si="203"/>
        <v>9.9999999999999978E-2</v>
      </c>
      <c r="AO132" s="173">
        <f t="shared" si="203"/>
        <v>9.9999999999999978E-2</v>
      </c>
      <c r="AP132" s="173">
        <f t="shared" si="203"/>
        <v>9.9999999999999978E-2</v>
      </c>
      <c r="AQ132" s="173">
        <f t="shared" si="203"/>
        <v>9.9999999999999978E-2</v>
      </c>
      <c r="AR132" s="173">
        <f t="shared" si="203"/>
        <v>9.9999999999999978E-2</v>
      </c>
      <c r="AS132" s="173">
        <f t="shared" si="203"/>
        <v>9.9999999999999978E-2</v>
      </c>
      <c r="AT132" s="173">
        <f t="shared" si="203"/>
        <v>9.9999999999999978E-2</v>
      </c>
      <c r="AU132" s="173">
        <f t="shared" si="203"/>
        <v>9.9999999999999978E-2</v>
      </c>
      <c r="AV132" s="173">
        <f t="shared" si="203"/>
        <v>9.9999999999999978E-2</v>
      </c>
      <c r="AW132" s="173">
        <f t="shared" si="203"/>
        <v>9.9999999999999978E-2</v>
      </c>
      <c r="AX132" s="173">
        <f t="shared" si="203"/>
        <v>9.9999999999999978E-2</v>
      </c>
      <c r="AY132" s="173">
        <f t="shared" si="203"/>
        <v>9.9999999999999978E-2</v>
      </c>
      <c r="AZ132" s="173">
        <f t="shared" si="203"/>
        <v>9.9999999999999978E-2</v>
      </c>
      <c r="BA132" s="173">
        <f t="shared" si="203"/>
        <v>9.9999999999999978E-2</v>
      </c>
      <c r="BB132" s="173">
        <f t="shared" si="203"/>
        <v>9.9999999999999978E-2</v>
      </c>
      <c r="BC132" s="173">
        <f t="shared" si="203"/>
        <v>9.9999999999999978E-2</v>
      </c>
      <c r="BD132" s="173">
        <f t="shared" si="203"/>
        <v>9.9999999999999978E-2</v>
      </c>
      <c r="BE132" s="173">
        <f t="shared" ref="BE132:CP132" si="204">BE134/(1-BE126*(1-BE127))</f>
        <v>9.9999999999999978E-2</v>
      </c>
      <c r="BF132" s="173">
        <f t="shared" si="204"/>
        <v>9.9999999999999978E-2</v>
      </c>
      <c r="BG132" s="173">
        <f t="shared" si="204"/>
        <v>9.9999999999999978E-2</v>
      </c>
      <c r="BH132" s="173">
        <f t="shared" si="204"/>
        <v>9.9999999999999978E-2</v>
      </c>
      <c r="BI132" s="173">
        <f t="shared" si="204"/>
        <v>9.9999999999999978E-2</v>
      </c>
      <c r="BJ132" s="173">
        <f t="shared" si="204"/>
        <v>9.9999999999999978E-2</v>
      </c>
      <c r="BK132" s="173">
        <f t="shared" si="204"/>
        <v>9.9999999999999978E-2</v>
      </c>
      <c r="BL132" s="173">
        <f t="shared" si="204"/>
        <v>9.9999999999999978E-2</v>
      </c>
      <c r="BM132" s="173">
        <f t="shared" si="204"/>
        <v>9.9999999999999978E-2</v>
      </c>
      <c r="BN132" s="173">
        <f t="shared" si="204"/>
        <v>9.9999999999999978E-2</v>
      </c>
      <c r="BO132" s="173">
        <f t="shared" si="204"/>
        <v>9.9999999999999978E-2</v>
      </c>
      <c r="BP132" s="173">
        <f t="shared" si="204"/>
        <v>9.9999999999999978E-2</v>
      </c>
      <c r="BQ132" s="173">
        <f t="shared" si="204"/>
        <v>9.9999999999999978E-2</v>
      </c>
      <c r="BR132" s="173">
        <f t="shared" si="204"/>
        <v>9.9999999999999978E-2</v>
      </c>
      <c r="BS132" s="173">
        <f t="shared" si="204"/>
        <v>9.9999999999999978E-2</v>
      </c>
      <c r="BT132" s="173">
        <f t="shared" si="204"/>
        <v>9.9999999999999978E-2</v>
      </c>
      <c r="BU132" s="173">
        <f t="shared" si="204"/>
        <v>9.9999999999999978E-2</v>
      </c>
      <c r="BV132" s="173">
        <f t="shared" si="204"/>
        <v>9.9999999999999978E-2</v>
      </c>
      <c r="BW132" s="173">
        <f t="shared" si="204"/>
        <v>9.9999999999999978E-2</v>
      </c>
      <c r="BX132" s="173">
        <f t="shared" si="204"/>
        <v>9.9999999999999978E-2</v>
      </c>
      <c r="BY132" s="173">
        <f t="shared" si="204"/>
        <v>9.9999999999999978E-2</v>
      </c>
      <c r="BZ132" s="173">
        <f t="shared" si="204"/>
        <v>9.9999999999999978E-2</v>
      </c>
      <c r="CA132" s="173">
        <f t="shared" si="204"/>
        <v>9.9999999999999978E-2</v>
      </c>
      <c r="CB132" s="173">
        <f t="shared" si="204"/>
        <v>9.9999999999999978E-2</v>
      </c>
      <c r="CC132" s="173">
        <f t="shared" si="204"/>
        <v>9.9999999999999978E-2</v>
      </c>
      <c r="CD132" s="173">
        <f t="shared" si="204"/>
        <v>9.9999999999999978E-2</v>
      </c>
      <c r="CE132" s="173">
        <f t="shared" si="204"/>
        <v>9.9999999999999978E-2</v>
      </c>
      <c r="CF132" s="173">
        <f t="shared" si="204"/>
        <v>9.9999999999999978E-2</v>
      </c>
      <c r="CG132" s="173">
        <f t="shared" si="204"/>
        <v>9.9999999999999978E-2</v>
      </c>
      <c r="CH132" s="173">
        <f t="shared" si="204"/>
        <v>9.9999999999999978E-2</v>
      </c>
      <c r="CI132" s="173">
        <f t="shared" si="204"/>
        <v>9.9999999999999978E-2</v>
      </c>
      <c r="CJ132" s="173">
        <f t="shared" si="204"/>
        <v>9.9999999999999978E-2</v>
      </c>
      <c r="CK132" s="173">
        <f t="shared" si="204"/>
        <v>9.9999999999999978E-2</v>
      </c>
      <c r="CL132" s="173">
        <f t="shared" si="204"/>
        <v>9.9999999999999978E-2</v>
      </c>
      <c r="CM132" s="173">
        <f t="shared" si="204"/>
        <v>9.9999999999999978E-2</v>
      </c>
      <c r="CN132" s="173">
        <f t="shared" si="204"/>
        <v>9.9999999999999978E-2</v>
      </c>
      <c r="CO132" s="173">
        <f t="shared" si="204"/>
        <v>9.9999999999999978E-2</v>
      </c>
      <c r="CP132" s="173">
        <f t="shared" si="204"/>
        <v>9.9999999999999978E-2</v>
      </c>
      <c r="CQ132" s="23" t="s">
        <v>77</v>
      </c>
    </row>
    <row r="133" spans="1:96" outlineLevel="1" x14ac:dyDescent="0.2">
      <c r="B133" s="8" t="s">
        <v>63</v>
      </c>
      <c r="D133" s="9"/>
      <c r="E133" s="9"/>
      <c r="F133" s="9"/>
      <c r="G133" s="75"/>
      <c r="H133" s="75"/>
      <c r="I133" s="75"/>
      <c r="J133" s="75"/>
      <c r="K133" s="75"/>
      <c r="L133" s="237">
        <f t="shared" ref="L133:BD133" si="205">+(1+L132)/(1+L119)-1</f>
        <v>0</v>
      </c>
      <c r="M133" s="72">
        <f t="shared" si="205"/>
        <v>0</v>
      </c>
      <c r="N133" s="72">
        <f t="shared" si="205"/>
        <v>0</v>
      </c>
      <c r="O133" s="72">
        <f t="shared" si="205"/>
        <v>0</v>
      </c>
      <c r="P133" s="237">
        <f t="shared" si="205"/>
        <v>7.6895222822854103E-2</v>
      </c>
      <c r="Q133" s="72">
        <f t="shared" si="205"/>
        <v>7.6895222822854103E-2</v>
      </c>
      <c r="R133" s="72">
        <f t="shared" si="205"/>
        <v>7.6895222822854103E-2</v>
      </c>
      <c r="S133" s="72">
        <f t="shared" si="205"/>
        <v>7.6895222822854103E-2</v>
      </c>
      <c r="T133" s="72">
        <f t="shared" si="205"/>
        <v>7.6895222822854103E-2</v>
      </c>
      <c r="U133" s="75">
        <f t="shared" si="205"/>
        <v>5.7675753228120463E-2</v>
      </c>
      <c r="V133" s="207">
        <f>+(1+V132)/(1+V119)-1</f>
        <v>6.9747539580659046E-2</v>
      </c>
      <c r="W133" s="207">
        <f>+(1+W132)/(1+W119)-1</f>
        <v>6.9747539580659046E-2</v>
      </c>
      <c r="X133" s="207">
        <f>+(1+X132)/(1+X119)-1</f>
        <v>6.9747539580659046E-2</v>
      </c>
      <c r="Y133" s="207">
        <f t="shared" si="205"/>
        <v>6.9747539580659046E-2</v>
      </c>
      <c r="Z133" s="173">
        <f t="shared" si="205"/>
        <v>8.4171101912083657E-2</v>
      </c>
      <c r="AA133" s="173">
        <f t="shared" si="205"/>
        <v>8.4171101912083657E-2</v>
      </c>
      <c r="AB133" s="173">
        <f t="shared" si="205"/>
        <v>8.4171101912083657E-2</v>
      </c>
      <c r="AC133" s="173">
        <f t="shared" si="205"/>
        <v>8.4171101912083657E-2</v>
      </c>
      <c r="AD133" s="173">
        <f t="shared" si="205"/>
        <v>8.4171101912083657E-2</v>
      </c>
      <c r="AE133" s="173">
        <f t="shared" si="205"/>
        <v>8.4171101912083657E-2</v>
      </c>
      <c r="AF133" s="173">
        <f t="shared" si="205"/>
        <v>8.4171101912083657E-2</v>
      </c>
      <c r="AG133" s="173">
        <f t="shared" si="205"/>
        <v>8.4171101912083657E-2</v>
      </c>
      <c r="AH133" s="173">
        <f t="shared" si="205"/>
        <v>8.4171101912083657E-2</v>
      </c>
      <c r="AI133" s="173">
        <f t="shared" si="205"/>
        <v>8.4171101912083657E-2</v>
      </c>
      <c r="AJ133" s="173">
        <f t="shared" si="205"/>
        <v>8.4171101912083657E-2</v>
      </c>
      <c r="AK133" s="173">
        <f t="shared" si="205"/>
        <v>8.4171101912083657E-2</v>
      </c>
      <c r="AL133" s="173">
        <f t="shared" si="205"/>
        <v>8.4171101912083657E-2</v>
      </c>
      <c r="AM133" s="173">
        <f t="shared" si="205"/>
        <v>8.4171101912083657E-2</v>
      </c>
      <c r="AN133" s="173">
        <f t="shared" si="205"/>
        <v>8.4171101912083657E-2</v>
      </c>
      <c r="AO133" s="173">
        <f t="shared" si="205"/>
        <v>8.4171101912083657E-2</v>
      </c>
      <c r="AP133" s="173">
        <f t="shared" si="205"/>
        <v>8.4171101912083657E-2</v>
      </c>
      <c r="AQ133" s="173">
        <f t="shared" si="205"/>
        <v>8.4171101912083657E-2</v>
      </c>
      <c r="AR133" s="173">
        <f t="shared" si="205"/>
        <v>8.4171101912083657E-2</v>
      </c>
      <c r="AS133" s="173">
        <f t="shared" si="205"/>
        <v>8.4171101912083657E-2</v>
      </c>
      <c r="AT133" s="173">
        <f t="shared" si="205"/>
        <v>8.4171101912083657E-2</v>
      </c>
      <c r="AU133" s="173">
        <f t="shared" si="205"/>
        <v>8.4171101912083657E-2</v>
      </c>
      <c r="AV133" s="173">
        <f t="shared" si="205"/>
        <v>8.4171101912083657E-2</v>
      </c>
      <c r="AW133" s="173">
        <f t="shared" si="205"/>
        <v>8.4171101912083657E-2</v>
      </c>
      <c r="AX133" s="173">
        <f t="shared" si="205"/>
        <v>8.4171101912083657E-2</v>
      </c>
      <c r="AY133" s="173">
        <f t="shared" si="205"/>
        <v>8.4171101912083657E-2</v>
      </c>
      <c r="AZ133" s="173">
        <f t="shared" si="205"/>
        <v>8.4171101912083657E-2</v>
      </c>
      <c r="BA133" s="173">
        <f t="shared" si="205"/>
        <v>8.4171101912083657E-2</v>
      </c>
      <c r="BB133" s="173">
        <f t="shared" si="205"/>
        <v>8.4171101912083657E-2</v>
      </c>
      <c r="BC133" s="173">
        <f t="shared" si="205"/>
        <v>8.4171101912083657E-2</v>
      </c>
      <c r="BD133" s="173">
        <f t="shared" si="205"/>
        <v>8.4171101912083657E-2</v>
      </c>
      <c r="BE133" s="173">
        <f t="shared" ref="BE133:CP133" si="206">+(1+BE132)/(1+BE119)-1</f>
        <v>8.4171101912083657E-2</v>
      </c>
      <c r="BF133" s="173">
        <f t="shared" si="206"/>
        <v>8.4171101912083657E-2</v>
      </c>
      <c r="BG133" s="173">
        <f t="shared" si="206"/>
        <v>8.4171101912083657E-2</v>
      </c>
      <c r="BH133" s="173">
        <f t="shared" si="206"/>
        <v>8.4171101912083657E-2</v>
      </c>
      <c r="BI133" s="173">
        <f t="shared" si="206"/>
        <v>8.4171101912083657E-2</v>
      </c>
      <c r="BJ133" s="173">
        <f t="shared" si="206"/>
        <v>8.4171101912083657E-2</v>
      </c>
      <c r="BK133" s="173">
        <f t="shared" si="206"/>
        <v>8.4171101912083657E-2</v>
      </c>
      <c r="BL133" s="173">
        <f t="shared" si="206"/>
        <v>8.4171101912083657E-2</v>
      </c>
      <c r="BM133" s="173">
        <f t="shared" si="206"/>
        <v>8.4171101912083657E-2</v>
      </c>
      <c r="BN133" s="173">
        <f t="shared" si="206"/>
        <v>8.4171101912083657E-2</v>
      </c>
      <c r="BO133" s="173">
        <f t="shared" si="206"/>
        <v>8.4171101912083657E-2</v>
      </c>
      <c r="BP133" s="173">
        <f t="shared" si="206"/>
        <v>8.4171101912083657E-2</v>
      </c>
      <c r="BQ133" s="173">
        <f t="shared" si="206"/>
        <v>8.4171101912083657E-2</v>
      </c>
      <c r="BR133" s="173">
        <f t="shared" si="206"/>
        <v>8.4171101912083657E-2</v>
      </c>
      <c r="BS133" s="173">
        <f t="shared" si="206"/>
        <v>8.4171101912083657E-2</v>
      </c>
      <c r="BT133" s="173">
        <f t="shared" si="206"/>
        <v>8.4171101912083657E-2</v>
      </c>
      <c r="BU133" s="173">
        <f t="shared" si="206"/>
        <v>8.4171101912083657E-2</v>
      </c>
      <c r="BV133" s="173">
        <f t="shared" si="206"/>
        <v>8.4171101912083657E-2</v>
      </c>
      <c r="BW133" s="173">
        <f t="shared" si="206"/>
        <v>8.4171101912083657E-2</v>
      </c>
      <c r="BX133" s="173">
        <f t="shared" si="206"/>
        <v>8.4171101912083657E-2</v>
      </c>
      <c r="BY133" s="173">
        <f t="shared" si="206"/>
        <v>8.4171101912083657E-2</v>
      </c>
      <c r="BZ133" s="173">
        <f t="shared" si="206"/>
        <v>8.4171101912083657E-2</v>
      </c>
      <c r="CA133" s="173">
        <f t="shared" si="206"/>
        <v>8.4171101912083657E-2</v>
      </c>
      <c r="CB133" s="173">
        <f t="shared" si="206"/>
        <v>8.4171101912083657E-2</v>
      </c>
      <c r="CC133" s="173">
        <f t="shared" si="206"/>
        <v>8.4171101912083657E-2</v>
      </c>
      <c r="CD133" s="173">
        <f t="shared" si="206"/>
        <v>8.4171101912083657E-2</v>
      </c>
      <c r="CE133" s="173">
        <f t="shared" si="206"/>
        <v>8.4171101912083657E-2</v>
      </c>
      <c r="CF133" s="173">
        <f t="shared" si="206"/>
        <v>8.4171101912083657E-2</v>
      </c>
      <c r="CG133" s="173">
        <f t="shared" si="206"/>
        <v>8.4171101912083657E-2</v>
      </c>
      <c r="CH133" s="173">
        <f t="shared" si="206"/>
        <v>8.4171101912083657E-2</v>
      </c>
      <c r="CI133" s="173">
        <f t="shared" si="206"/>
        <v>8.4171101912083657E-2</v>
      </c>
      <c r="CJ133" s="173">
        <f t="shared" si="206"/>
        <v>8.4171101912083657E-2</v>
      </c>
      <c r="CK133" s="173">
        <f t="shared" si="206"/>
        <v>8.4171101912083657E-2</v>
      </c>
      <c r="CL133" s="173">
        <f t="shared" si="206"/>
        <v>8.4171101912083657E-2</v>
      </c>
      <c r="CM133" s="173">
        <f t="shared" si="206"/>
        <v>8.4171101912083657E-2</v>
      </c>
      <c r="CN133" s="173">
        <f t="shared" si="206"/>
        <v>8.4171101912083657E-2</v>
      </c>
      <c r="CO133" s="173">
        <f t="shared" si="206"/>
        <v>8.4171101912083657E-2</v>
      </c>
      <c r="CP133" s="173">
        <f t="shared" si="206"/>
        <v>8.4171101912083657E-2</v>
      </c>
      <c r="CQ133" s="23" t="s">
        <v>77</v>
      </c>
    </row>
    <row r="134" spans="1:96" outlineLevel="1" x14ac:dyDescent="0.2">
      <c r="B134" s="8" t="s">
        <v>64</v>
      </c>
      <c r="D134" s="9"/>
      <c r="E134" s="9"/>
      <c r="F134" s="9"/>
      <c r="G134" s="9"/>
      <c r="H134" s="9"/>
      <c r="I134" s="9"/>
      <c r="J134" s="9"/>
      <c r="L134" s="237">
        <f t="shared" ref="L134:BD134" si="207">+L125*L124+L118</f>
        <v>0</v>
      </c>
      <c r="M134" s="72">
        <f t="shared" si="207"/>
        <v>0</v>
      </c>
      <c r="N134" s="72">
        <f t="shared" si="207"/>
        <v>0</v>
      </c>
      <c r="O134" s="72">
        <f t="shared" si="207"/>
        <v>0</v>
      </c>
      <c r="P134" s="237">
        <f>+P125*P124+P118</f>
        <v>9.7900000000000015E-2</v>
      </c>
      <c r="Q134" s="72">
        <f t="shared" si="207"/>
        <v>9.7900000000000015E-2</v>
      </c>
      <c r="R134" s="72">
        <f>+R125*R124+R118</f>
        <v>9.7900000000000015E-2</v>
      </c>
      <c r="S134" s="72">
        <f t="shared" si="207"/>
        <v>9.7900000000000015E-2</v>
      </c>
      <c r="T134" s="72">
        <f t="shared" si="207"/>
        <v>9.7900000000000015E-2</v>
      </c>
      <c r="U134" s="75">
        <f t="shared" si="207"/>
        <v>7.1499999999999994E-2</v>
      </c>
      <c r="V134" s="207">
        <f t="shared" si="207"/>
        <v>6.9999999999999993E-2</v>
      </c>
      <c r="W134" s="207">
        <f>+W125*W124+W118</f>
        <v>6.9999999999999993E-2</v>
      </c>
      <c r="X134" s="207">
        <f>+X125*X124+X118</f>
        <v>6.9999999999999993E-2</v>
      </c>
      <c r="Y134" s="207">
        <f t="shared" si="207"/>
        <v>6.9999999999999993E-2</v>
      </c>
      <c r="Z134" s="173">
        <f t="shared" si="207"/>
        <v>8.199999999999999E-2</v>
      </c>
      <c r="AA134" s="173">
        <f t="shared" si="207"/>
        <v>8.199999999999999E-2</v>
      </c>
      <c r="AB134" s="173">
        <f t="shared" si="207"/>
        <v>8.199999999999999E-2</v>
      </c>
      <c r="AC134" s="173">
        <f t="shared" si="207"/>
        <v>8.199999999999999E-2</v>
      </c>
      <c r="AD134" s="173">
        <f t="shared" si="207"/>
        <v>8.199999999999999E-2</v>
      </c>
      <c r="AE134" s="173">
        <f t="shared" si="207"/>
        <v>8.199999999999999E-2</v>
      </c>
      <c r="AF134" s="173">
        <f t="shared" si="207"/>
        <v>8.199999999999999E-2</v>
      </c>
      <c r="AG134" s="173">
        <f t="shared" si="207"/>
        <v>8.199999999999999E-2</v>
      </c>
      <c r="AH134" s="173">
        <f t="shared" si="207"/>
        <v>8.199999999999999E-2</v>
      </c>
      <c r="AI134" s="173">
        <f t="shared" si="207"/>
        <v>8.199999999999999E-2</v>
      </c>
      <c r="AJ134" s="173">
        <f t="shared" si="207"/>
        <v>8.199999999999999E-2</v>
      </c>
      <c r="AK134" s="173">
        <f t="shared" si="207"/>
        <v>8.199999999999999E-2</v>
      </c>
      <c r="AL134" s="173">
        <f t="shared" si="207"/>
        <v>8.199999999999999E-2</v>
      </c>
      <c r="AM134" s="173">
        <f t="shared" si="207"/>
        <v>8.199999999999999E-2</v>
      </c>
      <c r="AN134" s="173">
        <f t="shared" si="207"/>
        <v>8.199999999999999E-2</v>
      </c>
      <c r="AO134" s="173">
        <f t="shared" si="207"/>
        <v>8.199999999999999E-2</v>
      </c>
      <c r="AP134" s="173">
        <f t="shared" si="207"/>
        <v>8.199999999999999E-2</v>
      </c>
      <c r="AQ134" s="173">
        <f t="shared" si="207"/>
        <v>8.199999999999999E-2</v>
      </c>
      <c r="AR134" s="173">
        <f t="shared" si="207"/>
        <v>8.199999999999999E-2</v>
      </c>
      <c r="AS134" s="173">
        <f t="shared" si="207"/>
        <v>8.199999999999999E-2</v>
      </c>
      <c r="AT134" s="173">
        <f t="shared" si="207"/>
        <v>8.199999999999999E-2</v>
      </c>
      <c r="AU134" s="173">
        <f t="shared" si="207"/>
        <v>8.199999999999999E-2</v>
      </c>
      <c r="AV134" s="173">
        <f t="shared" si="207"/>
        <v>8.199999999999999E-2</v>
      </c>
      <c r="AW134" s="173">
        <f t="shared" si="207"/>
        <v>8.199999999999999E-2</v>
      </c>
      <c r="AX134" s="173">
        <f t="shared" si="207"/>
        <v>8.199999999999999E-2</v>
      </c>
      <c r="AY134" s="173">
        <f t="shared" si="207"/>
        <v>8.199999999999999E-2</v>
      </c>
      <c r="AZ134" s="173">
        <f t="shared" si="207"/>
        <v>8.199999999999999E-2</v>
      </c>
      <c r="BA134" s="173">
        <f t="shared" si="207"/>
        <v>8.199999999999999E-2</v>
      </c>
      <c r="BB134" s="173">
        <f t="shared" si="207"/>
        <v>8.199999999999999E-2</v>
      </c>
      <c r="BC134" s="173">
        <f t="shared" si="207"/>
        <v>8.199999999999999E-2</v>
      </c>
      <c r="BD134" s="173">
        <f t="shared" si="207"/>
        <v>8.199999999999999E-2</v>
      </c>
      <c r="BE134" s="173">
        <f t="shared" ref="BE134:CP134" si="208">+BE125*BE124+BE118</f>
        <v>8.199999999999999E-2</v>
      </c>
      <c r="BF134" s="173">
        <f t="shared" si="208"/>
        <v>8.199999999999999E-2</v>
      </c>
      <c r="BG134" s="173">
        <f t="shared" si="208"/>
        <v>8.199999999999999E-2</v>
      </c>
      <c r="BH134" s="173">
        <f t="shared" si="208"/>
        <v>8.199999999999999E-2</v>
      </c>
      <c r="BI134" s="173">
        <f t="shared" si="208"/>
        <v>8.199999999999999E-2</v>
      </c>
      <c r="BJ134" s="173">
        <f t="shared" si="208"/>
        <v>8.199999999999999E-2</v>
      </c>
      <c r="BK134" s="173">
        <f t="shared" si="208"/>
        <v>8.199999999999999E-2</v>
      </c>
      <c r="BL134" s="173">
        <f t="shared" si="208"/>
        <v>8.199999999999999E-2</v>
      </c>
      <c r="BM134" s="173">
        <f t="shared" si="208"/>
        <v>8.199999999999999E-2</v>
      </c>
      <c r="BN134" s="173">
        <f t="shared" si="208"/>
        <v>8.199999999999999E-2</v>
      </c>
      <c r="BO134" s="173">
        <f t="shared" si="208"/>
        <v>8.199999999999999E-2</v>
      </c>
      <c r="BP134" s="173">
        <f t="shared" si="208"/>
        <v>8.199999999999999E-2</v>
      </c>
      <c r="BQ134" s="173">
        <f t="shared" si="208"/>
        <v>8.199999999999999E-2</v>
      </c>
      <c r="BR134" s="173">
        <f t="shared" si="208"/>
        <v>8.199999999999999E-2</v>
      </c>
      <c r="BS134" s="173">
        <f t="shared" si="208"/>
        <v>8.199999999999999E-2</v>
      </c>
      <c r="BT134" s="173">
        <f t="shared" si="208"/>
        <v>8.199999999999999E-2</v>
      </c>
      <c r="BU134" s="173">
        <f t="shared" si="208"/>
        <v>8.199999999999999E-2</v>
      </c>
      <c r="BV134" s="173">
        <f t="shared" si="208"/>
        <v>8.199999999999999E-2</v>
      </c>
      <c r="BW134" s="173">
        <f t="shared" si="208"/>
        <v>8.199999999999999E-2</v>
      </c>
      <c r="BX134" s="173">
        <f t="shared" si="208"/>
        <v>8.199999999999999E-2</v>
      </c>
      <c r="BY134" s="173">
        <f t="shared" si="208"/>
        <v>8.199999999999999E-2</v>
      </c>
      <c r="BZ134" s="173">
        <f t="shared" si="208"/>
        <v>8.199999999999999E-2</v>
      </c>
      <c r="CA134" s="173">
        <f t="shared" si="208"/>
        <v>8.199999999999999E-2</v>
      </c>
      <c r="CB134" s="173">
        <f t="shared" si="208"/>
        <v>8.199999999999999E-2</v>
      </c>
      <c r="CC134" s="173">
        <f t="shared" si="208"/>
        <v>8.199999999999999E-2</v>
      </c>
      <c r="CD134" s="173">
        <f t="shared" si="208"/>
        <v>8.199999999999999E-2</v>
      </c>
      <c r="CE134" s="173">
        <f t="shared" si="208"/>
        <v>8.199999999999999E-2</v>
      </c>
      <c r="CF134" s="173">
        <f t="shared" si="208"/>
        <v>8.199999999999999E-2</v>
      </c>
      <c r="CG134" s="173">
        <f t="shared" si="208"/>
        <v>8.199999999999999E-2</v>
      </c>
      <c r="CH134" s="173">
        <f t="shared" si="208"/>
        <v>8.199999999999999E-2</v>
      </c>
      <c r="CI134" s="173">
        <f t="shared" si="208"/>
        <v>8.199999999999999E-2</v>
      </c>
      <c r="CJ134" s="173">
        <f t="shared" si="208"/>
        <v>8.199999999999999E-2</v>
      </c>
      <c r="CK134" s="173">
        <f t="shared" si="208"/>
        <v>8.199999999999999E-2</v>
      </c>
      <c r="CL134" s="173">
        <f t="shared" si="208"/>
        <v>8.199999999999999E-2</v>
      </c>
      <c r="CM134" s="173">
        <f t="shared" si="208"/>
        <v>8.199999999999999E-2</v>
      </c>
      <c r="CN134" s="173">
        <f t="shared" si="208"/>
        <v>8.199999999999999E-2</v>
      </c>
      <c r="CO134" s="173">
        <f t="shared" si="208"/>
        <v>8.199999999999999E-2</v>
      </c>
      <c r="CP134" s="173">
        <f t="shared" si="208"/>
        <v>8.199999999999999E-2</v>
      </c>
      <c r="CQ134" s="23" t="s">
        <v>77</v>
      </c>
    </row>
    <row r="135" spans="1:96" outlineLevel="1" x14ac:dyDescent="0.2">
      <c r="B135" s="8" t="s">
        <v>65</v>
      </c>
      <c r="D135" s="75"/>
      <c r="E135" s="75"/>
      <c r="F135" s="75"/>
      <c r="G135" s="75"/>
      <c r="H135" s="75"/>
      <c r="I135" s="75"/>
      <c r="J135" s="75"/>
      <c r="K135" s="75"/>
      <c r="L135" s="237">
        <f t="shared" ref="L135:BD135" si="209">+(1+L134)/(1+L119)-1</f>
        <v>0</v>
      </c>
      <c r="M135" s="72">
        <f t="shared" si="209"/>
        <v>0</v>
      </c>
      <c r="N135" s="72">
        <f t="shared" si="209"/>
        <v>0</v>
      </c>
      <c r="O135" s="72">
        <f t="shared" si="209"/>
        <v>0</v>
      </c>
      <c r="P135" s="237">
        <f t="shared" si="209"/>
        <v>7.112195121951248E-2</v>
      </c>
      <c r="Q135" s="72">
        <f t="shared" si="209"/>
        <v>7.112195121951248E-2</v>
      </c>
      <c r="R135" s="72">
        <f t="shared" si="209"/>
        <v>7.112195121951248E-2</v>
      </c>
      <c r="S135" s="72">
        <f t="shared" si="209"/>
        <v>7.112195121951248E-2</v>
      </c>
      <c r="T135" s="72">
        <f t="shared" si="209"/>
        <v>7.112195121951248E-2</v>
      </c>
      <c r="U135" s="75">
        <f t="shared" si="209"/>
        <v>4.5365853658536626E-2</v>
      </c>
      <c r="V135" s="207">
        <f>+(1+V134)/(1+V119)-1</f>
        <v>5.4602799132663193E-2</v>
      </c>
      <c r="W135" s="207">
        <f>+(1+W134)/(1+W119)-1</f>
        <v>5.4602799132663193E-2</v>
      </c>
      <c r="X135" s="207">
        <f>+(1+X134)/(1+X119)-1</f>
        <v>5.4602799132663193E-2</v>
      </c>
      <c r="Y135" s="207">
        <f t="shared" si="209"/>
        <v>5.4602799132663193E-2</v>
      </c>
      <c r="Z135" s="173">
        <f t="shared" si="209"/>
        <v>6.6430120244431512E-2</v>
      </c>
      <c r="AA135" s="173">
        <f t="shared" si="209"/>
        <v>6.6430120244431512E-2</v>
      </c>
      <c r="AB135" s="173">
        <f t="shared" si="209"/>
        <v>6.6430120244431512E-2</v>
      </c>
      <c r="AC135" s="173">
        <f t="shared" si="209"/>
        <v>6.6430120244431512E-2</v>
      </c>
      <c r="AD135" s="173">
        <f t="shared" si="209"/>
        <v>6.6430120244431512E-2</v>
      </c>
      <c r="AE135" s="173">
        <f t="shared" si="209"/>
        <v>6.6430120244431512E-2</v>
      </c>
      <c r="AF135" s="173">
        <f t="shared" si="209"/>
        <v>6.6430120244431512E-2</v>
      </c>
      <c r="AG135" s="173">
        <f t="shared" si="209"/>
        <v>6.6430120244431512E-2</v>
      </c>
      <c r="AH135" s="173">
        <f t="shared" si="209"/>
        <v>6.6430120244431512E-2</v>
      </c>
      <c r="AI135" s="173">
        <f t="shared" si="209"/>
        <v>6.6430120244431512E-2</v>
      </c>
      <c r="AJ135" s="173">
        <f t="shared" si="209"/>
        <v>6.6430120244431512E-2</v>
      </c>
      <c r="AK135" s="173">
        <f t="shared" si="209"/>
        <v>6.6430120244431512E-2</v>
      </c>
      <c r="AL135" s="173">
        <f t="shared" si="209"/>
        <v>6.6430120244431512E-2</v>
      </c>
      <c r="AM135" s="173">
        <f t="shared" si="209"/>
        <v>6.6430120244431512E-2</v>
      </c>
      <c r="AN135" s="173">
        <f t="shared" si="209"/>
        <v>6.6430120244431512E-2</v>
      </c>
      <c r="AO135" s="173">
        <f t="shared" si="209"/>
        <v>6.6430120244431512E-2</v>
      </c>
      <c r="AP135" s="173">
        <f t="shared" si="209"/>
        <v>6.6430120244431512E-2</v>
      </c>
      <c r="AQ135" s="173">
        <f t="shared" si="209"/>
        <v>6.6430120244431512E-2</v>
      </c>
      <c r="AR135" s="173">
        <f t="shared" si="209"/>
        <v>6.6430120244431512E-2</v>
      </c>
      <c r="AS135" s="173">
        <f t="shared" si="209"/>
        <v>6.6430120244431512E-2</v>
      </c>
      <c r="AT135" s="173">
        <f t="shared" si="209"/>
        <v>6.6430120244431512E-2</v>
      </c>
      <c r="AU135" s="173">
        <f t="shared" si="209"/>
        <v>6.6430120244431512E-2</v>
      </c>
      <c r="AV135" s="173">
        <f t="shared" si="209"/>
        <v>6.6430120244431512E-2</v>
      </c>
      <c r="AW135" s="173">
        <f t="shared" si="209"/>
        <v>6.6430120244431512E-2</v>
      </c>
      <c r="AX135" s="173">
        <f t="shared" si="209"/>
        <v>6.6430120244431512E-2</v>
      </c>
      <c r="AY135" s="173">
        <f t="shared" si="209"/>
        <v>6.6430120244431512E-2</v>
      </c>
      <c r="AZ135" s="173">
        <f t="shared" si="209"/>
        <v>6.6430120244431512E-2</v>
      </c>
      <c r="BA135" s="173">
        <f t="shared" si="209"/>
        <v>6.6430120244431512E-2</v>
      </c>
      <c r="BB135" s="173">
        <f t="shared" si="209"/>
        <v>6.6430120244431512E-2</v>
      </c>
      <c r="BC135" s="173">
        <f t="shared" si="209"/>
        <v>6.6430120244431512E-2</v>
      </c>
      <c r="BD135" s="173">
        <f t="shared" si="209"/>
        <v>6.6430120244431512E-2</v>
      </c>
      <c r="BE135" s="173">
        <f t="shared" ref="BE135:CP135" si="210">+(1+BE134)/(1+BE119)-1</f>
        <v>6.6430120244431512E-2</v>
      </c>
      <c r="BF135" s="173">
        <f t="shared" si="210"/>
        <v>6.6430120244431512E-2</v>
      </c>
      <c r="BG135" s="173">
        <f t="shared" si="210"/>
        <v>6.6430120244431512E-2</v>
      </c>
      <c r="BH135" s="173">
        <f t="shared" si="210"/>
        <v>6.6430120244431512E-2</v>
      </c>
      <c r="BI135" s="173">
        <f t="shared" si="210"/>
        <v>6.6430120244431512E-2</v>
      </c>
      <c r="BJ135" s="173">
        <f t="shared" si="210"/>
        <v>6.6430120244431512E-2</v>
      </c>
      <c r="BK135" s="173">
        <f t="shared" si="210"/>
        <v>6.6430120244431512E-2</v>
      </c>
      <c r="BL135" s="173">
        <f t="shared" si="210"/>
        <v>6.6430120244431512E-2</v>
      </c>
      <c r="BM135" s="173">
        <f t="shared" si="210"/>
        <v>6.6430120244431512E-2</v>
      </c>
      <c r="BN135" s="173">
        <f t="shared" si="210"/>
        <v>6.6430120244431512E-2</v>
      </c>
      <c r="BO135" s="173">
        <f t="shared" si="210"/>
        <v>6.6430120244431512E-2</v>
      </c>
      <c r="BP135" s="173">
        <f t="shared" si="210"/>
        <v>6.6430120244431512E-2</v>
      </c>
      <c r="BQ135" s="173">
        <f t="shared" si="210"/>
        <v>6.6430120244431512E-2</v>
      </c>
      <c r="BR135" s="173">
        <f t="shared" si="210"/>
        <v>6.6430120244431512E-2</v>
      </c>
      <c r="BS135" s="173">
        <f t="shared" si="210"/>
        <v>6.6430120244431512E-2</v>
      </c>
      <c r="BT135" s="173">
        <f t="shared" si="210"/>
        <v>6.6430120244431512E-2</v>
      </c>
      <c r="BU135" s="173">
        <f t="shared" si="210"/>
        <v>6.6430120244431512E-2</v>
      </c>
      <c r="BV135" s="173">
        <f t="shared" si="210"/>
        <v>6.6430120244431512E-2</v>
      </c>
      <c r="BW135" s="173">
        <f t="shared" si="210"/>
        <v>6.6430120244431512E-2</v>
      </c>
      <c r="BX135" s="173">
        <f t="shared" si="210"/>
        <v>6.6430120244431512E-2</v>
      </c>
      <c r="BY135" s="173">
        <f t="shared" si="210"/>
        <v>6.6430120244431512E-2</v>
      </c>
      <c r="BZ135" s="173">
        <f t="shared" si="210"/>
        <v>6.6430120244431512E-2</v>
      </c>
      <c r="CA135" s="173">
        <f t="shared" si="210"/>
        <v>6.6430120244431512E-2</v>
      </c>
      <c r="CB135" s="173">
        <f t="shared" si="210"/>
        <v>6.6430120244431512E-2</v>
      </c>
      <c r="CC135" s="173">
        <f t="shared" si="210"/>
        <v>6.6430120244431512E-2</v>
      </c>
      <c r="CD135" s="173">
        <f t="shared" si="210"/>
        <v>6.6430120244431512E-2</v>
      </c>
      <c r="CE135" s="173">
        <f t="shared" si="210"/>
        <v>6.6430120244431512E-2</v>
      </c>
      <c r="CF135" s="173">
        <f t="shared" si="210"/>
        <v>6.6430120244431512E-2</v>
      </c>
      <c r="CG135" s="173">
        <f t="shared" si="210"/>
        <v>6.6430120244431512E-2</v>
      </c>
      <c r="CH135" s="173">
        <f t="shared" si="210"/>
        <v>6.6430120244431512E-2</v>
      </c>
      <c r="CI135" s="173">
        <f t="shared" si="210"/>
        <v>6.6430120244431512E-2</v>
      </c>
      <c r="CJ135" s="173">
        <f t="shared" si="210"/>
        <v>6.6430120244431512E-2</v>
      </c>
      <c r="CK135" s="173">
        <f t="shared" si="210"/>
        <v>6.6430120244431512E-2</v>
      </c>
      <c r="CL135" s="173">
        <f t="shared" si="210"/>
        <v>6.6430120244431512E-2</v>
      </c>
      <c r="CM135" s="173">
        <f t="shared" si="210"/>
        <v>6.6430120244431512E-2</v>
      </c>
      <c r="CN135" s="173">
        <f t="shared" si="210"/>
        <v>6.6430120244431512E-2</v>
      </c>
      <c r="CO135" s="173">
        <f t="shared" si="210"/>
        <v>6.6430120244431512E-2</v>
      </c>
      <c r="CP135" s="173">
        <f t="shared" si="210"/>
        <v>6.6430120244431512E-2</v>
      </c>
      <c r="CQ135" s="23" t="s">
        <v>77</v>
      </c>
    </row>
    <row r="136" spans="1:96" outlineLevel="1" x14ac:dyDescent="0.2">
      <c r="A136" s="233"/>
      <c r="B136" s="358" t="s">
        <v>393</v>
      </c>
      <c r="D136" s="66"/>
      <c r="E136" s="66"/>
      <c r="F136" s="66"/>
      <c r="G136" s="66"/>
      <c r="H136" s="66"/>
      <c r="I136" s="66"/>
      <c r="J136" s="66"/>
      <c r="K136" s="66"/>
      <c r="L136" s="238"/>
      <c r="M136" s="66"/>
      <c r="N136" s="66"/>
      <c r="O136" s="66"/>
      <c r="P136" s="238"/>
      <c r="Q136" s="66"/>
      <c r="R136" s="66"/>
      <c r="S136" s="66"/>
      <c r="T136" s="66"/>
      <c r="U136" s="66"/>
      <c r="V136" s="66"/>
      <c r="W136" s="66"/>
      <c r="X136" s="66"/>
      <c r="Y136" s="66"/>
      <c r="Z136" s="66"/>
      <c r="AA136" s="66"/>
      <c r="AB136" s="66"/>
      <c r="AC136" s="66"/>
      <c r="AD136" s="66"/>
      <c r="AE136" s="66"/>
      <c r="AF136" s="66"/>
      <c r="AG136" s="66"/>
      <c r="AH136" s="66"/>
      <c r="AI136" s="66"/>
      <c r="AJ136" s="66"/>
      <c r="AK136" s="66"/>
      <c r="AL136" s="66"/>
      <c r="AM136" s="66"/>
      <c r="AN136" s="66"/>
      <c r="AO136" s="66"/>
      <c r="AP136" s="66"/>
      <c r="AQ136" s="66"/>
      <c r="AR136" s="66"/>
      <c r="AS136" s="66"/>
      <c r="AT136" s="66"/>
      <c r="AU136" s="66"/>
      <c r="AV136" s="66"/>
      <c r="AW136" s="66"/>
      <c r="AX136" s="66"/>
      <c r="AY136" s="66"/>
      <c r="AZ136" s="66"/>
      <c r="BA136" s="66"/>
      <c r="BB136" s="66"/>
      <c r="BC136" s="66"/>
      <c r="BD136" s="66"/>
      <c r="BE136" s="66"/>
      <c r="BF136" s="66"/>
      <c r="BG136" s="66"/>
      <c r="BH136" s="66"/>
      <c r="BI136" s="66"/>
      <c r="BJ136" s="66"/>
      <c r="BK136" s="66"/>
      <c r="BL136" s="66"/>
      <c r="BM136" s="66"/>
      <c r="BN136" s="66"/>
      <c r="BO136" s="66"/>
      <c r="BP136" s="66"/>
      <c r="BQ136" s="66"/>
      <c r="BR136" s="66"/>
      <c r="BS136" s="66"/>
      <c r="BT136" s="66"/>
      <c r="BU136" s="66"/>
      <c r="BV136" s="66"/>
      <c r="BW136" s="66"/>
      <c r="BX136" s="66"/>
      <c r="BY136" s="66"/>
      <c r="BZ136" s="66"/>
      <c r="CA136" s="66"/>
      <c r="CB136" s="66"/>
      <c r="CC136" s="66"/>
      <c r="CD136" s="66"/>
      <c r="CE136" s="66"/>
      <c r="CF136" s="66"/>
      <c r="CG136" s="66"/>
      <c r="CH136" s="66"/>
      <c r="CI136" s="66"/>
      <c r="CJ136" s="66"/>
      <c r="CK136" s="66"/>
      <c r="CL136" s="66"/>
      <c r="CM136" s="66"/>
      <c r="CN136" s="66"/>
      <c r="CO136" s="66"/>
      <c r="CP136" s="66"/>
      <c r="CQ136" s="23" t="s">
        <v>77</v>
      </c>
      <c r="CR136" s="233"/>
    </row>
    <row r="137" spans="1:96" s="12" customFormat="1" outlineLevel="1" x14ac:dyDescent="0.2">
      <c r="A137" s="233"/>
      <c r="B137" s="17" t="s">
        <v>68</v>
      </c>
      <c r="C137" s="127"/>
      <c r="D137" s="35"/>
      <c r="E137" s="35"/>
      <c r="F137" s="35"/>
      <c r="G137" s="35"/>
      <c r="H137" s="35"/>
      <c r="I137" s="35"/>
      <c r="J137" s="35"/>
      <c r="K137" s="35"/>
      <c r="L137" s="126">
        <f t="shared" ref="L137:BD137" si="211">L132*L122+L129*L121</f>
        <v>0</v>
      </c>
      <c r="M137" s="128">
        <f t="shared" si="211"/>
        <v>0</v>
      </c>
      <c r="N137" s="128">
        <f t="shared" si="211"/>
        <v>0</v>
      </c>
      <c r="O137" s="128">
        <f t="shared" si="211"/>
        <v>0</v>
      </c>
      <c r="P137" s="126">
        <f>P132*P122+P129*P121</f>
        <v>9.4027041357370097E-2</v>
      </c>
      <c r="Q137" s="128">
        <f t="shared" si="211"/>
        <v>9.4027041357370097E-2</v>
      </c>
      <c r="R137" s="128">
        <f>R132*R122+R129*R121</f>
        <v>9.4027041357370097E-2</v>
      </c>
      <c r="S137" s="128">
        <f t="shared" si="211"/>
        <v>9.4027041357370097E-2</v>
      </c>
      <c r="T137" s="128">
        <f t="shared" si="211"/>
        <v>9.4027041357370097E-2</v>
      </c>
      <c r="U137" s="38">
        <f t="shared" si="211"/>
        <v>6.0647058823529415E-2</v>
      </c>
      <c r="V137" s="38">
        <f t="shared" si="211"/>
        <v>6.4566341463414625E-2</v>
      </c>
      <c r="W137" s="38">
        <f>W132*W122+W129*W121</f>
        <v>6.4566341463414625E-2</v>
      </c>
      <c r="X137" s="38">
        <f>X132*X122+X129*X121</f>
        <v>6.4566341463414625E-2</v>
      </c>
      <c r="Y137" s="38">
        <f t="shared" si="211"/>
        <v>6.4566341463414625E-2</v>
      </c>
      <c r="Z137" s="38">
        <f t="shared" si="211"/>
        <v>6.9999999999999993E-2</v>
      </c>
      <c r="AA137" s="38">
        <f t="shared" si="211"/>
        <v>6.9999999999999993E-2</v>
      </c>
      <c r="AB137" s="38">
        <f t="shared" si="211"/>
        <v>6.9999999999999993E-2</v>
      </c>
      <c r="AC137" s="38">
        <f t="shared" si="211"/>
        <v>6.9999999999999993E-2</v>
      </c>
      <c r="AD137" s="38">
        <f t="shared" si="211"/>
        <v>6.9999999999999993E-2</v>
      </c>
      <c r="AE137" s="38">
        <f t="shared" si="211"/>
        <v>6.9999999999999993E-2</v>
      </c>
      <c r="AF137" s="38">
        <f t="shared" si="211"/>
        <v>6.9999999999999993E-2</v>
      </c>
      <c r="AG137" s="38">
        <f t="shared" si="211"/>
        <v>6.9999999999999993E-2</v>
      </c>
      <c r="AH137" s="38">
        <f t="shared" si="211"/>
        <v>6.9999999999999993E-2</v>
      </c>
      <c r="AI137" s="38">
        <f t="shared" si="211"/>
        <v>6.9999999999999993E-2</v>
      </c>
      <c r="AJ137" s="38">
        <f t="shared" si="211"/>
        <v>6.9999999999999993E-2</v>
      </c>
      <c r="AK137" s="38">
        <f t="shared" si="211"/>
        <v>6.9999999999999993E-2</v>
      </c>
      <c r="AL137" s="38">
        <f t="shared" si="211"/>
        <v>6.9999999999999993E-2</v>
      </c>
      <c r="AM137" s="38">
        <f t="shared" si="211"/>
        <v>6.9999999999999993E-2</v>
      </c>
      <c r="AN137" s="38">
        <f t="shared" si="211"/>
        <v>6.9999999999999993E-2</v>
      </c>
      <c r="AO137" s="38">
        <f t="shared" si="211"/>
        <v>6.9999999999999993E-2</v>
      </c>
      <c r="AP137" s="38">
        <f t="shared" si="211"/>
        <v>6.9999999999999993E-2</v>
      </c>
      <c r="AQ137" s="38">
        <f t="shared" si="211"/>
        <v>6.9999999999999993E-2</v>
      </c>
      <c r="AR137" s="38">
        <f t="shared" si="211"/>
        <v>6.9999999999999993E-2</v>
      </c>
      <c r="AS137" s="38">
        <f t="shared" si="211"/>
        <v>6.9999999999999993E-2</v>
      </c>
      <c r="AT137" s="38">
        <f t="shared" si="211"/>
        <v>6.9999999999999993E-2</v>
      </c>
      <c r="AU137" s="38">
        <f t="shared" si="211"/>
        <v>6.9999999999999993E-2</v>
      </c>
      <c r="AV137" s="38">
        <f t="shared" si="211"/>
        <v>6.9999999999999993E-2</v>
      </c>
      <c r="AW137" s="38">
        <f t="shared" si="211"/>
        <v>6.9999999999999993E-2</v>
      </c>
      <c r="AX137" s="38">
        <f t="shared" si="211"/>
        <v>6.9999999999999993E-2</v>
      </c>
      <c r="AY137" s="38">
        <f t="shared" si="211"/>
        <v>6.9999999999999993E-2</v>
      </c>
      <c r="AZ137" s="38">
        <f t="shared" si="211"/>
        <v>6.9999999999999993E-2</v>
      </c>
      <c r="BA137" s="38">
        <f t="shared" si="211"/>
        <v>6.9999999999999993E-2</v>
      </c>
      <c r="BB137" s="38">
        <f t="shared" si="211"/>
        <v>6.9999999999999993E-2</v>
      </c>
      <c r="BC137" s="38">
        <f t="shared" si="211"/>
        <v>6.9999999999999993E-2</v>
      </c>
      <c r="BD137" s="38">
        <f t="shared" si="211"/>
        <v>6.9999999999999993E-2</v>
      </c>
      <c r="BE137" s="38">
        <f t="shared" ref="BE137:CP137" si="212">BE132*BE122+BE129*BE121</f>
        <v>6.9999999999999993E-2</v>
      </c>
      <c r="BF137" s="38">
        <f t="shared" si="212"/>
        <v>6.9999999999999993E-2</v>
      </c>
      <c r="BG137" s="38">
        <f t="shared" si="212"/>
        <v>6.9999999999999993E-2</v>
      </c>
      <c r="BH137" s="38">
        <f t="shared" si="212"/>
        <v>6.9999999999999993E-2</v>
      </c>
      <c r="BI137" s="38">
        <f t="shared" si="212"/>
        <v>6.9999999999999993E-2</v>
      </c>
      <c r="BJ137" s="38">
        <f t="shared" si="212"/>
        <v>6.9999999999999993E-2</v>
      </c>
      <c r="BK137" s="38">
        <f t="shared" si="212"/>
        <v>6.9999999999999993E-2</v>
      </c>
      <c r="BL137" s="38">
        <f t="shared" si="212"/>
        <v>6.9999999999999993E-2</v>
      </c>
      <c r="BM137" s="38">
        <f t="shared" si="212"/>
        <v>6.9999999999999993E-2</v>
      </c>
      <c r="BN137" s="38">
        <f t="shared" si="212"/>
        <v>6.9999999999999993E-2</v>
      </c>
      <c r="BO137" s="38">
        <f t="shared" si="212"/>
        <v>6.9999999999999993E-2</v>
      </c>
      <c r="BP137" s="38">
        <f t="shared" si="212"/>
        <v>6.9999999999999993E-2</v>
      </c>
      <c r="BQ137" s="38">
        <f t="shared" si="212"/>
        <v>6.9999999999999993E-2</v>
      </c>
      <c r="BR137" s="38">
        <f t="shared" si="212"/>
        <v>6.9999999999999993E-2</v>
      </c>
      <c r="BS137" s="38">
        <f t="shared" si="212"/>
        <v>6.9999999999999993E-2</v>
      </c>
      <c r="BT137" s="38">
        <f t="shared" si="212"/>
        <v>6.9999999999999993E-2</v>
      </c>
      <c r="BU137" s="38">
        <f t="shared" si="212"/>
        <v>6.9999999999999993E-2</v>
      </c>
      <c r="BV137" s="38">
        <f t="shared" si="212"/>
        <v>6.9999999999999993E-2</v>
      </c>
      <c r="BW137" s="38">
        <f t="shared" si="212"/>
        <v>6.9999999999999993E-2</v>
      </c>
      <c r="BX137" s="38">
        <f t="shared" si="212"/>
        <v>6.9999999999999993E-2</v>
      </c>
      <c r="BY137" s="38">
        <f t="shared" si="212"/>
        <v>6.9999999999999993E-2</v>
      </c>
      <c r="BZ137" s="38">
        <f t="shared" si="212"/>
        <v>6.9999999999999993E-2</v>
      </c>
      <c r="CA137" s="38">
        <f t="shared" si="212"/>
        <v>6.9999999999999993E-2</v>
      </c>
      <c r="CB137" s="38">
        <f t="shared" si="212"/>
        <v>6.9999999999999993E-2</v>
      </c>
      <c r="CC137" s="38">
        <f t="shared" si="212"/>
        <v>6.9999999999999993E-2</v>
      </c>
      <c r="CD137" s="38">
        <f t="shared" si="212"/>
        <v>6.9999999999999993E-2</v>
      </c>
      <c r="CE137" s="38">
        <f t="shared" si="212"/>
        <v>6.9999999999999993E-2</v>
      </c>
      <c r="CF137" s="38">
        <f t="shared" si="212"/>
        <v>6.9999999999999993E-2</v>
      </c>
      <c r="CG137" s="38">
        <f t="shared" si="212"/>
        <v>6.9999999999999993E-2</v>
      </c>
      <c r="CH137" s="38">
        <f t="shared" si="212"/>
        <v>6.9999999999999993E-2</v>
      </c>
      <c r="CI137" s="38">
        <f t="shared" si="212"/>
        <v>6.9999999999999993E-2</v>
      </c>
      <c r="CJ137" s="38">
        <f t="shared" si="212"/>
        <v>6.9999999999999993E-2</v>
      </c>
      <c r="CK137" s="38">
        <f t="shared" si="212"/>
        <v>6.9999999999999993E-2</v>
      </c>
      <c r="CL137" s="38">
        <f t="shared" si="212"/>
        <v>6.9999999999999993E-2</v>
      </c>
      <c r="CM137" s="38">
        <f t="shared" si="212"/>
        <v>6.9999999999999993E-2</v>
      </c>
      <c r="CN137" s="38">
        <f t="shared" si="212"/>
        <v>6.9999999999999993E-2</v>
      </c>
      <c r="CO137" s="38">
        <f t="shared" si="212"/>
        <v>6.9999999999999993E-2</v>
      </c>
      <c r="CP137" s="38">
        <f t="shared" si="212"/>
        <v>6.9999999999999993E-2</v>
      </c>
      <c r="CQ137" s="23" t="s">
        <v>77</v>
      </c>
      <c r="CR137" s="233"/>
    </row>
    <row r="138" spans="1:96" s="24" customFormat="1" outlineLevel="1" x14ac:dyDescent="0.2">
      <c r="A138" s="104"/>
      <c r="B138" s="13" t="s">
        <v>69</v>
      </c>
      <c r="D138" s="236"/>
      <c r="E138" s="236"/>
      <c r="F138" s="236"/>
      <c r="G138" s="236"/>
      <c r="H138" s="236"/>
      <c r="I138" s="236"/>
      <c r="J138" s="236"/>
      <c r="K138" s="236"/>
      <c r="L138" s="237">
        <f t="shared" ref="L138:BD138" si="213">+(1+L137)/(1+L119)-1</f>
        <v>0</v>
      </c>
      <c r="M138" s="206">
        <f t="shared" si="213"/>
        <v>0</v>
      </c>
      <c r="N138" s="206">
        <f t="shared" si="213"/>
        <v>0</v>
      </c>
      <c r="O138" s="206">
        <f t="shared" si="213"/>
        <v>0</v>
      </c>
      <c r="P138" s="237">
        <f t="shared" si="213"/>
        <v>6.7343454982800255E-2</v>
      </c>
      <c r="Q138" s="206">
        <f t="shared" si="213"/>
        <v>6.7343454982800255E-2</v>
      </c>
      <c r="R138" s="206">
        <f t="shared" si="213"/>
        <v>6.7343454982800255E-2</v>
      </c>
      <c r="S138" s="206">
        <f t="shared" si="213"/>
        <v>6.7343454982800255E-2</v>
      </c>
      <c r="T138" s="206">
        <f t="shared" si="213"/>
        <v>6.7343454982800255E-2</v>
      </c>
      <c r="U138" s="207">
        <f t="shared" si="213"/>
        <v>3.4777618364419061E-2</v>
      </c>
      <c r="V138" s="207">
        <f>+(1+V137)/(1+V119)-1</f>
        <v>4.9247330439005088E-2</v>
      </c>
      <c r="W138" s="207">
        <f>+(1+W137)/(1+W119)-1</f>
        <v>4.9247330439005088E-2</v>
      </c>
      <c r="X138" s="207">
        <f>+(1+X137)/(1+X119)-1</f>
        <v>4.9247330439005088E-2</v>
      </c>
      <c r="Y138" s="207">
        <f t="shared" si="213"/>
        <v>4.9247330439005088E-2</v>
      </c>
      <c r="Z138" s="177">
        <f t="shared" si="213"/>
        <v>5.4602799132663193E-2</v>
      </c>
      <c r="AA138" s="177">
        <f t="shared" si="213"/>
        <v>5.4602799132663193E-2</v>
      </c>
      <c r="AB138" s="177">
        <f t="shared" si="213"/>
        <v>5.4602799132663193E-2</v>
      </c>
      <c r="AC138" s="177">
        <f t="shared" si="213"/>
        <v>5.4602799132663193E-2</v>
      </c>
      <c r="AD138" s="177">
        <f t="shared" si="213"/>
        <v>5.4602799132663193E-2</v>
      </c>
      <c r="AE138" s="177">
        <f t="shared" si="213"/>
        <v>5.4602799132663193E-2</v>
      </c>
      <c r="AF138" s="177">
        <f t="shared" si="213"/>
        <v>5.4602799132663193E-2</v>
      </c>
      <c r="AG138" s="177">
        <f t="shared" si="213"/>
        <v>5.4602799132663193E-2</v>
      </c>
      <c r="AH138" s="177">
        <f t="shared" si="213"/>
        <v>5.4602799132663193E-2</v>
      </c>
      <c r="AI138" s="177">
        <f t="shared" si="213"/>
        <v>5.4602799132663193E-2</v>
      </c>
      <c r="AJ138" s="177">
        <f t="shared" si="213"/>
        <v>5.4602799132663193E-2</v>
      </c>
      <c r="AK138" s="177">
        <f t="shared" si="213"/>
        <v>5.4602799132663193E-2</v>
      </c>
      <c r="AL138" s="177">
        <f t="shared" si="213"/>
        <v>5.4602799132663193E-2</v>
      </c>
      <c r="AM138" s="177">
        <f t="shared" si="213"/>
        <v>5.4602799132663193E-2</v>
      </c>
      <c r="AN138" s="177">
        <f t="shared" si="213"/>
        <v>5.4602799132663193E-2</v>
      </c>
      <c r="AO138" s="177">
        <f t="shared" si="213"/>
        <v>5.4602799132663193E-2</v>
      </c>
      <c r="AP138" s="177">
        <f t="shared" si="213"/>
        <v>5.4602799132663193E-2</v>
      </c>
      <c r="AQ138" s="177">
        <f t="shared" si="213"/>
        <v>5.4602799132663193E-2</v>
      </c>
      <c r="AR138" s="177">
        <f t="shared" si="213"/>
        <v>5.4602799132663193E-2</v>
      </c>
      <c r="AS138" s="177">
        <f t="shared" si="213"/>
        <v>5.4602799132663193E-2</v>
      </c>
      <c r="AT138" s="177">
        <f t="shared" si="213"/>
        <v>5.4602799132663193E-2</v>
      </c>
      <c r="AU138" s="177">
        <f t="shared" si="213"/>
        <v>5.4602799132663193E-2</v>
      </c>
      <c r="AV138" s="177">
        <f t="shared" si="213"/>
        <v>5.4602799132663193E-2</v>
      </c>
      <c r="AW138" s="177">
        <f t="shared" si="213"/>
        <v>5.4602799132663193E-2</v>
      </c>
      <c r="AX138" s="177">
        <f t="shared" si="213"/>
        <v>5.4602799132663193E-2</v>
      </c>
      <c r="AY138" s="177">
        <f t="shared" si="213"/>
        <v>5.4602799132663193E-2</v>
      </c>
      <c r="AZ138" s="177">
        <f t="shared" si="213"/>
        <v>5.4602799132663193E-2</v>
      </c>
      <c r="BA138" s="177">
        <f t="shared" si="213"/>
        <v>5.4602799132663193E-2</v>
      </c>
      <c r="BB138" s="177">
        <f t="shared" si="213"/>
        <v>5.4602799132663193E-2</v>
      </c>
      <c r="BC138" s="177">
        <f t="shared" si="213"/>
        <v>5.4602799132663193E-2</v>
      </c>
      <c r="BD138" s="177">
        <f t="shared" si="213"/>
        <v>5.4602799132663193E-2</v>
      </c>
      <c r="BE138" s="177">
        <f t="shared" ref="BE138:CP138" si="214">+(1+BE137)/(1+BE119)-1</f>
        <v>5.4602799132663193E-2</v>
      </c>
      <c r="BF138" s="177">
        <f t="shared" si="214"/>
        <v>5.4602799132663193E-2</v>
      </c>
      <c r="BG138" s="177">
        <f t="shared" si="214"/>
        <v>5.4602799132663193E-2</v>
      </c>
      <c r="BH138" s="177">
        <f t="shared" si="214"/>
        <v>5.4602799132663193E-2</v>
      </c>
      <c r="BI138" s="177">
        <f t="shared" si="214"/>
        <v>5.4602799132663193E-2</v>
      </c>
      <c r="BJ138" s="177">
        <f t="shared" si="214"/>
        <v>5.4602799132663193E-2</v>
      </c>
      <c r="BK138" s="177">
        <f t="shared" si="214"/>
        <v>5.4602799132663193E-2</v>
      </c>
      <c r="BL138" s="177">
        <f t="shared" si="214"/>
        <v>5.4602799132663193E-2</v>
      </c>
      <c r="BM138" s="177">
        <f t="shared" si="214"/>
        <v>5.4602799132663193E-2</v>
      </c>
      <c r="BN138" s="177">
        <f t="shared" si="214"/>
        <v>5.4602799132663193E-2</v>
      </c>
      <c r="BO138" s="177">
        <f t="shared" si="214"/>
        <v>5.4602799132663193E-2</v>
      </c>
      <c r="BP138" s="177">
        <f t="shared" si="214"/>
        <v>5.4602799132663193E-2</v>
      </c>
      <c r="BQ138" s="177">
        <f t="shared" si="214"/>
        <v>5.4602799132663193E-2</v>
      </c>
      <c r="BR138" s="177">
        <f t="shared" si="214"/>
        <v>5.4602799132663193E-2</v>
      </c>
      <c r="BS138" s="177">
        <f t="shared" si="214"/>
        <v>5.4602799132663193E-2</v>
      </c>
      <c r="BT138" s="177">
        <f t="shared" si="214"/>
        <v>5.4602799132663193E-2</v>
      </c>
      <c r="BU138" s="177">
        <f t="shared" si="214"/>
        <v>5.4602799132663193E-2</v>
      </c>
      <c r="BV138" s="177">
        <f t="shared" si="214"/>
        <v>5.4602799132663193E-2</v>
      </c>
      <c r="BW138" s="177">
        <f t="shared" si="214"/>
        <v>5.4602799132663193E-2</v>
      </c>
      <c r="BX138" s="177">
        <f t="shared" si="214"/>
        <v>5.4602799132663193E-2</v>
      </c>
      <c r="BY138" s="177">
        <f t="shared" si="214"/>
        <v>5.4602799132663193E-2</v>
      </c>
      <c r="BZ138" s="177">
        <f t="shared" si="214"/>
        <v>5.4602799132663193E-2</v>
      </c>
      <c r="CA138" s="177">
        <f t="shared" si="214"/>
        <v>5.4602799132663193E-2</v>
      </c>
      <c r="CB138" s="177">
        <f t="shared" si="214"/>
        <v>5.4602799132663193E-2</v>
      </c>
      <c r="CC138" s="177">
        <f t="shared" si="214"/>
        <v>5.4602799132663193E-2</v>
      </c>
      <c r="CD138" s="177">
        <f t="shared" si="214"/>
        <v>5.4602799132663193E-2</v>
      </c>
      <c r="CE138" s="177">
        <f t="shared" si="214"/>
        <v>5.4602799132663193E-2</v>
      </c>
      <c r="CF138" s="177">
        <f t="shared" si="214"/>
        <v>5.4602799132663193E-2</v>
      </c>
      <c r="CG138" s="177">
        <f t="shared" si="214"/>
        <v>5.4602799132663193E-2</v>
      </c>
      <c r="CH138" s="177">
        <f t="shared" si="214"/>
        <v>5.4602799132663193E-2</v>
      </c>
      <c r="CI138" s="177">
        <f t="shared" si="214"/>
        <v>5.4602799132663193E-2</v>
      </c>
      <c r="CJ138" s="177">
        <f t="shared" si="214"/>
        <v>5.4602799132663193E-2</v>
      </c>
      <c r="CK138" s="177">
        <f t="shared" si="214"/>
        <v>5.4602799132663193E-2</v>
      </c>
      <c r="CL138" s="177">
        <f t="shared" si="214"/>
        <v>5.4602799132663193E-2</v>
      </c>
      <c r="CM138" s="177">
        <f t="shared" si="214"/>
        <v>5.4602799132663193E-2</v>
      </c>
      <c r="CN138" s="177">
        <f t="shared" si="214"/>
        <v>5.4602799132663193E-2</v>
      </c>
      <c r="CO138" s="177">
        <f t="shared" si="214"/>
        <v>5.4602799132663193E-2</v>
      </c>
      <c r="CP138" s="177">
        <f t="shared" si="214"/>
        <v>5.4602799132663193E-2</v>
      </c>
      <c r="CQ138" s="23" t="s">
        <v>77</v>
      </c>
      <c r="CR138" s="104"/>
    </row>
    <row r="139" spans="1:96" s="24" customFormat="1" outlineLevel="1" x14ac:dyDescent="0.2">
      <c r="A139" s="104"/>
      <c r="B139" s="13" t="s">
        <v>70</v>
      </c>
      <c r="D139" s="236"/>
      <c r="E139" s="236"/>
      <c r="F139" s="236"/>
      <c r="G139" s="236"/>
      <c r="H139" s="236"/>
      <c r="I139" s="236"/>
      <c r="J139" s="236"/>
      <c r="K139" s="236"/>
      <c r="L139" s="237">
        <f t="shared" ref="L139:BD139" si="215">L129*L121+L134*L122</f>
        <v>0</v>
      </c>
      <c r="M139" s="206">
        <f t="shared" si="215"/>
        <v>0</v>
      </c>
      <c r="N139" s="206">
        <f t="shared" si="215"/>
        <v>0</v>
      </c>
      <c r="O139" s="206">
        <f t="shared" si="215"/>
        <v>0</v>
      </c>
      <c r="P139" s="237">
        <f>P129*P121+P134*P122</f>
        <v>9.1660000000000005E-2</v>
      </c>
      <c r="Q139" s="206">
        <f t="shared" si="215"/>
        <v>9.1660000000000005E-2</v>
      </c>
      <c r="R139" s="206">
        <f>R129*R121+R134*R122</f>
        <v>9.1660000000000005E-2</v>
      </c>
      <c r="S139" s="206">
        <f t="shared" si="215"/>
        <v>9.1660000000000005E-2</v>
      </c>
      <c r="T139" s="206">
        <f t="shared" si="215"/>
        <v>9.1660000000000005E-2</v>
      </c>
      <c r="U139" s="207">
        <f t="shared" si="215"/>
        <v>5.5599999999999997E-2</v>
      </c>
      <c r="V139" s="207">
        <f t="shared" si="215"/>
        <v>5.842E-2</v>
      </c>
      <c r="W139" s="207">
        <f>W129*W121+W134*W122</f>
        <v>5.842E-2</v>
      </c>
      <c r="X139" s="207">
        <f>X129*X121+X134*X122</f>
        <v>5.842E-2</v>
      </c>
      <c r="Y139" s="207">
        <f t="shared" si="215"/>
        <v>5.842E-2</v>
      </c>
      <c r="Z139" s="177">
        <f t="shared" si="215"/>
        <v>6.2799999999999995E-2</v>
      </c>
      <c r="AA139" s="177">
        <f t="shared" si="215"/>
        <v>6.2799999999999995E-2</v>
      </c>
      <c r="AB139" s="177">
        <f t="shared" si="215"/>
        <v>6.2799999999999995E-2</v>
      </c>
      <c r="AC139" s="177">
        <f t="shared" si="215"/>
        <v>6.2799999999999995E-2</v>
      </c>
      <c r="AD139" s="177">
        <f t="shared" si="215"/>
        <v>6.2799999999999995E-2</v>
      </c>
      <c r="AE139" s="177">
        <f t="shared" si="215"/>
        <v>6.2799999999999995E-2</v>
      </c>
      <c r="AF139" s="177">
        <f t="shared" si="215"/>
        <v>6.2799999999999995E-2</v>
      </c>
      <c r="AG139" s="177">
        <f t="shared" si="215"/>
        <v>6.2799999999999995E-2</v>
      </c>
      <c r="AH139" s="177">
        <f t="shared" si="215"/>
        <v>6.2799999999999995E-2</v>
      </c>
      <c r="AI139" s="177">
        <f t="shared" si="215"/>
        <v>6.2799999999999995E-2</v>
      </c>
      <c r="AJ139" s="177">
        <f t="shared" si="215"/>
        <v>6.2799999999999995E-2</v>
      </c>
      <c r="AK139" s="177">
        <f t="shared" si="215"/>
        <v>6.2799999999999995E-2</v>
      </c>
      <c r="AL139" s="177">
        <f t="shared" si="215"/>
        <v>6.2799999999999995E-2</v>
      </c>
      <c r="AM139" s="177">
        <f t="shared" si="215"/>
        <v>6.2799999999999995E-2</v>
      </c>
      <c r="AN139" s="177">
        <f t="shared" si="215"/>
        <v>6.2799999999999995E-2</v>
      </c>
      <c r="AO139" s="177">
        <f t="shared" si="215"/>
        <v>6.2799999999999995E-2</v>
      </c>
      <c r="AP139" s="177">
        <f t="shared" si="215"/>
        <v>6.2799999999999995E-2</v>
      </c>
      <c r="AQ139" s="177">
        <f t="shared" si="215"/>
        <v>6.2799999999999995E-2</v>
      </c>
      <c r="AR139" s="177">
        <f t="shared" si="215"/>
        <v>6.2799999999999995E-2</v>
      </c>
      <c r="AS139" s="177">
        <f t="shared" si="215"/>
        <v>6.2799999999999995E-2</v>
      </c>
      <c r="AT139" s="177">
        <f t="shared" si="215"/>
        <v>6.2799999999999995E-2</v>
      </c>
      <c r="AU139" s="177">
        <f t="shared" si="215"/>
        <v>6.2799999999999995E-2</v>
      </c>
      <c r="AV139" s="177">
        <f t="shared" si="215"/>
        <v>6.2799999999999995E-2</v>
      </c>
      <c r="AW139" s="177">
        <f t="shared" si="215"/>
        <v>6.2799999999999995E-2</v>
      </c>
      <c r="AX139" s="177">
        <f t="shared" si="215"/>
        <v>6.2799999999999995E-2</v>
      </c>
      <c r="AY139" s="177">
        <f t="shared" si="215"/>
        <v>6.2799999999999995E-2</v>
      </c>
      <c r="AZ139" s="177">
        <f t="shared" si="215"/>
        <v>6.2799999999999995E-2</v>
      </c>
      <c r="BA139" s="177">
        <f t="shared" si="215"/>
        <v>6.2799999999999995E-2</v>
      </c>
      <c r="BB139" s="177">
        <f t="shared" si="215"/>
        <v>6.2799999999999995E-2</v>
      </c>
      <c r="BC139" s="177">
        <f t="shared" si="215"/>
        <v>6.2799999999999995E-2</v>
      </c>
      <c r="BD139" s="177">
        <f t="shared" si="215"/>
        <v>6.2799999999999995E-2</v>
      </c>
      <c r="BE139" s="177">
        <f t="shared" ref="BE139:CP139" si="216">BE129*BE121+BE134*BE122</f>
        <v>6.2799999999999995E-2</v>
      </c>
      <c r="BF139" s="177">
        <f t="shared" si="216"/>
        <v>6.2799999999999995E-2</v>
      </c>
      <c r="BG139" s="177">
        <f t="shared" si="216"/>
        <v>6.2799999999999995E-2</v>
      </c>
      <c r="BH139" s="177">
        <f t="shared" si="216"/>
        <v>6.2799999999999995E-2</v>
      </c>
      <c r="BI139" s="177">
        <f t="shared" si="216"/>
        <v>6.2799999999999995E-2</v>
      </c>
      <c r="BJ139" s="177">
        <f t="shared" si="216"/>
        <v>6.2799999999999995E-2</v>
      </c>
      <c r="BK139" s="177">
        <f t="shared" si="216"/>
        <v>6.2799999999999995E-2</v>
      </c>
      <c r="BL139" s="177">
        <f t="shared" si="216"/>
        <v>6.2799999999999995E-2</v>
      </c>
      <c r="BM139" s="177">
        <f t="shared" si="216"/>
        <v>6.2799999999999995E-2</v>
      </c>
      <c r="BN139" s="177">
        <f t="shared" si="216"/>
        <v>6.2799999999999995E-2</v>
      </c>
      <c r="BO139" s="177">
        <f t="shared" si="216"/>
        <v>6.2799999999999995E-2</v>
      </c>
      <c r="BP139" s="177">
        <f t="shared" si="216"/>
        <v>6.2799999999999995E-2</v>
      </c>
      <c r="BQ139" s="177">
        <f t="shared" si="216"/>
        <v>6.2799999999999995E-2</v>
      </c>
      <c r="BR139" s="177">
        <f t="shared" si="216"/>
        <v>6.2799999999999995E-2</v>
      </c>
      <c r="BS139" s="177">
        <f t="shared" si="216"/>
        <v>6.2799999999999995E-2</v>
      </c>
      <c r="BT139" s="177">
        <f t="shared" si="216"/>
        <v>6.2799999999999995E-2</v>
      </c>
      <c r="BU139" s="177">
        <f t="shared" si="216"/>
        <v>6.2799999999999995E-2</v>
      </c>
      <c r="BV139" s="177">
        <f t="shared" si="216"/>
        <v>6.2799999999999995E-2</v>
      </c>
      <c r="BW139" s="177">
        <f t="shared" si="216"/>
        <v>6.2799999999999995E-2</v>
      </c>
      <c r="BX139" s="177">
        <f t="shared" si="216"/>
        <v>6.2799999999999995E-2</v>
      </c>
      <c r="BY139" s="177">
        <f t="shared" si="216"/>
        <v>6.2799999999999995E-2</v>
      </c>
      <c r="BZ139" s="177">
        <f t="shared" si="216"/>
        <v>6.2799999999999995E-2</v>
      </c>
      <c r="CA139" s="177">
        <f t="shared" si="216"/>
        <v>6.2799999999999995E-2</v>
      </c>
      <c r="CB139" s="177">
        <f t="shared" si="216"/>
        <v>6.2799999999999995E-2</v>
      </c>
      <c r="CC139" s="177">
        <f t="shared" si="216"/>
        <v>6.2799999999999995E-2</v>
      </c>
      <c r="CD139" s="177">
        <f t="shared" si="216"/>
        <v>6.2799999999999995E-2</v>
      </c>
      <c r="CE139" s="177">
        <f t="shared" si="216"/>
        <v>6.2799999999999995E-2</v>
      </c>
      <c r="CF139" s="177">
        <f t="shared" si="216"/>
        <v>6.2799999999999995E-2</v>
      </c>
      <c r="CG139" s="177">
        <f t="shared" si="216"/>
        <v>6.2799999999999995E-2</v>
      </c>
      <c r="CH139" s="177">
        <f t="shared" si="216"/>
        <v>6.2799999999999995E-2</v>
      </c>
      <c r="CI139" s="177">
        <f t="shared" si="216"/>
        <v>6.2799999999999995E-2</v>
      </c>
      <c r="CJ139" s="177">
        <f t="shared" si="216"/>
        <v>6.2799999999999995E-2</v>
      </c>
      <c r="CK139" s="177">
        <f t="shared" si="216"/>
        <v>6.2799999999999995E-2</v>
      </c>
      <c r="CL139" s="177">
        <f t="shared" si="216"/>
        <v>6.2799999999999995E-2</v>
      </c>
      <c r="CM139" s="177">
        <f t="shared" si="216"/>
        <v>6.2799999999999995E-2</v>
      </c>
      <c r="CN139" s="177">
        <f t="shared" si="216"/>
        <v>6.2799999999999995E-2</v>
      </c>
      <c r="CO139" s="177">
        <f t="shared" si="216"/>
        <v>6.2799999999999995E-2</v>
      </c>
      <c r="CP139" s="177">
        <f t="shared" si="216"/>
        <v>6.2799999999999995E-2</v>
      </c>
      <c r="CQ139" s="23" t="s">
        <v>77</v>
      </c>
      <c r="CR139" s="104"/>
    </row>
    <row r="140" spans="1:96" outlineLevel="1" x14ac:dyDescent="0.2">
      <c r="A140" s="233"/>
      <c r="B140" s="12" t="s">
        <v>71</v>
      </c>
      <c r="D140" s="9"/>
      <c r="E140" s="9"/>
      <c r="F140" s="9"/>
      <c r="G140" s="9"/>
      <c r="H140" s="9"/>
      <c r="I140" s="9"/>
      <c r="J140" s="9"/>
      <c r="L140" s="82">
        <f t="shared" ref="L140:BD140" si="217">+(1+L139)/(1+L119)-1</f>
        <v>0</v>
      </c>
      <c r="M140" s="72">
        <f t="shared" si="217"/>
        <v>0</v>
      </c>
      <c r="N140" s="72">
        <f t="shared" si="217"/>
        <v>0</v>
      </c>
      <c r="O140" s="72">
        <f t="shared" si="217"/>
        <v>0</v>
      </c>
      <c r="P140" s="82">
        <f t="shared" si="217"/>
        <v>6.503414634146365E-2</v>
      </c>
      <c r="Q140" s="72">
        <f t="shared" si="217"/>
        <v>6.503414634146365E-2</v>
      </c>
      <c r="R140" s="72">
        <f t="shared" si="217"/>
        <v>6.503414634146365E-2</v>
      </c>
      <c r="S140" s="72">
        <f t="shared" si="217"/>
        <v>6.503414634146365E-2</v>
      </c>
      <c r="T140" s="72">
        <f t="shared" si="217"/>
        <v>6.503414634146365E-2</v>
      </c>
      <c r="U140" s="75">
        <f t="shared" si="217"/>
        <v>2.9853658536585614E-2</v>
      </c>
      <c r="V140" s="75">
        <f>+(1+V139)/(1+V119)-1</f>
        <v>4.3189434259806703E-2</v>
      </c>
      <c r="W140" s="75">
        <f>+(1+W139)/(1+W119)-1</f>
        <v>4.3189434259806703E-2</v>
      </c>
      <c r="X140" s="75">
        <f>+(1+X139)/(1+X119)-1</f>
        <v>4.3189434259806703E-2</v>
      </c>
      <c r="Y140" s="75">
        <f t="shared" si="217"/>
        <v>4.3189434259806703E-2</v>
      </c>
      <c r="Z140" s="173">
        <f t="shared" si="217"/>
        <v>4.7506406465602335E-2</v>
      </c>
      <c r="AA140" s="173">
        <f t="shared" si="217"/>
        <v>4.7506406465602335E-2</v>
      </c>
      <c r="AB140" s="173">
        <f t="shared" si="217"/>
        <v>4.7506406465602335E-2</v>
      </c>
      <c r="AC140" s="173">
        <f t="shared" si="217"/>
        <v>4.7506406465602335E-2</v>
      </c>
      <c r="AD140" s="173">
        <f t="shared" si="217"/>
        <v>4.7506406465602335E-2</v>
      </c>
      <c r="AE140" s="173">
        <f t="shared" si="217"/>
        <v>4.7506406465602335E-2</v>
      </c>
      <c r="AF140" s="173">
        <f t="shared" si="217"/>
        <v>4.7506406465602335E-2</v>
      </c>
      <c r="AG140" s="173">
        <f t="shared" si="217"/>
        <v>4.7506406465602335E-2</v>
      </c>
      <c r="AH140" s="173">
        <f t="shared" si="217"/>
        <v>4.7506406465602335E-2</v>
      </c>
      <c r="AI140" s="173">
        <f t="shared" si="217"/>
        <v>4.7506406465602335E-2</v>
      </c>
      <c r="AJ140" s="173">
        <f t="shared" si="217"/>
        <v>4.7506406465602335E-2</v>
      </c>
      <c r="AK140" s="173">
        <f t="shared" si="217"/>
        <v>4.7506406465602335E-2</v>
      </c>
      <c r="AL140" s="173">
        <f t="shared" si="217"/>
        <v>4.7506406465602335E-2</v>
      </c>
      <c r="AM140" s="173">
        <f t="shared" si="217"/>
        <v>4.7506406465602335E-2</v>
      </c>
      <c r="AN140" s="173">
        <f t="shared" si="217"/>
        <v>4.7506406465602335E-2</v>
      </c>
      <c r="AO140" s="173">
        <f t="shared" si="217"/>
        <v>4.7506406465602335E-2</v>
      </c>
      <c r="AP140" s="173">
        <f t="shared" si="217"/>
        <v>4.7506406465602335E-2</v>
      </c>
      <c r="AQ140" s="173">
        <f t="shared" si="217"/>
        <v>4.7506406465602335E-2</v>
      </c>
      <c r="AR140" s="173">
        <f t="shared" si="217"/>
        <v>4.7506406465602335E-2</v>
      </c>
      <c r="AS140" s="173">
        <f t="shared" si="217"/>
        <v>4.7506406465602335E-2</v>
      </c>
      <c r="AT140" s="173">
        <f t="shared" si="217"/>
        <v>4.7506406465602335E-2</v>
      </c>
      <c r="AU140" s="173">
        <f t="shared" si="217"/>
        <v>4.7506406465602335E-2</v>
      </c>
      <c r="AV140" s="173">
        <f t="shared" si="217"/>
        <v>4.7506406465602335E-2</v>
      </c>
      <c r="AW140" s="173">
        <f t="shared" si="217"/>
        <v>4.7506406465602335E-2</v>
      </c>
      <c r="AX140" s="173">
        <f t="shared" si="217"/>
        <v>4.7506406465602335E-2</v>
      </c>
      <c r="AY140" s="173">
        <f t="shared" si="217"/>
        <v>4.7506406465602335E-2</v>
      </c>
      <c r="AZ140" s="173">
        <f t="shared" si="217"/>
        <v>4.7506406465602335E-2</v>
      </c>
      <c r="BA140" s="173">
        <f t="shared" si="217"/>
        <v>4.7506406465602335E-2</v>
      </c>
      <c r="BB140" s="173">
        <f t="shared" si="217"/>
        <v>4.7506406465602335E-2</v>
      </c>
      <c r="BC140" s="173">
        <f t="shared" si="217"/>
        <v>4.7506406465602335E-2</v>
      </c>
      <c r="BD140" s="173">
        <f t="shared" si="217"/>
        <v>4.7506406465602335E-2</v>
      </c>
      <c r="BE140" s="173">
        <f t="shared" ref="BE140:CP140" si="218">+(1+BE139)/(1+BE119)-1</f>
        <v>4.7506406465602335E-2</v>
      </c>
      <c r="BF140" s="173">
        <f t="shared" si="218"/>
        <v>4.7506406465602335E-2</v>
      </c>
      <c r="BG140" s="173">
        <f t="shared" si="218"/>
        <v>4.7506406465602335E-2</v>
      </c>
      <c r="BH140" s="173">
        <f t="shared" si="218"/>
        <v>4.7506406465602335E-2</v>
      </c>
      <c r="BI140" s="173">
        <f t="shared" si="218"/>
        <v>4.7506406465602335E-2</v>
      </c>
      <c r="BJ140" s="173">
        <f t="shared" si="218"/>
        <v>4.7506406465602335E-2</v>
      </c>
      <c r="BK140" s="173">
        <f t="shared" si="218"/>
        <v>4.7506406465602335E-2</v>
      </c>
      <c r="BL140" s="173">
        <f t="shared" si="218"/>
        <v>4.7506406465602335E-2</v>
      </c>
      <c r="BM140" s="173">
        <f t="shared" si="218"/>
        <v>4.7506406465602335E-2</v>
      </c>
      <c r="BN140" s="173">
        <f t="shared" si="218"/>
        <v>4.7506406465602335E-2</v>
      </c>
      <c r="BO140" s="173">
        <f t="shared" si="218"/>
        <v>4.7506406465602335E-2</v>
      </c>
      <c r="BP140" s="173">
        <f t="shared" si="218"/>
        <v>4.7506406465602335E-2</v>
      </c>
      <c r="BQ140" s="173">
        <f t="shared" si="218"/>
        <v>4.7506406465602335E-2</v>
      </c>
      <c r="BR140" s="173">
        <f t="shared" si="218"/>
        <v>4.7506406465602335E-2</v>
      </c>
      <c r="BS140" s="173">
        <f t="shared" si="218"/>
        <v>4.7506406465602335E-2</v>
      </c>
      <c r="BT140" s="173">
        <f t="shared" si="218"/>
        <v>4.7506406465602335E-2</v>
      </c>
      <c r="BU140" s="173">
        <f t="shared" si="218"/>
        <v>4.7506406465602335E-2</v>
      </c>
      <c r="BV140" s="173">
        <f t="shared" si="218"/>
        <v>4.7506406465602335E-2</v>
      </c>
      <c r="BW140" s="173">
        <f t="shared" si="218"/>
        <v>4.7506406465602335E-2</v>
      </c>
      <c r="BX140" s="173">
        <f t="shared" si="218"/>
        <v>4.7506406465602335E-2</v>
      </c>
      <c r="BY140" s="173">
        <f t="shared" si="218"/>
        <v>4.7506406465602335E-2</v>
      </c>
      <c r="BZ140" s="173">
        <f t="shared" si="218"/>
        <v>4.7506406465602335E-2</v>
      </c>
      <c r="CA140" s="173">
        <f t="shared" si="218"/>
        <v>4.7506406465602335E-2</v>
      </c>
      <c r="CB140" s="173">
        <f t="shared" si="218"/>
        <v>4.7506406465602335E-2</v>
      </c>
      <c r="CC140" s="173">
        <f t="shared" si="218"/>
        <v>4.7506406465602335E-2</v>
      </c>
      <c r="CD140" s="173">
        <f t="shared" si="218"/>
        <v>4.7506406465602335E-2</v>
      </c>
      <c r="CE140" s="173">
        <f t="shared" si="218"/>
        <v>4.7506406465602335E-2</v>
      </c>
      <c r="CF140" s="173">
        <f t="shared" si="218"/>
        <v>4.7506406465602335E-2</v>
      </c>
      <c r="CG140" s="173">
        <f t="shared" si="218"/>
        <v>4.7506406465602335E-2</v>
      </c>
      <c r="CH140" s="173">
        <f t="shared" si="218"/>
        <v>4.7506406465602335E-2</v>
      </c>
      <c r="CI140" s="173">
        <f t="shared" si="218"/>
        <v>4.7506406465602335E-2</v>
      </c>
      <c r="CJ140" s="173">
        <f t="shared" si="218"/>
        <v>4.7506406465602335E-2</v>
      </c>
      <c r="CK140" s="173">
        <f t="shared" si="218"/>
        <v>4.7506406465602335E-2</v>
      </c>
      <c r="CL140" s="173">
        <f t="shared" si="218"/>
        <v>4.7506406465602335E-2</v>
      </c>
      <c r="CM140" s="173">
        <f t="shared" si="218"/>
        <v>4.7506406465602335E-2</v>
      </c>
      <c r="CN140" s="173">
        <f t="shared" si="218"/>
        <v>4.7506406465602335E-2</v>
      </c>
      <c r="CO140" s="173">
        <f t="shared" si="218"/>
        <v>4.7506406465602335E-2</v>
      </c>
      <c r="CP140" s="173">
        <f t="shared" si="218"/>
        <v>4.7506406465602335E-2</v>
      </c>
      <c r="CQ140" s="23" t="s">
        <v>77</v>
      </c>
      <c r="CR140" s="233"/>
    </row>
    <row r="141" spans="1:96" outlineLevel="1" x14ac:dyDescent="0.2"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23" t="s">
        <v>77</v>
      </c>
    </row>
    <row r="142" spans="1:96" outlineLevel="1" x14ac:dyDescent="0.2">
      <c r="B142" s="358" t="s">
        <v>79</v>
      </c>
      <c r="D142" s="218"/>
      <c r="E142" s="218"/>
      <c r="F142" s="218"/>
      <c r="G142" s="218"/>
      <c r="H142" s="218"/>
      <c r="I142" s="218"/>
      <c r="J142" s="218"/>
      <c r="K142" s="66"/>
      <c r="L142" s="66"/>
      <c r="M142" s="66"/>
      <c r="N142" s="66"/>
      <c r="O142" s="66"/>
      <c r="P142" s="546"/>
      <c r="Q142" s="66"/>
      <c r="R142" s="66"/>
      <c r="S142" s="66"/>
      <c r="T142" s="66"/>
      <c r="U142" s="66"/>
      <c r="V142" s="66"/>
      <c r="W142" s="66"/>
      <c r="X142" s="66"/>
      <c r="Y142" s="66"/>
      <c r="Z142" s="66"/>
      <c r="AA142" s="66"/>
      <c r="AB142" s="66"/>
      <c r="AC142" s="66"/>
      <c r="AD142" s="66"/>
      <c r="AE142" s="66"/>
      <c r="AF142" s="66"/>
      <c r="AG142" s="66"/>
      <c r="AH142" s="66"/>
      <c r="AI142" s="66"/>
      <c r="AJ142" s="66"/>
      <c r="AK142" s="66"/>
      <c r="AL142" s="66"/>
      <c r="AM142" s="66"/>
      <c r="AN142" s="66"/>
      <c r="AO142" s="66"/>
      <c r="AP142" s="66"/>
      <c r="AQ142" s="66"/>
      <c r="AR142" s="66"/>
      <c r="AS142" s="66"/>
      <c r="AT142" s="66"/>
      <c r="AU142" s="66"/>
      <c r="AV142" s="66"/>
      <c r="AW142" s="66"/>
      <c r="AX142" s="66"/>
      <c r="AY142" s="66"/>
      <c r="AZ142" s="66"/>
      <c r="BA142" s="66"/>
      <c r="BB142" s="66"/>
      <c r="BC142" s="66"/>
      <c r="BD142" s="66"/>
      <c r="BE142" s="66"/>
      <c r="BF142" s="66"/>
      <c r="BG142" s="66"/>
      <c r="BH142" s="66"/>
      <c r="BI142" s="66"/>
      <c r="BJ142" s="66"/>
      <c r="BK142" s="66"/>
      <c r="BL142" s="66"/>
      <c r="BM142" s="66"/>
      <c r="BN142" s="66"/>
      <c r="BO142" s="66"/>
      <c r="BP142" s="66"/>
      <c r="BQ142" s="66"/>
      <c r="BR142" s="66"/>
      <c r="BS142" s="66"/>
      <c r="BT142" s="66"/>
      <c r="BU142" s="66"/>
      <c r="BV142" s="66"/>
      <c r="BW142" s="66"/>
      <c r="BX142" s="66"/>
      <c r="BY142" s="66"/>
      <c r="BZ142" s="66"/>
      <c r="CA142" s="66"/>
      <c r="CB142" s="66"/>
      <c r="CC142" s="66"/>
      <c r="CD142" s="66"/>
      <c r="CE142" s="66"/>
      <c r="CF142" s="66"/>
      <c r="CG142" s="66"/>
      <c r="CH142" s="66"/>
      <c r="CI142" s="66"/>
      <c r="CJ142" s="66"/>
      <c r="CK142" s="66"/>
      <c r="CL142" s="66"/>
      <c r="CM142" s="66"/>
      <c r="CN142" s="66"/>
      <c r="CO142" s="66"/>
      <c r="CP142" s="66"/>
      <c r="CQ142" s="23" t="s">
        <v>77</v>
      </c>
    </row>
    <row r="143" spans="1:96" outlineLevel="1" x14ac:dyDescent="0.2">
      <c r="B143" s="12" t="s">
        <v>483</v>
      </c>
      <c r="D143" s="9"/>
      <c r="E143" s="9"/>
      <c r="F143" s="9"/>
      <c r="G143" s="9"/>
      <c r="H143" s="9"/>
      <c r="I143" s="9"/>
      <c r="J143" s="9"/>
      <c r="Q143" s="9">
        <f>ROUND(+Q137*AVERAGE(Q115,Q110),3)</f>
        <v>41.503999999999998</v>
      </c>
      <c r="R143" s="9">
        <f>ROUND(+R137*AVERAGE(R115,R110),3)</f>
        <v>40.968000000000004</v>
      </c>
      <c r="S143" s="9">
        <f>ROUND(+S137*AVERAGE(S115,S110),3)</f>
        <v>40.112000000000002</v>
      </c>
      <c r="T143" s="9">
        <f>ROUND(+T137*AVERAGE(T115,T110),3)</f>
        <v>39.204999999999998</v>
      </c>
      <c r="U143" s="209">
        <v>22.361999999999998</v>
      </c>
      <c r="V143" s="209">
        <v>22.994</v>
      </c>
      <c r="W143" s="209">
        <v>22.849</v>
      </c>
      <c r="X143" s="209">
        <v>22.567</v>
      </c>
      <c r="Y143" s="209">
        <v>22.263000000000002</v>
      </c>
      <c r="Z143" s="272">
        <f t="shared" ref="Z143:BD143" si="219">ROUND(+Z137*AVERAGE(Z115,Z110),3)</f>
        <v>26.111000000000001</v>
      </c>
      <c r="AA143" s="272">
        <f t="shared" si="219"/>
        <v>25.736999999999998</v>
      </c>
      <c r="AB143" s="272">
        <f t="shared" si="219"/>
        <v>25.369</v>
      </c>
      <c r="AC143" s="272">
        <f t="shared" si="219"/>
        <v>25.004999999999999</v>
      </c>
      <c r="AD143" s="272">
        <f t="shared" si="219"/>
        <v>24.646999999999998</v>
      </c>
      <c r="AE143" s="272">
        <f t="shared" si="219"/>
        <v>24.294</v>
      </c>
      <c r="AF143" s="272">
        <f t="shared" si="219"/>
        <v>23.946000000000002</v>
      </c>
      <c r="AG143" s="272">
        <f t="shared" si="219"/>
        <v>23.603000000000002</v>
      </c>
      <c r="AH143" s="272">
        <f t="shared" si="219"/>
        <v>23.265000000000001</v>
      </c>
      <c r="AI143" s="272">
        <f t="shared" si="219"/>
        <v>22.931999999999999</v>
      </c>
      <c r="AJ143" s="272">
        <f t="shared" si="219"/>
        <v>22.603000000000002</v>
      </c>
      <c r="AK143" s="272">
        <f t="shared" si="219"/>
        <v>22.28</v>
      </c>
      <c r="AL143" s="272">
        <f t="shared" si="219"/>
        <v>21.96</v>
      </c>
      <c r="AM143" s="272">
        <f t="shared" si="219"/>
        <v>21.646000000000001</v>
      </c>
      <c r="AN143" s="272">
        <f t="shared" si="219"/>
        <v>21.335999999999999</v>
      </c>
      <c r="AO143" s="272">
        <f t="shared" si="219"/>
        <v>21.03</v>
      </c>
      <c r="AP143" s="272">
        <f t="shared" si="219"/>
        <v>20.728999999999999</v>
      </c>
      <c r="AQ143" s="272">
        <f t="shared" si="219"/>
        <v>20.431999999999999</v>
      </c>
      <c r="AR143" s="272">
        <f t="shared" si="219"/>
        <v>20.138999999999999</v>
      </c>
      <c r="AS143" s="272">
        <f t="shared" si="219"/>
        <v>19.850999999999999</v>
      </c>
      <c r="AT143" s="272">
        <f t="shared" si="219"/>
        <v>19.567</v>
      </c>
      <c r="AU143" s="272">
        <f t="shared" si="219"/>
        <v>19.286000000000001</v>
      </c>
      <c r="AV143" s="272">
        <f t="shared" si="219"/>
        <v>19.010000000000002</v>
      </c>
      <c r="AW143" s="272">
        <f t="shared" si="219"/>
        <v>18.738</v>
      </c>
      <c r="AX143" s="272">
        <f t="shared" si="219"/>
        <v>18.469000000000001</v>
      </c>
      <c r="AY143" s="272">
        <f t="shared" si="219"/>
        <v>18.204999999999998</v>
      </c>
      <c r="AZ143" s="272">
        <f t="shared" si="219"/>
        <v>17.943999999999999</v>
      </c>
      <c r="BA143" s="272">
        <f t="shared" si="219"/>
        <v>17.687000000000001</v>
      </c>
      <c r="BB143" s="272">
        <f t="shared" si="219"/>
        <v>17.434000000000001</v>
      </c>
      <c r="BC143" s="272">
        <f t="shared" si="219"/>
        <v>17.184000000000001</v>
      </c>
      <c r="BD143" s="272">
        <f t="shared" si="219"/>
        <v>16.937999999999999</v>
      </c>
      <c r="BE143" s="272">
        <f t="shared" ref="BE143:CP143" si="220">ROUND(+BE137*AVERAGE(BE115,BE110),3)</f>
        <v>16.695</v>
      </c>
      <c r="BF143" s="272">
        <f t="shared" si="220"/>
        <v>16.456</v>
      </c>
      <c r="BG143" s="272">
        <f t="shared" si="220"/>
        <v>16.22</v>
      </c>
      <c r="BH143" s="272">
        <f t="shared" si="220"/>
        <v>15.988</v>
      </c>
      <c r="BI143" s="272">
        <f t="shared" si="220"/>
        <v>15.759</v>
      </c>
      <c r="BJ143" s="272">
        <f t="shared" si="220"/>
        <v>15.532999999999999</v>
      </c>
      <c r="BK143" s="272">
        <f t="shared" si="220"/>
        <v>15.311</v>
      </c>
      <c r="BL143" s="272">
        <f t="shared" si="220"/>
        <v>15.090999999999999</v>
      </c>
      <c r="BM143" s="272">
        <f t="shared" si="220"/>
        <v>14.875</v>
      </c>
      <c r="BN143" s="272">
        <f t="shared" si="220"/>
        <v>14.662000000000001</v>
      </c>
      <c r="BO143" s="272">
        <f t="shared" si="220"/>
        <v>14.452</v>
      </c>
      <c r="BP143" s="272">
        <f t="shared" si="220"/>
        <v>14.244999999999999</v>
      </c>
      <c r="BQ143" s="272">
        <f t="shared" si="220"/>
        <v>14.041</v>
      </c>
      <c r="BR143" s="272">
        <f t="shared" si="220"/>
        <v>13.84</v>
      </c>
      <c r="BS143" s="272">
        <f t="shared" si="220"/>
        <v>13.641999999999999</v>
      </c>
      <c r="BT143" s="272">
        <f t="shared" si="220"/>
        <v>13.446</v>
      </c>
      <c r="BU143" s="272">
        <f t="shared" si="220"/>
        <v>13.254</v>
      </c>
      <c r="BV143" s="272">
        <f t="shared" si="220"/>
        <v>13.064</v>
      </c>
      <c r="BW143" s="272">
        <f t="shared" si="220"/>
        <v>12.877000000000001</v>
      </c>
      <c r="BX143" s="272">
        <f t="shared" si="220"/>
        <v>12.692</v>
      </c>
      <c r="BY143" s="272">
        <f t="shared" si="220"/>
        <v>12.51</v>
      </c>
      <c r="BZ143" s="272">
        <f t="shared" si="220"/>
        <v>12.331</v>
      </c>
      <c r="CA143" s="272">
        <f t="shared" si="220"/>
        <v>12.154999999999999</v>
      </c>
      <c r="CB143" s="272">
        <f t="shared" si="220"/>
        <v>11.981</v>
      </c>
      <c r="CC143" s="272">
        <f t="shared" si="220"/>
        <v>11.808999999999999</v>
      </c>
      <c r="CD143" s="272">
        <f t="shared" si="220"/>
        <v>11.64</v>
      </c>
      <c r="CE143" s="272">
        <f t="shared" si="220"/>
        <v>11.473000000000001</v>
      </c>
      <c r="CF143" s="272">
        <f t="shared" si="220"/>
        <v>11.308999999999999</v>
      </c>
      <c r="CG143" s="272">
        <f t="shared" si="220"/>
        <v>11.147</v>
      </c>
      <c r="CH143" s="272">
        <f t="shared" si="220"/>
        <v>10.987</v>
      </c>
      <c r="CI143" s="272">
        <f t="shared" si="220"/>
        <v>10.83</v>
      </c>
      <c r="CJ143" s="272">
        <f t="shared" si="220"/>
        <v>10.675000000000001</v>
      </c>
      <c r="CK143" s="272">
        <f t="shared" si="220"/>
        <v>10.522</v>
      </c>
      <c r="CL143" s="272">
        <f t="shared" si="220"/>
        <v>10.371</v>
      </c>
      <c r="CM143" s="272">
        <f t="shared" si="220"/>
        <v>10.222</v>
      </c>
      <c r="CN143" s="272">
        <f t="shared" si="220"/>
        <v>10.076000000000001</v>
      </c>
      <c r="CO143" s="272">
        <f t="shared" si="220"/>
        <v>9.9320000000000004</v>
      </c>
      <c r="CP143" s="272">
        <f t="shared" si="220"/>
        <v>9.7889999999999997</v>
      </c>
      <c r="CQ143" s="362" t="s">
        <v>77</v>
      </c>
    </row>
    <row r="144" spans="1:96" outlineLevel="1" x14ac:dyDescent="0.2">
      <c r="B144" s="529" t="s">
        <v>552</v>
      </c>
      <c r="D144" s="9"/>
      <c r="E144" s="9"/>
      <c r="F144" s="9"/>
      <c r="G144" s="9"/>
      <c r="H144" s="9"/>
      <c r="I144" s="9"/>
      <c r="J144" s="9"/>
      <c r="U144" s="209"/>
      <c r="V144" s="209"/>
      <c r="W144" s="209"/>
      <c r="X144" s="209"/>
      <c r="Y144" s="209"/>
      <c r="Z144" s="157"/>
      <c r="AA144" s="157"/>
      <c r="AB144" s="157"/>
      <c r="AC144" s="157"/>
      <c r="AD144" s="157"/>
      <c r="AE144" s="157"/>
      <c r="AF144" s="157"/>
      <c r="AG144" s="157"/>
      <c r="AH144" s="157"/>
      <c r="AI144" s="157"/>
      <c r="AJ144" s="157"/>
      <c r="AK144" s="157"/>
      <c r="AL144" s="157"/>
      <c r="AM144" s="157"/>
      <c r="AN144" s="157"/>
      <c r="AO144" s="157"/>
      <c r="AP144" s="157"/>
      <c r="AQ144" s="157"/>
      <c r="AR144" s="157"/>
      <c r="AS144" s="157"/>
      <c r="AT144" s="157"/>
      <c r="AU144" s="157"/>
      <c r="AV144" s="157"/>
      <c r="AW144" s="157"/>
      <c r="AX144" s="157"/>
      <c r="AY144" s="157"/>
      <c r="AZ144" s="157"/>
      <c r="BA144" s="157"/>
      <c r="BB144" s="157"/>
      <c r="BC144" s="157"/>
      <c r="BD144" s="157"/>
      <c r="BE144" s="157"/>
      <c r="BF144" s="157"/>
      <c r="BG144" s="157"/>
      <c r="BH144" s="157"/>
      <c r="BI144" s="157"/>
      <c r="BJ144" s="157"/>
      <c r="BK144" s="157"/>
      <c r="BL144" s="157"/>
      <c r="BM144" s="157"/>
      <c r="BN144" s="157"/>
      <c r="BO144" s="157"/>
      <c r="BP144" s="157"/>
      <c r="BQ144" s="157"/>
      <c r="BR144" s="157"/>
      <c r="BS144" s="157"/>
      <c r="BT144" s="157"/>
      <c r="BU144" s="157"/>
      <c r="BV144" s="157"/>
      <c r="BW144" s="157"/>
      <c r="BX144" s="157"/>
      <c r="BY144" s="157"/>
      <c r="BZ144" s="157"/>
      <c r="CA144" s="157"/>
      <c r="CB144" s="157"/>
      <c r="CC144" s="157"/>
      <c r="CD144" s="157"/>
      <c r="CE144" s="157"/>
      <c r="CF144" s="157"/>
      <c r="CG144" s="157"/>
      <c r="CH144" s="157"/>
      <c r="CI144" s="157"/>
      <c r="CJ144" s="157"/>
      <c r="CK144" s="157"/>
      <c r="CL144" s="157"/>
      <c r="CM144" s="157"/>
      <c r="CN144" s="157"/>
      <c r="CO144" s="157"/>
      <c r="CP144" s="157"/>
      <c r="CQ144" s="23"/>
    </row>
    <row r="145" spans="1:96" outlineLevel="1" x14ac:dyDescent="0.2">
      <c r="B145" s="529" t="s">
        <v>553</v>
      </c>
      <c r="D145" s="9"/>
      <c r="E145" s="9"/>
      <c r="F145" s="9"/>
      <c r="G145" s="9"/>
      <c r="H145" s="9"/>
      <c r="I145" s="9"/>
      <c r="J145" s="9"/>
      <c r="U145" s="209"/>
      <c r="V145" s="209"/>
      <c r="W145" s="209"/>
      <c r="X145" s="209"/>
      <c r="Y145" s="209"/>
      <c r="Z145" s="157"/>
      <c r="AA145" s="157"/>
      <c r="AB145" s="157"/>
      <c r="AC145" s="157"/>
      <c r="AD145" s="157"/>
      <c r="AE145" s="157"/>
      <c r="AF145" s="157"/>
      <c r="AG145" s="157"/>
      <c r="AH145" s="157"/>
      <c r="AI145" s="157"/>
      <c r="AJ145" s="157"/>
      <c r="AK145" s="157"/>
      <c r="AL145" s="157"/>
      <c r="AM145" s="157"/>
      <c r="AN145" s="157"/>
      <c r="AO145" s="157"/>
      <c r="AP145" s="157"/>
      <c r="AQ145" s="157"/>
      <c r="AR145" s="157"/>
      <c r="AS145" s="157"/>
      <c r="AT145" s="157"/>
      <c r="AU145" s="157"/>
      <c r="AV145" s="157"/>
      <c r="AW145" s="157"/>
      <c r="AX145" s="157"/>
      <c r="AY145" s="157"/>
      <c r="AZ145" s="157"/>
      <c r="BA145" s="157"/>
      <c r="BB145" s="157"/>
      <c r="BC145" s="157"/>
      <c r="BD145" s="157"/>
      <c r="BE145" s="157"/>
      <c r="BF145" s="157"/>
      <c r="BG145" s="157"/>
      <c r="BH145" s="157"/>
      <c r="BI145" s="157"/>
      <c r="BJ145" s="157"/>
      <c r="BK145" s="157"/>
      <c r="BL145" s="157"/>
      <c r="BM145" s="157"/>
      <c r="BN145" s="157"/>
      <c r="BO145" s="157"/>
      <c r="BP145" s="157"/>
      <c r="BQ145" s="157"/>
      <c r="BR145" s="157"/>
      <c r="BS145" s="157"/>
      <c r="BT145" s="157"/>
      <c r="BU145" s="157"/>
      <c r="BV145" s="157"/>
      <c r="BW145" s="157"/>
      <c r="BX145" s="157"/>
      <c r="BY145" s="157"/>
      <c r="BZ145" s="157"/>
      <c r="CA145" s="157"/>
      <c r="CB145" s="157"/>
      <c r="CC145" s="157"/>
      <c r="CD145" s="157"/>
      <c r="CE145" s="157"/>
      <c r="CF145" s="157"/>
      <c r="CG145" s="157"/>
      <c r="CH145" s="157"/>
      <c r="CI145" s="157"/>
      <c r="CJ145" s="157"/>
      <c r="CK145" s="157"/>
      <c r="CL145" s="157"/>
      <c r="CM145" s="157"/>
      <c r="CN145" s="157"/>
      <c r="CO145" s="157"/>
      <c r="CP145" s="157"/>
      <c r="CQ145" s="23"/>
    </row>
    <row r="146" spans="1:96" outlineLevel="1" x14ac:dyDescent="0.2">
      <c r="B146" s="8" t="s">
        <v>14</v>
      </c>
      <c r="D146" s="9"/>
      <c r="E146" s="9"/>
      <c r="F146" s="9"/>
      <c r="G146" s="9"/>
      <c r="H146" s="9"/>
      <c r="I146" s="9"/>
      <c r="J146" s="9"/>
      <c r="Q146" s="9">
        <v>11.3</v>
      </c>
      <c r="R146" s="9">
        <v>11.9</v>
      </c>
      <c r="S146" s="208">
        <v>12.2</v>
      </c>
      <c r="T146" s="208">
        <v>12.3</v>
      </c>
      <c r="U146" s="300">
        <f>7.084-5.699</f>
        <v>1.3849999999999998</v>
      </c>
      <c r="V146" s="300">
        <f>-V113-V112</f>
        <v>5.3619999999999992</v>
      </c>
      <c r="W146" s="300">
        <f t="shared" ref="W146:BD146" si="221">-W113-W112</f>
        <v>5.5890000000000004</v>
      </c>
      <c r="X146" s="300">
        <f t="shared" si="221"/>
        <v>5.8079999999999998</v>
      </c>
      <c r="Y146" s="300">
        <f>-Y113-Y112</f>
        <v>5.9210000000000003</v>
      </c>
      <c r="Z146" s="272">
        <f>-Z113-Z112</f>
        <v>5.8360907238940021</v>
      </c>
      <c r="AA146" s="272">
        <f t="shared" si="221"/>
        <v>5.7524944073166724</v>
      </c>
      <c r="AB146" s="272">
        <f t="shared" si="221"/>
        <v>5.6700955265702628</v>
      </c>
      <c r="AC146" s="272">
        <f t="shared" si="221"/>
        <v>5.5888769295525318</v>
      </c>
      <c r="AD146" s="272">
        <f t="shared" si="221"/>
        <v>5.5088217098483945</v>
      </c>
      <c r="AE146" s="272">
        <f t="shared" si="221"/>
        <v>5.4299132032107043</v>
      </c>
      <c r="AF146" s="272">
        <f t="shared" si="221"/>
        <v>5.3521349840914239</v>
      </c>
      <c r="AG146" s="272">
        <f t="shared" si="221"/>
        <v>5.2754708622224999</v>
      </c>
      <c r="AH146" s="272">
        <f t="shared" si="221"/>
        <v>5.1999048792457003</v>
      </c>
      <c r="AI146" s="272">
        <f t="shared" si="221"/>
        <v>5.1254213053907378</v>
      </c>
      <c r="AJ146" s="272">
        <f t="shared" si="221"/>
        <v>5.0520046362009641</v>
      </c>
      <c r="AK146" s="272">
        <f t="shared" si="221"/>
        <v>4.9796395893059762</v>
      </c>
      <c r="AL146" s="272">
        <f t="shared" si="221"/>
        <v>4.9083111012404457</v>
      </c>
      <c r="AM146" s="272">
        <f t="shared" si="221"/>
        <v>4.8380043243085167</v>
      </c>
      <c r="AN146" s="272">
        <f t="shared" si="221"/>
        <v>4.7687046234931172</v>
      </c>
      <c r="AO146" s="272">
        <f t="shared" si="221"/>
        <v>4.7003975734095444</v>
      </c>
      <c r="AP146" s="272">
        <f t="shared" si="221"/>
        <v>4.6330689553026829</v>
      </c>
      <c r="AQ146" s="272">
        <f t="shared" si="221"/>
        <v>4.5667047540872394</v>
      </c>
      <c r="AR146" s="272">
        <f t="shared" si="221"/>
        <v>4.5012911554303727</v>
      </c>
      <c r="AS146" s="272">
        <f t="shared" si="221"/>
        <v>4.4368145428761006</v>
      </c>
      <c r="AT146" s="272">
        <f t="shared" si="221"/>
        <v>4.3732614950109188</v>
      </c>
      <c r="AU146" s="272">
        <f t="shared" si="221"/>
        <v>4.3106187826700024</v>
      </c>
      <c r="AV146" s="272">
        <f t="shared" si="221"/>
        <v>4.2488733661834281</v>
      </c>
      <c r="AW146" s="272">
        <f t="shared" si="221"/>
        <v>4.1880123926618484</v>
      </c>
      <c r="AX146" s="272">
        <f t="shared" si="221"/>
        <v>4.1280231933210363</v>
      </c>
      <c r="AY146" s="272">
        <f t="shared" si="221"/>
        <v>4.0688932808447653</v>
      </c>
      <c r="AZ146" s="272">
        <f t="shared" si="221"/>
        <v>4.0106103467854552</v>
      </c>
      <c r="BA146" s="272">
        <f t="shared" si="221"/>
        <v>3.9531622590020477</v>
      </c>
      <c r="BB146" s="272">
        <f t="shared" si="221"/>
        <v>3.8965370591345954</v>
      </c>
      <c r="BC146" s="272">
        <f t="shared" si="221"/>
        <v>3.8407229601150079</v>
      </c>
      <c r="BD146" s="272">
        <f t="shared" si="221"/>
        <v>3.7857083437134715</v>
      </c>
      <c r="BE146" s="272">
        <f t="shared" ref="BE146:CP146" si="222">-BE113-BE112</f>
        <v>3.7314817581199988</v>
      </c>
      <c r="BF146" s="272">
        <f t="shared" si="222"/>
        <v>3.6780319155606298</v>
      </c>
      <c r="BG146" s="272">
        <f t="shared" si="222"/>
        <v>3.6253476899477732</v>
      </c>
      <c r="BH146" s="272">
        <f t="shared" si="222"/>
        <v>3.5734181145642103</v>
      </c>
      <c r="BI146" s="272">
        <f t="shared" si="222"/>
        <v>3.5222323797802662</v>
      </c>
      <c r="BJ146" s="272">
        <f t="shared" si="222"/>
        <v>3.4717798308036847</v>
      </c>
      <c r="BK146" s="272">
        <f t="shared" si="222"/>
        <v>3.422049965461734</v>
      </c>
      <c r="BL146" s="272">
        <f t="shared" si="222"/>
        <v>3.3730324320150804</v>
      </c>
      <c r="BM146" s="272">
        <f t="shared" si="222"/>
        <v>3.3247170270029742</v>
      </c>
      <c r="BN146" s="272">
        <f t="shared" si="222"/>
        <v>3.2770936931193066</v>
      </c>
      <c r="BO146" s="272">
        <f t="shared" si="222"/>
        <v>3.2301525171190848</v>
      </c>
      <c r="BP146" s="272">
        <f t="shared" si="222"/>
        <v>3.1838837277548961</v>
      </c>
      <c r="BQ146" s="272">
        <f t="shared" si="222"/>
        <v>3.1382776937429342</v>
      </c>
      <c r="BR146" s="272">
        <f t="shared" si="222"/>
        <v>3.0933249217581524</v>
      </c>
      <c r="BS146" s="272">
        <f t="shared" si="222"/>
        <v>3.0490160544581428</v>
      </c>
      <c r="BT146" s="272">
        <f t="shared" si="222"/>
        <v>3.0053418685353144</v>
      </c>
      <c r="BU146" s="272">
        <f t="shared" si="222"/>
        <v>2.962293272796976</v>
      </c>
      <c r="BV146" s="272">
        <f t="shared" si="222"/>
        <v>2.9198613062729182</v>
      </c>
      <c r="BW146" s="272">
        <f t="shared" si="222"/>
        <v>2.8780371363501063</v>
      </c>
      <c r="BX146" s="272">
        <f t="shared" si="222"/>
        <v>2.836812056934086</v>
      </c>
      <c r="BY146" s="272">
        <f t="shared" si="222"/>
        <v>2.7961774866367244</v>
      </c>
      <c r="BZ146" s="272">
        <f t="shared" si="222"/>
        <v>2.7561249669899222</v>
      </c>
      <c r="CA146" s="272">
        <f t="shared" si="222"/>
        <v>2.7166461606848955</v>
      </c>
      <c r="CB146" s="272">
        <f t="shared" si="222"/>
        <v>2.6777328498366924</v>
      </c>
      <c r="CC146" s="272">
        <f t="shared" si="222"/>
        <v>2.6393769342735585</v>
      </c>
      <c r="CD146" s="272">
        <f t="shared" si="222"/>
        <v>2.6015704298508147</v>
      </c>
      <c r="CE146" s="272">
        <f t="shared" si="222"/>
        <v>2.5643054667888769</v>
      </c>
      <c r="CF146" s="272">
        <f t="shared" si="222"/>
        <v>2.5275742880350918</v>
      </c>
      <c r="CG146" s="272">
        <f t="shared" si="222"/>
        <v>2.4913692476490303</v>
      </c>
      <c r="CH146" s="272">
        <f t="shared" si="222"/>
        <v>2.4556828092109169</v>
      </c>
      <c r="CI146" s="272">
        <f t="shared" si="222"/>
        <v>2.4205075442528483</v>
      </c>
      <c r="CJ146" s="272">
        <f t="shared" si="222"/>
        <v>2.3858361307124905</v>
      </c>
      <c r="CK146" s="272">
        <f t="shared" si="222"/>
        <v>2.3516613514089233</v>
      </c>
      <c r="CL146" s="272">
        <f t="shared" si="222"/>
        <v>2.3179760925403148</v>
      </c>
      <c r="CM146" s="272">
        <f t="shared" si="222"/>
        <v>2.2847733422031173</v>
      </c>
      <c r="CN146" s="272">
        <f t="shared" si="222"/>
        <v>2.252046188932475</v>
      </c>
      <c r="CO146" s="272">
        <f t="shared" si="222"/>
        <v>2.2197878202635328</v>
      </c>
      <c r="CP146" s="272">
        <f t="shared" si="222"/>
        <v>2.1879915213133625</v>
      </c>
      <c r="CQ146" s="362" t="s">
        <v>77</v>
      </c>
    </row>
    <row r="147" spans="1:96" outlineLevel="1" x14ac:dyDescent="0.2">
      <c r="B147" s="8" t="s">
        <v>326</v>
      </c>
      <c r="D147" s="9"/>
      <c r="E147" s="9"/>
      <c r="F147" s="9"/>
      <c r="G147" s="9"/>
      <c r="H147" s="9"/>
      <c r="I147" s="9"/>
      <c r="J147" s="9"/>
      <c r="Q147" s="9">
        <v>26.1</v>
      </c>
      <c r="R147" s="9">
        <v>27</v>
      </c>
      <c r="S147" s="208">
        <v>28.9</v>
      </c>
      <c r="T147" s="208">
        <v>30.8</v>
      </c>
      <c r="U147" s="209">
        <v>19.210999999999999</v>
      </c>
      <c r="V147" s="209">
        <v>19.695</v>
      </c>
      <c r="W147" s="209">
        <v>20.135000000000002</v>
      </c>
      <c r="X147" s="209">
        <v>20.21</v>
      </c>
      <c r="Y147" s="209">
        <v>20.728000000000002</v>
      </c>
      <c r="Z147" s="272">
        <f t="shared" ref="Z147:BD147" si="223">+Y147*(1+Z119)</f>
        <v>21.030628799999999</v>
      </c>
      <c r="AA147" s="272">
        <f t="shared" si="223"/>
        <v>21.337675980479997</v>
      </c>
      <c r="AB147" s="272">
        <f t="shared" si="223"/>
        <v>21.649206049795005</v>
      </c>
      <c r="AC147" s="272">
        <f t="shared" si="223"/>
        <v>21.96528445812201</v>
      </c>
      <c r="AD147" s="272">
        <f t="shared" si="223"/>
        <v>22.285977611210591</v>
      </c>
      <c r="AE147" s="272">
        <f t="shared" si="223"/>
        <v>22.611352884334263</v>
      </c>
      <c r="AF147" s="272">
        <f t="shared" si="223"/>
        <v>22.941478636445542</v>
      </c>
      <c r="AG147" s="272">
        <f t="shared" si="223"/>
        <v>23.276424224537646</v>
      </c>
      <c r="AH147" s="272">
        <f t="shared" si="223"/>
        <v>23.616260018215893</v>
      </c>
      <c r="AI147" s="272">
        <f t="shared" si="223"/>
        <v>23.961057414481843</v>
      </c>
      <c r="AJ147" s="272">
        <f t="shared" si="223"/>
        <v>24.310888852733278</v>
      </c>
      <c r="AK147" s="272">
        <f t="shared" si="223"/>
        <v>24.665827829983183</v>
      </c>
      <c r="AL147" s="272">
        <f t="shared" si="223"/>
        <v>25.025948916300937</v>
      </c>
      <c r="AM147" s="272">
        <f t="shared" si="223"/>
        <v>25.391327770478931</v>
      </c>
      <c r="AN147" s="272">
        <f t="shared" si="223"/>
        <v>25.762041155927921</v>
      </c>
      <c r="AO147" s="272">
        <f t="shared" si="223"/>
        <v>26.138166956804469</v>
      </c>
      <c r="AP147" s="272">
        <f t="shared" si="223"/>
        <v>26.519784194373813</v>
      </c>
      <c r="AQ147" s="272">
        <f t="shared" si="223"/>
        <v>26.906973043611668</v>
      </c>
      <c r="AR147" s="272">
        <f t="shared" si="223"/>
        <v>27.299814850048396</v>
      </c>
      <c r="AS147" s="272">
        <f t="shared" si="223"/>
        <v>27.698392146859099</v>
      </c>
      <c r="AT147" s="272">
        <f t="shared" si="223"/>
        <v>28.102788672203239</v>
      </c>
      <c r="AU147" s="272">
        <f t="shared" si="223"/>
        <v>28.513089386817406</v>
      </c>
      <c r="AV147" s="272">
        <f t="shared" si="223"/>
        <v>28.929380491864936</v>
      </c>
      <c r="AW147" s="272">
        <f t="shared" si="223"/>
        <v>29.351749447046164</v>
      </c>
      <c r="AX147" s="272">
        <f t="shared" si="223"/>
        <v>29.780284988973037</v>
      </c>
      <c r="AY147" s="272">
        <f t="shared" si="223"/>
        <v>30.215077149812043</v>
      </c>
      <c r="AZ147" s="272">
        <f t="shared" si="223"/>
        <v>30.656217276199296</v>
      </c>
      <c r="BA147" s="272">
        <f t="shared" si="223"/>
        <v>31.103798048431806</v>
      </c>
      <c r="BB147" s="272">
        <f t="shared" si="223"/>
        <v>31.557913499938909</v>
      </c>
      <c r="BC147" s="272">
        <f t="shared" si="223"/>
        <v>32.018659037038013</v>
      </c>
      <c r="BD147" s="272">
        <f t="shared" si="223"/>
        <v>32.486131458978768</v>
      </c>
      <c r="BE147" s="272">
        <f t="shared" ref="BE147:CP147" si="224">+BD147*(1+BE119)</f>
        <v>32.960428978279857</v>
      </c>
      <c r="BF147" s="272">
        <f t="shared" si="224"/>
        <v>33.441651241362742</v>
      </c>
      <c r="BG147" s="272">
        <f t="shared" si="224"/>
        <v>33.929899349486632</v>
      </c>
      <c r="BH147" s="272">
        <f t="shared" si="224"/>
        <v>34.425275879989137</v>
      </c>
      <c r="BI147" s="272">
        <f t="shared" si="224"/>
        <v>34.927884907836976</v>
      </c>
      <c r="BJ147" s="272">
        <f t="shared" si="224"/>
        <v>35.437832027491396</v>
      </c>
      <c r="BK147" s="272">
        <f t="shared" si="224"/>
        <v>35.955224375092769</v>
      </c>
      <c r="BL147" s="272">
        <f t="shared" si="224"/>
        <v>36.480170650969121</v>
      </c>
      <c r="BM147" s="272">
        <f t="shared" si="224"/>
        <v>37.012781142473266</v>
      </c>
      <c r="BN147" s="272">
        <f t="shared" si="224"/>
        <v>37.553167747153374</v>
      </c>
      <c r="BO147" s="272">
        <f t="shared" si="224"/>
        <v>38.101443996261814</v>
      </c>
      <c r="BP147" s="272">
        <f t="shared" si="224"/>
        <v>38.657725078607236</v>
      </c>
      <c r="BQ147" s="272">
        <f t="shared" si="224"/>
        <v>39.222127864754896</v>
      </c>
      <c r="BR147" s="272">
        <f t="shared" si="224"/>
        <v>39.794770931580317</v>
      </c>
      <c r="BS147" s="272">
        <f t="shared" si="224"/>
        <v>40.37577458718139</v>
      </c>
      <c r="BT147" s="272">
        <f t="shared" si="224"/>
        <v>40.965260896154234</v>
      </c>
      <c r="BU147" s="272">
        <f t="shared" si="224"/>
        <v>41.563353705238086</v>
      </c>
      <c r="BV147" s="272">
        <f t="shared" si="224"/>
        <v>42.170178669334561</v>
      </c>
      <c r="BW147" s="272">
        <f t="shared" si="224"/>
        <v>42.785863277906842</v>
      </c>
      <c r="BX147" s="272">
        <f t="shared" si="224"/>
        <v>43.41053688176428</v>
      </c>
      <c r="BY147" s="272">
        <f t="shared" si="224"/>
        <v>44.044330720238037</v>
      </c>
      <c r="BZ147" s="272">
        <f t="shared" si="224"/>
        <v>44.687377948753507</v>
      </c>
      <c r="CA147" s="272">
        <f t="shared" si="224"/>
        <v>45.339813666805306</v>
      </c>
      <c r="CB147" s="272">
        <f t="shared" si="224"/>
        <v>46.00177494634066</v>
      </c>
      <c r="CC147" s="272">
        <f t="shared" si="224"/>
        <v>46.67340086055723</v>
      </c>
      <c r="CD147" s="272">
        <f t="shared" si="224"/>
        <v>47.354832513121366</v>
      </c>
      <c r="CE147" s="272">
        <f t="shared" si="224"/>
        <v>48.046213067812936</v>
      </c>
      <c r="CF147" s="272">
        <f t="shared" si="224"/>
        <v>48.747687778603002</v>
      </c>
      <c r="CG147" s="272">
        <f t="shared" si="224"/>
        <v>49.459404020170602</v>
      </c>
      <c r="CH147" s="272">
        <f t="shared" si="224"/>
        <v>50.181511318865091</v>
      </c>
      <c r="CI147" s="272">
        <f t="shared" si="224"/>
        <v>50.914161384120519</v>
      </c>
      <c r="CJ147" s="272">
        <f t="shared" si="224"/>
        <v>51.657508140328673</v>
      </c>
      <c r="CK147" s="272">
        <f t="shared" si="224"/>
        <v>52.411707759177467</v>
      </c>
      <c r="CL147" s="272">
        <f t="shared" si="224"/>
        <v>53.176918692461456</v>
      </c>
      <c r="CM147" s="272">
        <f t="shared" si="224"/>
        <v>53.953301705371388</v>
      </c>
      <c r="CN147" s="272">
        <f t="shared" si="224"/>
        <v>54.741019910269806</v>
      </c>
      <c r="CO147" s="272">
        <f t="shared" si="224"/>
        <v>55.540238800959742</v>
      </c>
      <c r="CP147" s="272">
        <f t="shared" si="224"/>
        <v>56.351126287453752</v>
      </c>
      <c r="CQ147" s="362" t="s">
        <v>77</v>
      </c>
    </row>
    <row r="148" spans="1:96" outlineLevel="1" x14ac:dyDescent="0.2">
      <c r="B148" s="8" t="s">
        <v>394</v>
      </c>
      <c r="D148" s="9"/>
      <c r="E148" s="9"/>
      <c r="F148" s="9"/>
      <c r="G148" s="9"/>
      <c r="H148" s="9"/>
      <c r="I148" s="9"/>
      <c r="J148" s="9"/>
      <c r="Q148" s="9">
        <f>0.6+45.8-46.261</f>
        <v>0.13899999999999579</v>
      </c>
      <c r="R148" s="9">
        <f>0.6+45.5-45.663</f>
        <v>0.43700000000000472</v>
      </c>
      <c r="S148" s="208">
        <f>0.5+44.7-44.71-0.1</f>
        <v>0.39000000000000201</v>
      </c>
      <c r="T148" s="208">
        <f>0.5+43.7-43.698</f>
        <v>0.50200000000000244</v>
      </c>
      <c r="U148" s="209">
        <f>5.385-2.154</f>
        <v>3.2309999999999999</v>
      </c>
      <c r="V148" s="209">
        <f>1.273-0.509</f>
        <v>0.7639999999999999</v>
      </c>
      <c r="W148" s="209">
        <v>0</v>
      </c>
      <c r="X148" s="209">
        <v>0</v>
      </c>
      <c r="Y148" s="209">
        <v>0</v>
      </c>
      <c r="Z148" s="157">
        <v>0</v>
      </c>
      <c r="AA148" s="157">
        <v>0</v>
      </c>
      <c r="AB148" s="157">
        <v>0</v>
      </c>
      <c r="AC148" s="157">
        <v>0</v>
      </c>
      <c r="AD148" s="157">
        <v>0</v>
      </c>
      <c r="AE148" s="157">
        <v>0</v>
      </c>
      <c r="AF148" s="157">
        <v>0</v>
      </c>
      <c r="AG148" s="157">
        <v>0</v>
      </c>
      <c r="AH148" s="157">
        <v>0</v>
      </c>
      <c r="AI148" s="157">
        <v>0</v>
      </c>
      <c r="AJ148" s="157">
        <v>0</v>
      </c>
      <c r="AK148" s="157">
        <v>0</v>
      </c>
      <c r="AL148" s="157">
        <v>0</v>
      </c>
      <c r="AM148" s="157">
        <v>0</v>
      </c>
      <c r="AN148" s="157">
        <v>0</v>
      </c>
      <c r="AO148" s="157">
        <v>0</v>
      </c>
      <c r="AP148" s="157">
        <v>0</v>
      </c>
      <c r="AQ148" s="157">
        <v>0</v>
      </c>
      <c r="AR148" s="157">
        <v>0</v>
      </c>
      <c r="AS148" s="157">
        <v>0</v>
      </c>
      <c r="AT148" s="157">
        <v>0</v>
      </c>
      <c r="AU148" s="157">
        <v>0</v>
      </c>
      <c r="AV148" s="157">
        <v>0</v>
      </c>
      <c r="AW148" s="157">
        <v>0</v>
      </c>
      <c r="AX148" s="157">
        <v>0</v>
      </c>
      <c r="AY148" s="157">
        <v>0</v>
      </c>
      <c r="AZ148" s="157">
        <v>0</v>
      </c>
      <c r="BA148" s="157">
        <v>0</v>
      </c>
      <c r="BB148" s="157">
        <v>0</v>
      </c>
      <c r="BC148" s="157">
        <v>0</v>
      </c>
      <c r="BD148" s="157">
        <v>0</v>
      </c>
      <c r="BE148" s="157">
        <v>0</v>
      </c>
      <c r="BF148" s="157">
        <v>0</v>
      </c>
      <c r="BG148" s="157">
        <v>0</v>
      </c>
      <c r="BH148" s="157">
        <v>0</v>
      </c>
      <c r="BI148" s="157">
        <v>0</v>
      </c>
      <c r="BJ148" s="157">
        <v>0</v>
      </c>
      <c r="BK148" s="157">
        <v>0</v>
      </c>
      <c r="BL148" s="157">
        <v>0</v>
      </c>
      <c r="BM148" s="157">
        <v>0</v>
      </c>
      <c r="BN148" s="157">
        <v>0</v>
      </c>
      <c r="BO148" s="157">
        <v>0</v>
      </c>
      <c r="BP148" s="157">
        <v>0</v>
      </c>
      <c r="BQ148" s="157">
        <v>0</v>
      </c>
      <c r="BR148" s="157">
        <v>0</v>
      </c>
      <c r="BS148" s="157">
        <v>0</v>
      </c>
      <c r="BT148" s="157">
        <v>0</v>
      </c>
      <c r="BU148" s="157">
        <v>0</v>
      </c>
      <c r="BV148" s="157">
        <v>0</v>
      </c>
      <c r="BW148" s="157">
        <v>0</v>
      </c>
      <c r="BX148" s="157">
        <v>0</v>
      </c>
      <c r="BY148" s="157">
        <v>0</v>
      </c>
      <c r="BZ148" s="157">
        <v>0</v>
      </c>
      <c r="CA148" s="157">
        <v>0</v>
      </c>
      <c r="CB148" s="157">
        <v>0</v>
      </c>
      <c r="CC148" s="157">
        <v>0</v>
      </c>
      <c r="CD148" s="157">
        <v>0</v>
      </c>
      <c r="CE148" s="157">
        <v>0</v>
      </c>
      <c r="CF148" s="157">
        <v>0</v>
      </c>
      <c r="CG148" s="157">
        <v>0</v>
      </c>
      <c r="CH148" s="157">
        <v>0</v>
      </c>
      <c r="CI148" s="157">
        <v>0</v>
      </c>
      <c r="CJ148" s="157">
        <v>0</v>
      </c>
      <c r="CK148" s="157">
        <v>0</v>
      </c>
      <c r="CL148" s="157">
        <v>0</v>
      </c>
      <c r="CM148" s="157">
        <v>0</v>
      </c>
      <c r="CN148" s="157">
        <v>0</v>
      </c>
      <c r="CO148" s="157">
        <v>0</v>
      </c>
      <c r="CP148" s="157">
        <v>0</v>
      </c>
      <c r="CQ148" s="23" t="s">
        <v>77</v>
      </c>
    </row>
    <row r="149" spans="1:96" outlineLevel="1" x14ac:dyDescent="0.2">
      <c r="B149" s="1" t="s">
        <v>327</v>
      </c>
      <c r="D149" s="3"/>
      <c r="E149" s="3"/>
      <c r="F149" s="3">
        <f>SUM(F143:F148)</f>
        <v>0</v>
      </c>
      <c r="G149" s="3">
        <f>SUM(G143:G148)</f>
        <v>0</v>
      </c>
      <c r="H149" s="3">
        <f>SUM(H143:H148)</f>
        <v>0</v>
      </c>
      <c r="I149" s="3">
        <f>SUM(I143:I148)</f>
        <v>0</v>
      </c>
      <c r="J149" s="3">
        <f>SUM(J143:J148)</f>
        <v>0</v>
      </c>
      <c r="K149" s="3"/>
      <c r="L149" s="3"/>
      <c r="M149" s="3">
        <f t="shared" ref="M149:BD149" si="225">SUM(M143:M148)</f>
        <v>0</v>
      </c>
      <c r="N149" s="3">
        <f t="shared" si="225"/>
        <v>0</v>
      </c>
      <c r="O149" s="3">
        <f t="shared" si="225"/>
        <v>0</v>
      </c>
      <c r="P149" s="3">
        <f t="shared" si="225"/>
        <v>0</v>
      </c>
      <c r="Q149" s="3">
        <f t="shared" si="225"/>
        <v>79.042999999999992</v>
      </c>
      <c r="R149" s="3">
        <f t="shared" si="225"/>
        <v>80.305000000000007</v>
      </c>
      <c r="S149" s="33">
        <f t="shared" si="225"/>
        <v>81.60199999999999</v>
      </c>
      <c r="T149" s="33">
        <f t="shared" si="225"/>
        <v>82.806999999999988</v>
      </c>
      <c r="U149" s="33">
        <f t="shared" si="225"/>
        <v>46.189</v>
      </c>
      <c r="V149" s="33">
        <f t="shared" si="225"/>
        <v>48.815000000000005</v>
      </c>
      <c r="W149" s="33">
        <f t="shared" si="225"/>
        <v>48.573000000000008</v>
      </c>
      <c r="X149" s="33">
        <f t="shared" si="225"/>
        <v>48.585000000000001</v>
      </c>
      <c r="Y149" s="33">
        <f t="shared" si="225"/>
        <v>48.912000000000006</v>
      </c>
      <c r="Z149" s="33">
        <f t="shared" si="225"/>
        <v>52.977719523894002</v>
      </c>
      <c r="AA149" s="33">
        <f t="shared" si="225"/>
        <v>52.82717038779667</v>
      </c>
      <c r="AB149" s="33">
        <f t="shared" si="225"/>
        <v>52.688301576365269</v>
      </c>
      <c r="AC149" s="33">
        <f t="shared" si="225"/>
        <v>52.559161387674536</v>
      </c>
      <c r="AD149" s="33">
        <f t="shared" si="225"/>
        <v>52.44179932105898</v>
      </c>
      <c r="AE149" s="33">
        <f t="shared" si="225"/>
        <v>52.335266087544966</v>
      </c>
      <c r="AF149" s="33">
        <f t="shared" si="225"/>
        <v>52.239613620536971</v>
      </c>
      <c r="AG149" s="33">
        <f t="shared" si="225"/>
        <v>52.154895086760149</v>
      </c>
      <c r="AH149" s="33">
        <f t="shared" si="225"/>
        <v>52.081164897461591</v>
      </c>
      <c r="AI149" s="33">
        <f t="shared" si="225"/>
        <v>52.018478719872576</v>
      </c>
      <c r="AJ149" s="33">
        <f t="shared" si="225"/>
        <v>51.965893488934242</v>
      </c>
      <c r="AK149" s="33">
        <f t="shared" si="225"/>
        <v>51.925467419289163</v>
      </c>
      <c r="AL149" s="33">
        <f t="shared" si="225"/>
        <v>51.894260017541384</v>
      </c>
      <c r="AM149" s="33">
        <f t="shared" si="225"/>
        <v>51.875332094787453</v>
      </c>
      <c r="AN149" s="33">
        <f t="shared" si="225"/>
        <v>51.866745779421038</v>
      </c>
      <c r="AO149" s="33">
        <f t="shared" si="225"/>
        <v>51.868564530214016</v>
      </c>
      <c r="AP149" s="33">
        <f t="shared" si="225"/>
        <v>51.881853149676495</v>
      </c>
      <c r="AQ149" s="33">
        <f t="shared" si="225"/>
        <v>51.905677797698907</v>
      </c>
      <c r="AR149" s="33">
        <f t="shared" si="225"/>
        <v>51.940106005478768</v>
      </c>
      <c r="AS149" s="33">
        <f t="shared" si="225"/>
        <v>51.986206689735198</v>
      </c>
      <c r="AT149" s="33">
        <f t="shared" si="225"/>
        <v>52.043050167214162</v>
      </c>
      <c r="AU149" s="33">
        <f t="shared" si="225"/>
        <v>52.109708169487405</v>
      </c>
      <c r="AV149" s="33">
        <f t="shared" si="225"/>
        <v>52.18825385804837</v>
      </c>
      <c r="AW149" s="33">
        <f t="shared" si="225"/>
        <v>52.277761839708006</v>
      </c>
      <c r="AX149" s="33">
        <f t="shared" si="225"/>
        <v>52.377308182294072</v>
      </c>
      <c r="AY149" s="33">
        <f t="shared" si="225"/>
        <v>52.488970430656806</v>
      </c>
      <c r="AZ149" s="33">
        <f t="shared" si="225"/>
        <v>52.61082762298475</v>
      </c>
      <c r="BA149" s="33">
        <f t="shared" si="225"/>
        <v>52.743960307433852</v>
      </c>
      <c r="BB149" s="33">
        <f t="shared" si="225"/>
        <v>52.888450559073505</v>
      </c>
      <c r="BC149" s="33">
        <f t="shared" si="225"/>
        <v>53.04338199715302</v>
      </c>
      <c r="BD149" s="33">
        <f t="shared" si="225"/>
        <v>53.209839802692237</v>
      </c>
      <c r="BE149" s="33">
        <f t="shared" ref="BE149:CP149" si="226">SUM(BE143:BE148)</f>
        <v>53.386910736399855</v>
      </c>
      <c r="BF149" s="33">
        <f t="shared" si="226"/>
        <v>53.575683156923375</v>
      </c>
      <c r="BG149" s="33">
        <f t="shared" si="226"/>
        <v>53.775247039434404</v>
      </c>
      <c r="BH149" s="33">
        <f t="shared" si="226"/>
        <v>53.986693994553349</v>
      </c>
      <c r="BI149" s="33">
        <f t="shared" si="226"/>
        <v>54.209117287617246</v>
      </c>
      <c r="BJ149" s="33">
        <f t="shared" si="226"/>
        <v>54.442611858295081</v>
      </c>
      <c r="BK149" s="33">
        <f t="shared" si="226"/>
        <v>54.6882743405545</v>
      </c>
      <c r="BL149" s="33">
        <f t="shared" si="226"/>
        <v>54.944203082984203</v>
      </c>
      <c r="BM149" s="33">
        <f t="shared" si="226"/>
        <v>55.212498169476241</v>
      </c>
      <c r="BN149" s="33">
        <f t="shared" si="226"/>
        <v>55.492261440272685</v>
      </c>
      <c r="BO149" s="33">
        <f t="shared" si="226"/>
        <v>55.7835965133809</v>
      </c>
      <c r="BP149" s="33">
        <f t="shared" si="226"/>
        <v>56.086608806362129</v>
      </c>
      <c r="BQ149" s="33">
        <f t="shared" si="226"/>
        <v>56.401405558497828</v>
      </c>
      <c r="BR149" s="33">
        <f t="shared" si="226"/>
        <v>56.728095853338473</v>
      </c>
      <c r="BS149" s="33">
        <f t="shared" si="226"/>
        <v>57.066790641639528</v>
      </c>
      <c r="BT149" s="33">
        <f t="shared" si="226"/>
        <v>57.41660276468955</v>
      </c>
      <c r="BU149" s="33">
        <f t="shared" si="226"/>
        <v>57.779646978035061</v>
      </c>
      <c r="BV149" s="33">
        <f t="shared" si="226"/>
        <v>58.154039975607475</v>
      </c>
      <c r="BW149" s="33">
        <f t="shared" si="226"/>
        <v>58.540900414256953</v>
      </c>
      <c r="BX149" s="33">
        <f t="shared" si="226"/>
        <v>58.939348938698366</v>
      </c>
      <c r="BY149" s="33">
        <f t="shared" si="226"/>
        <v>59.350508206874764</v>
      </c>
      <c r="BZ149" s="33">
        <f t="shared" si="226"/>
        <v>59.774502915743426</v>
      </c>
      <c r="CA149" s="33">
        <f t="shared" si="226"/>
        <v>60.211459827490202</v>
      </c>
      <c r="CB149" s="33">
        <f t="shared" si="226"/>
        <v>60.660507796177356</v>
      </c>
      <c r="CC149" s="33">
        <f t="shared" si="226"/>
        <v>61.121777794830791</v>
      </c>
      <c r="CD149" s="33">
        <f t="shared" si="226"/>
        <v>61.596402942972183</v>
      </c>
      <c r="CE149" s="33">
        <f t="shared" si="226"/>
        <v>62.083518534601815</v>
      </c>
      <c r="CF149" s="33">
        <f t="shared" si="226"/>
        <v>62.58426206663809</v>
      </c>
      <c r="CG149" s="33">
        <f t="shared" si="226"/>
        <v>63.097773267819633</v>
      </c>
      <c r="CH149" s="33">
        <f t="shared" si="226"/>
        <v>63.624194128076006</v>
      </c>
      <c r="CI149" s="33">
        <f t="shared" si="226"/>
        <v>64.164668928373374</v>
      </c>
      <c r="CJ149" s="33">
        <f t="shared" si="226"/>
        <v>64.718344271041161</v>
      </c>
      <c r="CK149" s="33">
        <f t="shared" si="226"/>
        <v>65.285369110586387</v>
      </c>
      <c r="CL149" s="33">
        <f t="shared" si="226"/>
        <v>65.865894785001771</v>
      </c>
      <c r="CM149" s="33">
        <f t="shared" si="226"/>
        <v>66.460075047574506</v>
      </c>
      <c r="CN149" s="33">
        <f t="shared" si="226"/>
        <v>67.069066099202274</v>
      </c>
      <c r="CO149" s="33">
        <f t="shared" si="226"/>
        <v>67.692026621223278</v>
      </c>
      <c r="CP149" s="33">
        <f t="shared" si="226"/>
        <v>68.328117808767118</v>
      </c>
      <c r="CQ149" s="23" t="s">
        <v>77</v>
      </c>
    </row>
    <row r="150" spans="1:96" outlineLevel="1" x14ac:dyDescent="0.2">
      <c r="B150" s="1" t="s">
        <v>329</v>
      </c>
      <c r="D150" s="3"/>
      <c r="E150" s="3"/>
      <c r="F150" s="3">
        <f>SUM(F146:F149)</f>
        <v>0</v>
      </c>
      <c r="G150" s="3">
        <f>SUM(G146:G149)</f>
        <v>0</v>
      </c>
      <c r="H150" s="3">
        <f>SUM(H146:H149)</f>
        <v>0</v>
      </c>
      <c r="I150" s="3">
        <f>SUM(I146:I149)</f>
        <v>0</v>
      </c>
      <c r="J150" s="3">
        <f>SUM(J146:J149)</f>
        <v>0</v>
      </c>
      <c r="K150" s="3"/>
      <c r="L150" s="3"/>
      <c r="M150" s="3"/>
      <c r="N150" s="3"/>
      <c r="O150" s="3"/>
      <c r="P150" s="3"/>
      <c r="Q150" s="3">
        <f>+Q149</f>
        <v>79.042999999999992</v>
      </c>
      <c r="R150" s="3">
        <f t="shared" ref="R150:BD150" si="227">+R149</f>
        <v>80.305000000000007</v>
      </c>
      <c r="S150" s="35">
        <f t="shared" si="227"/>
        <v>81.60199999999999</v>
      </c>
      <c r="T150" s="35">
        <f t="shared" si="227"/>
        <v>82.806999999999988</v>
      </c>
      <c r="U150" s="226">
        <v>46.189</v>
      </c>
      <c r="V150" s="226">
        <v>48.814999999999998</v>
      </c>
      <c r="W150" s="226">
        <v>48.573999999999998</v>
      </c>
      <c r="X150" s="226">
        <v>48.585000000000001</v>
      </c>
      <c r="Y150" s="226">
        <v>48.911999999999999</v>
      </c>
      <c r="Z150" s="3">
        <f t="shared" si="227"/>
        <v>52.977719523894002</v>
      </c>
      <c r="AA150" s="3">
        <f t="shared" si="227"/>
        <v>52.82717038779667</v>
      </c>
      <c r="AB150" s="3">
        <f t="shared" si="227"/>
        <v>52.688301576365269</v>
      </c>
      <c r="AC150" s="3">
        <f t="shared" si="227"/>
        <v>52.559161387674536</v>
      </c>
      <c r="AD150" s="3">
        <f t="shared" si="227"/>
        <v>52.44179932105898</v>
      </c>
      <c r="AE150" s="3">
        <f t="shared" si="227"/>
        <v>52.335266087544966</v>
      </c>
      <c r="AF150" s="3">
        <f t="shared" si="227"/>
        <v>52.239613620536971</v>
      </c>
      <c r="AG150" s="3">
        <f t="shared" si="227"/>
        <v>52.154895086760149</v>
      </c>
      <c r="AH150" s="3">
        <f t="shared" si="227"/>
        <v>52.081164897461591</v>
      </c>
      <c r="AI150" s="3">
        <f t="shared" si="227"/>
        <v>52.018478719872576</v>
      </c>
      <c r="AJ150" s="3">
        <f t="shared" si="227"/>
        <v>51.965893488934242</v>
      </c>
      <c r="AK150" s="3">
        <f t="shared" si="227"/>
        <v>51.925467419289163</v>
      </c>
      <c r="AL150" s="3">
        <f t="shared" si="227"/>
        <v>51.894260017541384</v>
      </c>
      <c r="AM150" s="3">
        <f t="shared" si="227"/>
        <v>51.875332094787453</v>
      </c>
      <c r="AN150" s="3">
        <f t="shared" si="227"/>
        <v>51.866745779421038</v>
      </c>
      <c r="AO150" s="3">
        <f t="shared" si="227"/>
        <v>51.868564530214016</v>
      </c>
      <c r="AP150" s="3">
        <f t="shared" si="227"/>
        <v>51.881853149676495</v>
      </c>
      <c r="AQ150" s="3">
        <f t="shared" si="227"/>
        <v>51.905677797698907</v>
      </c>
      <c r="AR150" s="3">
        <f t="shared" si="227"/>
        <v>51.940106005478768</v>
      </c>
      <c r="AS150" s="3">
        <f t="shared" si="227"/>
        <v>51.986206689735198</v>
      </c>
      <c r="AT150" s="3">
        <f t="shared" si="227"/>
        <v>52.043050167214162</v>
      </c>
      <c r="AU150" s="3">
        <f t="shared" si="227"/>
        <v>52.109708169487405</v>
      </c>
      <c r="AV150" s="3">
        <f t="shared" si="227"/>
        <v>52.18825385804837</v>
      </c>
      <c r="AW150" s="3">
        <f t="shared" si="227"/>
        <v>52.277761839708006</v>
      </c>
      <c r="AX150" s="3">
        <f t="shared" si="227"/>
        <v>52.377308182294072</v>
      </c>
      <c r="AY150" s="3">
        <f t="shared" si="227"/>
        <v>52.488970430656806</v>
      </c>
      <c r="AZ150" s="3">
        <f t="shared" si="227"/>
        <v>52.61082762298475</v>
      </c>
      <c r="BA150" s="3">
        <f t="shared" si="227"/>
        <v>52.743960307433852</v>
      </c>
      <c r="BB150" s="3">
        <f t="shared" si="227"/>
        <v>52.888450559073505</v>
      </c>
      <c r="BC150" s="3">
        <f t="shared" si="227"/>
        <v>53.04338199715302</v>
      </c>
      <c r="BD150" s="3">
        <f t="shared" si="227"/>
        <v>53.209839802692237</v>
      </c>
      <c r="BE150" s="3">
        <f t="shared" ref="BE150:CP150" si="228">+BE149</f>
        <v>53.386910736399855</v>
      </c>
      <c r="BF150" s="3">
        <f t="shared" si="228"/>
        <v>53.575683156923375</v>
      </c>
      <c r="BG150" s="3">
        <f t="shared" si="228"/>
        <v>53.775247039434404</v>
      </c>
      <c r="BH150" s="3">
        <f t="shared" si="228"/>
        <v>53.986693994553349</v>
      </c>
      <c r="BI150" s="3">
        <f t="shared" si="228"/>
        <v>54.209117287617246</v>
      </c>
      <c r="BJ150" s="3">
        <f t="shared" si="228"/>
        <v>54.442611858295081</v>
      </c>
      <c r="BK150" s="3">
        <f t="shared" si="228"/>
        <v>54.6882743405545</v>
      </c>
      <c r="BL150" s="3">
        <f t="shared" si="228"/>
        <v>54.944203082984203</v>
      </c>
      <c r="BM150" s="3">
        <f t="shared" si="228"/>
        <v>55.212498169476241</v>
      </c>
      <c r="BN150" s="3">
        <f t="shared" si="228"/>
        <v>55.492261440272685</v>
      </c>
      <c r="BO150" s="3">
        <f t="shared" si="228"/>
        <v>55.7835965133809</v>
      </c>
      <c r="BP150" s="3">
        <f t="shared" si="228"/>
        <v>56.086608806362129</v>
      </c>
      <c r="BQ150" s="3">
        <f t="shared" si="228"/>
        <v>56.401405558497828</v>
      </c>
      <c r="BR150" s="3">
        <f t="shared" si="228"/>
        <v>56.728095853338473</v>
      </c>
      <c r="BS150" s="3">
        <f t="shared" si="228"/>
        <v>57.066790641639528</v>
      </c>
      <c r="BT150" s="3">
        <f t="shared" si="228"/>
        <v>57.41660276468955</v>
      </c>
      <c r="BU150" s="3">
        <f t="shared" si="228"/>
        <v>57.779646978035061</v>
      </c>
      <c r="BV150" s="3">
        <f t="shared" si="228"/>
        <v>58.154039975607475</v>
      </c>
      <c r="BW150" s="3">
        <f t="shared" si="228"/>
        <v>58.540900414256953</v>
      </c>
      <c r="BX150" s="3">
        <f t="shared" si="228"/>
        <v>58.939348938698366</v>
      </c>
      <c r="BY150" s="3">
        <f t="shared" si="228"/>
        <v>59.350508206874764</v>
      </c>
      <c r="BZ150" s="3">
        <f t="shared" si="228"/>
        <v>59.774502915743426</v>
      </c>
      <c r="CA150" s="3">
        <f t="shared" si="228"/>
        <v>60.211459827490202</v>
      </c>
      <c r="CB150" s="3">
        <f t="shared" si="228"/>
        <v>60.660507796177356</v>
      </c>
      <c r="CC150" s="3">
        <f t="shared" si="228"/>
        <v>61.121777794830791</v>
      </c>
      <c r="CD150" s="3">
        <f t="shared" si="228"/>
        <v>61.596402942972183</v>
      </c>
      <c r="CE150" s="3">
        <f t="shared" si="228"/>
        <v>62.083518534601815</v>
      </c>
      <c r="CF150" s="3">
        <f t="shared" si="228"/>
        <v>62.58426206663809</v>
      </c>
      <c r="CG150" s="3">
        <f t="shared" si="228"/>
        <v>63.097773267819633</v>
      </c>
      <c r="CH150" s="3">
        <f t="shared" si="228"/>
        <v>63.624194128076006</v>
      </c>
      <c r="CI150" s="3">
        <f t="shared" si="228"/>
        <v>64.164668928373374</v>
      </c>
      <c r="CJ150" s="3">
        <f t="shared" si="228"/>
        <v>64.718344271041161</v>
      </c>
      <c r="CK150" s="3">
        <f t="shared" si="228"/>
        <v>65.285369110586387</v>
      </c>
      <c r="CL150" s="3">
        <f t="shared" si="228"/>
        <v>65.865894785001771</v>
      </c>
      <c r="CM150" s="3">
        <f t="shared" si="228"/>
        <v>66.460075047574506</v>
      </c>
      <c r="CN150" s="3">
        <f t="shared" si="228"/>
        <v>67.069066099202274</v>
      </c>
      <c r="CO150" s="3">
        <f t="shared" si="228"/>
        <v>67.692026621223278</v>
      </c>
      <c r="CP150" s="3">
        <f t="shared" si="228"/>
        <v>68.328117808767118</v>
      </c>
      <c r="CQ150" s="23" t="s">
        <v>77</v>
      </c>
    </row>
    <row r="151" spans="1:96" outlineLevel="1" x14ac:dyDescent="0.2">
      <c r="B151" s="1" t="s">
        <v>330</v>
      </c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1"/>
      <c r="T151" s="31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  <c r="AG151" s="33"/>
      <c r="AH151" s="33"/>
      <c r="AI151" s="33"/>
      <c r="AJ151" s="33"/>
      <c r="AK151" s="33"/>
      <c r="AL151" s="33"/>
      <c r="AM151" s="33"/>
      <c r="AN151" s="33"/>
      <c r="AO151" s="33"/>
      <c r="AP151" s="33"/>
      <c r="AQ151" s="33"/>
      <c r="AR151" s="33"/>
      <c r="AS151" s="33"/>
      <c r="AT151" s="33"/>
      <c r="AU151" s="33"/>
      <c r="AV151" s="33"/>
      <c r="AW151" s="33"/>
      <c r="AX151" s="33"/>
      <c r="AY151" s="33"/>
      <c r="AZ151" s="33"/>
      <c r="BA151" s="33"/>
      <c r="BB151" s="33"/>
      <c r="BC151" s="33"/>
      <c r="BD151" s="33"/>
      <c r="BE151" s="33"/>
      <c r="BF151" s="33"/>
      <c r="BG151" s="33"/>
      <c r="BH151" s="33"/>
      <c r="BI151" s="33"/>
      <c r="BJ151" s="33"/>
      <c r="BK151" s="33"/>
      <c r="BL151" s="33"/>
      <c r="BM151" s="33"/>
      <c r="BN151" s="33"/>
      <c r="BO151" s="33"/>
      <c r="BP151" s="33"/>
      <c r="BQ151" s="33"/>
      <c r="BR151" s="33"/>
      <c r="BS151" s="33"/>
      <c r="BT151" s="33"/>
      <c r="BU151" s="33"/>
      <c r="BV151" s="33"/>
      <c r="BW151" s="33"/>
      <c r="BX151" s="33"/>
      <c r="BY151" s="33"/>
      <c r="BZ151" s="33"/>
      <c r="CA151" s="33"/>
      <c r="CB151" s="33"/>
      <c r="CC151" s="33"/>
      <c r="CD151" s="33"/>
      <c r="CE151" s="33"/>
      <c r="CF151" s="33"/>
      <c r="CG151" s="33"/>
      <c r="CH151" s="33"/>
      <c r="CI151" s="33"/>
      <c r="CJ151" s="33"/>
      <c r="CK151" s="33"/>
      <c r="CL151" s="33"/>
      <c r="CM151" s="33"/>
      <c r="CN151" s="33"/>
      <c r="CO151" s="33"/>
      <c r="CP151" s="33"/>
      <c r="CQ151" s="23" t="s">
        <v>77</v>
      </c>
    </row>
    <row r="152" spans="1:96" outlineLevel="1" x14ac:dyDescent="0.2">
      <c r="Q152" s="40"/>
      <c r="R152" s="40"/>
      <c r="S152" s="40"/>
      <c r="T152" s="40"/>
      <c r="U152" s="40"/>
      <c r="V152" s="40"/>
      <c r="CQ152" s="23" t="s">
        <v>77</v>
      </c>
    </row>
    <row r="153" spans="1:96" outlineLevel="1" x14ac:dyDescent="0.2">
      <c r="B153" s="358" t="s">
        <v>321</v>
      </c>
      <c r="D153" s="66"/>
      <c r="E153" s="66"/>
      <c r="F153" s="66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  <c r="Y153" s="66"/>
      <c r="Z153" s="66"/>
      <c r="AA153" s="66"/>
      <c r="AB153" s="66"/>
      <c r="AC153" s="66"/>
      <c r="AD153" s="66"/>
      <c r="AE153" s="66"/>
      <c r="AF153" s="66"/>
      <c r="AG153" s="66"/>
      <c r="AH153" s="66"/>
      <c r="AI153" s="66"/>
      <c r="AJ153" s="66"/>
      <c r="AK153" s="66"/>
      <c r="AL153" s="66"/>
      <c r="AM153" s="66"/>
      <c r="AN153" s="66"/>
      <c r="AO153" s="66"/>
      <c r="AP153" s="66"/>
      <c r="AQ153" s="66"/>
      <c r="AR153" s="66"/>
      <c r="AS153" s="66"/>
      <c r="AT153" s="66"/>
      <c r="AU153" s="66"/>
      <c r="AV153" s="66"/>
      <c r="AW153" s="66"/>
      <c r="AX153" s="66"/>
      <c r="AY153" s="66"/>
      <c r="AZ153" s="66"/>
      <c r="BA153" s="66"/>
      <c r="BB153" s="66"/>
      <c r="BC153" s="66"/>
      <c r="BD153" s="66"/>
      <c r="BE153" s="66"/>
      <c r="BF153" s="66"/>
      <c r="BG153" s="66"/>
      <c r="BH153" s="66"/>
      <c r="BI153" s="66"/>
      <c r="BJ153" s="66"/>
      <c r="BK153" s="66"/>
      <c r="BL153" s="66"/>
      <c r="BM153" s="66"/>
      <c r="BN153" s="66"/>
      <c r="BO153" s="66"/>
      <c r="BP153" s="66"/>
      <c r="BQ153" s="66"/>
      <c r="BR153" s="66"/>
      <c r="BS153" s="66"/>
      <c r="BT153" s="66"/>
      <c r="BU153" s="66"/>
      <c r="BV153" s="66"/>
      <c r="BW153" s="66"/>
      <c r="BX153" s="66"/>
      <c r="BY153" s="66"/>
      <c r="BZ153" s="66"/>
      <c r="CA153" s="66"/>
      <c r="CB153" s="66"/>
      <c r="CC153" s="66"/>
      <c r="CD153" s="66"/>
      <c r="CE153" s="66"/>
      <c r="CF153" s="66"/>
      <c r="CG153" s="66"/>
      <c r="CH153" s="66"/>
      <c r="CI153" s="66"/>
      <c r="CJ153" s="66"/>
      <c r="CK153" s="66"/>
      <c r="CL153" s="66"/>
      <c r="CM153" s="66"/>
      <c r="CN153" s="66"/>
      <c r="CO153" s="66"/>
      <c r="CP153" s="66"/>
      <c r="CQ153" s="23" t="s">
        <v>77</v>
      </c>
    </row>
    <row r="154" spans="1:96" outlineLevel="1" x14ac:dyDescent="0.2">
      <c r="A154" s="233"/>
      <c r="B154" s="7" t="s">
        <v>321</v>
      </c>
      <c r="D154" s="530"/>
      <c r="E154" s="530"/>
      <c r="F154" s="530"/>
      <c r="G154" s="530" t="e">
        <f>+#REF!/#REF!-1</f>
        <v>#REF!</v>
      </c>
      <c r="H154" s="530" t="e">
        <f>+#REF!/#REF!-1</f>
        <v>#REF!</v>
      </c>
      <c r="I154" s="530" t="e">
        <f>+#REF!/#REF!-1</f>
        <v>#REF!</v>
      </c>
      <c r="J154" s="530" t="e">
        <f>+#REF!/#REF!-1</f>
        <v>#REF!</v>
      </c>
      <c r="L154" s="530">
        <f t="shared" ref="L154:BD154" si="229">+L119</f>
        <v>0</v>
      </c>
      <c r="M154" s="530">
        <f t="shared" si="229"/>
        <v>0</v>
      </c>
      <c r="N154" s="530">
        <f t="shared" si="229"/>
        <v>0</v>
      </c>
      <c r="O154" s="530">
        <f t="shared" si="229"/>
        <v>0</v>
      </c>
      <c r="P154" s="530">
        <f t="shared" si="229"/>
        <v>2.5000000000000001E-2</v>
      </c>
      <c r="Q154" s="530">
        <f t="shared" si="229"/>
        <v>2.5000000000000001E-2</v>
      </c>
      <c r="R154" s="530">
        <f t="shared" si="229"/>
        <v>2.5000000000000001E-2</v>
      </c>
      <c r="S154" s="530">
        <f t="shared" si="229"/>
        <v>2.5000000000000001E-2</v>
      </c>
      <c r="T154" s="530">
        <f t="shared" si="229"/>
        <v>2.5000000000000001E-2</v>
      </c>
      <c r="U154" s="530">
        <f t="shared" si="229"/>
        <v>2.5000000000000001E-2</v>
      </c>
      <c r="V154" s="530">
        <f t="shared" si="229"/>
        <v>1.46E-2</v>
      </c>
      <c r="W154" s="530">
        <f t="shared" si="229"/>
        <v>1.46E-2</v>
      </c>
      <c r="X154" s="530">
        <f t="shared" si="229"/>
        <v>1.46E-2</v>
      </c>
      <c r="Y154" s="530">
        <f t="shared" si="229"/>
        <v>1.46E-2</v>
      </c>
      <c r="Z154" s="530">
        <f t="shared" si="229"/>
        <v>1.46E-2</v>
      </c>
      <c r="AA154" s="530">
        <f t="shared" si="229"/>
        <v>1.46E-2</v>
      </c>
      <c r="AB154" s="530">
        <f t="shared" si="229"/>
        <v>1.46E-2</v>
      </c>
      <c r="AC154" s="530">
        <f t="shared" si="229"/>
        <v>1.46E-2</v>
      </c>
      <c r="AD154" s="530">
        <f t="shared" si="229"/>
        <v>1.46E-2</v>
      </c>
      <c r="AE154" s="530">
        <f t="shared" si="229"/>
        <v>1.46E-2</v>
      </c>
      <c r="AF154" s="530">
        <f t="shared" si="229"/>
        <v>1.46E-2</v>
      </c>
      <c r="AG154" s="530">
        <f t="shared" si="229"/>
        <v>1.46E-2</v>
      </c>
      <c r="AH154" s="530">
        <f t="shared" si="229"/>
        <v>1.46E-2</v>
      </c>
      <c r="AI154" s="530">
        <f t="shared" si="229"/>
        <v>1.46E-2</v>
      </c>
      <c r="AJ154" s="530">
        <f t="shared" si="229"/>
        <v>1.46E-2</v>
      </c>
      <c r="AK154" s="530">
        <f t="shared" si="229"/>
        <v>1.46E-2</v>
      </c>
      <c r="AL154" s="530">
        <f t="shared" si="229"/>
        <v>1.46E-2</v>
      </c>
      <c r="AM154" s="530">
        <f t="shared" si="229"/>
        <v>1.46E-2</v>
      </c>
      <c r="AN154" s="530">
        <f t="shared" si="229"/>
        <v>1.46E-2</v>
      </c>
      <c r="AO154" s="530">
        <f t="shared" si="229"/>
        <v>1.46E-2</v>
      </c>
      <c r="AP154" s="530">
        <f t="shared" si="229"/>
        <v>1.46E-2</v>
      </c>
      <c r="AQ154" s="530">
        <f t="shared" si="229"/>
        <v>1.46E-2</v>
      </c>
      <c r="AR154" s="530">
        <f t="shared" si="229"/>
        <v>1.46E-2</v>
      </c>
      <c r="AS154" s="530">
        <f t="shared" si="229"/>
        <v>1.46E-2</v>
      </c>
      <c r="AT154" s="530">
        <f t="shared" si="229"/>
        <v>1.46E-2</v>
      </c>
      <c r="AU154" s="530">
        <f t="shared" si="229"/>
        <v>1.46E-2</v>
      </c>
      <c r="AV154" s="530">
        <f t="shared" si="229"/>
        <v>1.46E-2</v>
      </c>
      <c r="AW154" s="530">
        <f t="shared" si="229"/>
        <v>1.46E-2</v>
      </c>
      <c r="AX154" s="530">
        <f t="shared" si="229"/>
        <v>1.46E-2</v>
      </c>
      <c r="AY154" s="530">
        <f t="shared" si="229"/>
        <v>1.46E-2</v>
      </c>
      <c r="AZ154" s="530">
        <f t="shared" si="229"/>
        <v>1.46E-2</v>
      </c>
      <c r="BA154" s="530">
        <f t="shared" si="229"/>
        <v>1.46E-2</v>
      </c>
      <c r="BB154" s="530">
        <f t="shared" si="229"/>
        <v>1.46E-2</v>
      </c>
      <c r="BC154" s="530">
        <f t="shared" si="229"/>
        <v>1.46E-2</v>
      </c>
      <c r="BD154" s="530">
        <f t="shared" si="229"/>
        <v>1.46E-2</v>
      </c>
      <c r="BE154" s="530">
        <f t="shared" ref="BE154:CP154" si="230">+BE119</f>
        <v>1.46E-2</v>
      </c>
      <c r="BF154" s="530">
        <f t="shared" si="230"/>
        <v>1.46E-2</v>
      </c>
      <c r="BG154" s="530">
        <f t="shared" si="230"/>
        <v>1.46E-2</v>
      </c>
      <c r="BH154" s="530">
        <f t="shared" si="230"/>
        <v>1.46E-2</v>
      </c>
      <c r="BI154" s="530">
        <f t="shared" si="230"/>
        <v>1.46E-2</v>
      </c>
      <c r="BJ154" s="530">
        <f t="shared" si="230"/>
        <v>1.46E-2</v>
      </c>
      <c r="BK154" s="530">
        <f t="shared" si="230"/>
        <v>1.46E-2</v>
      </c>
      <c r="BL154" s="530">
        <f t="shared" si="230"/>
        <v>1.46E-2</v>
      </c>
      <c r="BM154" s="530">
        <f t="shared" si="230"/>
        <v>1.46E-2</v>
      </c>
      <c r="BN154" s="530">
        <f t="shared" si="230"/>
        <v>1.46E-2</v>
      </c>
      <c r="BO154" s="530">
        <f t="shared" si="230"/>
        <v>1.46E-2</v>
      </c>
      <c r="BP154" s="530">
        <f t="shared" si="230"/>
        <v>1.46E-2</v>
      </c>
      <c r="BQ154" s="530">
        <f t="shared" si="230"/>
        <v>1.46E-2</v>
      </c>
      <c r="BR154" s="530">
        <f t="shared" si="230"/>
        <v>1.46E-2</v>
      </c>
      <c r="BS154" s="530">
        <f t="shared" si="230"/>
        <v>1.46E-2</v>
      </c>
      <c r="BT154" s="530">
        <f t="shared" si="230"/>
        <v>1.46E-2</v>
      </c>
      <c r="BU154" s="530">
        <f t="shared" si="230"/>
        <v>1.46E-2</v>
      </c>
      <c r="BV154" s="530">
        <f t="shared" si="230"/>
        <v>1.46E-2</v>
      </c>
      <c r="BW154" s="530">
        <f t="shared" si="230"/>
        <v>1.46E-2</v>
      </c>
      <c r="BX154" s="530">
        <f t="shared" si="230"/>
        <v>1.46E-2</v>
      </c>
      <c r="BY154" s="530">
        <f t="shared" si="230"/>
        <v>1.46E-2</v>
      </c>
      <c r="BZ154" s="530">
        <f t="shared" si="230"/>
        <v>1.46E-2</v>
      </c>
      <c r="CA154" s="530">
        <f t="shared" si="230"/>
        <v>1.46E-2</v>
      </c>
      <c r="CB154" s="530">
        <f t="shared" si="230"/>
        <v>1.46E-2</v>
      </c>
      <c r="CC154" s="530">
        <f t="shared" si="230"/>
        <v>1.46E-2</v>
      </c>
      <c r="CD154" s="530">
        <f t="shared" si="230"/>
        <v>1.46E-2</v>
      </c>
      <c r="CE154" s="530">
        <f t="shared" si="230"/>
        <v>1.46E-2</v>
      </c>
      <c r="CF154" s="530">
        <f t="shared" si="230"/>
        <v>1.46E-2</v>
      </c>
      <c r="CG154" s="530">
        <f t="shared" si="230"/>
        <v>1.46E-2</v>
      </c>
      <c r="CH154" s="530">
        <f t="shared" si="230"/>
        <v>1.46E-2</v>
      </c>
      <c r="CI154" s="530">
        <f t="shared" si="230"/>
        <v>1.46E-2</v>
      </c>
      <c r="CJ154" s="530">
        <f t="shared" si="230"/>
        <v>1.46E-2</v>
      </c>
      <c r="CK154" s="530">
        <f t="shared" si="230"/>
        <v>1.46E-2</v>
      </c>
      <c r="CL154" s="530">
        <f t="shared" si="230"/>
        <v>1.46E-2</v>
      </c>
      <c r="CM154" s="530">
        <f t="shared" si="230"/>
        <v>1.46E-2</v>
      </c>
      <c r="CN154" s="530">
        <f t="shared" si="230"/>
        <v>1.46E-2</v>
      </c>
      <c r="CO154" s="530">
        <f t="shared" si="230"/>
        <v>1.46E-2</v>
      </c>
      <c r="CP154" s="530">
        <f t="shared" si="230"/>
        <v>1.46E-2</v>
      </c>
      <c r="CQ154" s="23" t="s">
        <v>77</v>
      </c>
      <c r="CR154" s="233"/>
    </row>
    <row r="155" spans="1:96" outlineLevel="1" x14ac:dyDescent="0.2">
      <c r="B155" s="8" t="s">
        <v>322</v>
      </c>
      <c r="D155" s="9"/>
      <c r="E155" s="9"/>
      <c r="F155" s="9"/>
      <c r="G155" s="9"/>
      <c r="H155" s="9"/>
      <c r="I155" s="9"/>
      <c r="J155" s="9"/>
      <c r="L155" s="531">
        <v>1</v>
      </c>
      <c r="M155" s="447">
        <f>+L155*(1+M154)</f>
        <v>1</v>
      </c>
      <c r="N155" s="447">
        <f>+M155*(1+N154)</f>
        <v>1</v>
      </c>
      <c r="O155" s="447">
        <f>+N155*(1+O154)</f>
        <v>1</v>
      </c>
      <c r="P155" s="531">
        <v>1</v>
      </c>
      <c r="Q155" s="447">
        <f t="shared" ref="Q155:BD155" si="231">+P155*(1+Q154)</f>
        <v>1.0249999999999999</v>
      </c>
      <c r="R155" s="447">
        <f t="shared" si="231"/>
        <v>1.0506249999999999</v>
      </c>
      <c r="S155" s="68">
        <f t="shared" si="231"/>
        <v>1.0768906249999999</v>
      </c>
      <c r="T155" s="68">
        <f t="shared" si="231"/>
        <v>1.1038128906249998</v>
      </c>
      <c r="U155" s="68">
        <f t="shared" si="231"/>
        <v>1.1314082128906247</v>
      </c>
      <c r="V155" s="68">
        <f t="shared" si="231"/>
        <v>1.1479267727988278</v>
      </c>
      <c r="W155" s="68">
        <f t="shared" si="231"/>
        <v>1.1646865036816907</v>
      </c>
      <c r="X155" s="68">
        <f t="shared" si="231"/>
        <v>1.1816909266354434</v>
      </c>
      <c r="Y155" s="68">
        <f t="shared" si="231"/>
        <v>1.1989436141643208</v>
      </c>
      <c r="Z155" s="68">
        <f t="shared" si="231"/>
        <v>1.2164481909311198</v>
      </c>
      <c r="AA155" s="68">
        <f t="shared" si="231"/>
        <v>1.234208334518714</v>
      </c>
      <c r="AB155" s="68">
        <f t="shared" si="231"/>
        <v>1.2522277762026872</v>
      </c>
      <c r="AC155" s="68">
        <f t="shared" si="231"/>
        <v>1.2705103017352464</v>
      </c>
      <c r="AD155" s="68">
        <f t="shared" si="231"/>
        <v>1.2890597521405809</v>
      </c>
      <c r="AE155" s="68">
        <f t="shared" si="231"/>
        <v>1.3078800245218334</v>
      </c>
      <c r="AF155" s="68">
        <f t="shared" si="231"/>
        <v>1.3269750728798522</v>
      </c>
      <c r="AG155" s="68">
        <f t="shared" si="231"/>
        <v>1.346348908943898</v>
      </c>
      <c r="AH155" s="68">
        <f t="shared" si="231"/>
        <v>1.3660056030144789</v>
      </c>
      <c r="AI155" s="68">
        <f t="shared" si="231"/>
        <v>1.3859492848184902</v>
      </c>
      <c r="AJ155" s="68">
        <f t="shared" si="231"/>
        <v>1.4061841443768401</v>
      </c>
      <c r="AK155" s="68">
        <f t="shared" si="231"/>
        <v>1.4267144328847419</v>
      </c>
      <c r="AL155" s="68">
        <f t="shared" si="231"/>
        <v>1.4475444636048591</v>
      </c>
      <c r="AM155" s="68">
        <f t="shared" si="231"/>
        <v>1.4686786127734899</v>
      </c>
      <c r="AN155" s="68">
        <f t="shared" si="231"/>
        <v>1.4901213205199828</v>
      </c>
      <c r="AO155" s="68">
        <f t="shared" si="231"/>
        <v>1.5118770917995745</v>
      </c>
      <c r="AP155" s="68">
        <f t="shared" si="231"/>
        <v>1.5339504973398483</v>
      </c>
      <c r="AQ155" s="68">
        <f t="shared" si="231"/>
        <v>1.5563461746010101</v>
      </c>
      <c r="AR155" s="68">
        <f t="shared" si="231"/>
        <v>1.5790688287501848</v>
      </c>
      <c r="AS155" s="68">
        <f t="shared" si="231"/>
        <v>1.6021232336499374</v>
      </c>
      <c r="AT155" s="68">
        <f t="shared" si="231"/>
        <v>1.6255142328612264</v>
      </c>
      <c r="AU155" s="68">
        <f t="shared" si="231"/>
        <v>1.6492467406610003</v>
      </c>
      <c r="AV155" s="68">
        <f t="shared" si="231"/>
        <v>1.6733257430746509</v>
      </c>
      <c r="AW155" s="68">
        <f t="shared" si="231"/>
        <v>1.6977562989235406</v>
      </c>
      <c r="AX155" s="68">
        <f t="shared" si="231"/>
        <v>1.7225435408878242</v>
      </c>
      <c r="AY155" s="68">
        <f t="shared" si="231"/>
        <v>1.7476926765847864</v>
      </c>
      <c r="AZ155" s="68">
        <f t="shared" si="231"/>
        <v>1.7732089896629242</v>
      </c>
      <c r="BA155" s="68">
        <f t="shared" si="231"/>
        <v>1.7990978409120029</v>
      </c>
      <c r="BB155" s="68">
        <f t="shared" si="231"/>
        <v>1.825364669389318</v>
      </c>
      <c r="BC155" s="68">
        <f t="shared" si="231"/>
        <v>1.852014993562402</v>
      </c>
      <c r="BD155" s="68">
        <f t="shared" si="231"/>
        <v>1.879054412468413</v>
      </c>
      <c r="BE155" s="68">
        <f t="shared" ref="BE155:CP155" si="232">+BD155*(1+BE154)</f>
        <v>1.9064886068904516</v>
      </c>
      <c r="BF155" s="68">
        <f t="shared" si="232"/>
        <v>1.934323340551052</v>
      </c>
      <c r="BG155" s="68">
        <f t="shared" si="232"/>
        <v>1.9625644613230973</v>
      </c>
      <c r="BH155" s="68">
        <f t="shared" si="232"/>
        <v>1.9912179024584145</v>
      </c>
      <c r="BI155" s="68">
        <f t="shared" si="232"/>
        <v>2.0202896838343074</v>
      </c>
      <c r="BJ155" s="68">
        <f t="shared" si="232"/>
        <v>2.0497859132182881</v>
      </c>
      <c r="BK155" s="68">
        <f t="shared" si="232"/>
        <v>2.0797127875512751</v>
      </c>
      <c r="BL155" s="68">
        <f t="shared" si="232"/>
        <v>2.1100765942495237</v>
      </c>
      <c r="BM155" s="68">
        <f t="shared" si="232"/>
        <v>2.1408837125255666</v>
      </c>
      <c r="BN155" s="68">
        <f t="shared" si="232"/>
        <v>2.1721406147284399</v>
      </c>
      <c r="BO155" s="68">
        <f t="shared" si="232"/>
        <v>2.2038538677034749</v>
      </c>
      <c r="BP155" s="68">
        <f t="shared" si="232"/>
        <v>2.2360301341719455</v>
      </c>
      <c r="BQ155" s="68">
        <f t="shared" si="232"/>
        <v>2.2686761741308556</v>
      </c>
      <c r="BR155" s="68">
        <f t="shared" si="232"/>
        <v>2.301798846273166</v>
      </c>
      <c r="BS155" s="68">
        <f t="shared" si="232"/>
        <v>2.3354051094287542</v>
      </c>
      <c r="BT155" s="68">
        <f t="shared" si="232"/>
        <v>2.369502024026414</v>
      </c>
      <c r="BU155" s="68">
        <f t="shared" si="232"/>
        <v>2.4040967535771993</v>
      </c>
      <c r="BV155" s="68">
        <f t="shared" si="232"/>
        <v>2.4391965661794264</v>
      </c>
      <c r="BW155" s="68">
        <f t="shared" si="232"/>
        <v>2.4748088360456459</v>
      </c>
      <c r="BX155" s="68">
        <f t="shared" si="232"/>
        <v>2.5109410450519123</v>
      </c>
      <c r="BY155" s="68">
        <f t="shared" si="232"/>
        <v>2.5476007843096702</v>
      </c>
      <c r="BZ155" s="68">
        <f t="shared" si="232"/>
        <v>2.5847957557605912</v>
      </c>
      <c r="CA155" s="68">
        <f t="shared" si="232"/>
        <v>2.6225337737946957</v>
      </c>
      <c r="CB155" s="68">
        <f t="shared" si="232"/>
        <v>2.6608227668920983</v>
      </c>
      <c r="CC155" s="68">
        <f t="shared" si="232"/>
        <v>2.6996707792887227</v>
      </c>
      <c r="CD155" s="68">
        <f t="shared" si="232"/>
        <v>2.7390859726663379</v>
      </c>
      <c r="CE155" s="68">
        <f t="shared" si="232"/>
        <v>2.7790766278672665</v>
      </c>
      <c r="CF155" s="68">
        <f t="shared" si="232"/>
        <v>2.8196511466341283</v>
      </c>
      <c r="CG155" s="68">
        <f t="shared" si="232"/>
        <v>2.8608180533749863</v>
      </c>
      <c r="CH155" s="68">
        <f t="shared" si="232"/>
        <v>2.9025859969542611</v>
      </c>
      <c r="CI155" s="68">
        <f t="shared" si="232"/>
        <v>2.9449637525097931</v>
      </c>
      <c r="CJ155" s="68">
        <f t="shared" si="232"/>
        <v>2.9879602232964362</v>
      </c>
      <c r="CK155" s="68">
        <f t="shared" si="232"/>
        <v>3.0315844425565639</v>
      </c>
      <c r="CL155" s="68">
        <f t="shared" si="232"/>
        <v>3.0758455754178895</v>
      </c>
      <c r="CM155" s="68">
        <f t="shared" si="232"/>
        <v>3.1207529208189904</v>
      </c>
      <c r="CN155" s="68">
        <f t="shared" si="232"/>
        <v>3.1663159134629475</v>
      </c>
      <c r="CO155" s="68">
        <f t="shared" si="232"/>
        <v>3.2125441257995062</v>
      </c>
      <c r="CP155" s="68">
        <f t="shared" si="232"/>
        <v>3.259447270036179</v>
      </c>
      <c r="CQ155" s="23" t="s">
        <v>77</v>
      </c>
    </row>
    <row r="156" spans="1:96" x14ac:dyDescent="0.2">
      <c r="A156" s="233"/>
      <c r="CQ156" s="23" t="s">
        <v>77</v>
      </c>
      <c r="CR156" s="233"/>
    </row>
    <row r="157" spans="1:96" hidden="1" outlineLevel="1" x14ac:dyDescent="0.2">
      <c r="B157" s="728" t="s">
        <v>341</v>
      </c>
      <c r="D157" s="312"/>
      <c r="E157" s="312"/>
      <c r="F157" s="312">
        <f t="shared" ref="F157:AK157" si="233">Fiscal_Year</f>
        <v>36707</v>
      </c>
      <c r="G157" s="312">
        <f t="shared" si="233"/>
        <v>37072</v>
      </c>
      <c r="H157" s="312">
        <f t="shared" si="233"/>
        <v>37437</v>
      </c>
      <c r="I157" s="312">
        <f t="shared" si="233"/>
        <v>37802</v>
      </c>
      <c r="J157" s="312">
        <f t="shared" si="233"/>
        <v>38168</v>
      </c>
      <c r="K157" s="312">
        <f t="shared" si="233"/>
        <v>38533</v>
      </c>
      <c r="L157" s="312">
        <f t="shared" si="233"/>
        <v>38898</v>
      </c>
      <c r="M157" s="312">
        <f t="shared" si="233"/>
        <v>39263</v>
      </c>
      <c r="N157" s="312">
        <f t="shared" si="233"/>
        <v>39629</v>
      </c>
      <c r="O157" s="312">
        <f t="shared" si="233"/>
        <v>39994</v>
      </c>
      <c r="P157" s="312">
        <f t="shared" si="233"/>
        <v>40359</v>
      </c>
      <c r="Q157" s="312">
        <f t="shared" si="233"/>
        <v>40724</v>
      </c>
      <c r="R157" s="312">
        <f t="shared" si="233"/>
        <v>41090</v>
      </c>
      <c r="S157" s="312">
        <f t="shared" si="233"/>
        <v>41455</v>
      </c>
      <c r="T157" s="312">
        <f t="shared" si="233"/>
        <v>41820</v>
      </c>
      <c r="U157" s="312">
        <f t="shared" si="233"/>
        <v>42185</v>
      </c>
      <c r="V157" s="312">
        <f t="shared" si="233"/>
        <v>42551</v>
      </c>
      <c r="W157" s="312">
        <f t="shared" si="233"/>
        <v>42916</v>
      </c>
      <c r="X157" s="312">
        <f t="shared" si="233"/>
        <v>43281</v>
      </c>
      <c r="Y157" s="312">
        <f t="shared" si="233"/>
        <v>43646</v>
      </c>
      <c r="Z157" s="312">
        <f t="shared" si="233"/>
        <v>44012</v>
      </c>
      <c r="AA157" s="312">
        <f t="shared" si="233"/>
        <v>44377</v>
      </c>
      <c r="AB157" s="312">
        <f t="shared" si="233"/>
        <v>44742</v>
      </c>
      <c r="AC157" s="312">
        <f t="shared" si="233"/>
        <v>45107</v>
      </c>
      <c r="AD157" s="312">
        <f t="shared" si="233"/>
        <v>45473</v>
      </c>
      <c r="AE157" s="312">
        <f t="shared" si="233"/>
        <v>45838</v>
      </c>
      <c r="AF157" s="312">
        <f t="shared" si="233"/>
        <v>46203</v>
      </c>
      <c r="AG157" s="312">
        <f t="shared" si="233"/>
        <v>46568</v>
      </c>
      <c r="AH157" s="312">
        <f t="shared" si="233"/>
        <v>46934</v>
      </c>
      <c r="AI157" s="312">
        <f t="shared" si="233"/>
        <v>47299</v>
      </c>
      <c r="AJ157" s="312">
        <f t="shared" si="233"/>
        <v>47664</v>
      </c>
      <c r="AK157" s="312">
        <f t="shared" si="233"/>
        <v>48029</v>
      </c>
      <c r="AL157" s="312">
        <f t="shared" ref="AL157:CQ157" si="234">Fiscal_Year</f>
        <v>48395</v>
      </c>
      <c r="AM157" s="312">
        <f t="shared" si="234"/>
        <v>48760</v>
      </c>
      <c r="AN157" s="312">
        <f t="shared" si="234"/>
        <v>49125</v>
      </c>
      <c r="AO157" s="312">
        <f t="shared" si="234"/>
        <v>49490</v>
      </c>
      <c r="AP157" s="312">
        <f t="shared" si="234"/>
        <v>49856</v>
      </c>
      <c r="AQ157" s="312">
        <f t="shared" si="234"/>
        <v>50221</v>
      </c>
      <c r="AR157" s="312">
        <f t="shared" si="234"/>
        <v>50586</v>
      </c>
      <c r="AS157" s="312">
        <f t="shared" si="234"/>
        <v>50951</v>
      </c>
      <c r="AT157" s="312">
        <f t="shared" si="234"/>
        <v>51317</v>
      </c>
      <c r="AU157" s="312">
        <f t="shared" si="234"/>
        <v>51682</v>
      </c>
      <c r="AV157" s="312">
        <f t="shared" si="234"/>
        <v>52047</v>
      </c>
      <c r="AW157" s="312">
        <f t="shared" si="234"/>
        <v>52412</v>
      </c>
      <c r="AX157" s="312">
        <f t="shared" si="234"/>
        <v>52778</v>
      </c>
      <c r="AY157" s="312">
        <f t="shared" si="234"/>
        <v>53143</v>
      </c>
      <c r="AZ157" s="312">
        <f t="shared" si="234"/>
        <v>53508</v>
      </c>
      <c r="BA157" s="312">
        <f t="shared" si="234"/>
        <v>53873</v>
      </c>
      <c r="BB157" s="312">
        <f t="shared" si="234"/>
        <v>54239</v>
      </c>
      <c r="BC157" s="312">
        <f t="shared" si="234"/>
        <v>54604</v>
      </c>
      <c r="BD157" s="312">
        <f t="shared" si="234"/>
        <v>54969</v>
      </c>
      <c r="BE157" s="312">
        <f t="shared" si="234"/>
        <v>55334</v>
      </c>
      <c r="BF157" s="312">
        <f t="shared" si="234"/>
        <v>55700</v>
      </c>
      <c r="BG157" s="312">
        <f t="shared" si="234"/>
        <v>56065</v>
      </c>
      <c r="BH157" s="312">
        <f t="shared" si="234"/>
        <v>56430</v>
      </c>
      <c r="BI157" s="312">
        <f t="shared" si="234"/>
        <v>56795</v>
      </c>
      <c r="BJ157" s="312">
        <f t="shared" si="234"/>
        <v>57161</v>
      </c>
      <c r="BK157" s="312">
        <f t="shared" si="234"/>
        <v>57526</v>
      </c>
      <c r="BL157" s="312">
        <f t="shared" si="234"/>
        <v>57891</v>
      </c>
      <c r="BM157" s="312">
        <f t="shared" si="234"/>
        <v>58256</v>
      </c>
      <c r="BN157" s="312">
        <f t="shared" si="234"/>
        <v>58622</v>
      </c>
      <c r="BO157" s="312">
        <f t="shared" si="234"/>
        <v>58987</v>
      </c>
      <c r="BP157" s="312">
        <f t="shared" si="234"/>
        <v>59352</v>
      </c>
      <c r="BQ157" s="312">
        <f t="shared" si="234"/>
        <v>59717</v>
      </c>
      <c r="BR157" s="312">
        <f t="shared" si="234"/>
        <v>60083</v>
      </c>
      <c r="BS157" s="312">
        <f t="shared" si="234"/>
        <v>60448</v>
      </c>
      <c r="BT157" s="312">
        <f t="shared" si="234"/>
        <v>60813</v>
      </c>
      <c r="BU157" s="312">
        <f t="shared" si="234"/>
        <v>61178</v>
      </c>
      <c r="BV157" s="312">
        <f t="shared" si="234"/>
        <v>61544</v>
      </c>
      <c r="BW157" s="312">
        <f t="shared" si="234"/>
        <v>61909</v>
      </c>
      <c r="BX157" s="312">
        <f t="shared" si="234"/>
        <v>62274</v>
      </c>
      <c r="BY157" s="312">
        <f t="shared" si="234"/>
        <v>62639</v>
      </c>
      <c r="BZ157" s="312">
        <f t="shared" si="234"/>
        <v>63005</v>
      </c>
      <c r="CA157" s="312">
        <f t="shared" si="234"/>
        <v>63370</v>
      </c>
      <c r="CB157" s="312">
        <f t="shared" si="234"/>
        <v>63735</v>
      </c>
      <c r="CC157" s="312">
        <f t="shared" si="234"/>
        <v>64100</v>
      </c>
      <c r="CD157" s="312">
        <f t="shared" si="234"/>
        <v>64466</v>
      </c>
      <c r="CE157" s="312">
        <f t="shared" si="234"/>
        <v>64831</v>
      </c>
      <c r="CF157" s="312">
        <f t="shared" si="234"/>
        <v>65196</v>
      </c>
      <c r="CG157" s="312">
        <f t="shared" si="234"/>
        <v>65561</v>
      </c>
      <c r="CH157" s="312">
        <f t="shared" si="234"/>
        <v>65927</v>
      </c>
      <c r="CI157" s="312">
        <f t="shared" si="234"/>
        <v>66292</v>
      </c>
      <c r="CJ157" s="312">
        <f t="shared" si="234"/>
        <v>66657</v>
      </c>
      <c r="CK157" s="312">
        <f t="shared" si="234"/>
        <v>67022</v>
      </c>
      <c r="CL157" s="312">
        <f t="shared" si="234"/>
        <v>67388</v>
      </c>
      <c r="CM157" s="312">
        <f t="shared" si="234"/>
        <v>67753</v>
      </c>
      <c r="CN157" s="312">
        <f t="shared" si="234"/>
        <v>68118</v>
      </c>
      <c r="CO157" s="312">
        <f t="shared" si="234"/>
        <v>68483</v>
      </c>
      <c r="CP157" s="312">
        <f t="shared" si="234"/>
        <v>68849</v>
      </c>
      <c r="CQ157" s="312">
        <f t="shared" si="234"/>
        <v>0</v>
      </c>
    </row>
    <row r="158" spans="1:96" ht="5.0999999999999996" hidden="1" customHeight="1" outlineLevel="1" x14ac:dyDescent="0.2">
      <c r="B158" s="107"/>
      <c r="D158" s="108"/>
      <c r="E158" s="108"/>
      <c r="F158" s="108"/>
      <c r="G158" s="108"/>
      <c r="H158" s="10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08"/>
      <c r="W158" s="108"/>
      <c r="X158" s="108"/>
      <c r="Y158" s="108"/>
      <c r="Z158" s="108"/>
      <c r="AA158" s="108"/>
      <c r="AB158" s="108"/>
      <c r="AC158" s="108"/>
      <c r="AD158" s="108"/>
      <c r="AE158" s="108"/>
      <c r="AF158" s="108"/>
      <c r="AG158" s="108"/>
      <c r="AH158" s="108"/>
      <c r="AI158" s="108"/>
      <c r="AJ158" s="108"/>
      <c r="AK158" s="108"/>
      <c r="AL158" s="108"/>
      <c r="AM158" s="108"/>
      <c r="AN158" s="108"/>
      <c r="AO158" s="108"/>
      <c r="AP158" s="108"/>
      <c r="AQ158" s="108"/>
      <c r="AR158" s="108"/>
      <c r="AS158" s="108"/>
      <c r="AT158" s="108"/>
      <c r="AU158" s="108"/>
      <c r="AV158" s="108"/>
      <c r="AW158" s="108"/>
      <c r="AX158" s="108"/>
      <c r="AY158" s="108"/>
      <c r="AZ158" s="108"/>
      <c r="BA158" s="108"/>
      <c r="BB158" s="108"/>
      <c r="BC158" s="108"/>
      <c r="BD158" s="108"/>
      <c r="BE158" s="108"/>
      <c r="BF158" s="108"/>
      <c r="BG158" s="108"/>
      <c r="BH158" s="108"/>
      <c r="BI158" s="108"/>
      <c r="BJ158" s="108"/>
      <c r="BK158" s="108"/>
      <c r="BL158" s="108"/>
      <c r="BM158" s="108"/>
      <c r="BN158" s="108"/>
      <c r="BO158" s="108"/>
      <c r="BP158" s="108"/>
      <c r="BQ158" s="108"/>
      <c r="BR158" s="108"/>
      <c r="BS158" s="108"/>
      <c r="BT158" s="108"/>
      <c r="BU158" s="108"/>
      <c r="BV158" s="108"/>
      <c r="BW158" s="108"/>
      <c r="BX158" s="108"/>
      <c r="BY158" s="108"/>
      <c r="BZ158" s="108"/>
      <c r="CA158" s="108"/>
      <c r="CB158" s="108"/>
      <c r="CC158" s="108"/>
      <c r="CD158" s="108"/>
      <c r="CE158" s="108"/>
      <c r="CF158" s="108"/>
      <c r="CG158" s="108"/>
      <c r="CH158" s="108"/>
      <c r="CI158" s="108"/>
      <c r="CJ158" s="108"/>
      <c r="CK158" s="108"/>
      <c r="CL158" s="108"/>
      <c r="CM158" s="108"/>
      <c r="CN158" s="108"/>
      <c r="CO158" s="108"/>
      <c r="CP158" s="108"/>
      <c r="CQ158" s="23" t="s">
        <v>77</v>
      </c>
    </row>
    <row r="159" spans="1:96" hidden="1" outlineLevel="1" x14ac:dyDescent="0.2">
      <c r="B159" s="1" t="s">
        <v>317</v>
      </c>
      <c r="D159" s="3"/>
      <c r="E159" s="3"/>
      <c r="F159" s="3"/>
      <c r="G159" s="3"/>
      <c r="H159" s="3"/>
      <c r="I159" s="3"/>
      <c r="J159" s="3"/>
      <c r="K159" s="3"/>
      <c r="L159" s="3">
        <f>+K164</f>
        <v>0</v>
      </c>
      <c r="M159" s="3">
        <f>+L164</f>
        <v>0</v>
      </c>
      <c r="N159" s="3">
        <f>+M164</f>
        <v>0</v>
      </c>
      <c r="O159" s="3">
        <f>+N164</f>
        <v>0</v>
      </c>
      <c r="P159" s="3">
        <f>+O164</f>
        <v>0</v>
      </c>
      <c r="Q159" s="33">
        <v>92.1</v>
      </c>
      <c r="R159" s="35">
        <f t="shared" ref="R159:BD159" si="235">+Q164</f>
        <v>105.5</v>
      </c>
      <c r="S159" s="33">
        <f t="shared" si="235"/>
        <v>104.4</v>
      </c>
      <c r="T159" s="33">
        <f t="shared" si="235"/>
        <v>103.20000000000002</v>
      </c>
      <c r="U159" s="33">
        <f t="shared" si="235"/>
        <v>101.30000000000001</v>
      </c>
      <c r="V159" s="230">
        <v>107.4</v>
      </c>
      <c r="W159" s="33">
        <f t="shared" si="235"/>
        <v>115.8</v>
      </c>
      <c r="X159" s="33">
        <f t="shared" si="235"/>
        <v>123</v>
      </c>
      <c r="Y159" s="33">
        <f t="shared" si="235"/>
        <v>124.69999999999999</v>
      </c>
      <c r="Z159" s="33">
        <f t="shared" si="235"/>
        <v>126</v>
      </c>
      <c r="AA159" s="33">
        <f t="shared" si="235"/>
        <v>127.2</v>
      </c>
      <c r="AB159" s="33">
        <f t="shared" si="235"/>
        <v>128.20000000000002</v>
      </c>
      <c r="AC159" s="33">
        <f t="shared" si="235"/>
        <v>129.24825672955976</v>
      </c>
      <c r="AD159" s="33">
        <f t="shared" si="235"/>
        <v>130.30508477090632</v>
      </c>
      <c r="AE159" s="33">
        <f t="shared" si="235"/>
        <v>131.37055420933811</v>
      </c>
      <c r="AF159" s="33">
        <f t="shared" si="235"/>
        <v>132.44473570322214</v>
      </c>
      <c r="AG159" s="33">
        <f t="shared" si="235"/>
        <v>133.52770048867973</v>
      </c>
      <c r="AH159" s="33">
        <f t="shared" si="235"/>
        <v>134.61952038431076</v>
      </c>
      <c r="AI159" s="33">
        <f t="shared" si="235"/>
        <v>135.72026779595632</v>
      </c>
      <c r="AJ159" s="33">
        <f t="shared" si="235"/>
        <v>136.8300157215005</v>
      </c>
      <c r="AK159" s="33">
        <f t="shared" si="235"/>
        <v>137.94883775571134</v>
      </c>
      <c r="AL159" s="33">
        <f t="shared" si="235"/>
        <v>139.07680809512141</v>
      </c>
      <c r="AM159" s="33">
        <f t="shared" si="235"/>
        <v>140.21400154294821</v>
      </c>
      <c r="AN159" s="33">
        <f t="shared" si="235"/>
        <v>141.36049351405507</v>
      </c>
      <c r="AO159" s="33">
        <f t="shared" si="235"/>
        <v>142.51636003995208</v>
      </c>
      <c r="AP159" s="33">
        <f t="shared" si="235"/>
        <v>143.68167777383852</v>
      </c>
      <c r="AQ159" s="33">
        <f t="shared" si="235"/>
        <v>144.8565239956861</v>
      </c>
      <c r="AR159" s="33">
        <f t="shared" si="235"/>
        <v>146.04097661736404</v>
      </c>
      <c r="AS159" s="33">
        <f t="shared" si="235"/>
        <v>147.23511418780575</v>
      </c>
      <c r="AT159" s="33">
        <f t="shared" si="235"/>
        <v>148.43901589821812</v>
      </c>
      <c r="AU159" s="33">
        <f t="shared" si="235"/>
        <v>149.65276158733306</v>
      </c>
      <c r="AV159" s="33">
        <f t="shared" si="235"/>
        <v>150.8764317467022</v>
      </c>
      <c r="AW159" s="33">
        <f t="shared" si="235"/>
        <v>152.11010752603482</v>
      </c>
      <c r="AX159" s="33">
        <f t="shared" si="235"/>
        <v>153.35387073857945</v>
      </c>
      <c r="AY159" s="33">
        <f t="shared" si="235"/>
        <v>154.60780386654943</v>
      </c>
      <c r="AZ159" s="33">
        <f t="shared" si="235"/>
        <v>155.87199006659284</v>
      </c>
      <c r="BA159" s="33">
        <f t="shared" si="235"/>
        <v>157.14651317530718</v>
      </c>
      <c r="BB159" s="33">
        <f t="shared" si="235"/>
        <v>158.43145771479914</v>
      </c>
      <c r="BC159" s="33">
        <f t="shared" si="235"/>
        <v>159.72690889828976</v>
      </c>
      <c r="BD159" s="33">
        <f t="shared" si="235"/>
        <v>161.03295263576567</v>
      </c>
      <c r="BE159" s="33">
        <f t="shared" ref="BE159:CP159" si="236">+BD164</f>
        <v>162.34967553967613</v>
      </c>
      <c r="BF159" s="33">
        <f t="shared" si="236"/>
        <v>163.67716493067695</v>
      </c>
      <c r="BG159" s="33">
        <f t="shared" si="236"/>
        <v>165.01550884342146</v>
      </c>
      <c r="BH159" s="33">
        <f t="shared" si="236"/>
        <v>166.3647960323984</v>
      </c>
      <c r="BI159" s="33">
        <f t="shared" si="236"/>
        <v>167.72511597781801</v>
      </c>
      <c r="BJ159" s="33">
        <f t="shared" si="236"/>
        <v>169.09655889154607</v>
      </c>
      <c r="BK159" s="33">
        <f t="shared" si="236"/>
        <v>170.47921572308633</v>
      </c>
      <c r="BL159" s="33">
        <f t="shared" si="236"/>
        <v>171.87317816561205</v>
      </c>
      <c r="BM159" s="33">
        <f t="shared" si="236"/>
        <v>173.27853866204669</v>
      </c>
      <c r="BN159" s="33">
        <f t="shared" si="236"/>
        <v>174.69539041119467</v>
      </c>
      <c r="BO159" s="33">
        <f t="shared" si="236"/>
        <v>176.12382737392167</v>
      </c>
      <c r="BP159" s="33">
        <f t="shared" si="236"/>
        <v>177.56394427938602</v>
      </c>
      <c r="BQ159" s="33">
        <f t="shared" si="236"/>
        <v>179.01583663132081</v>
      </c>
      <c r="BR159" s="33">
        <f t="shared" si="236"/>
        <v>180.47960071436725</v>
      </c>
      <c r="BS159" s="33">
        <f t="shared" si="236"/>
        <v>181.95533360046002</v>
      </c>
      <c r="BT159" s="33">
        <f t="shared" si="236"/>
        <v>183.4431331552648</v>
      </c>
      <c r="BU159" s="33">
        <f t="shared" si="236"/>
        <v>184.94309804466832</v>
      </c>
      <c r="BV159" s="33">
        <f t="shared" si="236"/>
        <v>186.45532774132161</v>
      </c>
      <c r="BW159" s="33">
        <f t="shared" si="236"/>
        <v>187.97992253123667</v>
      </c>
      <c r="BX159" s="33">
        <f t="shared" si="236"/>
        <v>189.51698352043704</v>
      </c>
      <c r="BY159" s="33">
        <f t="shared" si="236"/>
        <v>191.06661264166297</v>
      </c>
      <c r="BZ159" s="33">
        <f t="shared" si="236"/>
        <v>192.62891266113107</v>
      </c>
      <c r="CA159" s="33">
        <f t="shared" si="236"/>
        <v>194.20398718534955</v>
      </c>
      <c r="CB159" s="33">
        <f t="shared" si="236"/>
        <v>195.79194066798902</v>
      </c>
      <c r="CC159" s="33">
        <f t="shared" si="236"/>
        <v>197.39287841680948</v>
      </c>
      <c r="CD159" s="33">
        <f t="shared" si="236"/>
        <v>199.00690660064402</v>
      </c>
      <c r="CE159" s="33">
        <f t="shared" si="236"/>
        <v>200.63413225643959</v>
      </c>
      <c r="CF159" s="33">
        <f t="shared" si="236"/>
        <v>202.2746632963553</v>
      </c>
      <c r="CG159" s="33">
        <f t="shared" si="236"/>
        <v>203.92860851491878</v>
      </c>
      <c r="CH159" s="33">
        <f t="shared" si="236"/>
        <v>205.59607759624109</v>
      </c>
      <c r="CI159" s="33">
        <f t="shared" si="236"/>
        <v>207.27718112129062</v>
      </c>
      <c r="CJ159" s="33">
        <f t="shared" si="236"/>
        <v>208.97203057522643</v>
      </c>
      <c r="CK159" s="33">
        <f t="shared" si="236"/>
        <v>210.68073835479152</v>
      </c>
      <c r="CL159" s="33">
        <f t="shared" si="236"/>
        <v>212.40341777576677</v>
      </c>
      <c r="CM159" s="33">
        <f t="shared" si="236"/>
        <v>214.14018308048549</v>
      </c>
      <c r="CN159" s="33">
        <f t="shared" si="236"/>
        <v>215.89114944540961</v>
      </c>
      <c r="CO159" s="33">
        <f t="shared" si="236"/>
        <v>217.65643298876793</v>
      </c>
      <c r="CP159" s="33">
        <f t="shared" si="236"/>
        <v>219.4361507782566</v>
      </c>
      <c r="CQ159" s="23" t="s">
        <v>77</v>
      </c>
    </row>
    <row r="160" spans="1:96" hidden="1" outlineLevel="1" x14ac:dyDescent="0.2">
      <c r="B160" s="7" t="s">
        <v>318</v>
      </c>
      <c r="D160" s="9"/>
      <c r="E160" s="9"/>
      <c r="F160" s="9"/>
      <c r="G160" s="9"/>
      <c r="H160" s="9"/>
      <c r="I160" s="9"/>
      <c r="J160" s="9"/>
      <c r="Q160" s="9">
        <v>16.2</v>
      </c>
      <c r="R160" s="9">
        <v>1.7</v>
      </c>
      <c r="S160" s="208">
        <v>1.7</v>
      </c>
      <c r="T160" s="208">
        <v>1.4</v>
      </c>
      <c r="U160" s="198">
        <v>1.7</v>
      </c>
      <c r="V160" s="39">
        <v>13.1</v>
      </c>
      <c r="W160" s="231">
        <v>7.9</v>
      </c>
      <c r="X160" s="231">
        <v>2.7</v>
      </c>
      <c r="Y160" s="231">
        <v>2.4</v>
      </c>
      <c r="Z160" s="231">
        <v>2.5</v>
      </c>
      <c r="AA160" s="231">
        <v>2.6</v>
      </c>
      <c r="AB160" s="272">
        <f t="shared" ref="AB160:BD160" si="237">+AA160/AA159*AB159</f>
        <v>2.6204402515723273</v>
      </c>
      <c r="AC160" s="272">
        <f t="shared" si="237"/>
        <v>2.6418668828369132</v>
      </c>
      <c r="AD160" s="272">
        <f t="shared" si="237"/>
        <v>2.6634687138707265</v>
      </c>
      <c r="AE160" s="272">
        <f t="shared" si="237"/>
        <v>2.6852471772348983</v>
      </c>
      <c r="AF160" s="272">
        <f t="shared" si="237"/>
        <v>2.707203717204226</v>
      </c>
      <c r="AG160" s="272">
        <f t="shared" si="237"/>
        <v>2.7293397898629501</v>
      </c>
      <c r="AH160" s="272">
        <f t="shared" si="237"/>
        <v>2.7516568632013203</v>
      </c>
      <c r="AI160" s="272">
        <f t="shared" si="237"/>
        <v>2.7741564172129434</v>
      </c>
      <c r="AJ160" s="272">
        <f t="shared" si="237"/>
        <v>2.7968399439929348</v>
      </c>
      <c r="AK160" s="272">
        <f t="shared" si="237"/>
        <v>2.8197089478368667</v>
      </c>
      <c r="AL160" s="272">
        <f t="shared" si="237"/>
        <v>2.8427649453405319</v>
      </c>
      <c r="AM160" s="272">
        <f t="shared" si="237"/>
        <v>2.8660094655005137</v>
      </c>
      <c r="AN160" s="272">
        <f t="shared" si="237"/>
        <v>2.8894440498155909</v>
      </c>
      <c r="AO160" s="272">
        <f t="shared" si="237"/>
        <v>2.9130702523889576</v>
      </c>
      <c r="AP160" s="272">
        <f t="shared" si="237"/>
        <v>2.93688964003129</v>
      </c>
      <c r="AQ160" s="272">
        <f t="shared" si="237"/>
        <v>2.9609037923646531</v>
      </c>
      <c r="AR160" s="272">
        <f t="shared" si="237"/>
        <v>2.9851143019272524</v>
      </c>
      <c r="AS160" s="272">
        <f t="shared" si="237"/>
        <v>3.009522774279048</v>
      </c>
      <c r="AT160" s="272">
        <f t="shared" si="237"/>
        <v>3.034130828108232</v>
      </c>
      <c r="AU160" s="272">
        <f t="shared" si="237"/>
        <v>3.0589400953385688</v>
      </c>
      <c r="AV160" s="272">
        <f t="shared" si="237"/>
        <v>3.0839522212376234</v>
      </c>
      <c r="AW160" s="272">
        <f t="shared" si="237"/>
        <v>3.109168864525869</v>
      </c>
      <c r="AX160" s="272">
        <f t="shared" si="237"/>
        <v>3.1345916974866865</v>
      </c>
      <c r="AY160" s="272">
        <f t="shared" si="237"/>
        <v>3.1602224060772679</v>
      </c>
      <c r="AZ160" s="272">
        <f t="shared" si="237"/>
        <v>3.1860626900404196</v>
      </c>
      <c r="BA160" s="272">
        <f t="shared" si="237"/>
        <v>3.212114263017285</v>
      </c>
      <c r="BB160" s="272">
        <f t="shared" si="237"/>
        <v>3.2383788526609885</v>
      </c>
      <c r="BC160" s="272">
        <f t="shared" si="237"/>
        <v>3.2648582007512057</v>
      </c>
      <c r="BD160" s="272">
        <f t="shared" si="237"/>
        <v>3.2915540633096754</v>
      </c>
      <c r="BE160" s="272">
        <f t="shared" ref="BE160:CP160" si="238">+BD160/BD159*BE159</f>
        <v>3.3184682107166501</v>
      </c>
      <c r="BF160" s="272">
        <f t="shared" si="238"/>
        <v>3.3456024278283021</v>
      </c>
      <c r="BG160" s="272">
        <f t="shared" si="238"/>
        <v>3.3729585140950924</v>
      </c>
      <c r="BH160" s="272">
        <f t="shared" si="238"/>
        <v>3.4005382836810991</v>
      </c>
      <c r="BI160" s="272">
        <f t="shared" si="238"/>
        <v>3.42834356558433</v>
      </c>
      <c r="BJ160" s="272">
        <f t="shared" si="238"/>
        <v>3.4563762037580168</v>
      </c>
      <c r="BK160" s="272">
        <f t="shared" si="238"/>
        <v>3.4846380572328965</v>
      </c>
      <c r="BL160" s="272">
        <f t="shared" si="238"/>
        <v>3.5131310002404974</v>
      </c>
      <c r="BM160" s="272">
        <f t="shared" si="238"/>
        <v>3.5418569223374319</v>
      </c>
      <c r="BN160" s="272">
        <f t="shared" si="238"/>
        <v>3.5708177285307086</v>
      </c>
      <c r="BO160" s="272">
        <f t="shared" si="238"/>
        <v>3.600015339404059</v>
      </c>
      <c r="BP160" s="272">
        <f t="shared" si="238"/>
        <v>3.6294516912453116</v>
      </c>
      <c r="BQ160" s="272">
        <f t="shared" si="238"/>
        <v>3.6591287361747962</v>
      </c>
      <c r="BR160" s="272">
        <f t="shared" si="238"/>
        <v>3.6890484422748022</v>
      </c>
      <c r="BS160" s="272">
        <f t="shared" si="238"/>
        <v>3.7192127937200947</v>
      </c>
      <c r="BT160" s="272">
        <f t="shared" si="238"/>
        <v>3.7496237909095007</v>
      </c>
      <c r="BU160" s="272">
        <f t="shared" si="238"/>
        <v>3.7802834505985659</v>
      </c>
      <c r="BV160" s="272">
        <f t="shared" si="238"/>
        <v>3.811193806033303</v>
      </c>
      <c r="BW160" s="272">
        <f t="shared" si="238"/>
        <v>3.8423569070850259</v>
      </c>
      <c r="BX160" s="272">
        <f t="shared" si="238"/>
        <v>3.8737748203862914</v>
      </c>
      <c r="BY160" s="272">
        <f t="shared" si="238"/>
        <v>3.9054496294679537</v>
      </c>
      <c r="BZ160" s="272">
        <f t="shared" si="238"/>
        <v>3.9373834348973329</v>
      </c>
      <c r="CA160" s="272">
        <f t="shared" si="238"/>
        <v>3.9695783544175218</v>
      </c>
      <c r="CB160" s="272">
        <f t="shared" si="238"/>
        <v>4.0020365230878259</v>
      </c>
      <c r="CC160" s="272">
        <f t="shared" si="238"/>
        <v>4.0347600934253505</v>
      </c>
      <c r="CD160" s="272">
        <f t="shared" si="238"/>
        <v>4.067751235547755</v>
      </c>
      <c r="CE160" s="272">
        <f t="shared" si="238"/>
        <v>4.1010121373171611</v>
      </c>
      <c r="CF160" s="272">
        <f t="shared" si="238"/>
        <v>4.1345450044852496</v>
      </c>
      <c r="CG160" s="272">
        <f t="shared" si="238"/>
        <v>4.1683520608395348</v>
      </c>
      <c r="CH160" s="272">
        <f t="shared" si="238"/>
        <v>4.2024355483508398</v>
      </c>
      <c r="CI160" s="272">
        <f t="shared" si="238"/>
        <v>4.2367977273219779</v>
      </c>
      <c r="CJ160" s="272">
        <f t="shared" si="238"/>
        <v>4.271440876537647</v>
      </c>
      <c r="CK160" s="272">
        <f t="shared" si="238"/>
        <v>4.3063672934155495</v>
      </c>
      <c r="CL160" s="272">
        <f t="shared" si="238"/>
        <v>4.3415792941587545</v>
      </c>
      <c r="CM160" s="272">
        <f t="shared" si="238"/>
        <v>4.377079213909294</v>
      </c>
      <c r="CN160" s="272">
        <f t="shared" si="238"/>
        <v>4.4128694069030265</v>
      </c>
      <c r="CO160" s="272">
        <f t="shared" si="238"/>
        <v>4.4489522466257592</v>
      </c>
      <c r="CP160" s="272">
        <f t="shared" si="238"/>
        <v>4.4853301259706537</v>
      </c>
      <c r="CQ160" s="362" t="s">
        <v>77</v>
      </c>
    </row>
    <row r="161" spans="1:96" hidden="1" outlineLevel="1" x14ac:dyDescent="0.2">
      <c r="A161" s="233"/>
      <c r="B161" s="7" t="s">
        <v>328</v>
      </c>
      <c r="D161" s="9"/>
      <c r="E161" s="9"/>
      <c r="F161" s="9"/>
      <c r="G161" s="9"/>
      <c r="H161" s="9"/>
      <c r="I161" s="9"/>
      <c r="J161" s="9"/>
      <c r="Q161" s="9">
        <v>2.2999999999999998</v>
      </c>
      <c r="R161" s="9">
        <v>2.7</v>
      </c>
      <c r="S161" s="208">
        <v>2.7</v>
      </c>
      <c r="T161" s="208">
        <v>2.6</v>
      </c>
      <c r="U161" s="198">
        <v>2.6</v>
      </c>
      <c r="V161" s="39">
        <v>1.4</v>
      </c>
      <c r="W161" s="231">
        <v>2.8</v>
      </c>
      <c r="X161" s="231">
        <v>2.9</v>
      </c>
      <c r="Y161" s="231">
        <v>3</v>
      </c>
      <c r="Z161" s="231">
        <v>3</v>
      </c>
      <c r="AA161" s="231">
        <v>3</v>
      </c>
      <c r="AB161" s="272">
        <f t="shared" ref="AB161:BD161" si="239">+AB159*AB168</f>
        <v>3.0639800000000004</v>
      </c>
      <c r="AC161" s="272">
        <f t="shared" si="239"/>
        <v>3.0890333358364783</v>
      </c>
      <c r="AD161" s="272">
        <f t="shared" si="239"/>
        <v>3.1142915260246613</v>
      </c>
      <c r="AE161" s="272">
        <f t="shared" si="239"/>
        <v>3.1397562456031811</v>
      </c>
      <c r="AF161" s="272">
        <f t="shared" si="239"/>
        <v>3.1654291833070092</v>
      </c>
      <c r="AG161" s="272">
        <f t="shared" si="239"/>
        <v>3.1913120416794456</v>
      </c>
      <c r="AH161" s="272">
        <f t="shared" si="239"/>
        <v>3.2174065371850271</v>
      </c>
      <c r="AI161" s="272">
        <f t="shared" si="239"/>
        <v>3.243714400323356</v>
      </c>
      <c r="AJ161" s="272">
        <f t="shared" si="239"/>
        <v>3.2702373757438621</v>
      </c>
      <c r="AK161" s="272">
        <f t="shared" si="239"/>
        <v>3.2969772223615013</v>
      </c>
      <c r="AL161" s="272">
        <f t="shared" si="239"/>
        <v>3.3239357134734018</v>
      </c>
      <c r="AM161" s="272">
        <f t="shared" si="239"/>
        <v>3.3511146368764626</v>
      </c>
      <c r="AN161" s="272">
        <f t="shared" si="239"/>
        <v>3.3785157949859164</v>
      </c>
      <c r="AO161" s="272">
        <f t="shared" si="239"/>
        <v>3.4061410049548546</v>
      </c>
      <c r="AP161" s="272">
        <f t="shared" si="239"/>
        <v>3.4339920987947408</v>
      </c>
      <c r="AQ161" s="272">
        <f t="shared" si="239"/>
        <v>3.4620709234968978</v>
      </c>
      <c r="AR161" s="272">
        <f t="shared" si="239"/>
        <v>3.4903793411550006</v>
      </c>
      <c r="AS161" s="272">
        <f t="shared" si="239"/>
        <v>3.5189192290885574</v>
      </c>
      <c r="AT161" s="272">
        <f t="shared" si="239"/>
        <v>3.547692479967413</v>
      </c>
      <c r="AU161" s="272">
        <f t="shared" si="239"/>
        <v>3.5767010019372605</v>
      </c>
      <c r="AV161" s="272">
        <f t="shared" si="239"/>
        <v>3.6059467187461824</v>
      </c>
      <c r="AW161" s="272">
        <f t="shared" si="239"/>
        <v>3.6354315698722326</v>
      </c>
      <c r="AX161" s="272">
        <f t="shared" si="239"/>
        <v>3.6651575106520489</v>
      </c>
      <c r="AY161" s="272">
        <f t="shared" si="239"/>
        <v>3.6951265124105315</v>
      </c>
      <c r="AZ161" s="272">
        <f t="shared" si="239"/>
        <v>3.725340562591569</v>
      </c>
      <c r="BA161" s="272">
        <f t="shared" si="239"/>
        <v>3.7558016648898418</v>
      </c>
      <c r="BB161" s="272">
        <f t="shared" si="239"/>
        <v>3.7865118393836994</v>
      </c>
      <c r="BC161" s="272">
        <f t="shared" si="239"/>
        <v>3.8174731226691256</v>
      </c>
      <c r="BD161" s="272">
        <f t="shared" si="239"/>
        <v>3.8486875679947996</v>
      </c>
      <c r="BE161" s="272">
        <f t="shared" ref="BE161:CP161" si="240">+BE159*BE168</f>
        <v>3.8801572453982596</v>
      </c>
      <c r="BF161" s="272">
        <f t="shared" si="240"/>
        <v>3.9118842418431794</v>
      </c>
      <c r="BG161" s="272">
        <f t="shared" si="240"/>
        <v>3.943870661357773</v>
      </c>
      <c r="BH161" s="272">
        <f t="shared" si="240"/>
        <v>3.9761186251743221</v>
      </c>
      <c r="BI161" s="272">
        <f t="shared" si="240"/>
        <v>4.0086302718698503</v>
      </c>
      <c r="BJ161" s="272">
        <f t="shared" si="240"/>
        <v>4.041407757507951</v>
      </c>
      <c r="BK161" s="272">
        <f t="shared" si="240"/>
        <v>4.074453255781763</v>
      </c>
      <c r="BL161" s="272">
        <f t="shared" si="240"/>
        <v>4.107768958158128</v>
      </c>
      <c r="BM161" s="272">
        <f t="shared" si="240"/>
        <v>4.141357074022916</v>
      </c>
      <c r="BN161" s="272">
        <f t="shared" si="240"/>
        <v>4.1752198308275528</v>
      </c>
      <c r="BO161" s="272">
        <f t="shared" si="240"/>
        <v>4.2093594742367282</v>
      </c>
      <c r="BP161" s="272">
        <f t="shared" si="240"/>
        <v>4.2437782682773264</v>
      </c>
      <c r="BQ161" s="272">
        <f t="shared" si="240"/>
        <v>4.2784784954885673</v>
      </c>
      <c r="BR161" s="272">
        <f t="shared" si="240"/>
        <v>4.3134624570733777</v>
      </c>
      <c r="BS161" s="272">
        <f t="shared" si="240"/>
        <v>4.3487324730509949</v>
      </c>
      <c r="BT161" s="272">
        <f t="shared" si="240"/>
        <v>4.3842908824108289</v>
      </c>
      <c r="BU161" s="272">
        <f t="shared" si="240"/>
        <v>4.4201400432675726</v>
      </c>
      <c r="BV161" s="272">
        <f t="shared" si="240"/>
        <v>4.4562823330175867</v>
      </c>
      <c r="BW161" s="272">
        <f t="shared" si="240"/>
        <v>4.4927201484965567</v>
      </c>
      <c r="BX161" s="272">
        <f t="shared" si="240"/>
        <v>4.5294559061384456</v>
      </c>
      <c r="BY161" s="272">
        <f t="shared" si="240"/>
        <v>4.5664920421357449</v>
      </c>
      <c r="BZ161" s="272">
        <f t="shared" si="240"/>
        <v>4.6038310126010327</v>
      </c>
      <c r="CA161" s="272">
        <f t="shared" si="240"/>
        <v>4.6414752937298545</v>
      </c>
      <c r="CB161" s="272">
        <f t="shared" si="240"/>
        <v>4.6794273819649375</v>
      </c>
      <c r="CC161" s="272">
        <f t="shared" si="240"/>
        <v>4.7176897941617471</v>
      </c>
      <c r="CD161" s="272">
        <f t="shared" si="240"/>
        <v>4.7562650677553924</v>
      </c>
      <c r="CE161" s="272">
        <f t="shared" si="240"/>
        <v>4.7951557609289059</v>
      </c>
      <c r="CF161" s="272">
        <f t="shared" si="240"/>
        <v>4.834364452782892</v>
      </c>
      <c r="CG161" s="272">
        <f t="shared" si="240"/>
        <v>4.8738937435065592</v>
      </c>
      <c r="CH161" s="272">
        <f t="shared" si="240"/>
        <v>4.913746254550162</v>
      </c>
      <c r="CI161" s="272">
        <f t="shared" si="240"/>
        <v>4.9539246287988465</v>
      </c>
      <c r="CJ161" s="272">
        <f t="shared" si="240"/>
        <v>4.9944315307479119</v>
      </c>
      <c r="CK161" s="272">
        <f t="shared" si="240"/>
        <v>5.0352696466795175</v>
      </c>
      <c r="CL161" s="272">
        <f t="shared" si="240"/>
        <v>5.0764416848408258</v>
      </c>
      <c r="CM161" s="272">
        <f t="shared" si="240"/>
        <v>5.1179503756236038</v>
      </c>
      <c r="CN161" s="272">
        <f t="shared" si="240"/>
        <v>5.1597984717452903</v>
      </c>
      <c r="CO161" s="272">
        <f t="shared" si="240"/>
        <v>5.2019887484315541</v>
      </c>
      <c r="CP161" s="272">
        <f t="shared" si="240"/>
        <v>5.2445240036003327</v>
      </c>
      <c r="CQ161" s="362" t="s">
        <v>77</v>
      </c>
      <c r="CR161" s="233"/>
    </row>
    <row r="162" spans="1:96" hidden="1" outlineLevel="1" x14ac:dyDescent="0.2">
      <c r="A162" s="233"/>
      <c r="B162" s="7" t="s">
        <v>14</v>
      </c>
      <c r="D162" s="9"/>
      <c r="E162" s="9"/>
      <c r="F162" s="9"/>
      <c r="G162" s="9"/>
      <c r="H162" s="9"/>
      <c r="I162" s="9"/>
      <c r="J162" s="9"/>
      <c r="Q162" s="9">
        <v>-5.0999999999999996</v>
      </c>
      <c r="R162" s="9">
        <v>-5.5</v>
      </c>
      <c r="S162" s="208">
        <v>-5.6</v>
      </c>
      <c r="T162" s="208">
        <v>-5.9</v>
      </c>
      <c r="U162" s="198">
        <v>-3.4</v>
      </c>
      <c r="V162" s="39">
        <v>-3.4</v>
      </c>
      <c r="W162" s="231">
        <v>-3.5</v>
      </c>
      <c r="X162" s="231">
        <v>-3.9</v>
      </c>
      <c r="Y162" s="231">
        <v>-4.0999999999999996</v>
      </c>
      <c r="Z162" s="231">
        <v>-4.3</v>
      </c>
      <c r="AA162" s="231">
        <v>-4.5999999999999996</v>
      </c>
      <c r="AB162" s="272">
        <f t="shared" ref="AB162:BD162" si="241">+AA162/AA159*AB159</f>
        <v>-4.6361635220125788</v>
      </c>
      <c r="AC162" s="272">
        <f t="shared" si="241"/>
        <v>-4.6740721773268463</v>
      </c>
      <c r="AD162" s="272">
        <f t="shared" si="241"/>
        <v>-4.7122908014635936</v>
      </c>
      <c r="AE162" s="272">
        <f t="shared" si="241"/>
        <v>-4.7508219289540508</v>
      </c>
      <c r="AF162" s="272">
        <f t="shared" si="241"/>
        <v>-4.7896681150536304</v>
      </c>
      <c r="AG162" s="272">
        <f t="shared" si="241"/>
        <v>-4.8288319359113734</v>
      </c>
      <c r="AH162" s="272">
        <f t="shared" si="241"/>
        <v>-4.8683159887407976</v>
      </c>
      <c r="AI162" s="272">
        <f t="shared" si="241"/>
        <v>-4.9081228919921305</v>
      </c>
      <c r="AJ162" s="272">
        <f t="shared" si="241"/>
        <v>-4.9482552855259616</v>
      </c>
      <c r="AK162" s="272">
        <f t="shared" si="241"/>
        <v>-4.9887158307883031</v>
      </c>
      <c r="AL162" s="272">
        <f t="shared" si="241"/>
        <v>-5.0295072109870951</v>
      </c>
      <c r="AM162" s="272">
        <f t="shared" si="241"/>
        <v>-5.0706321312701395</v>
      </c>
      <c r="AN162" s="272">
        <f t="shared" si="241"/>
        <v>-5.112093318904507</v>
      </c>
      <c r="AO162" s="272">
        <f t="shared" si="241"/>
        <v>-5.1538935234573859</v>
      </c>
      <c r="AP162" s="272">
        <f t="shared" si="241"/>
        <v>-5.1960355169784371</v>
      </c>
      <c r="AQ162" s="272">
        <f t="shared" si="241"/>
        <v>-5.238522094183617</v>
      </c>
      <c r="AR162" s="272">
        <f t="shared" si="241"/>
        <v>-5.2813560726405235</v>
      </c>
      <c r="AS162" s="272">
        <f t="shared" si="241"/>
        <v>-5.3245402929552395</v>
      </c>
      <c r="AT162" s="272">
        <f t="shared" si="241"/>
        <v>-5.3680776189607178</v>
      </c>
      <c r="AU162" s="272">
        <f t="shared" si="241"/>
        <v>-5.4119709379066983</v>
      </c>
      <c r="AV162" s="272">
        <f t="shared" si="241"/>
        <v>-5.45622316065118</v>
      </c>
      <c r="AW162" s="272">
        <f t="shared" si="241"/>
        <v>-5.5008372218534607</v>
      </c>
      <c r="AX162" s="272">
        <f t="shared" si="241"/>
        <v>-5.5458160801687537</v>
      </c>
      <c r="AY162" s="272">
        <f t="shared" si="241"/>
        <v>-5.5911627184443979</v>
      </c>
      <c r="AZ162" s="272">
        <f t="shared" si="241"/>
        <v>-5.6368801439176659</v>
      </c>
      <c r="BA162" s="272">
        <f t="shared" si="241"/>
        <v>-5.6829713884151962</v>
      </c>
      <c r="BB162" s="272">
        <f t="shared" si="241"/>
        <v>-5.7294395085540568</v>
      </c>
      <c r="BC162" s="272">
        <f t="shared" si="241"/>
        <v>-5.7762875859444414</v>
      </c>
      <c r="BD162" s="272">
        <f t="shared" si="241"/>
        <v>-5.823518727394041</v>
      </c>
      <c r="BE162" s="272">
        <f t="shared" ref="BE162:CP162" si="242">+BD162/BD159*BE159</f>
        <v>-5.871136065114074</v>
      </c>
      <c r="BF162" s="272">
        <f t="shared" si="242"/>
        <v>-5.9191427569269965</v>
      </c>
      <c r="BG162" s="272">
        <f t="shared" si="242"/>
        <v>-5.9675419864759327</v>
      </c>
      <c r="BH162" s="272">
        <f t="shared" si="242"/>
        <v>-6.0163369634357915</v>
      </c>
      <c r="BI162" s="272">
        <f t="shared" si="242"/>
        <v>-6.065530923726123</v>
      </c>
      <c r="BJ162" s="272">
        <f t="shared" si="242"/>
        <v>-6.1151271297257228</v>
      </c>
      <c r="BK162" s="272">
        <f t="shared" si="242"/>
        <v>-6.1651288704889708</v>
      </c>
      <c r="BL162" s="272">
        <f t="shared" si="242"/>
        <v>-6.2155394619639575</v>
      </c>
      <c r="BM162" s="272">
        <f t="shared" si="242"/>
        <v>-6.2663622472123803</v>
      </c>
      <c r="BN162" s="272">
        <f t="shared" si="242"/>
        <v>-6.3176005966312534</v>
      </c>
      <c r="BO162" s="272">
        <f t="shared" si="242"/>
        <v>-6.3692579081764125</v>
      </c>
      <c r="BP162" s="272">
        <f t="shared" si="242"/>
        <v>-6.4213376075878594</v>
      </c>
      <c r="BQ162" s="272">
        <f t="shared" si="242"/>
        <v>-6.4738431486169477</v>
      </c>
      <c r="BR162" s="272">
        <f t="shared" si="242"/>
        <v>-6.5267780132554192</v>
      </c>
      <c r="BS162" s="272">
        <f t="shared" si="242"/>
        <v>-6.5801457119663214</v>
      </c>
      <c r="BT162" s="272">
        <f t="shared" si="242"/>
        <v>-6.6339497839168091</v>
      </c>
      <c r="BU162" s="272">
        <f t="shared" si="242"/>
        <v>-6.6881937972128478</v>
      </c>
      <c r="BV162" s="272">
        <f t="shared" si="242"/>
        <v>-6.7428813491358444</v>
      </c>
      <c r="BW162" s="272">
        <f t="shared" si="242"/>
        <v>-6.7980160663811997</v>
      </c>
      <c r="BX162" s="272">
        <f t="shared" si="242"/>
        <v>-6.8536016052988238</v>
      </c>
      <c r="BY162" s="272">
        <f t="shared" si="242"/>
        <v>-6.9096416521356101</v>
      </c>
      <c r="BZ162" s="272">
        <f t="shared" si="242"/>
        <v>-6.9661399232798971</v>
      </c>
      <c r="CA162" s="272">
        <f t="shared" si="242"/>
        <v>-7.0231001655079233</v>
      </c>
      <c r="CB162" s="272">
        <f t="shared" si="242"/>
        <v>-7.080526156232307</v>
      </c>
      <c r="CC162" s="272">
        <f t="shared" si="242"/>
        <v>-7.1384217037525435</v>
      </c>
      <c r="CD162" s="272">
        <f t="shared" si="242"/>
        <v>-7.1967906475075667</v>
      </c>
      <c r="CE162" s="272">
        <f t="shared" si="242"/>
        <v>-7.2556368583303623</v>
      </c>
      <c r="CF162" s="272">
        <f t="shared" si="242"/>
        <v>-7.3149642387046727</v>
      </c>
      <c r="CG162" s="272">
        <f t="shared" si="242"/>
        <v>-7.3747767230237917</v>
      </c>
      <c r="CH162" s="272">
        <f t="shared" si="242"/>
        <v>-7.4350782778514857</v>
      </c>
      <c r="CI162" s="272">
        <f t="shared" si="242"/>
        <v>-7.4958729021850381</v>
      </c>
      <c r="CJ162" s="272">
        <f t="shared" si="242"/>
        <v>-7.5571646277204527</v>
      </c>
      <c r="CK162" s="272">
        <f t="shared" si="242"/>
        <v>-7.6189575191198191</v>
      </c>
      <c r="CL162" s="272">
        <f t="shared" si="242"/>
        <v>-7.6812556742808731</v>
      </c>
      <c r="CM162" s="272">
        <f t="shared" si="242"/>
        <v>-7.7440632246087517</v>
      </c>
      <c r="CN162" s="272">
        <f t="shared" si="242"/>
        <v>-7.8073843352899699</v>
      </c>
      <c r="CO162" s="272">
        <f t="shared" si="242"/>
        <v>-7.8712232055686515</v>
      </c>
      <c r="CP162" s="272">
        <f t="shared" si="242"/>
        <v>-7.935584069025003</v>
      </c>
      <c r="CQ162" s="362" t="s">
        <v>77</v>
      </c>
      <c r="CR162" s="233"/>
    </row>
    <row r="163" spans="1:96" hidden="1" outlineLevel="1" x14ac:dyDescent="0.2">
      <c r="A163" s="233"/>
      <c r="B163" s="7" t="s">
        <v>319</v>
      </c>
      <c r="D163" s="9"/>
      <c r="E163" s="9"/>
      <c r="F163" s="9"/>
      <c r="G163" s="9"/>
      <c r="H163" s="9"/>
      <c r="I163" s="9"/>
      <c r="J163" s="9"/>
      <c r="Q163" s="9">
        <v>0</v>
      </c>
      <c r="R163" s="9">
        <v>0</v>
      </c>
      <c r="S163" s="208">
        <v>0</v>
      </c>
      <c r="T163" s="208">
        <v>0</v>
      </c>
      <c r="U163" s="198">
        <v>0</v>
      </c>
      <c r="V163" s="39">
        <v>-2.7</v>
      </c>
      <c r="W163" s="231">
        <v>0</v>
      </c>
      <c r="X163" s="231">
        <v>0</v>
      </c>
      <c r="Y163" s="231">
        <v>0</v>
      </c>
      <c r="Z163" s="231">
        <v>0</v>
      </c>
      <c r="AA163" s="231">
        <v>0</v>
      </c>
      <c r="AB163" s="157">
        <v>0</v>
      </c>
      <c r="AC163" s="157">
        <v>0</v>
      </c>
      <c r="AD163" s="157">
        <v>0</v>
      </c>
      <c r="AE163" s="157">
        <v>0</v>
      </c>
      <c r="AF163" s="157">
        <v>0</v>
      </c>
      <c r="AG163" s="157">
        <v>0</v>
      </c>
      <c r="AH163" s="157">
        <v>0</v>
      </c>
      <c r="AI163" s="157">
        <v>0</v>
      </c>
      <c r="AJ163" s="157">
        <v>0</v>
      </c>
      <c r="AK163" s="157">
        <v>0</v>
      </c>
      <c r="AL163" s="157">
        <v>0</v>
      </c>
      <c r="AM163" s="157">
        <v>0</v>
      </c>
      <c r="AN163" s="157">
        <v>0</v>
      </c>
      <c r="AO163" s="157">
        <v>0</v>
      </c>
      <c r="AP163" s="157">
        <v>0</v>
      </c>
      <c r="AQ163" s="157">
        <v>0</v>
      </c>
      <c r="AR163" s="157">
        <v>0</v>
      </c>
      <c r="AS163" s="157">
        <v>0</v>
      </c>
      <c r="AT163" s="157">
        <v>0</v>
      </c>
      <c r="AU163" s="157">
        <v>0</v>
      </c>
      <c r="AV163" s="157">
        <v>0</v>
      </c>
      <c r="AW163" s="157">
        <v>0</v>
      </c>
      <c r="AX163" s="157">
        <v>0</v>
      </c>
      <c r="AY163" s="157">
        <v>0</v>
      </c>
      <c r="AZ163" s="157">
        <v>0</v>
      </c>
      <c r="BA163" s="157">
        <v>0</v>
      </c>
      <c r="BB163" s="157">
        <v>0</v>
      </c>
      <c r="BC163" s="157">
        <v>0</v>
      </c>
      <c r="BD163" s="157">
        <v>0</v>
      </c>
      <c r="BE163" s="157">
        <v>0</v>
      </c>
      <c r="BF163" s="157">
        <v>0</v>
      </c>
      <c r="BG163" s="157">
        <v>0</v>
      </c>
      <c r="BH163" s="157">
        <v>0</v>
      </c>
      <c r="BI163" s="157">
        <v>0</v>
      </c>
      <c r="BJ163" s="157">
        <v>0</v>
      </c>
      <c r="BK163" s="157">
        <v>0</v>
      </c>
      <c r="BL163" s="157">
        <v>0</v>
      </c>
      <c r="BM163" s="157">
        <v>0</v>
      </c>
      <c r="BN163" s="157">
        <v>0</v>
      </c>
      <c r="BO163" s="157">
        <v>0</v>
      </c>
      <c r="BP163" s="157">
        <v>0</v>
      </c>
      <c r="BQ163" s="157">
        <v>0</v>
      </c>
      <c r="BR163" s="157">
        <v>0</v>
      </c>
      <c r="BS163" s="157">
        <v>0</v>
      </c>
      <c r="BT163" s="157">
        <v>0</v>
      </c>
      <c r="BU163" s="157">
        <v>0</v>
      </c>
      <c r="BV163" s="157">
        <v>0</v>
      </c>
      <c r="BW163" s="157">
        <v>0</v>
      </c>
      <c r="BX163" s="157">
        <v>0</v>
      </c>
      <c r="BY163" s="157">
        <v>0</v>
      </c>
      <c r="BZ163" s="157">
        <v>0</v>
      </c>
      <c r="CA163" s="157">
        <v>0</v>
      </c>
      <c r="CB163" s="157">
        <v>0</v>
      </c>
      <c r="CC163" s="157">
        <v>0</v>
      </c>
      <c r="CD163" s="157">
        <v>0</v>
      </c>
      <c r="CE163" s="157">
        <v>0</v>
      </c>
      <c r="CF163" s="157">
        <v>0</v>
      </c>
      <c r="CG163" s="157">
        <v>0</v>
      </c>
      <c r="CH163" s="157">
        <v>0</v>
      </c>
      <c r="CI163" s="157">
        <v>0</v>
      </c>
      <c r="CJ163" s="157">
        <v>0</v>
      </c>
      <c r="CK163" s="157">
        <v>0</v>
      </c>
      <c r="CL163" s="157">
        <v>0</v>
      </c>
      <c r="CM163" s="157">
        <v>0</v>
      </c>
      <c r="CN163" s="157">
        <v>0</v>
      </c>
      <c r="CO163" s="157">
        <v>0</v>
      </c>
      <c r="CP163" s="157">
        <v>0</v>
      </c>
      <c r="CQ163" s="23" t="s">
        <v>77</v>
      </c>
      <c r="CR163" s="233"/>
    </row>
    <row r="164" spans="1:96" s="24" customFormat="1" hidden="1" outlineLevel="1" x14ac:dyDescent="0.2">
      <c r="A164" s="104"/>
      <c r="B164" s="1" t="s">
        <v>320</v>
      </c>
      <c r="D164" s="3"/>
      <c r="E164" s="3"/>
      <c r="F164" s="3"/>
      <c r="G164" s="3">
        <f t="shared" ref="G164:AL164" si="243">SUM(G159:G163)</f>
        <v>0</v>
      </c>
      <c r="H164" s="3">
        <f t="shared" si="243"/>
        <v>0</v>
      </c>
      <c r="I164" s="3">
        <f t="shared" si="243"/>
        <v>0</v>
      </c>
      <c r="J164" s="3">
        <f t="shared" si="243"/>
        <v>0</v>
      </c>
      <c r="K164" s="35">
        <f t="shared" si="243"/>
        <v>0</v>
      </c>
      <c r="L164" s="35">
        <f t="shared" si="243"/>
        <v>0</v>
      </c>
      <c r="M164" s="35">
        <f t="shared" si="243"/>
        <v>0</v>
      </c>
      <c r="N164" s="35">
        <f t="shared" si="243"/>
        <v>0</v>
      </c>
      <c r="O164" s="35">
        <f t="shared" si="243"/>
        <v>0</v>
      </c>
      <c r="P164" s="35">
        <f t="shared" si="243"/>
        <v>0</v>
      </c>
      <c r="Q164" s="35">
        <f t="shared" si="243"/>
        <v>105.5</v>
      </c>
      <c r="R164" s="35">
        <f t="shared" si="243"/>
        <v>104.4</v>
      </c>
      <c r="S164" s="33">
        <f t="shared" si="243"/>
        <v>103.20000000000002</v>
      </c>
      <c r="T164" s="33">
        <f t="shared" si="243"/>
        <v>101.30000000000001</v>
      </c>
      <c r="U164" s="33">
        <f t="shared" si="243"/>
        <v>102.2</v>
      </c>
      <c r="V164" s="33">
        <f t="shared" si="243"/>
        <v>115.8</v>
      </c>
      <c r="W164" s="33">
        <f t="shared" si="243"/>
        <v>123</v>
      </c>
      <c r="X164" s="33">
        <f t="shared" si="243"/>
        <v>124.69999999999999</v>
      </c>
      <c r="Y164" s="33">
        <f t="shared" si="243"/>
        <v>126</v>
      </c>
      <c r="Z164" s="33">
        <f t="shared" si="243"/>
        <v>127.2</v>
      </c>
      <c r="AA164" s="33">
        <f t="shared" si="243"/>
        <v>128.20000000000002</v>
      </c>
      <c r="AB164" s="33">
        <f t="shared" si="243"/>
        <v>129.24825672955976</v>
      </c>
      <c r="AC164" s="33">
        <f t="shared" si="243"/>
        <v>130.30508477090632</v>
      </c>
      <c r="AD164" s="33">
        <f t="shared" si="243"/>
        <v>131.37055420933811</v>
      </c>
      <c r="AE164" s="33">
        <f t="shared" si="243"/>
        <v>132.44473570322214</v>
      </c>
      <c r="AF164" s="33">
        <f t="shared" si="243"/>
        <v>133.52770048867973</v>
      </c>
      <c r="AG164" s="33">
        <f t="shared" si="243"/>
        <v>134.61952038431076</v>
      </c>
      <c r="AH164" s="33">
        <f t="shared" si="243"/>
        <v>135.72026779595632</v>
      </c>
      <c r="AI164" s="33">
        <f t="shared" si="243"/>
        <v>136.8300157215005</v>
      </c>
      <c r="AJ164" s="33">
        <f t="shared" si="243"/>
        <v>137.94883775571134</v>
      </c>
      <c r="AK164" s="33">
        <f t="shared" si="243"/>
        <v>139.07680809512141</v>
      </c>
      <c r="AL164" s="33">
        <f t="shared" si="243"/>
        <v>140.21400154294821</v>
      </c>
      <c r="AM164" s="33">
        <f t="shared" ref="AM164:BD164" si="244">SUM(AM159:AM163)</f>
        <v>141.36049351405507</v>
      </c>
      <c r="AN164" s="33">
        <f t="shared" si="244"/>
        <v>142.51636003995208</v>
      </c>
      <c r="AO164" s="33">
        <f t="shared" si="244"/>
        <v>143.68167777383852</v>
      </c>
      <c r="AP164" s="33">
        <f t="shared" si="244"/>
        <v>144.8565239956861</v>
      </c>
      <c r="AQ164" s="33">
        <f t="shared" si="244"/>
        <v>146.04097661736404</v>
      </c>
      <c r="AR164" s="33">
        <f t="shared" si="244"/>
        <v>147.23511418780575</v>
      </c>
      <c r="AS164" s="33">
        <f t="shared" si="244"/>
        <v>148.43901589821812</v>
      </c>
      <c r="AT164" s="33">
        <f t="shared" si="244"/>
        <v>149.65276158733306</v>
      </c>
      <c r="AU164" s="33">
        <f t="shared" si="244"/>
        <v>150.8764317467022</v>
      </c>
      <c r="AV164" s="33">
        <f t="shared" si="244"/>
        <v>152.11010752603482</v>
      </c>
      <c r="AW164" s="33">
        <f t="shared" si="244"/>
        <v>153.35387073857945</v>
      </c>
      <c r="AX164" s="33">
        <f t="shared" si="244"/>
        <v>154.60780386654943</v>
      </c>
      <c r="AY164" s="33">
        <f t="shared" si="244"/>
        <v>155.87199006659284</v>
      </c>
      <c r="AZ164" s="33">
        <f t="shared" si="244"/>
        <v>157.14651317530718</v>
      </c>
      <c r="BA164" s="33">
        <f t="shared" si="244"/>
        <v>158.43145771479914</v>
      </c>
      <c r="BB164" s="33">
        <f t="shared" si="244"/>
        <v>159.72690889828976</v>
      </c>
      <c r="BC164" s="33">
        <f t="shared" si="244"/>
        <v>161.03295263576567</v>
      </c>
      <c r="BD164" s="33">
        <f t="shared" si="244"/>
        <v>162.34967553967613</v>
      </c>
      <c r="BE164" s="33">
        <f t="shared" ref="BE164:CP164" si="245">SUM(BE159:BE163)</f>
        <v>163.67716493067695</v>
      </c>
      <c r="BF164" s="33">
        <f t="shared" si="245"/>
        <v>165.01550884342146</v>
      </c>
      <c r="BG164" s="33">
        <f t="shared" si="245"/>
        <v>166.3647960323984</v>
      </c>
      <c r="BH164" s="33">
        <f t="shared" si="245"/>
        <v>167.72511597781801</v>
      </c>
      <c r="BI164" s="33">
        <f t="shared" si="245"/>
        <v>169.09655889154607</v>
      </c>
      <c r="BJ164" s="33">
        <f t="shared" si="245"/>
        <v>170.47921572308633</v>
      </c>
      <c r="BK164" s="33">
        <f t="shared" si="245"/>
        <v>171.87317816561205</v>
      </c>
      <c r="BL164" s="33">
        <f t="shared" si="245"/>
        <v>173.27853866204669</v>
      </c>
      <c r="BM164" s="33">
        <f t="shared" si="245"/>
        <v>174.69539041119467</v>
      </c>
      <c r="BN164" s="33">
        <f t="shared" si="245"/>
        <v>176.12382737392167</v>
      </c>
      <c r="BO164" s="33">
        <f t="shared" si="245"/>
        <v>177.56394427938602</v>
      </c>
      <c r="BP164" s="33">
        <f t="shared" si="245"/>
        <v>179.01583663132081</v>
      </c>
      <c r="BQ164" s="33">
        <f t="shared" si="245"/>
        <v>180.47960071436725</v>
      </c>
      <c r="BR164" s="33">
        <f t="shared" si="245"/>
        <v>181.95533360046002</v>
      </c>
      <c r="BS164" s="33">
        <f t="shared" si="245"/>
        <v>183.4431331552648</v>
      </c>
      <c r="BT164" s="33">
        <f t="shared" si="245"/>
        <v>184.94309804466832</v>
      </c>
      <c r="BU164" s="33">
        <f t="shared" si="245"/>
        <v>186.45532774132161</v>
      </c>
      <c r="BV164" s="33">
        <f t="shared" si="245"/>
        <v>187.97992253123667</v>
      </c>
      <c r="BW164" s="33">
        <f t="shared" si="245"/>
        <v>189.51698352043704</v>
      </c>
      <c r="BX164" s="33">
        <f t="shared" si="245"/>
        <v>191.06661264166297</v>
      </c>
      <c r="BY164" s="33">
        <f t="shared" si="245"/>
        <v>192.62891266113107</v>
      </c>
      <c r="BZ164" s="33">
        <f t="shared" si="245"/>
        <v>194.20398718534955</v>
      </c>
      <c r="CA164" s="33">
        <f t="shared" si="245"/>
        <v>195.79194066798902</v>
      </c>
      <c r="CB164" s="33">
        <f t="shared" si="245"/>
        <v>197.39287841680948</v>
      </c>
      <c r="CC164" s="33">
        <f t="shared" si="245"/>
        <v>199.00690660064402</v>
      </c>
      <c r="CD164" s="33">
        <f t="shared" si="245"/>
        <v>200.63413225643959</v>
      </c>
      <c r="CE164" s="33">
        <f t="shared" si="245"/>
        <v>202.2746632963553</v>
      </c>
      <c r="CF164" s="33">
        <f t="shared" si="245"/>
        <v>203.92860851491878</v>
      </c>
      <c r="CG164" s="33">
        <f t="shared" si="245"/>
        <v>205.59607759624109</v>
      </c>
      <c r="CH164" s="33">
        <f t="shared" si="245"/>
        <v>207.27718112129062</v>
      </c>
      <c r="CI164" s="33">
        <f t="shared" si="245"/>
        <v>208.97203057522643</v>
      </c>
      <c r="CJ164" s="33">
        <f t="shared" si="245"/>
        <v>210.68073835479152</v>
      </c>
      <c r="CK164" s="33">
        <f t="shared" si="245"/>
        <v>212.40341777576677</v>
      </c>
      <c r="CL164" s="33">
        <f t="shared" si="245"/>
        <v>214.14018308048549</v>
      </c>
      <c r="CM164" s="33">
        <f t="shared" si="245"/>
        <v>215.89114944540961</v>
      </c>
      <c r="CN164" s="33">
        <f t="shared" si="245"/>
        <v>217.65643298876793</v>
      </c>
      <c r="CO164" s="33">
        <f t="shared" si="245"/>
        <v>219.4361507782566</v>
      </c>
      <c r="CP164" s="33">
        <f t="shared" si="245"/>
        <v>221.23042083880259</v>
      </c>
      <c r="CQ164" s="390" t="s">
        <v>77</v>
      </c>
      <c r="CR164" s="104"/>
    </row>
    <row r="165" spans="1:96" hidden="1" outlineLevel="1" x14ac:dyDescent="0.2">
      <c r="A165" s="233"/>
      <c r="CQ165" s="23" t="s">
        <v>77</v>
      </c>
      <c r="CR165" s="233"/>
    </row>
    <row r="166" spans="1:96" hidden="1" outlineLevel="1" x14ac:dyDescent="0.2">
      <c r="B166" s="358" t="s">
        <v>323</v>
      </c>
      <c r="D166" s="66"/>
      <c r="E166" s="66"/>
      <c r="F166" s="66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  <c r="Y166" s="66"/>
      <c r="Z166" s="66"/>
      <c r="AA166" s="66"/>
      <c r="AB166" s="66"/>
      <c r="AC166" s="66"/>
      <c r="AD166" s="66"/>
      <c r="AE166" s="66"/>
      <c r="AF166" s="66"/>
      <c r="AG166" s="66"/>
      <c r="AH166" s="66"/>
      <c r="AI166" s="66"/>
      <c r="AJ166" s="66"/>
      <c r="AK166" s="66"/>
      <c r="AL166" s="66"/>
      <c r="AM166" s="66"/>
      <c r="AN166" s="66"/>
      <c r="AO166" s="66"/>
      <c r="AP166" s="66"/>
      <c r="AQ166" s="66"/>
      <c r="AR166" s="66"/>
      <c r="AS166" s="66"/>
      <c r="AT166" s="66"/>
      <c r="AU166" s="66"/>
      <c r="AV166" s="66"/>
      <c r="AW166" s="66"/>
      <c r="AX166" s="66"/>
      <c r="AY166" s="66"/>
      <c r="AZ166" s="66"/>
      <c r="BA166" s="66"/>
      <c r="BB166" s="66"/>
      <c r="BC166" s="66"/>
      <c r="BD166" s="66"/>
      <c r="BE166" s="66"/>
      <c r="BF166" s="66"/>
      <c r="BG166" s="66"/>
      <c r="BH166" s="66"/>
      <c r="BI166" s="66"/>
      <c r="BJ166" s="66"/>
      <c r="BK166" s="66"/>
      <c r="BL166" s="66"/>
      <c r="BM166" s="66"/>
      <c r="BN166" s="66"/>
      <c r="BO166" s="66"/>
      <c r="BP166" s="66"/>
      <c r="BQ166" s="66"/>
      <c r="BR166" s="66"/>
      <c r="BS166" s="66"/>
      <c r="BT166" s="66"/>
      <c r="BU166" s="66"/>
      <c r="BV166" s="66"/>
      <c r="BW166" s="66"/>
      <c r="BX166" s="66"/>
      <c r="BY166" s="66"/>
      <c r="BZ166" s="66"/>
      <c r="CA166" s="66"/>
      <c r="CB166" s="66"/>
      <c r="CC166" s="66"/>
      <c r="CD166" s="66"/>
      <c r="CE166" s="66"/>
      <c r="CF166" s="66"/>
      <c r="CG166" s="66"/>
      <c r="CH166" s="66"/>
      <c r="CI166" s="66"/>
      <c r="CJ166" s="66"/>
      <c r="CK166" s="66"/>
      <c r="CL166" s="66"/>
      <c r="CM166" s="66"/>
      <c r="CN166" s="66"/>
      <c r="CO166" s="66"/>
      <c r="CP166" s="66"/>
      <c r="CQ166" s="23" t="s">
        <v>77</v>
      </c>
    </row>
    <row r="167" spans="1:96" hidden="1" outlineLevel="1" x14ac:dyDescent="0.2">
      <c r="B167" s="8" t="s">
        <v>51</v>
      </c>
      <c r="D167" s="75"/>
      <c r="E167" s="75"/>
      <c r="F167" s="75"/>
      <c r="G167" s="72"/>
      <c r="H167" s="72"/>
      <c r="I167" s="72"/>
      <c r="J167" s="72"/>
      <c r="K167" s="72"/>
      <c r="L167" s="125"/>
      <c r="M167" s="72">
        <f t="shared" ref="M167:O176" si="246">+L167</f>
        <v>0</v>
      </c>
      <c r="N167" s="72">
        <f t="shared" si="246"/>
        <v>0</v>
      </c>
      <c r="O167" s="72">
        <f t="shared" si="246"/>
        <v>0</v>
      </c>
      <c r="P167" s="72">
        <f t="shared" ref="P167:P176" si="247">+O167</f>
        <v>0</v>
      </c>
      <c r="Q167" s="125">
        <v>5.5300000000000002E-2</v>
      </c>
      <c r="R167" s="72">
        <f t="shared" ref="R167:T176" si="248">+Q167</f>
        <v>5.5300000000000002E-2</v>
      </c>
      <c r="S167" s="72">
        <f t="shared" si="248"/>
        <v>5.5300000000000002E-2</v>
      </c>
      <c r="T167" s="72">
        <f t="shared" si="248"/>
        <v>5.5300000000000002E-2</v>
      </c>
      <c r="U167" s="72">
        <f t="shared" ref="U167:U176" si="249">+T167</f>
        <v>5.5300000000000002E-2</v>
      </c>
      <c r="V167" s="72">
        <v>2.5700000000000001E-2</v>
      </c>
      <c r="W167" s="241">
        <f t="shared" ref="W167:AE167" si="250">+V167</f>
        <v>2.5700000000000001E-2</v>
      </c>
      <c r="X167" s="163">
        <f t="shared" si="250"/>
        <v>2.5700000000000001E-2</v>
      </c>
      <c r="Y167" s="163">
        <f t="shared" si="250"/>
        <v>2.5700000000000001E-2</v>
      </c>
      <c r="Z167" s="163">
        <f t="shared" si="250"/>
        <v>2.5700000000000001E-2</v>
      </c>
      <c r="AA167" s="163">
        <f t="shared" si="250"/>
        <v>2.5700000000000001E-2</v>
      </c>
      <c r="AB167" s="162">
        <v>4.4999999999999998E-2</v>
      </c>
      <c r="AC167" s="163">
        <f t="shared" si="250"/>
        <v>4.4999999999999998E-2</v>
      </c>
      <c r="AD167" s="163">
        <f t="shared" si="250"/>
        <v>4.4999999999999998E-2</v>
      </c>
      <c r="AE167" s="163">
        <f t="shared" si="250"/>
        <v>4.4999999999999998E-2</v>
      </c>
      <c r="AF167" s="163">
        <f t="shared" ref="AF167:BD167" si="251">+AE167</f>
        <v>4.4999999999999998E-2</v>
      </c>
      <c r="AG167" s="163">
        <f t="shared" si="251"/>
        <v>4.4999999999999998E-2</v>
      </c>
      <c r="AH167" s="163">
        <f t="shared" si="251"/>
        <v>4.4999999999999998E-2</v>
      </c>
      <c r="AI167" s="163">
        <f t="shared" si="251"/>
        <v>4.4999999999999998E-2</v>
      </c>
      <c r="AJ167" s="163">
        <f t="shared" si="251"/>
        <v>4.4999999999999998E-2</v>
      </c>
      <c r="AK167" s="163">
        <f t="shared" si="251"/>
        <v>4.4999999999999998E-2</v>
      </c>
      <c r="AL167" s="163">
        <f t="shared" si="251"/>
        <v>4.4999999999999998E-2</v>
      </c>
      <c r="AM167" s="163">
        <f t="shared" si="251"/>
        <v>4.4999999999999998E-2</v>
      </c>
      <c r="AN167" s="163">
        <f t="shared" si="251"/>
        <v>4.4999999999999998E-2</v>
      </c>
      <c r="AO167" s="163">
        <f t="shared" si="251"/>
        <v>4.4999999999999998E-2</v>
      </c>
      <c r="AP167" s="163">
        <f t="shared" si="251"/>
        <v>4.4999999999999998E-2</v>
      </c>
      <c r="AQ167" s="163">
        <f t="shared" si="251"/>
        <v>4.4999999999999998E-2</v>
      </c>
      <c r="AR167" s="163">
        <f t="shared" si="251"/>
        <v>4.4999999999999998E-2</v>
      </c>
      <c r="AS167" s="163">
        <f t="shared" si="251"/>
        <v>4.4999999999999998E-2</v>
      </c>
      <c r="AT167" s="163">
        <f t="shared" si="251"/>
        <v>4.4999999999999998E-2</v>
      </c>
      <c r="AU167" s="163">
        <f t="shared" si="251"/>
        <v>4.4999999999999998E-2</v>
      </c>
      <c r="AV167" s="163">
        <f t="shared" si="251"/>
        <v>4.4999999999999998E-2</v>
      </c>
      <c r="AW167" s="163">
        <f t="shared" si="251"/>
        <v>4.4999999999999998E-2</v>
      </c>
      <c r="AX167" s="163">
        <f t="shared" si="251"/>
        <v>4.4999999999999998E-2</v>
      </c>
      <c r="AY167" s="163">
        <f t="shared" si="251"/>
        <v>4.4999999999999998E-2</v>
      </c>
      <c r="AZ167" s="163">
        <f t="shared" si="251"/>
        <v>4.4999999999999998E-2</v>
      </c>
      <c r="BA167" s="163">
        <f t="shared" si="251"/>
        <v>4.4999999999999998E-2</v>
      </c>
      <c r="BB167" s="163">
        <f t="shared" si="251"/>
        <v>4.4999999999999998E-2</v>
      </c>
      <c r="BC167" s="163">
        <f t="shared" si="251"/>
        <v>4.4999999999999998E-2</v>
      </c>
      <c r="BD167" s="163">
        <f t="shared" si="251"/>
        <v>4.4999999999999998E-2</v>
      </c>
      <c r="BE167" s="163">
        <f t="shared" ref="BE167:BE176" si="252">+BD167</f>
        <v>4.4999999999999998E-2</v>
      </c>
      <c r="BF167" s="163">
        <f t="shared" ref="BF167:BF176" si="253">+BE167</f>
        <v>4.4999999999999998E-2</v>
      </c>
      <c r="BG167" s="163">
        <f t="shared" ref="BG167:BG176" si="254">+BF167</f>
        <v>4.4999999999999998E-2</v>
      </c>
      <c r="BH167" s="163">
        <f t="shared" ref="BH167:BH176" si="255">+BG167</f>
        <v>4.4999999999999998E-2</v>
      </c>
      <c r="BI167" s="163">
        <f t="shared" ref="BI167:BI176" si="256">+BH167</f>
        <v>4.4999999999999998E-2</v>
      </c>
      <c r="BJ167" s="163">
        <f t="shared" ref="BJ167:BJ176" si="257">+BI167</f>
        <v>4.4999999999999998E-2</v>
      </c>
      <c r="BK167" s="163">
        <f t="shared" ref="BK167:BK176" si="258">+BJ167</f>
        <v>4.4999999999999998E-2</v>
      </c>
      <c r="BL167" s="163">
        <f t="shared" ref="BL167:BL176" si="259">+BK167</f>
        <v>4.4999999999999998E-2</v>
      </c>
      <c r="BM167" s="163">
        <f t="shared" ref="BM167:BM176" si="260">+BL167</f>
        <v>4.4999999999999998E-2</v>
      </c>
      <c r="BN167" s="163">
        <f t="shared" ref="BN167:BN176" si="261">+BM167</f>
        <v>4.4999999999999998E-2</v>
      </c>
      <c r="BO167" s="163">
        <f t="shared" ref="BO167:BO176" si="262">+BN167</f>
        <v>4.4999999999999998E-2</v>
      </c>
      <c r="BP167" s="163">
        <f t="shared" ref="BP167:BP176" si="263">+BO167</f>
        <v>4.4999999999999998E-2</v>
      </c>
      <c r="BQ167" s="163">
        <f t="shared" ref="BQ167:BQ176" si="264">+BP167</f>
        <v>4.4999999999999998E-2</v>
      </c>
      <c r="BR167" s="163">
        <f t="shared" ref="BR167:BR176" si="265">+BQ167</f>
        <v>4.4999999999999998E-2</v>
      </c>
      <c r="BS167" s="163">
        <f t="shared" ref="BS167:BS176" si="266">+BR167</f>
        <v>4.4999999999999998E-2</v>
      </c>
      <c r="BT167" s="163">
        <f t="shared" ref="BT167:BT176" si="267">+BS167</f>
        <v>4.4999999999999998E-2</v>
      </c>
      <c r="BU167" s="163">
        <f t="shared" ref="BU167:BU176" si="268">+BT167</f>
        <v>4.4999999999999998E-2</v>
      </c>
      <c r="BV167" s="163">
        <f t="shared" ref="BV167:BV176" si="269">+BU167</f>
        <v>4.4999999999999998E-2</v>
      </c>
      <c r="BW167" s="163">
        <f t="shared" ref="BW167:BW176" si="270">+BV167</f>
        <v>4.4999999999999998E-2</v>
      </c>
      <c r="BX167" s="163">
        <f t="shared" ref="BX167:BX176" si="271">+BW167</f>
        <v>4.4999999999999998E-2</v>
      </c>
      <c r="BY167" s="163">
        <f t="shared" ref="BY167:BY176" si="272">+BX167</f>
        <v>4.4999999999999998E-2</v>
      </c>
      <c r="BZ167" s="163">
        <f t="shared" ref="BZ167:BZ176" si="273">+BY167</f>
        <v>4.4999999999999998E-2</v>
      </c>
      <c r="CA167" s="163">
        <f t="shared" ref="CA167:CA176" si="274">+BZ167</f>
        <v>4.4999999999999998E-2</v>
      </c>
      <c r="CB167" s="163">
        <f t="shared" ref="CB167:CB176" si="275">+CA167</f>
        <v>4.4999999999999998E-2</v>
      </c>
      <c r="CC167" s="163">
        <f t="shared" ref="CC167:CC176" si="276">+CB167</f>
        <v>4.4999999999999998E-2</v>
      </c>
      <c r="CD167" s="163">
        <f t="shared" ref="CD167:CD176" si="277">+CC167</f>
        <v>4.4999999999999998E-2</v>
      </c>
      <c r="CE167" s="163">
        <f t="shared" ref="CE167:CE176" si="278">+CD167</f>
        <v>4.4999999999999998E-2</v>
      </c>
      <c r="CF167" s="163">
        <f t="shared" ref="CF167:CF176" si="279">+CE167</f>
        <v>4.4999999999999998E-2</v>
      </c>
      <c r="CG167" s="163">
        <f t="shared" ref="CG167:CG176" si="280">+CF167</f>
        <v>4.4999999999999998E-2</v>
      </c>
      <c r="CH167" s="163">
        <f t="shared" ref="CH167:CH176" si="281">+CG167</f>
        <v>4.4999999999999998E-2</v>
      </c>
      <c r="CI167" s="163">
        <f t="shared" ref="CI167:CI176" si="282">+CH167</f>
        <v>4.4999999999999998E-2</v>
      </c>
      <c r="CJ167" s="163">
        <f t="shared" ref="CJ167:CJ176" si="283">+CI167</f>
        <v>4.4999999999999998E-2</v>
      </c>
      <c r="CK167" s="163">
        <f t="shared" ref="CK167:CK176" si="284">+CJ167</f>
        <v>4.4999999999999998E-2</v>
      </c>
      <c r="CL167" s="163">
        <f t="shared" ref="CL167:CL176" si="285">+CK167</f>
        <v>4.4999999999999998E-2</v>
      </c>
      <c r="CM167" s="163">
        <f t="shared" ref="CM167:CM176" si="286">+CL167</f>
        <v>4.4999999999999998E-2</v>
      </c>
      <c r="CN167" s="163">
        <f t="shared" ref="CN167:CN176" si="287">+CM167</f>
        <v>4.4999999999999998E-2</v>
      </c>
      <c r="CO167" s="163">
        <f t="shared" ref="CO167:CO176" si="288">+CN167</f>
        <v>4.4999999999999998E-2</v>
      </c>
      <c r="CP167" s="163">
        <f t="shared" ref="CP167:CP176" si="289">+CO167</f>
        <v>4.4999999999999998E-2</v>
      </c>
      <c r="CQ167" s="23" t="s">
        <v>77</v>
      </c>
    </row>
    <row r="168" spans="1:96" hidden="1" outlineLevel="1" x14ac:dyDescent="0.2">
      <c r="B168" s="8" t="s">
        <v>53</v>
      </c>
      <c r="D168" s="72"/>
      <c r="E168" s="72"/>
      <c r="F168" s="72"/>
      <c r="G168" s="72"/>
      <c r="H168" s="72"/>
      <c r="I168" s="72"/>
      <c r="J168" s="72"/>
      <c r="K168" s="72"/>
      <c r="L168" s="125"/>
      <c r="M168" s="72">
        <f t="shared" si="246"/>
        <v>0</v>
      </c>
      <c r="N168" s="72">
        <f t="shared" si="246"/>
        <v>0</v>
      </c>
      <c r="O168" s="72">
        <f t="shared" si="246"/>
        <v>0</v>
      </c>
      <c r="P168" s="72">
        <f t="shared" si="247"/>
        <v>0</v>
      </c>
      <c r="Q168" s="125">
        <v>2.5499999999999998E-2</v>
      </c>
      <c r="R168" s="72">
        <f t="shared" si="248"/>
        <v>2.5499999999999998E-2</v>
      </c>
      <c r="S168" s="72">
        <f t="shared" si="248"/>
        <v>2.5499999999999998E-2</v>
      </c>
      <c r="T168" s="72">
        <f t="shared" si="248"/>
        <v>2.5499999999999998E-2</v>
      </c>
      <c r="U168" s="72">
        <f t="shared" si="249"/>
        <v>2.5499999999999998E-2</v>
      </c>
      <c r="V168" s="235">
        <v>2.5000000000000001E-2</v>
      </c>
      <c r="W168" s="79">
        <v>2.3900000000000001E-2</v>
      </c>
      <c r="X168" s="163">
        <f t="shared" ref="X168:BD168" si="290">+W168</f>
        <v>2.3900000000000001E-2</v>
      </c>
      <c r="Y168" s="163">
        <f t="shared" si="290"/>
        <v>2.3900000000000001E-2</v>
      </c>
      <c r="Z168" s="163">
        <f t="shared" si="290"/>
        <v>2.3900000000000001E-2</v>
      </c>
      <c r="AA168" s="163">
        <f t="shared" si="290"/>
        <v>2.3900000000000001E-2</v>
      </c>
      <c r="AB168" s="292">
        <f t="shared" si="290"/>
        <v>2.3900000000000001E-2</v>
      </c>
      <c r="AC168" s="163">
        <f t="shared" si="290"/>
        <v>2.3900000000000001E-2</v>
      </c>
      <c r="AD168" s="163">
        <f t="shared" si="290"/>
        <v>2.3900000000000001E-2</v>
      </c>
      <c r="AE168" s="163">
        <f t="shared" si="290"/>
        <v>2.3900000000000001E-2</v>
      </c>
      <c r="AF168" s="163">
        <f t="shared" si="290"/>
        <v>2.3900000000000001E-2</v>
      </c>
      <c r="AG168" s="163">
        <f t="shared" si="290"/>
        <v>2.3900000000000001E-2</v>
      </c>
      <c r="AH168" s="163">
        <f t="shared" si="290"/>
        <v>2.3900000000000001E-2</v>
      </c>
      <c r="AI168" s="163">
        <f t="shared" si="290"/>
        <v>2.3900000000000001E-2</v>
      </c>
      <c r="AJ168" s="163">
        <f t="shared" si="290"/>
        <v>2.3900000000000001E-2</v>
      </c>
      <c r="AK168" s="163">
        <f t="shared" si="290"/>
        <v>2.3900000000000001E-2</v>
      </c>
      <c r="AL168" s="163">
        <f t="shared" si="290"/>
        <v>2.3900000000000001E-2</v>
      </c>
      <c r="AM168" s="163">
        <f t="shared" si="290"/>
        <v>2.3900000000000001E-2</v>
      </c>
      <c r="AN168" s="163">
        <f t="shared" si="290"/>
        <v>2.3900000000000001E-2</v>
      </c>
      <c r="AO168" s="163">
        <f t="shared" si="290"/>
        <v>2.3900000000000001E-2</v>
      </c>
      <c r="AP168" s="163">
        <f t="shared" si="290"/>
        <v>2.3900000000000001E-2</v>
      </c>
      <c r="AQ168" s="163">
        <f t="shared" si="290"/>
        <v>2.3900000000000001E-2</v>
      </c>
      <c r="AR168" s="163">
        <f t="shared" si="290"/>
        <v>2.3900000000000001E-2</v>
      </c>
      <c r="AS168" s="163">
        <f t="shared" si="290"/>
        <v>2.3900000000000001E-2</v>
      </c>
      <c r="AT168" s="163">
        <f t="shared" si="290"/>
        <v>2.3900000000000001E-2</v>
      </c>
      <c r="AU168" s="163">
        <f t="shared" si="290"/>
        <v>2.3900000000000001E-2</v>
      </c>
      <c r="AV168" s="163">
        <f t="shared" si="290"/>
        <v>2.3900000000000001E-2</v>
      </c>
      <c r="AW168" s="163">
        <f t="shared" si="290"/>
        <v>2.3900000000000001E-2</v>
      </c>
      <c r="AX168" s="163">
        <f t="shared" si="290"/>
        <v>2.3900000000000001E-2</v>
      </c>
      <c r="AY168" s="163">
        <f t="shared" si="290"/>
        <v>2.3900000000000001E-2</v>
      </c>
      <c r="AZ168" s="163">
        <f t="shared" si="290"/>
        <v>2.3900000000000001E-2</v>
      </c>
      <c r="BA168" s="163">
        <f t="shared" si="290"/>
        <v>2.3900000000000001E-2</v>
      </c>
      <c r="BB168" s="163">
        <f t="shared" si="290"/>
        <v>2.3900000000000001E-2</v>
      </c>
      <c r="BC168" s="163">
        <f t="shared" si="290"/>
        <v>2.3900000000000001E-2</v>
      </c>
      <c r="BD168" s="163">
        <f t="shared" si="290"/>
        <v>2.3900000000000001E-2</v>
      </c>
      <c r="BE168" s="163">
        <f t="shared" si="252"/>
        <v>2.3900000000000001E-2</v>
      </c>
      <c r="BF168" s="163">
        <f t="shared" si="253"/>
        <v>2.3900000000000001E-2</v>
      </c>
      <c r="BG168" s="163">
        <f t="shared" si="254"/>
        <v>2.3900000000000001E-2</v>
      </c>
      <c r="BH168" s="163">
        <f t="shared" si="255"/>
        <v>2.3900000000000001E-2</v>
      </c>
      <c r="BI168" s="163">
        <f t="shared" si="256"/>
        <v>2.3900000000000001E-2</v>
      </c>
      <c r="BJ168" s="163">
        <f t="shared" si="257"/>
        <v>2.3900000000000001E-2</v>
      </c>
      <c r="BK168" s="163">
        <f t="shared" si="258"/>
        <v>2.3900000000000001E-2</v>
      </c>
      <c r="BL168" s="163">
        <f t="shared" si="259"/>
        <v>2.3900000000000001E-2</v>
      </c>
      <c r="BM168" s="163">
        <f t="shared" si="260"/>
        <v>2.3900000000000001E-2</v>
      </c>
      <c r="BN168" s="163">
        <f t="shared" si="261"/>
        <v>2.3900000000000001E-2</v>
      </c>
      <c r="BO168" s="163">
        <f t="shared" si="262"/>
        <v>2.3900000000000001E-2</v>
      </c>
      <c r="BP168" s="163">
        <f t="shared" si="263"/>
        <v>2.3900000000000001E-2</v>
      </c>
      <c r="BQ168" s="163">
        <f t="shared" si="264"/>
        <v>2.3900000000000001E-2</v>
      </c>
      <c r="BR168" s="163">
        <f t="shared" si="265"/>
        <v>2.3900000000000001E-2</v>
      </c>
      <c r="BS168" s="163">
        <f t="shared" si="266"/>
        <v>2.3900000000000001E-2</v>
      </c>
      <c r="BT168" s="163">
        <f t="shared" si="267"/>
        <v>2.3900000000000001E-2</v>
      </c>
      <c r="BU168" s="163">
        <f t="shared" si="268"/>
        <v>2.3900000000000001E-2</v>
      </c>
      <c r="BV168" s="163">
        <f t="shared" si="269"/>
        <v>2.3900000000000001E-2</v>
      </c>
      <c r="BW168" s="163">
        <f t="shared" si="270"/>
        <v>2.3900000000000001E-2</v>
      </c>
      <c r="BX168" s="163">
        <f t="shared" si="271"/>
        <v>2.3900000000000001E-2</v>
      </c>
      <c r="BY168" s="163">
        <f t="shared" si="272"/>
        <v>2.3900000000000001E-2</v>
      </c>
      <c r="BZ168" s="163">
        <f t="shared" si="273"/>
        <v>2.3900000000000001E-2</v>
      </c>
      <c r="CA168" s="163">
        <f t="shared" si="274"/>
        <v>2.3900000000000001E-2</v>
      </c>
      <c r="CB168" s="163">
        <f t="shared" si="275"/>
        <v>2.3900000000000001E-2</v>
      </c>
      <c r="CC168" s="163">
        <f t="shared" si="276"/>
        <v>2.3900000000000001E-2</v>
      </c>
      <c r="CD168" s="163">
        <f t="shared" si="277"/>
        <v>2.3900000000000001E-2</v>
      </c>
      <c r="CE168" s="163">
        <f t="shared" si="278"/>
        <v>2.3900000000000001E-2</v>
      </c>
      <c r="CF168" s="163">
        <f t="shared" si="279"/>
        <v>2.3900000000000001E-2</v>
      </c>
      <c r="CG168" s="163">
        <f t="shared" si="280"/>
        <v>2.3900000000000001E-2</v>
      </c>
      <c r="CH168" s="163">
        <f t="shared" si="281"/>
        <v>2.3900000000000001E-2</v>
      </c>
      <c r="CI168" s="163">
        <f t="shared" si="282"/>
        <v>2.3900000000000001E-2</v>
      </c>
      <c r="CJ168" s="163">
        <f t="shared" si="283"/>
        <v>2.3900000000000001E-2</v>
      </c>
      <c r="CK168" s="163">
        <f t="shared" si="284"/>
        <v>2.3900000000000001E-2</v>
      </c>
      <c r="CL168" s="163">
        <f t="shared" si="285"/>
        <v>2.3900000000000001E-2</v>
      </c>
      <c r="CM168" s="163">
        <f t="shared" si="286"/>
        <v>2.3900000000000001E-2</v>
      </c>
      <c r="CN168" s="163">
        <f t="shared" si="287"/>
        <v>2.3900000000000001E-2</v>
      </c>
      <c r="CO168" s="163">
        <f t="shared" si="288"/>
        <v>2.3900000000000001E-2</v>
      </c>
      <c r="CP168" s="163">
        <f t="shared" si="289"/>
        <v>2.3900000000000001E-2</v>
      </c>
      <c r="CQ168" s="23" t="s">
        <v>77</v>
      </c>
    </row>
    <row r="169" spans="1:96" hidden="1" outlineLevel="1" x14ac:dyDescent="0.2">
      <c r="B169" s="8" t="s">
        <v>52</v>
      </c>
      <c r="D169" s="72"/>
      <c r="E169" s="72"/>
      <c r="F169" s="72"/>
      <c r="G169" s="72"/>
      <c r="H169" s="72"/>
      <c r="I169" s="72"/>
      <c r="J169" s="72"/>
      <c r="K169" s="72"/>
      <c r="L169" s="79">
        <f>(1+L167)/(1+L168)-1</f>
        <v>0</v>
      </c>
      <c r="M169" s="72">
        <f t="shared" si="246"/>
        <v>0</v>
      </c>
      <c r="N169" s="72">
        <f t="shared" si="246"/>
        <v>0</v>
      </c>
      <c r="O169" s="72">
        <f t="shared" si="246"/>
        <v>0</v>
      </c>
      <c r="P169" s="72">
        <f t="shared" si="247"/>
        <v>0</v>
      </c>
      <c r="Q169" s="79">
        <f>(1+Q167)/(1+Q168)-1</f>
        <v>2.905899561189651E-2</v>
      </c>
      <c r="R169" s="72">
        <f t="shared" si="248"/>
        <v>2.905899561189651E-2</v>
      </c>
      <c r="S169" s="72">
        <f t="shared" si="248"/>
        <v>2.905899561189651E-2</v>
      </c>
      <c r="T169" s="72">
        <f t="shared" si="248"/>
        <v>2.905899561189651E-2</v>
      </c>
      <c r="U169" s="72">
        <f t="shared" si="249"/>
        <v>2.905899561189651E-2</v>
      </c>
      <c r="V169" s="72">
        <f>(1+V167)/(1+V168)-1</f>
        <v>6.8292682926851533E-4</v>
      </c>
      <c r="W169" s="79">
        <f t="shared" ref="W169:BD169" si="291">+V169</f>
        <v>6.8292682926851533E-4</v>
      </c>
      <c r="X169" s="163">
        <f t="shared" si="291"/>
        <v>6.8292682926851533E-4</v>
      </c>
      <c r="Y169" s="163">
        <f t="shared" si="291"/>
        <v>6.8292682926851533E-4</v>
      </c>
      <c r="Z169" s="163">
        <f t="shared" si="291"/>
        <v>6.8292682926851533E-4</v>
      </c>
      <c r="AA169" s="163">
        <f t="shared" si="291"/>
        <v>6.8292682926851533E-4</v>
      </c>
      <c r="AB169" s="165">
        <f t="shared" si="291"/>
        <v>6.8292682926851533E-4</v>
      </c>
      <c r="AC169" s="163">
        <f t="shared" si="291"/>
        <v>6.8292682926851533E-4</v>
      </c>
      <c r="AD169" s="163">
        <f t="shared" si="291"/>
        <v>6.8292682926851533E-4</v>
      </c>
      <c r="AE169" s="163">
        <f t="shared" si="291"/>
        <v>6.8292682926851533E-4</v>
      </c>
      <c r="AF169" s="163">
        <f t="shared" si="291"/>
        <v>6.8292682926851533E-4</v>
      </c>
      <c r="AG169" s="163">
        <f t="shared" si="291"/>
        <v>6.8292682926851533E-4</v>
      </c>
      <c r="AH169" s="163">
        <f t="shared" si="291"/>
        <v>6.8292682926851533E-4</v>
      </c>
      <c r="AI169" s="163">
        <f t="shared" si="291"/>
        <v>6.8292682926851533E-4</v>
      </c>
      <c r="AJ169" s="163">
        <f t="shared" si="291"/>
        <v>6.8292682926851533E-4</v>
      </c>
      <c r="AK169" s="163">
        <f t="shared" si="291"/>
        <v>6.8292682926851533E-4</v>
      </c>
      <c r="AL169" s="163">
        <f t="shared" si="291"/>
        <v>6.8292682926851533E-4</v>
      </c>
      <c r="AM169" s="163">
        <f t="shared" si="291"/>
        <v>6.8292682926851533E-4</v>
      </c>
      <c r="AN169" s="163">
        <f t="shared" si="291"/>
        <v>6.8292682926851533E-4</v>
      </c>
      <c r="AO169" s="163">
        <f t="shared" si="291"/>
        <v>6.8292682926851533E-4</v>
      </c>
      <c r="AP169" s="163">
        <f t="shared" si="291"/>
        <v>6.8292682926851533E-4</v>
      </c>
      <c r="AQ169" s="163">
        <f t="shared" si="291"/>
        <v>6.8292682926851533E-4</v>
      </c>
      <c r="AR169" s="163">
        <f t="shared" si="291"/>
        <v>6.8292682926851533E-4</v>
      </c>
      <c r="AS169" s="163">
        <f t="shared" si="291"/>
        <v>6.8292682926851533E-4</v>
      </c>
      <c r="AT169" s="163">
        <f t="shared" si="291"/>
        <v>6.8292682926851533E-4</v>
      </c>
      <c r="AU169" s="163">
        <f t="shared" si="291"/>
        <v>6.8292682926851533E-4</v>
      </c>
      <c r="AV169" s="163">
        <f t="shared" si="291"/>
        <v>6.8292682926851533E-4</v>
      </c>
      <c r="AW169" s="163">
        <f t="shared" si="291"/>
        <v>6.8292682926851533E-4</v>
      </c>
      <c r="AX169" s="163">
        <f t="shared" si="291"/>
        <v>6.8292682926851533E-4</v>
      </c>
      <c r="AY169" s="163">
        <f t="shared" si="291"/>
        <v>6.8292682926851533E-4</v>
      </c>
      <c r="AZ169" s="163">
        <f t="shared" si="291"/>
        <v>6.8292682926851533E-4</v>
      </c>
      <c r="BA169" s="163">
        <f t="shared" si="291"/>
        <v>6.8292682926851533E-4</v>
      </c>
      <c r="BB169" s="163">
        <f t="shared" si="291"/>
        <v>6.8292682926851533E-4</v>
      </c>
      <c r="BC169" s="163">
        <f t="shared" si="291"/>
        <v>6.8292682926851533E-4</v>
      </c>
      <c r="BD169" s="163">
        <f t="shared" si="291"/>
        <v>6.8292682926851533E-4</v>
      </c>
      <c r="BE169" s="163">
        <f t="shared" si="252"/>
        <v>6.8292682926851533E-4</v>
      </c>
      <c r="BF169" s="163">
        <f t="shared" si="253"/>
        <v>6.8292682926851533E-4</v>
      </c>
      <c r="BG169" s="163">
        <f t="shared" si="254"/>
        <v>6.8292682926851533E-4</v>
      </c>
      <c r="BH169" s="163">
        <f t="shared" si="255"/>
        <v>6.8292682926851533E-4</v>
      </c>
      <c r="BI169" s="163">
        <f t="shared" si="256"/>
        <v>6.8292682926851533E-4</v>
      </c>
      <c r="BJ169" s="163">
        <f t="shared" si="257"/>
        <v>6.8292682926851533E-4</v>
      </c>
      <c r="BK169" s="163">
        <f t="shared" si="258"/>
        <v>6.8292682926851533E-4</v>
      </c>
      <c r="BL169" s="163">
        <f t="shared" si="259"/>
        <v>6.8292682926851533E-4</v>
      </c>
      <c r="BM169" s="163">
        <f t="shared" si="260"/>
        <v>6.8292682926851533E-4</v>
      </c>
      <c r="BN169" s="163">
        <f t="shared" si="261"/>
        <v>6.8292682926851533E-4</v>
      </c>
      <c r="BO169" s="163">
        <f t="shared" si="262"/>
        <v>6.8292682926851533E-4</v>
      </c>
      <c r="BP169" s="163">
        <f t="shared" si="263"/>
        <v>6.8292682926851533E-4</v>
      </c>
      <c r="BQ169" s="163">
        <f t="shared" si="264"/>
        <v>6.8292682926851533E-4</v>
      </c>
      <c r="BR169" s="163">
        <f t="shared" si="265"/>
        <v>6.8292682926851533E-4</v>
      </c>
      <c r="BS169" s="163">
        <f t="shared" si="266"/>
        <v>6.8292682926851533E-4</v>
      </c>
      <c r="BT169" s="163">
        <f t="shared" si="267"/>
        <v>6.8292682926851533E-4</v>
      </c>
      <c r="BU169" s="163">
        <f t="shared" si="268"/>
        <v>6.8292682926851533E-4</v>
      </c>
      <c r="BV169" s="163">
        <f t="shared" si="269"/>
        <v>6.8292682926851533E-4</v>
      </c>
      <c r="BW169" s="163">
        <f t="shared" si="270"/>
        <v>6.8292682926851533E-4</v>
      </c>
      <c r="BX169" s="163">
        <f t="shared" si="271"/>
        <v>6.8292682926851533E-4</v>
      </c>
      <c r="BY169" s="163">
        <f t="shared" si="272"/>
        <v>6.8292682926851533E-4</v>
      </c>
      <c r="BZ169" s="163">
        <f t="shared" si="273"/>
        <v>6.8292682926851533E-4</v>
      </c>
      <c r="CA169" s="163">
        <f t="shared" si="274"/>
        <v>6.8292682926851533E-4</v>
      </c>
      <c r="CB169" s="163">
        <f t="shared" si="275"/>
        <v>6.8292682926851533E-4</v>
      </c>
      <c r="CC169" s="163">
        <f t="shared" si="276"/>
        <v>6.8292682926851533E-4</v>
      </c>
      <c r="CD169" s="163">
        <f t="shared" si="277"/>
        <v>6.8292682926851533E-4</v>
      </c>
      <c r="CE169" s="163">
        <f t="shared" si="278"/>
        <v>6.8292682926851533E-4</v>
      </c>
      <c r="CF169" s="163">
        <f t="shared" si="279"/>
        <v>6.8292682926851533E-4</v>
      </c>
      <c r="CG169" s="163">
        <f t="shared" si="280"/>
        <v>6.8292682926851533E-4</v>
      </c>
      <c r="CH169" s="163">
        <f t="shared" si="281"/>
        <v>6.8292682926851533E-4</v>
      </c>
      <c r="CI169" s="163">
        <f t="shared" si="282"/>
        <v>6.8292682926851533E-4</v>
      </c>
      <c r="CJ169" s="163">
        <f t="shared" si="283"/>
        <v>6.8292682926851533E-4</v>
      </c>
      <c r="CK169" s="163">
        <f t="shared" si="284"/>
        <v>6.8292682926851533E-4</v>
      </c>
      <c r="CL169" s="163">
        <f t="shared" si="285"/>
        <v>6.8292682926851533E-4</v>
      </c>
      <c r="CM169" s="163">
        <f t="shared" si="286"/>
        <v>6.8292682926851533E-4</v>
      </c>
      <c r="CN169" s="163">
        <f t="shared" si="287"/>
        <v>6.8292682926851533E-4</v>
      </c>
      <c r="CO169" s="163">
        <f t="shared" si="288"/>
        <v>6.8292682926851533E-4</v>
      </c>
      <c r="CP169" s="163">
        <f t="shared" si="289"/>
        <v>6.8292682926851533E-4</v>
      </c>
      <c r="CQ169" s="23" t="s">
        <v>77</v>
      </c>
    </row>
    <row r="170" spans="1:96" s="234" customFormat="1" hidden="1" outlineLevel="1" x14ac:dyDescent="0.2">
      <c r="B170" s="234" t="s">
        <v>54</v>
      </c>
      <c r="C170" s="86"/>
      <c r="D170" s="73"/>
      <c r="E170" s="73"/>
      <c r="F170" s="73"/>
      <c r="G170" s="73"/>
      <c r="H170" s="73"/>
      <c r="I170" s="73"/>
      <c r="J170" s="73"/>
      <c r="K170" s="73"/>
      <c r="L170" s="200"/>
      <c r="M170" s="73">
        <f t="shared" si="246"/>
        <v>0</v>
      </c>
      <c r="N170" s="73">
        <f t="shared" si="246"/>
        <v>0</v>
      </c>
      <c r="O170" s="73">
        <f t="shared" si="246"/>
        <v>0</v>
      </c>
      <c r="P170" s="73">
        <f t="shared" si="247"/>
        <v>0</v>
      </c>
      <c r="Q170" s="200">
        <v>0.6</v>
      </c>
      <c r="R170" s="73">
        <f t="shared" si="248"/>
        <v>0.6</v>
      </c>
      <c r="S170" s="73">
        <f t="shared" si="248"/>
        <v>0.6</v>
      </c>
      <c r="T170" s="73">
        <f t="shared" si="248"/>
        <v>0.6</v>
      </c>
      <c r="U170" s="73">
        <f t="shared" si="249"/>
        <v>0.6</v>
      </c>
      <c r="V170" s="290">
        <f t="shared" ref="V170:BD170" si="292">+U170</f>
        <v>0.6</v>
      </c>
      <c r="W170" s="201">
        <f t="shared" si="292"/>
        <v>0.6</v>
      </c>
      <c r="X170" s="166">
        <f t="shared" si="292"/>
        <v>0.6</v>
      </c>
      <c r="Y170" s="166">
        <f t="shared" si="292"/>
        <v>0.6</v>
      </c>
      <c r="Z170" s="166">
        <f t="shared" si="292"/>
        <v>0.6</v>
      </c>
      <c r="AA170" s="166">
        <f t="shared" si="292"/>
        <v>0.6</v>
      </c>
      <c r="AB170" s="293">
        <f t="shared" si="292"/>
        <v>0.6</v>
      </c>
      <c r="AC170" s="166">
        <f t="shared" si="292"/>
        <v>0.6</v>
      </c>
      <c r="AD170" s="166">
        <f t="shared" si="292"/>
        <v>0.6</v>
      </c>
      <c r="AE170" s="166">
        <f t="shared" si="292"/>
        <v>0.6</v>
      </c>
      <c r="AF170" s="166">
        <f t="shared" si="292"/>
        <v>0.6</v>
      </c>
      <c r="AG170" s="166">
        <f t="shared" si="292"/>
        <v>0.6</v>
      </c>
      <c r="AH170" s="166">
        <f t="shared" si="292"/>
        <v>0.6</v>
      </c>
      <c r="AI170" s="166">
        <f t="shared" si="292"/>
        <v>0.6</v>
      </c>
      <c r="AJ170" s="166">
        <f t="shared" si="292"/>
        <v>0.6</v>
      </c>
      <c r="AK170" s="166">
        <f t="shared" si="292"/>
        <v>0.6</v>
      </c>
      <c r="AL170" s="166">
        <f t="shared" si="292"/>
        <v>0.6</v>
      </c>
      <c r="AM170" s="166">
        <f t="shared" si="292"/>
        <v>0.6</v>
      </c>
      <c r="AN170" s="166">
        <f t="shared" si="292"/>
        <v>0.6</v>
      </c>
      <c r="AO170" s="166">
        <f t="shared" si="292"/>
        <v>0.6</v>
      </c>
      <c r="AP170" s="166">
        <f t="shared" si="292"/>
        <v>0.6</v>
      </c>
      <c r="AQ170" s="166">
        <f t="shared" si="292"/>
        <v>0.6</v>
      </c>
      <c r="AR170" s="166">
        <f t="shared" si="292"/>
        <v>0.6</v>
      </c>
      <c r="AS170" s="166">
        <f t="shared" si="292"/>
        <v>0.6</v>
      </c>
      <c r="AT170" s="166">
        <f t="shared" si="292"/>
        <v>0.6</v>
      </c>
      <c r="AU170" s="166">
        <f t="shared" si="292"/>
        <v>0.6</v>
      </c>
      <c r="AV170" s="166">
        <f t="shared" si="292"/>
        <v>0.6</v>
      </c>
      <c r="AW170" s="166">
        <f t="shared" si="292"/>
        <v>0.6</v>
      </c>
      <c r="AX170" s="166">
        <f t="shared" si="292"/>
        <v>0.6</v>
      </c>
      <c r="AY170" s="166">
        <f t="shared" si="292"/>
        <v>0.6</v>
      </c>
      <c r="AZ170" s="166">
        <f t="shared" si="292"/>
        <v>0.6</v>
      </c>
      <c r="BA170" s="166">
        <f t="shared" si="292"/>
        <v>0.6</v>
      </c>
      <c r="BB170" s="166">
        <f t="shared" si="292"/>
        <v>0.6</v>
      </c>
      <c r="BC170" s="166">
        <f t="shared" si="292"/>
        <v>0.6</v>
      </c>
      <c r="BD170" s="166">
        <f t="shared" si="292"/>
        <v>0.6</v>
      </c>
      <c r="BE170" s="166">
        <f t="shared" si="252"/>
        <v>0.6</v>
      </c>
      <c r="BF170" s="166">
        <f t="shared" si="253"/>
        <v>0.6</v>
      </c>
      <c r="BG170" s="166">
        <f t="shared" si="254"/>
        <v>0.6</v>
      </c>
      <c r="BH170" s="166">
        <f t="shared" si="255"/>
        <v>0.6</v>
      </c>
      <c r="BI170" s="166">
        <f t="shared" si="256"/>
        <v>0.6</v>
      </c>
      <c r="BJ170" s="166">
        <f t="shared" si="257"/>
        <v>0.6</v>
      </c>
      <c r="BK170" s="166">
        <f t="shared" si="258"/>
        <v>0.6</v>
      </c>
      <c r="BL170" s="166">
        <f t="shared" si="259"/>
        <v>0.6</v>
      </c>
      <c r="BM170" s="166">
        <f t="shared" si="260"/>
        <v>0.6</v>
      </c>
      <c r="BN170" s="166">
        <f t="shared" si="261"/>
        <v>0.6</v>
      </c>
      <c r="BO170" s="166">
        <f t="shared" si="262"/>
        <v>0.6</v>
      </c>
      <c r="BP170" s="166">
        <f t="shared" si="263"/>
        <v>0.6</v>
      </c>
      <c r="BQ170" s="166">
        <f t="shared" si="264"/>
        <v>0.6</v>
      </c>
      <c r="BR170" s="166">
        <f t="shared" si="265"/>
        <v>0.6</v>
      </c>
      <c r="BS170" s="166">
        <f t="shared" si="266"/>
        <v>0.6</v>
      </c>
      <c r="BT170" s="166">
        <f t="shared" si="267"/>
        <v>0.6</v>
      </c>
      <c r="BU170" s="166">
        <f t="shared" si="268"/>
        <v>0.6</v>
      </c>
      <c r="BV170" s="166">
        <f t="shared" si="269"/>
        <v>0.6</v>
      </c>
      <c r="BW170" s="166">
        <f t="shared" si="270"/>
        <v>0.6</v>
      </c>
      <c r="BX170" s="166">
        <f t="shared" si="271"/>
        <v>0.6</v>
      </c>
      <c r="BY170" s="166">
        <f t="shared" si="272"/>
        <v>0.6</v>
      </c>
      <c r="BZ170" s="166">
        <f t="shared" si="273"/>
        <v>0.6</v>
      </c>
      <c r="CA170" s="166">
        <f t="shared" si="274"/>
        <v>0.6</v>
      </c>
      <c r="CB170" s="166">
        <f t="shared" si="275"/>
        <v>0.6</v>
      </c>
      <c r="CC170" s="166">
        <f t="shared" si="276"/>
        <v>0.6</v>
      </c>
      <c r="CD170" s="166">
        <f t="shared" si="277"/>
        <v>0.6</v>
      </c>
      <c r="CE170" s="166">
        <f t="shared" si="278"/>
        <v>0.6</v>
      </c>
      <c r="CF170" s="166">
        <f t="shared" si="279"/>
        <v>0.6</v>
      </c>
      <c r="CG170" s="166">
        <f t="shared" si="280"/>
        <v>0.6</v>
      </c>
      <c r="CH170" s="166">
        <f t="shared" si="281"/>
        <v>0.6</v>
      </c>
      <c r="CI170" s="166">
        <f t="shared" si="282"/>
        <v>0.6</v>
      </c>
      <c r="CJ170" s="166">
        <f t="shared" si="283"/>
        <v>0.6</v>
      </c>
      <c r="CK170" s="166">
        <f t="shared" si="284"/>
        <v>0.6</v>
      </c>
      <c r="CL170" s="166">
        <f t="shared" si="285"/>
        <v>0.6</v>
      </c>
      <c r="CM170" s="166">
        <f t="shared" si="286"/>
        <v>0.6</v>
      </c>
      <c r="CN170" s="166">
        <f t="shared" si="287"/>
        <v>0.6</v>
      </c>
      <c r="CO170" s="166">
        <f t="shared" si="288"/>
        <v>0.6</v>
      </c>
      <c r="CP170" s="166">
        <f t="shared" si="289"/>
        <v>0.6</v>
      </c>
      <c r="CQ170" s="73" t="s">
        <v>77</v>
      </c>
    </row>
    <row r="171" spans="1:96" s="234" customFormat="1" hidden="1" outlineLevel="1" x14ac:dyDescent="0.2">
      <c r="B171" s="234" t="s">
        <v>56</v>
      </c>
      <c r="C171" s="86"/>
      <c r="D171" s="73"/>
      <c r="E171" s="73"/>
      <c r="F171" s="73"/>
      <c r="G171" s="73"/>
      <c r="H171" s="73"/>
      <c r="I171" s="73"/>
      <c r="J171" s="73"/>
      <c r="K171" s="73"/>
      <c r="L171" s="201">
        <f>1-L170</f>
        <v>1</v>
      </c>
      <c r="M171" s="73">
        <f t="shared" si="246"/>
        <v>1</v>
      </c>
      <c r="N171" s="73">
        <f t="shared" si="246"/>
        <v>1</v>
      </c>
      <c r="O171" s="73">
        <f t="shared" si="246"/>
        <v>1</v>
      </c>
      <c r="P171" s="73">
        <f t="shared" si="247"/>
        <v>1</v>
      </c>
      <c r="Q171" s="201">
        <f>1-Q170</f>
        <v>0.4</v>
      </c>
      <c r="R171" s="73">
        <f t="shared" si="248"/>
        <v>0.4</v>
      </c>
      <c r="S171" s="73">
        <f t="shared" si="248"/>
        <v>0.4</v>
      </c>
      <c r="T171" s="73">
        <f t="shared" si="248"/>
        <v>0.4</v>
      </c>
      <c r="U171" s="73">
        <f t="shared" si="249"/>
        <v>0.4</v>
      </c>
      <c r="V171" s="73">
        <f t="shared" ref="V171:BD171" si="293">+U171</f>
        <v>0.4</v>
      </c>
      <c r="W171" s="201">
        <f t="shared" si="293"/>
        <v>0.4</v>
      </c>
      <c r="X171" s="166">
        <f t="shared" si="293"/>
        <v>0.4</v>
      </c>
      <c r="Y171" s="166">
        <f t="shared" si="293"/>
        <v>0.4</v>
      </c>
      <c r="Z171" s="166">
        <f t="shared" si="293"/>
        <v>0.4</v>
      </c>
      <c r="AA171" s="166">
        <f t="shared" si="293"/>
        <v>0.4</v>
      </c>
      <c r="AB171" s="167">
        <f t="shared" si="293"/>
        <v>0.4</v>
      </c>
      <c r="AC171" s="166">
        <f t="shared" si="293"/>
        <v>0.4</v>
      </c>
      <c r="AD171" s="166">
        <f t="shared" si="293"/>
        <v>0.4</v>
      </c>
      <c r="AE171" s="166">
        <f t="shared" si="293"/>
        <v>0.4</v>
      </c>
      <c r="AF171" s="166">
        <f t="shared" si="293"/>
        <v>0.4</v>
      </c>
      <c r="AG171" s="166">
        <f t="shared" si="293"/>
        <v>0.4</v>
      </c>
      <c r="AH171" s="166">
        <f t="shared" si="293"/>
        <v>0.4</v>
      </c>
      <c r="AI171" s="166">
        <f t="shared" si="293"/>
        <v>0.4</v>
      </c>
      <c r="AJ171" s="166">
        <f t="shared" si="293"/>
        <v>0.4</v>
      </c>
      <c r="AK171" s="166">
        <f t="shared" si="293"/>
        <v>0.4</v>
      </c>
      <c r="AL171" s="166">
        <f t="shared" si="293"/>
        <v>0.4</v>
      </c>
      <c r="AM171" s="166">
        <f t="shared" si="293"/>
        <v>0.4</v>
      </c>
      <c r="AN171" s="166">
        <f t="shared" si="293"/>
        <v>0.4</v>
      </c>
      <c r="AO171" s="166">
        <f t="shared" si="293"/>
        <v>0.4</v>
      </c>
      <c r="AP171" s="166">
        <f t="shared" si="293"/>
        <v>0.4</v>
      </c>
      <c r="AQ171" s="166">
        <f t="shared" si="293"/>
        <v>0.4</v>
      </c>
      <c r="AR171" s="166">
        <f t="shared" si="293"/>
        <v>0.4</v>
      </c>
      <c r="AS171" s="166">
        <f t="shared" si="293"/>
        <v>0.4</v>
      </c>
      <c r="AT171" s="166">
        <f t="shared" si="293"/>
        <v>0.4</v>
      </c>
      <c r="AU171" s="166">
        <f t="shared" si="293"/>
        <v>0.4</v>
      </c>
      <c r="AV171" s="166">
        <f t="shared" si="293"/>
        <v>0.4</v>
      </c>
      <c r="AW171" s="166">
        <f t="shared" si="293"/>
        <v>0.4</v>
      </c>
      <c r="AX171" s="166">
        <f t="shared" si="293"/>
        <v>0.4</v>
      </c>
      <c r="AY171" s="166">
        <f t="shared" si="293"/>
        <v>0.4</v>
      </c>
      <c r="AZ171" s="166">
        <f t="shared" si="293"/>
        <v>0.4</v>
      </c>
      <c r="BA171" s="166">
        <f t="shared" si="293"/>
        <v>0.4</v>
      </c>
      <c r="BB171" s="166">
        <f t="shared" si="293"/>
        <v>0.4</v>
      </c>
      <c r="BC171" s="166">
        <f t="shared" si="293"/>
        <v>0.4</v>
      </c>
      <c r="BD171" s="166">
        <f t="shared" si="293"/>
        <v>0.4</v>
      </c>
      <c r="BE171" s="166">
        <f t="shared" si="252"/>
        <v>0.4</v>
      </c>
      <c r="BF171" s="166">
        <f t="shared" si="253"/>
        <v>0.4</v>
      </c>
      <c r="BG171" s="166">
        <f t="shared" si="254"/>
        <v>0.4</v>
      </c>
      <c r="BH171" s="166">
        <f t="shared" si="255"/>
        <v>0.4</v>
      </c>
      <c r="BI171" s="166">
        <f t="shared" si="256"/>
        <v>0.4</v>
      </c>
      <c r="BJ171" s="166">
        <f t="shared" si="257"/>
        <v>0.4</v>
      </c>
      <c r="BK171" s="166">
        <f t="shared" si="258"/>
        <v>0.4</v>
      </c>
      <c r="BL171" s="166">
        <f t="shared" si="259"/>
        <v>0.4</v>
      </c>
      <c r="BM171" s="166">
        <f t="shared" si="260"/>
        <v>0.4</v>
      </c>
      <c r="BN171" s="166">
        <f t="shared" si="261"/>
        <v>0.4</v>
      </c>
      <c r="BO171" s="166">
        <f t="shared" si="262"/>
        <v>0.4</v>
      </c>
      <c r="BP171" s="166">
        <f t="shared" si="263"/>
        <v>0.4</v>
      </c>
      <c r="BQ171" s="166">
        <f t="shared" si="264"/>
        <v>0.4</v>
      </c>
      <c r="BR171" s="166">
        <f t="shared" si="265"/>
        <v>0.4</v>
      </c>
      <c r="BS171" s="166">
        <f t="shared" si="266"/>
        <v>0.4</v>
      </c>
      <c r="BT171" s="166">
        <f t="shared" si="267"/>
        <v>0.4</v>
      </c>
      <c r="BU171" s="166">
        <f t="shared" si="268"/>
        <v>0.4</v>
      </c>
      <c r="BV171" s="166">
        <f t="shared" si="269"/>
        <v>0.4</v>
      </c>
      <c r="BW171" s="166">
        <f t="shared" si="270"/>
        <v>0.4</v>
      </c>
      <c r="BX171" s="166">
        <f t="shared" si="271"/>
        <v>0.4</v>
      </c>
      <c r="BY171" s="166">
        <f t="shared" si="272"/>
        <v>0.4</v>
      </c>
      <c r="BZ171" s="166">
        <f t="shared" si="273"/>
        <v>0.4</v>
      </c>
      <c r="CA171" s="166">
        <f t="shared" si="274"/>
        <v>0.4</v>
      </c>
      <c r="CB171" s="166">
        <f t="shared" si="275"/>
        <v>0.4</v>
      </c>
      <c r="CC171" s="166">
        <f t="shared" si="276"/>
        <v>0.4</v>
      </c>
      <c r="CD171" s="166">
        <f t="shared" si="277"/>
        <v>0.4</v>
      </c>
      <c r="CE171" s="166">
        <f t="shared" si="278"/>
        <v>0.4</v>
      </c>
      <c r="CF171" s="166">
        <f t="shared" si="279"/>
        <v>0.4</v>
      </c>
      <c r="CG171" s="166">
        <f t="shared" si="280"/>
        <v>0.4</v>
      </c>
      <c r="CH171" s="166">
        <f t="shared" si="281"/>
        <v>0.4</v>
      </c>
      <c r="CI171" s="166">
        <f t="shared" si="282"/>
        <v>0.4</v>
      </c>
      <c r="CJ171" s="166">
        <f t="shared" si="283"/>
        <v>0.4</v>
      </c>
      <c r="CK171" s="166">
        <f t="shared" si="284"/>
        <v>0.4</v>
      </c>
      <c r="CL171" s="166">
        <f t="shared" si="285"/>
        <v>0.4</v>
      </c>
      <c r="CM171" s="166">
        <f t="shared" si="286"/>
        <v>0.4</v>
      </c>
      <c r="CN171" s="166">
        <f t="shared" si="287"/>
        <v>0.4</v>
      </c>
      <c r="CO171" s="166">
        <f t="shared" si="288"/>
        <v>0.4</v>
      </c>
      <c r="CP171" s="166">
        <f t="shared" si="289"/>
        <v>0.4</v>
      </c>
      <c r="CQ171" s="73" t="s">
        <v>77</v>
      </c>
    </row>
    <row r="172" spans="1:96" hidden="1" outlineLevel="1" x14ac:dyDescent="0.2">
      <c r="A172" s="233"/>
      <c r="B172" s="8" t="s">
        <v>55</v>
      </c>
      <c r="D172" s="72"/>
      <c r="E172" s="72"/>
      <c r="F172" s="72"/>
      <c r="G172" s="72"/>
      <c r="H172" s="72"/>
      <c r="I172" s="72"/>
      <c r="J172" s="72"/>
      <c r="K172" s="72"/>
      <c r="L172" s="125"/>
      <c r="M172" s="72">
        <f t="shared" si="246"/>
        <v>0</v>
      </c>
      <c r="N172" s="72">
        <f t="shared" si="246"/>
        <v>0</v>
      </c>
      <c r="O172" s="72">
        <f t="shared" si="246"/>
        <v>0</v>
      </c>
      <c r="P172" s="72">
        <f t="shared" si="247"/>
        <v>0</v>
      </c>
      <c r="Q172" s="125">
        <v>3.7999999999999999E-2</v>
      </c>
      <c r="R172" s="72">
        <f t="shared" si="248"/>
        <v>3.7999999999999999E-2</v>
      </c>
      <c r="S172" s="72">
        <f t="shared" si="248"/>
        <v>3.7999999999999999E-2</v>
      </c>
      <c r="T172" s="72">
        <f t="shared" si="248"/>
        <v>3.7999999999999999E-2</v>
      </c>
      <c r="U172" s="72">
        <f t="shared" si="249"/>
        <v>3.7999999999999999E-2</v>
      </c>
      <c r="V172" s="72">
        <f t="shared" ref="V172:AB172" si="294">V178-V167</f>
        <v>2.5899999999999999E-2</v>
      </c>
      <c r="W172" s="79">
        <f t="shared" si="294"/>
        <v>2.9899999999999996E-2</v>
      </c>
      <c r="X172" s="72">
        <f t="shared" si="294"/>
        <v>2.9899999999999996E-2</v>
      </c>
      <c r="Y172" s="72">
        <f t="shared" si="294"/>
        <v>2.9899999999999996E-2</v>
      </c>
      <c r="Z172" s="72">
        <f t="shared" si="294"/>
        <v>2.9899999999999996E-2</v>
      </c>
      <c r="AA172" s="72">
        <f t="shared" si="294"/>
        <v>2.9899999999999996E-2</v>
      </c>
      <c r="AB172" s="79">
        <f t="shared" si="294"/>
        <v>1.4999999999999999E-2</v>
      </c>
      <c r="AC172" s="72">
        <f t="shared" ref="AC172:BD172" si="295">+AB172</f>
        <v>1.4999999999999999E-2</v>
      </c>
      <c r="AD172" s="72">
        <f t="shared" si="295"/>
        <v>1.4999999999999999E-2</v>
      </c>
      <c r="AE172" s="72">
        <f t="shared" si="295"/>
        <v>1.4999999999999999E-2</v>
      </c>
      <c r="AF172" s="72">
        <f t="shared" si="295"/>
        <v>1.4999999999999999E-2</v>
      </c>
      <c r="AG172" s="72">
        <f t="shared" si="295"/>
        <v>1.4999999999999999E-2</v>
      </c>
      <c r="AH172" s="72">
        <f t="shared" si="295"/>
        <v>1.4999999999999999E-2</v>
      </c>
      <c r="AI172" s="72">
        <f t="shared" si="295"/>
        <v>1.4999999999999999E-2</v>
      </c>
      <c r="AJ172" s="72">
        <f t="shared" si="295"/>
        <v>1.4999999999999999E-2</v>
      </c>
      <c r="AK172" s="72">
        <f t="shared" si="295"/>
        <v>1.4999999999999999E-2</v>
      </c>
      <c r="AL172" s="72">
        <f t="shared" si="295"/>
        <v>1.4999999999999999E-2</v>
      </c>
      <c r="AM172" s="72">
        <f t="shared" si="295"/>
        <v>1.4999999999999999E-2</v>
      </c>
      <c r="AN172" s="72">
        <f t="shared" si="295"/>
        <v>1.4999999999999999E-2</v>
      </c>
      <c r="AO172" s="72">
        <f t="shared" si="295"/>
        <v>1.4999999999999999E-2</v>
      </c>
      <c r="AP172" s="72">
        <f t="shared" si="295"/>
        <v>1.4999999999999999E-2</v>
      </c>
      <c r="AQ172" s="72">
        <f t="shared" si="295"/>
        <v>1.4999999999999999E-2</v>
      </c>
      <c r="AR172" s="72">
        <f t="shared" si="295"/>
        <v>1.4999999999999999E-2</v>
      </c>
      <c r="AS172" s="72">
        <f t="shared" si="295"/>
        <v>1.4999999999999999E-2</v>
      </c>
      <c r="AT172" s="72">
        <f t="shared" si="295"/>
        <v>1.4999999999999999E-2</v>
      </c>
      <c r="AU172" s="72">
        <f t="shared" si="295"/>
        <v>1.4999999999999999E-2</v>
      </c>
      <c r="AV172" s="72">
        <f t="shared" si="295"/>
        <v>1.4999999999999999E-2</v>
      </c>
      <c r="AW172" s="72">
        <f t="shared" si="295"/>
        <v>1.4999999999999999E-2</v>
      </c>
      <c r="AX172" s="72">
        <f t="shared" si="295"/>
        <v>1.4999999999999999E-2</v>
      </c>
      <c r="AY172" s="72">
        <f t="shared" si="295"/>
        <v>1.4999999999999999E-2</v>
      </c>
      <c r="AZ172" s="72">
        <f t="shared" si="295"/>
        <v>1.4999999999999999E-2</v>
      </c>
      <c r="BA172" s="72">
        <f t="shared" si="295"/>
        <v>1.4999999999999999E-2</v>
      </c>
      <c r="BB172" s="72">
        <f t="shared" si="295"/>
        <v>1.4999999999999999E-2</v>
      </c>
      <c r="BC172" s="72">
        <f t="shared" si="295"/>
        <v>1.4999999999999999E-2</v>
      </c>
      <c r="BD172" s="72">
        <f t="shared" si="295"/>
        <v>1.4999999999999999E-2</v>
      </c>
      <c r="BE172" s="72">
        <f t="shared" si="252"/>
        <v>1.4999999999999999E-2</v>
      </c>
      <c r="BF172" s="72">
        <f t="shared" si="253"/>
        <v>1.4999999999999999E-2</v>
      </c>
      <c r="BG172" s="72">
        <f t="shared" si="254"/>
        <v>1.4999999999999999E-2</v>
      </c>
      <c r="BH172" s="72">
        <f t="shared" si="255"/>
        <v>1.4999999999999999E-2</v>
      </c>
      <c r="BI172" s="72">
        <f t="shared" si="256"/>
        <v>1.4999999999999999E-2</v>
      </c>
      <c r="BJ172" s="72">
        <f t="shared" si="257"/>
        <v>1.4999999999999999E-2</v>
      </c>
      <c r="BK172" s="72">
        <f t="shared" si="258"/>
        <v>1.4999999999999999E-2</v>
      </c>
      <c r="BL172" s="72">
        <f t="shared" si="259"/>
        <v>1.4999999999999999E-2</v>
      </c>
      <c r="BM172" s="72">
        <f t="shared" si="260"/>
        <v>1.4999999999999999E-2</v>
      </c>
      <c r="BN172" s="72">
        <f t="shared" si="261"/>
        <v>1.4999999999999999E-2</v>
      </c>
      <c r="BO172" s="72">
        <f t="shared" si="262"/>
        <v>1.4999999999999999E-2</v>
      </c>
      <c r="BP172" s="72">
        <f t="shared" si="263"/>
        <v>1.4999999999999999E-2</v>
      </c>
      <c r="BQ172" s="72">
        <f t="shared" si="264"/>
        <v>1.4999999999999999E-2</v>
      </c>
      <c r="BR172" s="72">
        <f t="shared" si="265"/>
        <v>1.4999999999999999E-2</v>
      </c>
      <c r="BS172" s="72">
        <f t="shared" si="266"/>
        <v>1.4999999999999999E-2</v>
      </c>
      <c r="BT172" s="72">
        <f t="shared" si="267"/>
        <v>1.4999999999999999E-2</v>
      </c>
      <c r="BU172" s="72">
        <f t="shared" si="268"/>
        <v>1.4999999999999999E-2</v>
      </c>
      <c r="BV172" s="72">
        <f t="shared" si="269"/>
        <v>1.4999999999999999E-2</v>
      </c>
      <c r="BW172" s="72">
        <f t="shared" si="270"/>
        <v>1.4999999999999999E-2</v>
      </c>
      <c r="BX172" s="72">
        <f t="shared" si="271"/>
        <v>1.4999999999999999E-2</v>
      </c>
      <c r="BY172" s="72">
        <f t="shared" si="272"/>
        <v>1.4999999999999999E-2</v>
      </c>
      <c r="BZ172" s="72">
        <f t="shared" si="273"/>
        <v>1.4999999999999999E-2</v>
      </c>
      <c r="CA172" s="72">
        <f t="shared" si="274"/>
        <v>1.4999999999999999E-2</v>
      </c>
      <c r="CB172" s="72">
        <f t="shared" si="275"/>
        <v>1.4999999999999999E-2</v>
      </c>
      <c r="CC172" s="72">
        <f t="shared" si="276"/>
        <v>1.4999999999999999E-2</v>
      </c>
      <c r="CD172" s="72">
        <f t="shared" si="277"/>
        <v>1.4999999999999999E-2</v>
      </c>
      <c r="CE172" s="72">
        <f t="shared" si="278"/>
        <v>1.4999999999999999E-2</v>
      </c>
      <c r="CF172" s="72">
        <f t="shared" si="279"/>
        <v>1.4999999999999999E-2</v>
      </c>
      <c r="CG172" s="72">
        <f t="shared" si="280"/>
        <v>1.4999999999999999E-2</v>
      </c>
      <c r="CH172" s="72">
        <f t="shared" si="281"/>
        <v>1.4999999999999999E-2</v>
      </c>
      <c r="CI172" s="72">
        <f t="shared" si="282"/>
        <v>1.4999999999999999E-2</v>
      </c>
      <c r="CJ172" s="72">
        <f t="shared" si="283"/>
        <v>1.4999999999999999E-2</v>
      </c>
      <c r="CK172" s="72">
        <f t="shared" si="284"/>
        <v>1.4999999999999999E-2</v>
      </c>
      <c r="CL172" s="72">
        <f t="shared" si="285"/>
        <v>1.4999999999999999E-2</v>
      </c>
      <c r="CM172" s="72">
        <f t="shared" si="286"/>
        <v>1.4999999999999999E-2</v>
      </c>
      <c r="CN172" s="72">
        <f t="shared" si="287"/>
        <v>1.4999999999999999E-2</v>
      </c>
      <c r="CO172" s="72">
        <f t="shared" si="288"/>
        <v>1.4999999999999999E-2</v>
      </c>
      <c r="CP172" s="72">
        <f t="shared" si="289"/>
        <v>1.4999999999999999E-2</v>
      </c>
      <c r="CQ172" s="23" t="s">
        <v>77</v>
      </c>
    </row>
    <row r="173" spans="1:96" hidden="1" outlineLevel="1" x14ac:dyDescent="0.2">
      <c r="A173" s="233"/>
      <c r="B173" s="8" t="s">
        <v>57</v>
      </c>
      <c r="D173" s="75"/>
      <c r="E173" s="75"/>
      <c r="F173" s="75"/>
      <c r="G173" s="75"/>
      <c r="H173" s="75"/>
      <c r="I173" s="75"/>
      <c r="J173" s="75"/>
      <c r="K173" s="75"/>
      <c r="L173" s="125"/>
      <c r="M173" s="72">
        <f t="shared" si="246"/>
        <v>0</v>
      </c>
      <c r="N173" s="72">
        <f t="shared" si="246"/>
        <v>0</v>
      </c>
      <c r="O173" s="72">
        <f t="shared" si="246"/>
        <v>0</v>
      </c>
      <c r="P173" s="72">
        <f t="shared" si="247"/>
        <v>0</v>
      </c>
      <c r="Q173" s="125">
        <v>0.06</v>
      </c>
      <c r="R173" s="72">
        <f t="shared" si="248"/>
        <v>0.06</v>
      </c>
      <c r="S173" s="72">
        <f t="shared" si="248"/>
        <v>0.06</v>
      </c>
      <c r="T173" s="72">
        <f t="shared" si="248"/>
        <v>0.06</v>
      </c>
      <c r="U173" s="72">
        <f t="shared" si="249"/>
        <v>0.06</v>
      </c>
      <c r="V173" s="235">
        <v>6.5000000000000002E-2</v>
      </c>
      <c r="W173" s="79">
        <f t="shared" ref="W173:BD173" si="296">+V173</f>
        <v>6.5000000000000002E-2</v>
      </c>
      <c r="X173" s="173">
        <f t="shared" si="296"/>
        <v>6.5000000000000002E-2</v>
      </c>
      <c r="Y173" s="173">
        <f t="shared" si="296"/>
        <v>6.5000000000000002E-2</v>
      </c>
      <c r="Z173" s="173">
        <f t="shared" si="296"/>
        <v>6.5000000000000002E-2</v>
      </c>
      <c r="AA173" s="173">
        <f t="shared" si="296"/>
        <v>6.5000000000000002E-2</v>
      </c>
      <c r="AB173" s="292">
        <f t="shared" si="296"/>
        <v>6.5000000000000002E-2</v>
      </c>
      <c r="AC173" s="173">
        <f t="shared" si="296"/>
        <v>6.5000000000000002E-2</v>
      </c>
      <c r="AD173" s="173">
        <f t="shared" si="296"/>
        <v>6.5000000000000002E-2</v>
      </c>
      <c r="AE173" s="173">
        <f t="shared" si="296"/>
        <v>6.5000000000000002E-2</v>
      </c>
      <c r="AF173" s="173">
        <f t="shared" si="296"/>
        <v>6.5000000000000002E-2</v>
      </c>
      <c r="AG173" s="173">
        <f t="shared" si="296"/>
        <v>6.5000000000000002E-2</v>
      </c>
      <c r="AH173" s="173">
        <f t="shared" si="296"/>
        <v>6.5000000000000002E-2</v>
      </c>
      <c r="AI173" s="173">
        <f t="shared" si="296"/>
        <v>6.5000000000000002E-2</v>
      </c>
      <c r="AJ173" s="173">
        <f t="shared" si="296"/>
        <v>6.5000000000000002E-2</v>
      </c>
      <c r="AK173" s="173">
        <f t="shared" si="296"/>
        <v>6.5000000000000002E-2</v>
      </c>
      <c r="AL173" s="173">
        <f t="shared" si="296"/>
        <v>6.5000000000000002E-2</v>
      </c>
      <c r="AM173" s="173">
        <f t="shared" si="296"/>
        <v>6.5000000000000002E-2</v>
      </c>
      <c r="AN173" s="173">
        <f t="shared" si="296"/>
        <v>6.5000000000000002E-2</v>
      </c>
      <c r="AO173" s="173">
        <f t="shared" si="296"/>
        <v>6.5000000000000002E-2</v>
      </c>
      <c r="AP173" s="173">
        <f t="shared" si="296"/>
        <v>6.5000000000000002E-2</v>
      </c>
      <c r="AQ173" s="173">
        <f t="shared" si="296"/>
        <v>6.5000000000000002E-2</v>
      </c>
      <c r="AR173" s="173">
        <f t="shared" si="296"/>
        <v>6.5000000000000002E-2</v>
      </c>
      <c r="AS173" s="173">
        <f t="shared" si="296"/>
        <v>6.5000000000000002E-2</v>
      </c>
      <c r="AT173" s="173">
        <f t="shared" si="296"/>
        <v>6.5000000000000002E-2</v>
      </c>
      <c r="AU173" s="173">
        <f t="shared" si="296"/>
        <v>6.5000000000000002E-2</v>
      </c>
      <c r="AV173" s="173">
        <f t="shared" si="296"/>
        <v>6.5000000000000002E-2</v>
      </c>
      <c r="AW173" s="173">
        <f t="shared" si="296"/>
        <v>6.5000000000000002E-2</v>
      </c>
      <c r="AX173" s="173">
        <f t="shared" si="296"/>
        <v>6.5000000000000002E-2</v>
      </c>
      <c r="AY173" s="173">
        <f t="shared" si="296"/>
        <v>6.5000000000000002E-2</v>
      </c>
      <c r="AZ173" s="173">
        <f t="shared" si="296"/>
        <v>6.5000000000000002E-2</v>
      </c>
      <c r="BA173" s="173">
        <f t="shared" si="296"/>
        <v>6.5000000000000002E-2</v>
      </c>
      <c r="BB173" s="173">
        <f t="shared" si="296"/>
        <v>6.5000000000000002E-2</v>
      </c>
      <c r="BC173" s="173">
        <f t="shared" si="296"/>
        <v>6.5000000000000002E-2</v>
      </c>
      <c r="BD173" s="173">
        <f t="shared" si="296"/>
        <v>6.5000000000000002E-2</v>
      </c>
      <c r="BE173" s="173">
        <f t="shared" si="252"/>
        <v>6.5000000000000002E-2</v>
      </c>
      <c r="BF173" s="173">
        <f t="shared" si="253"/>
        <v>6.5000000000000002E-2</v>
      </c>
      <c r="BG173" s="173">
        <f t="shared" si="254"/>
        <v>6.5000000000000002E-2</v>
      </c>
      <c r="BH173" s="173">
        <f t="shared" si="255"/>
        <v>6.5000000000000002E-2</v>
      </c>
      <c r="BI173" s="173">
        <f t="shared" si="256"/>
        <v>6.5000000000000002E-2</v>
      </c>
      <c r="BJ173" s="173">
        <f t="shared" si="257"/>
        <v>6.5000000000000002E-2</v>
      </c>
      <c r="BK173" s="173">
        <f t="shared" si="258"/>
        <v>6.5000000000000002E-2</v>
      </c>
      <c r="BL173" s="173">
        <f t="shared" si="259"/>
        <v>6.5000000000000002E-2</v>
      </c>
      <c r="BM173" s="173">
        <f t="shared" si="260"/>
        <v>6.5000000000000002E-2</v>
      </c>
      <c r="BN173" s="173">
        <f t="shared" si="261"/>
        <v>6.5000000000000002E-2</v>
      </c>
      <c r="BO173" s="173">
        <f t="shared" si="262"/>
        <v>6.5000000000000002E-2</v>
      </c>
      <c r="BP173" s="173">
        <f t="shared" si="263"/>
        <v>6.5000000000000002E-2</v>
      </c>
      <c r="BQ173" s="173">
        <f t="shared" si="264"/>
        <v>6.5000000000000002E-2</v>
      </c>
      <c r="BR173" s="173">
        <f t="shared" si="265"/>
        <v>6.5000000000000002E-2</v>
      </c>
      <c r="BS173" s="173">
        <f t="shared" si="266"/>
        <v>6.5000000000000002E-2</v>
      </c>
      <c r="BT173" s="173">
        <f t="shared" si="267"/>
        <v>6.5000000000000002E-2</v>
      </c>
      <c r="BU173" s="173">
        <f t="shared" si="268"/>
        <v>6.5000000000000002E-2</v>
      </c>
      <c r="BV173" s="173">
        <f t="shared" si="269"/>
        <v>6.5000000000000002E-2</v>
      </c>
      <c r="BW173" s="173">
        <f t="shared" si="270"/>
        <v>6.5000000000000002E-2</v>
      </c>
      <c r="BX173" s="173">
        <f t="shared" si="271"/>
        <v>6.5000000000000002E-2</v>
      </c>
      <c r="BY173" s="173">
        <f t="shared" si="272"/>
        <v>6.5000000000000002E-2</v>
      </c>
      <c r="BZ173" s="173">
        <f t="shared" si="273"/>
        <v>6.5000000000000002E-2</v>
      </c>
      <c r="CA173" s="173">
        <f t="shared" si="274"/>
        <v>6.5000000000000002E-2</v>
      </c>
      <c r="CB173" s="173">
        <f t="shared" si="275"/>
        <v>6.5000000000000002E-2</v>
      </c>
      <c r="CC173" s="173">
        <f t="shared" si="276"/>
        <v>6.5000000000000002E-2</v>
      </c>
      <c r="CD173" s="173">
        <f t="shared" si="277"/>
        <v>6.5000000000000002E-2</v>
      </c>
      <c r="CE173" s="173">
        <f t="shared" si="278"/>
        <v>6.5000000000000002E-2</v>
      </c>
      <c r="CF173" s="173">
        <f t="shared" si="279"/>
        <v>6.5000000000000002E-2</v>
      </c>
      <c r="CG173" s="173">
        <f t="shared" si="280"/>
        <v>6.5000000000000002E-2</v>
      </c>
      <c r="CH173" s="173">
        <f t="shared" si="281"/>
        <v>6.5000000000000002E-2</v>
      </c>
      <c r="CI173" s="173">
        <f t="shared" si="282"/>
        <v>6.5000000000000002E-2</v>
      </c>
      <c r="CJ173" s="173">
        <f t="shared" si="283"/>
        <v>6.5000000000000002E-2</v>
      </c>
      <c r="CK173" s="173">
        <f t="shared" si="284"/>
        <v>6.5000000000000002E-2</v>
      </c>
      <c r="CL173" s="173">
        <f t="shared" si="285"/>
        <v>6.5000000000000002E-2</v>
      </c>
      <c r="CM173" s="173">
        <f t="shared" si="286"/>
        <v>6.5000000000000002E-2</v>
      </c>
      <c r="CN173" s="173">
        <f t="shared" si="287"/>
        <v>6.5000000000000002E-2</v>
      </c>
      <c r="CO173" s="173">
        <f t="shared" si="288"/>
        <v>6.5000000000000002E-2</v>
      </c>
      <c r="CP173" s="173">
        <f t="shared" si="289"/>
        <v>6.5000000000000002E-2</v>
      </c>
      <c r="CQ173" s="23" t="s">
        <v>77</v>
      </c>
    </row>
    <row r="174" spans="1:96" hidden="1" outlineLevel="1" x14ac:dyDescent="0.2">
      <c r="A174" s="233"/>
      <c r="B174" s="8" t="s">
        <v>58</v>
      </c>
      <c r="D174" s="75"/>
      <c r="E174" s="75"/>
      <c r="F174" s="75"/>
      <c r="G174" s="75"/>
      <c r="H174" s="75"/>
      <c r="I174" s="75"/>
      <c r="J174" s="75"/>
      <c r="K174" s="75"/>
      <c r="L174" s="202"/>
      <c r="M174" s="90">
        <f t="shared" si="246"/>
        <v>0</v>
      </c>
      <c r="N174" s="90">
        <f t="shared" si="246"/>
        <v>0</v>
      </c>
      <c r="O174" s="90">
        <f t="shared" si="246"/>
        <v>0</v>
      </c>
      <c r="P174" s="90">
        <f t="shared" si="247"/>
        <v>0</v>
      </c>
      <c r="Q174" s="202">
        <v>0.8</v>
      </c>
      <c r="R174" s="90">
        <f t="shared" si="248"/>
        <v>0.8</v>
      </c>
      <c r="S174" s="90">
        <f t="shared" si="248"/>
        <v>0.8</v>
      </c>
      <c r="T174" s="90">
        <f t="shared" si="248"/>
        <v>0.8</v>
      </c>
      <c r="U174" s="90">
        <f t="shared" si="249"/>
        <v>0.8</v>
      </c>
      <c r="V174" s="239">
        <v>0.7</v>
      </c>
      <c r="W174" s="242">
        <f t="shared" ref="W174:BD174" si="297">+V174</f>
        <v>0.7</v>
      </c>
      <c r="X174" s="174">
        <f t="shared" si="297"/>
        <v>0.7</v>
      </c>
      <c r="Y174" s="174">
        <f t="shared" si="297"/>
        <v>0.7</v>
      </c>
      <c r="Z174" s="174">
        <f t="shared" si="297"/>
        <v>0.7</v>
      </c>
      <c r="AA174" s="174">
        <f t="shared" si="297"/>
        <v>0.7</v>
      </c>
      <c r="AB174" s="295">
        <f t="shared" si="297"/>
        <v>0.7</v>
      </c>
      <c r="AC174" s="174">
        <f t="shared" si="297"/>
        <v>0.7</v>
      </c>
      <c r="AD174" s="174">
        <f t="shared" si="297"/>
        <v>0.7</v>
      </c>
      <c r="AE174" s="174">
        <f t="shared" si="297"/>
        <v>0.7</v>
      </c>
      <c r="AF174" s="174">
        <f t="shared" si="297"/>
        <v>0.7</v>
      </c>
      <c r="AG174" s="174">
        <f t="shared" si="297"/>
        <v>0.7</v>
      </c>
      <c r="AH174" s="174">
        <f t="shared" si="297"/>
        <v>0.7</v>
      </c>
      <c r="AI174" s="174">
        <f t="shared" si="297"/>
        <v>0.7</v>
      </c>
      <c r="AJ174" s="174">
        <f t="shared" si="297"/>
        <v>0.7</v>
      </c>
      <c r="AK174" s="174">
        <f t="shared" si="297"/>
        <v>0.7</v>
      </c>
      <c r="AL174" s="174">
        <f t="shared" si="297"/>
        <v>0.7</v>
      </c>
      <c r="AM174" s="174">
        <f t="shared" si="297"/>
        <v>0.7</v>
      </c>
      <c r="AN174" s="174">
        <f t="shared" si="297"/>
        <v>0.7</v>
      </c>
      <c r="AO174" s="174">
        <f t="shared" si="297"/>
        <v>0.7</v>
      </c>
      <c r="AP174" s="174">
        <f t="shared" si="297"/>
        <v>0.7</v>
      </c>
      <c r="AQ174" s="174">
        <f t="shared" si="297"/>
        <v>0.7</v>
      </c>
      <c r="AR174" s="174">
        <f t="shared" si="297"/>
        <v>0.7</v>
      </c>
      <c r="AS174" s="174">
        <f t="shared" si="297"/>
        <v>0.7</v>
      </c>
      <c r="AT174" s="174">
        <f t="shared" si="297"/>
        <v>0.7</v>
      </c>
      <c r="AU174" s="174">
        <f t="shared" si="297"/>
        <v>0.7</v>
      </c>
      <c r="AV174" s="174">
        <f t="shared" si="297"/>
        <v>0.7</v>
      </c>
      <c r="AW174" s="174">
        <f t="shared" si="297"/>
        <v>0.7</v>
      </c>
      <c r="AX174" s="174">
        <f t="shared" si="297"/>
        <v>0.7</v>
      </c>
      <c r="AY174" s="174">
        <f t="shared" si="297"/>
        <v>0.7</v>
      </c>
      <c r="AZ174" s="174">
        <f t="shared" si="297"/>
        <v>0.7</v>
      </c>
      <c r="BA174" s="174">
        <f t="shared" si="297"/>
        <v>0.7</v>
      </c>
      <c r="BB174" s="174">
        <f t="shared" si="297"/>
        <v>0.7</v>
      </c>
      <c r="BC174" s="174">
        <f t="shared" si="297"/>
        <v>0.7</v>
      </c>
      <c r="BD174" s="174">
        <f t="shared" si="297"/>
        <v>0.7</v>
      </c>
      <c r="BE174" s="174">
        <f t="shared" si="252"/>
        <v>0.7</v>
      </c>
      <c r="BF174" s="174">
        <f t="shared" si="253"/>
        <v>0.7</v>
      </c>
      <c r="BG174" s="174">
        <f t="shared" si="254"/>
        <v>0.7</v>
      </c>
      <c r="BH174" s="174">
        <f t="shared" si="255"/>
        <v>0.7</v>
      </c>
      <c r="BI174" s="174">
        <f t="shared" si="256"/>
        <v>0.7</v>
      </c>
      <c r="BJ174" s="174">
        <f t="shared" si="257"/>
        <v>0.7</v>
      </c>
      <c r="BK174" s="174">
        <f t="shared" si="258"/>
        <v>0.7</v>
      </c>
      <c r="BL174" s="174">
        <f t="shared" si="259"/>
        <v>0.7</v>
      </c>
      <c r="BM174" s="174">
        <f t="shared" si="260"/>
        <v>0.7</v>
      </c>
      <c r="BN174" s="174">
        <f t="shared" si="261"/>
        <v>0.7</v>
      </c>
      <c r="BO174" s="174">
        <f t="shared" si="262"/>
        <v>0.7</v>
      </c>
      <c r="BP174" s="174">
        <f t="shared" si="263"/>
        <v>0.7</v>
      </c>
      <c r="BQ174" s="174">
        <f t="shared" si="264"/>
        <v>0.7</v>
      </c>
      <c r="BR174" s="174">
        <f t="shared" si="265"/>
        <v>0.7</v>
      </c>
      <c r="BS174" s="174">
        <f t="shared" si="266"/>
        <v>0.7</v>
      </c>
      <c r="BT174" s="174">
        <f t="shared" si="267"/>
        <v>0.7</v>
      </c>
      <c r="BU174" s="174">
        <f t="shared" si="268"/>
        <v>0.7</v>
      </c>
      <c r="BV174" s="174">
        <f t="shared" si="269"/>
        <v>0.7</v>
      </c>
      <c r="BW174" s="174">
        <f t="shared" si="270"/>
        <v>0.7</v>
      </c>
      <c r="BX174" s="174">
        <f t="shared" si="271"/>
        <v>0.7</v>
      </c>
      <c r="BY174" s="174">
        <f t="shared" si="272"/>
        <v>0.7</v>
      </c>
      <c r="BZ174" s="174">
        <f t="shared" si="273"/>
        <v>0.7</v>
      </c>
      <c r="CA174" s="174">
        <f t="shared" si="274"/>
        <v>0.7</v>
      </c>
      <c r="CB174" s="174">
        <f t="shared" si="275"/>
        <v>0.7</v>
      </c>
      <c r="CC174" s="174">
        <f t="shared" si="276"/>
        <v>0.7</v>
      </c>
      <c r="CD174" s="174">
        <f t="shared" si="277"/>
        <v>0.7</v>
      </c>
      <c r="CE174" s="174">
        <f t="shared" si="278"/>
        <v>0.7</v>
      </c>
      <c r="CF174" s="174">
        <f t="shared" si="279"/>
        <v>0.7</v>
      </c>
      <c r="CG174" s="174">
        <f t="shared" si="280"/>
        <v>0.7</v>
      </c>
      <c r="CH174" s="174">
        <f t="shared" si="281"/>
        <v>0.7</v>
      </c>
      <c r="CI174" s="174">
        <f t="shared" si="282"/>
        <v>0.7</v>
      </c>
      <c r="CJ174" s="174">
        <f t="shared" si="283"/>
        <v>0.7</v>
      </c>
      <c r="CK174" s="174">
        <f t="shared" si="284"/>
        <v>0.7</v>
      </c>
      <c r="CL174" s="174">
        <f t="shared" si="285"/>
        <v>0.7</v>
      </c>
      <c r="CM174" s="174">
        <f t="shared" si="286"/>
        <v>0.7</v>
      </c>
      <c r="CN174" s="174">
        <f t="shared" si="287"/>
        <v>0.7</v>
      </c>
      <c r="CO174" s="174">
        <f t="shared" si="288"/>
        <v>0.7</v>
      </c>
      <c r="CP174" s="174">
        <f t="shared" si="289"/>
        <v>0.7</v>
      </c>
      <c r="CQ174" s="23" t="s">
        <v>77</v>
      </c>
    </row>
    <row r="175" spans="1:96" hidden="1" outlineLevel="1" x14ac:dyDescent="0.2">
      <c r="B175" s="8" t="s">
        <v>59</v>
      </c>
      <c r="D175" s="75"/>
      <c r="E175" s="75"/>
      <c r="F175" s="75"/>
      <c r="G175" s="75"/>
      <c r="H175" s="75"/>
      <c r="I175" s="75"/>
      <c r="J175" s="75"/>
      <c r="K175" s="75"/>
      <c r="L175" s="203"/>
      <c r="M175" s="199">
        <f t="shared" si="246"/>
        <v>0</v>
      </c>
      <c r="N175" s="199">
        <f t="shared" si="246"/>
        <v>0</v>
      </c>
      <c r="O175" s="199">
        <f t="shared" si="246"/>
        <v>0</v>
      </c>
      <c r="P175" s="199">
        <f t="shared" si="247"/>
        <v>0</v>
      </c>
      <c r="Q175" s="203">
        <v>0.3</v>
      </c>
      <c r="R175" s="199">
        <f t="shared" si="248"/>
        <v>0.3</v>
      </c>
      <c r="S175" s="199">
        <f t="shared" si="248"/>
        <v>0.3</v>
      </c>
      <c r="T175" s="199">
        <f t="shared" si="248"/>
        <v>0.3</v>
      </c>
      <c r="U175" s="199">
        <f t="shared" si="249"/>
        <v>0.3</v>
      </c>
      <c r="V175" s="301">
        <f t="shared" ref="V175:BD175" si="298">+U175</f>
        <v>0.3</v>
      </c>
      <c r="W175" s="243">
        <f t="shared" si="298"/>
        <v>0.3</v>
      </c>
      <c r="X175" s="175">
        <f t="shared" si="298"/>
        <v>0.3</v>
      </c>
      <c r="Y175" s="175">
        <f t="shared" si="298"/>
        <v>0.3</v>
      </c>
      <c r="Z175" s="175">
        <f t="shared" si="298"/>
        <v>0.3</v>
      </c>
      <c r="AA175" s="175">
        <f t="shared" si="298"/>
        <v>0.3</v>
      </c>
      <c r="AB175" s="296">
        <f t="shared" si="298"/>
        <v>0.3</v>
      </c>
      <c r="AC175" s="175">
        <f t="shared" si="298"/>
        <v>0.3</v>
      </c>
      <c r="AD175" s="175">
        <f t="shared" si="298"/>
        <v>0.3</v>
      </c>
      <c r="AE175" s="175">
        <f t="shared" si="298"/>
        <v>0.3</v>
      </c>
      <c r="AF175" s="175">
        <f t="shared" si="298"/>
        <v>0.3</v>
      </c>
      <c r="AG175" s="175">
        <f t="shared" si="298"/>
        <v>0.3</v>
      </c>
      <c r="AH175" s="175">
        <f t="shared" si="298"/>
        <v>0.3</v>
      </c>
      <c r="AI175" s="175">
        <f t="shared" si="298"/>
        <v>0.3</v>
      </c>
      <c r="AJ175" s="175">
        <f t="shared" si="298"/>
        <v>0.3</v>
      </c>
      <c r="AK175" s="175">
        <f t="shared" si="298"/>
        <v>0.3</v>
      </c>
      <c r="AL175" s="175">
        <f t="shared" si="298"/>
        <v>0.3</v>
      </c>
      <c r="AM175" s="175">
        <f t="shared" si="298"/>
        <v>0.3</v>
      </c>
      <c r="AN175" s="175">
        <f t="shared" si="298"/>
        <v>0.3</v>
      </c>
      <c r="AO175" s="175">
        <f t="shared" si="298"/>
        <v>0.3</v>
      </c>
      <c r="AP175" s="175">
        <f t="shared" si="298"/>
        <v>0.3</v>
      </c>
      <c r="AQ175" s="175">
        <f t="shared" si="298"/>
        <v>0.3</v>
      </c>
      <c r="AR175" s="175">
        <f t="shared" si="298"/>
        <v>0.3</v>
      </c>
      <c r="AS175" s="175">
        <f t="shared" si="298"/>
        <v>0.3</v>
      </c>
      <c r="AT175" s="175">
        <f t="shared" si="298"/>
        <v>0.3</v>
      </c>
      <c r="AU175" s="175">
        <f t="shared" si="298"/>
        <v>0.3</v>
      </c>
      <c r="AV175" s="175">
        <f t="shared" si="298"/>
        <v>0.3</v>
      </c>
      <c r="AW175" s="175">
        <f t="shared" si="298"/>
        <v>0.3</v>
      </c>
      <c r="AX175" s="175">
        <f t="shared" si="298"/>
        <v>0.3</v>
      </c>
      <c r="AY175" s="175">
        <f t="shared" si="298"/>
        <v>0.3</v>
      </c>
      <c r="AZ175" s="175">
        <f t="shared" si="298"/>
        <v>0.3</v>
      </c>
      <c r="BA175" s="175">
        <f t="shared" si="298"/>
        <v>0.3</v>
      </c>
      <c r="BB175" s="175">
        <f t="shared" si="298"/>
        <v>0.3</v>
      </c>
      <c r="BC175" s="175">
        <f t="shared" si="298"/>
        <v>0.3</v>
      </c>
      <c r="BD175" s="175">
        <f t="shared" si="298"/>
        <v>0.3</v>
      </c>
      <c r="BE175" s="175">
        <f t="shared" si="252"/>
        <v>0.3</v>
      </c>
      <c r="BF175" s="175">
        <f t="shared" si="253"/>
        <v>0.3</v>
      </c>
      <c r="BG175" s="175">
        <f t="shared" si="254"/>
        <v>0.3</v>
      </c>
      <c r="BH175" s="175">
        <f t="shared" si="255"/>
        <v>0.3</v>
      </c>
      <c r="BI175" s="175">
        <f t="shared" si="256"/>
        <v>0.3</v>
      </c>
      <c r="BJ175" s="175">
        <f t="shared" si="257"/>
        <v>0.3</v>
      </c>
      <c r="BK175" s="175">
        <f t="shared" si="258"/>
        <v>0.3</v>
      </c>
      <c r="BL175" s="175">
        <f t="shared" si="259"/>
        <v>0.3</v>
      </c>
      <c r="BM175" s="175">
        <f t="shared" si="260"/>
        <v>0.3</v>
      </c>
      <c r="BN175" s="175">
        <f t="shared" si="261"/>
        <v>0.3</v>
      </c>
      <c r="BO175" s="175">
        <f t="shared" si="262"/>
        <v>0.3</v>
      </c>
      <c r="BP175" s="175">
        <f t="shared" si="263"/>
        <v>0.3</v>
      </c>
      <c r="BQ175" s="175">
        <f t="shared" si="264"/>
        <v>0.3</v>
      </c>
      <c r="BR175" s="175">
        <f t="shared" si="265"/>
        <v>0.3</v>
      </c>
      <c r="BS175" s="175">
        <f t="shared" si="266"/>
        <v>0.3</v>
      </c>
      <c r="BT175" s="175">
        <f t="shared" si="267"/>
        <v>0.3</v>
      </c>
      <c r="BU175" s="175">
        <f t="shared" si="268"/>
        <v>0.3</v>
      </c>
      <c r="BV175" s="175">
        <f t="shared" si="269"/>
        <v>0.3</v>
      </c>
      <c r="BW175" s="175">
        <f t="shared" si="270"/>
        <v>0.3</v>
      </c>
      <c r="BX175" s="175">
        <f t="shared" si="271"/>
        <v>0.3</v>
      </c>
      <c r="BY175" s="175">
        <f t="shared" si="272"/>
        <v>0.3</v>
      </c>
      <c r="BZ175" s="175">
        <f t="shared" si="273"/>
        <v>0.3</v>
      </c>
      <c r="CA175" s="175">
        <f t="shared" si="274"/>
        <v>0.3</v>
      </c>
      <c r="CB175" s="175">
        <f t="shared" si="275"/>
        <v>0.3</v>
      </c>
      <c r="CC175" s="175">
        <f t="shared" si="276"/>
        <v>0.3</v>
      </c>
      <c r="CD175" s="175">
        <f t="shared" si="277"/>
        <v>0.3</v>
      </c>
      <c r="CE175" s="175">
        <f t="shared" si="278"/>
        <v>0.3</v>
      </c>
      <c r="CF175" s="175">
        <f t="shared" si="279"/>
        <v>0.3</v>
      </c>
      <c r="CG175" s="175">
        <f t="shared" si="280"/>
        <v>0.3</v>
      </c>
      <c r="CH175" s="175">
        <f t="shared" si="281"/>
        <v>0.3</v>
      </c>
      <c r="CI175" s="175">
        <f t="shared" si="282"/>
        <v>0.3</v>
      </c>
      <c r="CJ175" s="175">
        <f t="shared" si="283"/>
        <v>0.3</v>
      </c>
      <c r="CK175" s="175">
        <f t="shared" si="284"/>
        <v>0.3</v>
      </c>
      <c r="CL175" s="175">
        <f t="shared" si="285"/>
        <v>0.3</v>
      </c>
      <c r="CM175" s="175">
        <f t="shared" si="286"/>
        <v>0.3</v>
      </c>
      <c r="CN175" s="175">
        <f t="shared" si="287"/>
        <v>0.3</v>
      </c>
      <c r="CO175" s="175">
        <f t="shared" si="288"/>
        <v>0.3</v>
      </c>
      <c r="CP175" s="175">
        <f t="shared" si="289"/>
        <v>0.3</v>
      </c>
      <c r="CQ175" s="23" t="s">
        <v>77</v>
      </c>
    </row>
    <row r="176" spans="1:96" hidden="1" outlineLevel="1" x14ac:dyDescent="0.2">
      <c r="B176" s="8" t="s">
        <v>80</v>
      </c>
      <c r="D176" s="75"/>
      <c r="E176" s="75"/>
      <c r="F176" s="75"/>
      <c r="G176" s="75"/>
      <c r="H176" s="75"/>
      <c r="I176" s="75"/>
      <c r="J176" s="75"/>
      <c r="K176" s="75"/>
      <c r="L176" s="204"/>
      <c r="M176" s="199">
        <f t="shared" si="246"/>
        <v>0</v>
      </c>
      <c r="N176" s="199">
        <f t="shared" si="246"/>
        <v>0</v>
      </c>
      <c r="O176" s="199">
        <f t="shared" si="246"/>
        <v>0</v>
      </c>
      <c r="P176" s="199">
        <f t="shared" si="247"/>
        <v>0</v>
      </c>
      <c r="Q176" s="204">
        <v>0.25</v>
      </c>
      <c r="R176" s="199">
        <f t="shared" si="248"/>
        <v>0.25</v>
      </c>
      <c r="S176" s="199">
        <f t="shared" si="248"/>
        <v>0.25</v>
      </c>
      <c r="T176" s="199">
        <f t="shared" si="248"/>
        <v>0.25</v>
      </c>
      <c r="U176" s="199">
        <f t="shared" si="249"/>
        <v>0.25</v>
      </c>
      <c r="V176" s="240">
        <v>0.4</v>
      </c>
      <c r="W176" s="244">
        <f t="shared" ref="W176:BD176" si="299">+V176</f>
        <v>0.4</v>
      </c>
      <c r="X176" s="175">
        <f t="shared" si="299"/>
        <v>0.4</v>
      </c>
      <c r="Y176" s="175">
        <f t="shared" si="299"/>
        <v>0.4</v>
      </c>
      <c r="Z176" s="175">
        <f t="shared" si="299"/>
        <v>0.4</v>
      </c>
      <c r="AA176" s="175">
        <f t="shared" si="299"/>
        <v>0.4</v>
      </c>
      <c r="AB176" s="170">
        <v>0.25</v>
      </c>
      <c r="AC176" s="175">
        <f t="shared" si="299"/>
        <v>0.25</v>
      </c>
      <c r="AD176" s="175">
        <f t="shared" si="299"/>
        <v>0.25</v>
      </c>
      <c r="AE176" s="175">
        <f t="shared" si="299"/>
        <v>0.25</v>
      </c>
      <c r="AF176" s="175">
        <f t="shared" si="299"/>
        <v>0.25</v>
      </c>
      <c r="AG176" s="175">
        <f t="shared" si="299"/>
        <v>0.25</v>
      </c>
      <c r="AH176" s="175">
        <f t="shared" si="299"/>
        <v>0.25</v>
      </c>
      <c r="AI176" s="175">
        <f t="shared" si="299"/>
        <v>0.25</v>
      </c>
      <c r="AJ176" s="175">
        <f t="shared" si="299"/>
        <v>0.25</v>
      </c>
      <c r="AK176" s="175">
        <f t="shared" si="299"/>
        <v>0.25</v>
      </c>
      <c r="AL176" s="175">
        <f t="shared" si="299"/>
        <v>0.25</v>
      </c>
      <c r="AM176" s="175">
        <f t="shared" si="299"/>
        <v>0.25</v>
      </c>
      <c r="AN176" s="175">
        <f t="shared" si="299"/>
        <v>0.25</v>
      </c>
      <c r="AO176" s="175">
        <f t="shared" si="299"/>
        <v>0.25</v>
      </c>
      <c r="AP176" s="175">
        <f t="shared" si="299"/>
        <v>0.25</v>
      </c>
      <c r="AQ176" s="175">
        <f t="shared" si="299"/>
        <v>0.25</v>
      </c>
      <c r="AR176" s="175">
        <f t="shared" si="299"/>
        <v>0.25</v>
      </c>
      <c r="AS176" s="175">
        <f t="shared" si="299"/>
        <v>0.25</v>
      </c>
      <c r="AT176" s="175">
        <f t="shared" si="299"/>
        <v>0.25</v>
      </c>
      <c r="AU176" s="175">
        <f t="shared" si="299"/>
        <v>0.25</v>
      </c>
      <c r="AV176" s="175">
        <f t="shared" si="299"/>
        <v>0.25</v>
      </c>
      <c r="AW176" s="175">
        <f t="shared" si="299"/>
        <v>0.25</v>
      </c>
      <c r="AX176" s="175">
        <f t="shared" si="299"/>
        <v>0.25</v>
      </c>
      <c r="AY176" s="175">
        <f t="shared" si="299"/>
        <v>0.25</v>
      </c>
      <c r="AZ176" s="175">
        <f t="shared" si="299"/>
        <v>0.25</v>
      </c>
      <c r="BA176" s="175">
        <f t="shared" si="299"/>
        <v>0.25</v>
      </c>
      <c r="BB176" s="175">
        <f t="shared" si="299"/>
        <v>0.25</v>
      </c>
      <c r="BC176" s="175">
        <f t="shared" si="299"/>
        <v>0.25</v>
      </c>
      <c r="BD176" s="175">
        <f t="shared" si="299"/>
        <v>0.25</v>
      </c>
      <c r="BE176" s="175">
        <f t="shared" si="252"/>
        <v>0.25</v>
      </c>
      <c r="BF176" s="175">
        <f t="shared" si="253"/>
        <v>0.25</v>
      </c>
      <c r="BG176" s="175">
        <f t="shared" si="254"/>
        <v>0.25</v>
      </c>
      <c r="BH176" s="175">
        <f t="shared" si="255"/>
        <v>0.25</v>
      </c>
      <c r="BI176" s="175">
        <f t="shared" si="256"/>
        <v>0.25</v>
      </c>
      <c r="BJ176" s="175">
        <f t="shared" si="257"/>
        <v>0.25</v>
      </c>
      <c r="BK176" s="175">
        <f t="shared" si="258"/>
        <v>0.25</v>
      </c>
      <c r="BL176" s="175">
        <f t="shared" si="259"/>
        <v>0.25</v>
      </c>
      <c r="BM176" s="175">
        <f t="shared" si="260"/>
        <v>0.25</v>
      </c>
      <c r="BN176" s="175">
        <f t="shared" si="261"/>
        <v>0.25</v>
      </c>
      <c r="BO176" s="175">
        <f t="shared" si="262"/>
        <v>0.25</v>
      </c>
      <c r="BP176" s="175">
        <f t="shared" si="263"/>
        <v>0.25</v>
      </c>
      <c r="BQ176" s="175">
        <f t="shared" si="264"/>
        <v>0.25</v>
      </c>
      <c r="BR176" s="175">
        <f t="shared" si="265"/>
        <v>0.25</v>
      </c>
      <c r="BS176" s="175">
        <f t="shared" si="266"/>
        <v>0.25</v>
      </c>
      <c r="BT176" s="175">
        <f t="shared" si="267"/>
        <v>0.25</v>
      </c>
      <c r="BU176" s="175">
        <f t="shared" si="268"/>
        <v>0.25</v>
      </c>
      <c r="BV176" s="175">
        <f t="shared" si="269"/>
        <v>0.25</v>
      </c>
      <c r="BW176" s="175">
        <f t="shared" si="270"/>
        <v>0.25</v>
      </c>
      <c r="BX176" s="175">
        <f t="shared" si="271"/>
        <v>0.25</v>
      </c>
      <c r="BY176" s="175">
        <f t="shared" si="272"/>
        <v>0.25</v>
      </c>
      <c r="BZ176" s="175">
        <f t="shared" si="273"/>
        <v>0.25</v>
      </c>
      <c r="CA176" s="175">
        <f t="shared" si="274"/>
        <v>0.25</v>
      </c>
      <c r="CB176" s="175">
        <f t="shared" si="275"/>
        <v>0.25</v>
      </c>
      <c r="CC176" s="175">
        <f t="shared" si="276"/>
        <v>0.25</v>
      </c>
      <c r="CD176" s="175">
        <f t="shared" si="277"/>
        <v>0.25</v>
      </c>
      <c r="CE176" s="175">
        <f t="shared" si="278"/>
        <v>0.25</v>
      </c>
      <c r="CF176" s="175">
        <f t="shared" si="279"/>
        <v>0.25</v>
      </c>
      <c r="CG176" s="175">
        <f t="shared" si="280"/>
        <v>0.25</v>
      </c>
      <c r="CH176" s="175">
        <f t="shared" si="281"/>
        <v>0.25</v>
      </c>
      <c r="CI176" s="175">
        <f t="shared" si="282"/>
        <v>0.25</v>
      </c>
      <c r="CJ176" s="175">
        <f t="shared" si="283"/>
        <v>0.25</v>
      </c>
      <c r="CK176" s="175">
        <f t="shared" si="284"/>
        <v>0.25</v>
      </c>
      <c r="CL176" s="175">
        <f t="shared" si="285"/>
        <v>0.25</v>
      </c>
      <c r="CM176" s="175">
        <f t="shared" si="286"/>
        <v>0.25</v>
      </c>
      <c r="CN176" s="175">
        <f t="shared" si="287"/>
        <v>0.25</v>
      </c>
      <c r="CO176" s="175">
        <f t="shared" si="288"/>
        <v>0.25</v>
      </c>
      <c r="CP176" s="175">
        <f t="shared" si="289"/>
        <v>0.25</v>
      </c>
      <c r="CQ176" s="23" t="s">
        <v>77</v>
      </c>
    </row>
    <row r="177" spans="2:95" hidden="1" outlineLevel="1" x14ac:dyDescent="0.2">
      <c r="B177" s="358" t="s">
        <v>66</v>
      </c>
      <c r="D177" s="66"/>
      <c r="E177" s="66"/>
      <c r="F177" s="66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  <c r="Y177" s="66"/>
      <c r="Z177" s="66"/>
      <c r="AA177" s="66"/>
      <c r="AB177" s="66"/>
      <c r="AC177" s="66"/>
      <c r="AD177" s="66"/>
      <c r="AE177" s="66"/>
      <c r="AF177" s="66"/>
      <c r="AG177" s="66"/>
      <c r="AH177" s="66"/>
      <c r="AI177" s="66"/>
      <c r="AJ177" s="66"/>
      <c r="AK177" s="66"/>
      <c r="AL177" s="66"/>
      <c r="AM177" s="66"/>
      <c r="AN177" s="66"/>
      <c r="AO177" s="66"/>
      <c r="AP177" s="66"/>
      <c r="AQ177" s="66"/>
      <c r="AR177" s="66"/>
      <c r="AS177" s="66"/>
      <c r="AT177" s="66"/>
      <c r="AU177" s="66"/>
      <c r="AV177" s="66"/>
      <c r="AW177" s="66"/>
      <c r="AX177" s="66"/>
      <c r="AY177" s="66"/>
      <c r="AZ177" s="66"/>
      <c r="BA177" s="66"/>
      <c r="BB177" s="66"/>
      <c r="BC177" s="66"/>
      <c r="BD177" s="66"/>
      <c r="BE177" s="66"/>
      <c r="BF177" s="66"/>
      <c r="BG177" s="66"/>
      <c r="BH177" s="66"/>
      <c r="BI177" s="66"/>
      <c r="BJ177" s="66"/>
      <c r="BK177" s="66"/>
      <c r="BL177" s="66"/>
      <c r="BM177" s="66"/>
      <c r="BN177" s="66"/>
      <c r="BO177" s="66"/>
      <c r="BP177" s="66"/>
      <c r="BQ177" s="66"/>
      <c r="BR177" s="66"/>
      <c r="BS177" s="66"/>
      <c r="BT177" s="66"/>
      <c r="BU177" s="66"/>
      <c r="BV177" s="66"/>
      <c r="BW177" s="66"/>
      <c r="BX177" s="66"/>
      <c r="BY177" s="66"/>
      <c r="BZ177" s="66"/>
      <c r="CA177" s="66"/>
      <c r="CB177" s="66"/>
      <c r="CC177" s="66"/>
      <c r="CD177" s="66"/>
      <c r="CE177" s="66"/>
      <c r="CF177" s="66"/>
      <c r="CG177" s="66"/>
      <c r="CH177" s="66"/>
      <c r="CI177" s="66"/>
      <c r="CJ177" s="66"/>
      <c r="CK177" s="66"/>
      <c r="CL177" s="66"/>
      <c r="CM177" s="66"/>
      <c r="CN177" s="66"/>
      <c r="CO177" s="66"/>
      <c r="CP177" s="66"/>
      <c r="CQ177" s="23" t="s">
        <v>77</v>
      </c>
    </row>
    <row r="178" spans="2:95" hidden="1" outlineLevel="1" x14ac:dyDescent="0.2">
      <c r="B178" s="8" t="s">
        <v>60</v>
      </c>
      <c r="D178" s="9"/>
      <c r="E178" s="9"/>
      <c r="F178" s="9"/>
      <c r="G178" s="75"/>
      <c r="H178" s="75"/>
      <c r="I178" s="75"/>
      <c r="J178" s="75"/>
      <c r="K178" s="75"/>
      <c r="L178" s="536">
        <f t="shared" ref="L178:T178" si="300">+L167+L172</f>
        <v>0</v>
      </c>
      <c r="M178" s="72">
        <f t="shared" si="300"/>
        <v>0</v>
      </c>
      <c r="N178" s="72">
        <f t="shared" si="300"/>
        <v>0</v>
      </c>
      <c r="O178" s="72">
        <f t="shared" si="300"/>
        <v>0</v>
      </c>
      <c r="P178" s="72">
        <f>+P167+P172</f>
        <v>0</v>
      </c>
      <c r="Q178" s="536">
        <f>+Q167+Q172</f>
        <v>9.3299999999999994E-2</v>
      </c>
      <c r="R178" s="72">
        <f t="shared" si="300"/>
        <v>9.3299999999999994E-2</v>
      </c>
      <c r="S178" s="72">
        <f t="shared" si="300"/>
        <v>9.3299999999999994E-2</v>
      </c>
      <c r="T178" s="72">
        <f t="shared" si="300"/>
        <v>9.3299999999999994E-2</v>
      </c>
      <c r="U178" s="72">
        <f>+U167+U172</f>
        <v>9.3299999999999994E-2</v>
      </c>
      <c r="V178" s="235">
        <v>5.16E-2</v>
      </c>
      <c r="W178" s="205">
        <v>5.5599999999999997E-2</v>
      </c>
      <c r="X178" s="173">
        <f>W178</f>
        <v>5.5599999999999997E-2</v>
      </c>
      <c r="Y178" s="173">
        <f>X178</f>
        <v>5.5599999999999997E-2</v>
      </c>
      <c r="Z178" s="173">
        <f>Y178</f>
        <v>5.5599999999999997E-2</v>
      </c>
      <c r="AA178" s="173">
        <f>Z178</f>
        <v>5.5599999999999997E-2</v>
      </c>
      <c r="AB178" s="176">
        <v>0.06</v>
      </c>
      <c r="AC178" s="173">
        <f>+AC167+AC172</f>
        <v>0.06</v>
      </c>
      <c r="AD178" s="173">
        <f t="shared" ref="AD178:BD178" si="301">+AD167+AD172</f>
        <v>0.06</v>
      </c>
      <c r="AE178" s="173">
        <f t="shared" si="301"/>
        <v>0.06</v>
      </c>
      <c r="AF178" s="173">
        <f t="shared" si="301"/>
        <v>0.06</v>
      </c>
      <c r="AG178" s="173">
        <f t="shared" si="301"/>
        <v>0.06</v>
      </c>
      <c r="AH178" s="173">
        <f t="shared" si="301"/>
        <v>0.06</v>
      </c>
      <c r="AI178" s="173">
        <f t="shared" si="301"/>
        <v>0.06</v>
      </c>
      <c r="AJ178" s="173">
        <f t="shared" si="301"/>
        <v>0.06</v>
      </c>
      <c r="AK178" s="173">
        <f t="shared" si="301"/>
        <v>0.06</v>
      </c>
      <c r="AL178" s="173">
        <f t="shared" si="301"/>
        <v>0.06</v>
      </c>
      <c r="AM178" s="173">
        <f t="shared" si="301"/>
        <v>0.06</v>
      </c>
      <c r="AN178" s="173">
        <f t="shared" si="301"/>
        <v>0.06</v>
      </c>
      <c r="AO178" s="173">
        <f t="shared" si="301"/>
        <v>0.06</v>
      </c>
      <c r="AP178" s="173">
        <f t="shared" si="301"/>
        <v>0.06</v>
      </c>
      <c r="AQ178" s="173">
        <f t="shared" si="301"/>
        <v>0.06</v>
      </c>
      <c r="AR178" s="173">
        <f t="shared" si="301"/>
        <v>0.06</v>
      </c>
      <c r="AS178" s="173">
        <f t="shared" si="301"/>
        <v>0.06</v>
      </c>
      <c r="AT178" s="173">
        <f t="shared" si="301"/>
        <v>0.06</v>
      </c>
      <c r="AU178" s="173">
        <f t="shared" si="301"/>
        <v>0.06</v>
      </c>
      <c r="AV178" s="173">
        <f t="shared" si="301"/>
        <v>0.06</v>
      </c>
      <c r="AW178" s="173">
        <f t="shared" si="301"/>
        <v>0.06</v>
      </c>
      <c r="AX178" s="173">
        <f t="shared" si="301"/>
        <v>0.06</v>
      </c>
      <c r="AY178" s="173">
        <f t="shared" si="301"/>
        <v>0.06</v>
      </c>
      <c r="AZ178" s="173">
        <f t="shared" si="301"/>
        <v>0.06</v>
      </c>
      <c r="BA178" s="173">
        <f t="shared" si="301"/>
        <v>0.06</v>
      </c>
      <c r="BB178" s="173">
        <f t="shared" si="301"/>
        <v>0.06</v>
      </c>
      <c r="BC178" s="173">
        <f t="shared" si="301"/>
        <v>0.06</v>
      </c>
      <c r="BD178" s="173">
        <f t="shared" si="301"/>
        <v>0.06</v>
      </c>
      <c r="BE178" s="173">
        <f t="shared" ref="BE178:CP178" si="302">+BE167+BE172</f>
        <v>0.06</v>
      </c>
      <c r="BF178" s="173">
        <f t="shared" si="302"/>
        <v>0.06</v>
      </c>
      <c r="BG178" s="173">
        <f t="shared" si="302"/>
        <v>0.06</v>
      </c>
      <c r="BH178" s="173">
        <f t="shared" si="302"/>
        <v>0.06</v>
      </c>
      <c r="BI178" s="173">
        <f t="shared" si="302"/>
        <v>0.06</v>
      </c>
      <c r="BJ178" s="173">
        <f t="shared" si="302"/>
        <v>0.06</v>
      </c>
      <c r="BK178" s="173">
        <f t="shared" si="302"/>
        <v>0.06</v>
      </c>
      <c r="BL178" s="173">
        <f t="shared" si="302"/>
        <v>0.06</v>
      </c>
      <c r="BM178" s="173">
        <f t="shared" si="302"/>
        <v>0.06</v>
      </c>
      <c r="BN178" s="173">
        <f t="shared" si="302"/>
        <v>0.06</v>
      </c>
      <c r="BO178" s="173">
        <f t="shared" si="302"/>
        <v>0.06</v>
      </c>
      <c r="BP178" s="173">
        <f t="shared" si="302"/>
        <v>0.06</v>
      </c>
      <c r="BQ178" s="173">
        <f t="shared" si="302"/>
        <v>0.06</v>
      </c>
      <c r="BR178" s="173">
        <f t="shared" si="302"/>
        <v>0.06</v>
      </c>
      <c r="BS178" s="173">
        <f t="shared" si="302"/>
        <v>0.06</v>
      </c>
      <c r="BT178" s="173">
        <f t="shared" si="302"/>
        <v>0.06</v>
      </c>
      <c r="BU178" s="173">
        <f t="shared" si="302"/>
        <v>0.06</v>
      </c>
      <c r="BV178" s="173">
        <f t="shared" si="302"/>
        <v>0.06</v>
      </c>
      <c r="BW178" s="173">
        <f t="shared" si="302"/>
        <v>0.06</v>
      </c>
      <c r="BX178" s="173">
        <f t="shared" si="302"/>
        <v>0.06</v>
      </c>
      <c r="BY178" s="173">
        <f t="shared" si="302"/>
        <v>0.06</v>
      </c>
      <c r="BZ178" s="173">
        <f t="shared" si="302"/>
        <v>0.06</v>
      </c>
      <c r="CA178" s="173">
        <f t="shared" si="302"/>
        <v>0.06</v>
      </c>
      <c r="CB178" s="173">
        <f t="shared" si="302"/>
        <v>0.06</v>
      </c>
      <c r="CC178" s="173">
        <f t="shared" si="302"/>
        <v>0.06</v>
      </c>
      <c r="CD178" s="173">
        <f t="shared" si="302"/>
        <v>0.06</v>
      </c>
      <c r="CE178" s="173">
        <f t="shared" si="302"/>
        <v>0.06</v>
      </c>
      <c r="CF178" s="173">
        <f t="shared" si="302"/>
        <v>0.06</v>
      </c>
      <c r="CG178" s="173">
        <f t="shared" si="302"/>
        <v>0.06</v>
      </c>
      <c r="CH178" s="173">
        <f t="shared" si="302"/>
        <v>0.06</v>
      </c>
      <c r="CI178" s="173">
        <f t="shared" si="302"/>
        <v>0.06</v>
      </c>
      <c r="CJ178" s="173">
        <f t="shared" si="302"/>
        <v>0.06</v>
      </c>
      <c r="CK178" s="173">
        <f t="shared" si="302"/>
        <v>0.06</v>
      </c>
      <c r="CL178" s="173">
        <f t="shared" si="302"/>
        <v>0.06</v>
      </c>
      <c r="CM178" s="173">
        <f t="shared" si="302"/>
        <v>0.06</v>
      </c>
      <c r="CN178" s="173">
        <f t="shared" si="302"/>
        <v>0.06</v>
      </c>
      <c r="CO178" s="173">
        <f t="shared" si="302"/>
        <v>0.06</v>
      </c>
      <c r="CP178" s="173">
        <f t="shared" si="302"/>
        <v>0.06</v>
      </c>
      <c r="CQ178" s="23" t="s">
        <v>77</v>
      </c>
    </row>
    <row r="179" spans="2:95" hidden="1" outlineLevel="1" x14ac:dyDescent="0.2">
      <c r="B179" s="8" t="s">
        <v>61</v>
      </c>
      <c r="D179" s="9"/>
      <c r="E179" s="9"/>
      <c r="F179" s="9"/>
      <c r="G179" s="75"/>
      <c r="H179" s="75"/>
      <c r="I179" s="75"/>
      <c r="J179" s="75"/>
      <c r="K179" s="75"/>
      <c r="L179" s="237">
        <f t="shared" ref="L179:BD179" si="303">+(1+L178)/(1+L168)-1</f>
        <v>0</v>
      </c>
      <c r="M179" s="72">
        <f t="shared" si="303"/>
        <v>0</v>
      </c>
      <c r="N179" s="72">
        <f t="shared" si="303"/>
        <v>0</v>
      </c>
      <c r="O179" s="72">
        <f t="shared" si="303"/>
        <v>0</v>
      </c>
      <c r="P179" s="72">
        <f t="shared" si="303"/>
        <v>0</v>
      </c>
      <c r="Q179" s="237">
        <f t="shared" si="303"/>
        <v>6.6114090687469318E-2</v>
      </c>
      <c r="R179" s="72">
        <f t="shared" si="303"/>
        <v>6.6114090687469318E-2</v>
      </c>
      <c r="S179" s="72">
        <f t="shared" si="303"/>
        <v>6.6114090687469318E-2</v>
      </c>
      <c r="T179" s="72">
        <f t="shared" si="303"/>
        <v>6.6114090687469318E-2</v>
      </c>
      <c r="U179" s="72">
        <f t="shared" si="303"/>
        <v>6.6114090687469318E-2</v>
      </c>
      <c r="V179" s="72">
        <f t="shared" si="303"/>
        <v>2.5951219512195367E-2</v>
      </c>
      <c r="W179" s="237">
        <f t="shared" si="303"/>
        <v>3.0960054692841243E-2</v>
      </c>
      <c r="X179" s="173">
        <f t="shared" si="303"/>
        <v>3.0960054692841243E-2</v>
      </c>
      <c r="Y179" s="173">
        <f t="shared" si="303"/>
        <v>3.0960054692841243E-2</v>
      </c>
      <c r="Z179" s="173">
        <f t="shared" si="303"/>
        <v>3.0960054692841243E-2</v>
      </c>
      <c r="AA179" s="173">
        <f t="shared" si="303"/>
        <v>3.0960054692841243E-2</v>
      </c>
      <c r="AB179" s="178">
        <f t="shared" si="303"/>
        <v>3.5257349350522604E-2</v>
      </c>
      <c r="AC179" s="173">
        <f t="shared" si="303"/>
        <v>3.5257349350522604E-2</v>
      </c>
      <c r="AD179" s="173">
        <f t="shared" si="303"/>
        <v>3.5257349350522604E-2</v>
      </c>
      <c r="AE179" s="173">
        <f t="shared" si="303"/>
        <v>3.5257349350522604E-2</v>
      </c>
      <c r="AF179" s="173">
        <f t="shared" si="303"/>
        <v>3.5257349350522604E-2</v>
      </c>
      <c r="AG179" s="173">
        <f t="shared" si="303"/>
        <v>3.5257349350522604E-2</v>
      </c>
      <c r="AH179" s="173">
        <f t="shared" si="303"/>
        <v>3.5257349350522604E-2</v>
      </c>
      <c r="AI179" s="173">
        <f t="shared" si="303"/>
        <v>3.5257349350522604E-2</v>
      </c>
      <c r="AJ179" s="173">
        <f t="shared" si="303"/>
        <v>3.5257349350522604E-2</v>
      </c>
      <c r="AK179" s="173">
        <f t="shared" si="303"/>
        <v>3.5257349350522604E-2</v>
      </c>
      <c r="AL179" s="173">
        <f t="shared" si="303"/>
        <v>3.5257349350522604E-2</v>
      </c>
      <c r="AM179" s="173">
        <f t="shared" si="303"/>
        <v>3.5257349350522604E-2</v>
      </c>
      <c r="AN179" s="173">
        <f t="shared" si="303"/>
        <v>3.5257349350522604E-2</v>
      </c>
      <c r="AO179" s="173">
        <f t="shared" si="303"/>
        <v>3.5257349350522604E-2</v>
      </c>
      <c r="AP179" s="173">
        <f t="shared" si="303"/>
        <v>3.5257349350522604E-2</v>
      </c>
      <c r="AQ179" s="173">
        <f t="shared" si="303"/>
        <v>3.5257349350522604E-2</v>
      </c>
      <c r="AR179" s="173">
        <f t="shared" si="303"/>
        <v>3.5257349350522604E-2</v>
      </c>
      <c r="AS179" s="173">
        <f t="shared" si="303"/>
        <v>3.5257349350522604E-2</v>
      </c>
      <c r="AT179" s="173">
        <f t="shared" si="303"/>
        <v>3.5257349350522604E-2</v>
      </c>
      <c r="AU179" s="173">
        <f t="shared" si="303"/>
        <v>3.5257349350522604E-2</v>
      </c>
      <c r="AV179" s="173">
        <f t="shared" si="303"/>
        <v>3.5257349350522604E-2</v>
      </c>
      <c r="AW179" s="173">
        <f t="shared" si="303"/>
        <v>3.5257349350522604E-2</v>
      </c>
      <c r="AX179" s="173">
        <f t="shared" si="303"/>
        <v>3.5257349350522604E-2</v>
      </c>
      <c r="AY179" s="173">
        <f t="shared" si="303"/>
        <v>3.5257349350522604E-2</v>
      </c>
      <c r="AZ179" s="173">
        <f t="shared" si="303"/>
        <v>3.5257349350522604E-2</v>
      </c>
      <c r="BA179" s="173">
        <f t="shared" si="303"/>
        <v>3.5257349350522604E-2</v>
      </c>
      <c r="BB179" s="173">
        <f t="shared" si="303"/>
        <v>3.5257349350522604E-2</v>
      </c>
      <c r="BC179" s="173">
        <f t="shared" si="303"/>
        <v>3.5257349350522604E-2</v>
      </c>
      <c r="BD179" s="173">
        <f t="shared" si="303"/>
        <v>3.5257349350522604E-2</v>
      </c>
      <c r="BE179" s="173">
        <f t="shared" ref="BE179:CP179" si="304">+(1+BE178)/(1+BE168)-1</f>
        <v>3.5257349350522604E-2</v>
      </c>
      <c r="BF179" s="173">
        <f t="shared" si="304"/>
        <v>3.5257349350522604E-2</v>
      </c>
      <c r="BG179" s="173">
        <f t="shared" si="304"/>
        <v>3.5257349350522604E-2</v>
      </c>
      <c r="BH179" s="173">
        <f t="shared" si="304"/>
        <v>3.5257349350522604E-2</v>
      </c>
      <c r="BI179" s="173">
        <f t="shared" si="304"/>
        <v>3.5257349350522604E-2</v>
      </c>
      <c r="BJ179" s="173">
        <f t="shared" si="304"/>
        <v>3.5257349350522604E-2</v>
      </c>
      <c r="BK179" s="173">
        <f t="shared" si="304"/>
        <v>3.5257349350522604E-2</v>
      </c>
      <c r="BL179" s="173">
        <f t="shared" si="304"/>
        <v>3.5257349350522604E-2</v>
      </c>
      <c r="BM179" s="173">
        <f t="shared" si="304"/>
        <v>3.5257349350522604E-2</v>
      </c>
      <c r="BN179" s="173">
        <f t="shared" si="304"/>
        <v>3.5257349350522604E-2</v>
      </c>
      <c r="BO179" s="173">
        <f t="shared" si="304"/>
        <v>3.5257349350522604E-2</v>
      </c>
      <c r="BP179" s="173">
        <f t="shared" si="304"/>
        <v>3.5257349350522604E-2</v>
      </c>
      <c r="BQ179" s="173">
        <f t="shared" si="304"/>
        <v>3.5257349350522604E-2</v>
      </c>
      <c r="BR179" s="173">
        <f t="shared" si="304"/>
        <v>3.5257349350522604E-2</v>
      </c>
      <c r="BS179" s="173">
        <f t="shared" si="304"/>
        <v>3.5257349350522604E-2</v>
      </c>
      <c r="BT179" s="173">
        <f t="shared" si="304"/>
        <v>3.5257349350522604E-2</v>
      </c>
      <c r="BU179" s="173">
        <f t="shared" si="304"/>
        <v>3.5257349350522604E-2</v>
      </c>
      <c r="BV179" s="173">
        <f t="shared" si="304"/>
        <v>3.5257349350522604E-2</v>
      </c>
      <c r="BW179" s="173">
        <f t="shared" si="304"/>
        <v>3.5257349350522604E-2</v>
      </c>
      <c r="BX179" s="173">
        <f t="shared" si="304"/>
        <v>3.5257349350522604E-2</v>
      </c>
      <c r="BY179" s="173">
        <f t="shared" si="304"/>
        <v>3.5257349350522604E-2</v>
      </c>
      <c r="BZ179" s="173">
        <f t="shared" si="304"/>
        <v>3.5257349350522604E-2</v>
      </c>
      <c r="CA179" s="173">
        <f t="shared" si="304"/>
        <v>3.5257349350522604E-2</v>
      </c>
      <c r="CB179" s="173">
        <f t="shared" si="304"/>
        <v>3.5257349350522604E-2</v>
      </c>
      <c r="CC179" s="173">
        <f t="shared" si="304"/>
        <v>3.5257349350522604E-2</v>
      </c>
      <c r="CD179" s="173">
        <f t="shared" si="304"/>
        <v>3.5257349350522604E-2</v>
      </c>
      <c r="CE179" s="173">
        <f t="shared" si="304"/>
        <v>3.5257349350522604E-2</v>
      </c>
      <c r="CF179" s="173">
        <f t="shared" si="304"/>
        <v>3.5257349350522604E-2</v>
      </c>
      <c r="CG179" s="173">
        <f t="shared" si="304"/>
        <v>3.5257349350522604E-2</v>
      </c>
      <c r="CH179" s="173">
        <f t="shared" si="304"/>
        <v>3.5257349350522604E-2</v>
      </c>
      <c r="CI179" s="173">
        <f t="shared" si="304"/>
        <v>3.5257349350522604E-2</v>
      </c>
      <c r="CJ179" s="173">
        <f t="shared" si="304"/>
        <v>3.5257349350522604E-2</v>
      </c>
      <c r="CK179" s="173">
        <f t="shared" si="304"/>
        <v>3.5257349350522604E-2</v>
      </c>
      <c r="CL179" s="173">
        <f t="shared" si="304"/>
        <v>3.5257349350522604E-2</v>
      </c>
      <c r="CM179" s="173">
        <f t="shared" si="304"/>
        <v>3.5257349350522604E-2</v>
      </c>
      <c r="CN179" s="173">
        <f t="shared" si="304"/>
        <v>3.5257349350522604E-2</v>
      </c>
      <c r="CO179" s="173">
        <f t="shared" si="304"/>
        <v>3.5257349350522604E-2</v>
      </c>
      <c r="CP179" s="173">
        <f t="shared" si="304"/>
        <v>3.5257349350522604E-2</v>
      </c>
      <c r="CQ179" s="23" t="s">
        <v>77</v>
      </c>
    </row>
    <row r="180" spans="2:95" hidden="1" outlineLevel="1" x14ac:dyDescent="0.2">
      <c r="B180" s="358" t="s">
        <v>67</v>
      </c>
      <c r="D180" s="66"/>
      <c r="E180" s="66"/>
      <c r="F180" s="66"/>
      <c r="G180" s="66"/>
      <c r="H180" s="66"/>
      <c r="I180" s="66"/>
      <c r="J180" s="66"/>
      <c r="K180" s="66"/>
      <c r="L180" s="238"/>
      <c r="M180" s="66"/>
      <c r="N180" s="66"/>
      <c r="O180" s="66"/>
      <c r="P180" s="66"/>
      <c r="Q180" s="238"/>
      <c r="R180" s="66"/>
      <c r="S180" s="66"/>
      <c r="T180" s="66"/>
      <c r="U180" s="66"/>
      <c r="V180" s="66"/>
      <c r="W180" s="238"/>
      <c r="X180" s="66"/>
      <c r="Y180" s="66"/>
      <c r="Z180" s="66"/>
      <c r="AA180" s="66"/>
      <c r="AB180" s="238"/>
      <c r="AC180" s="66"/>
      <c r="AD180" s="66"/>
      <c r="AE180" s="66"/>
      <c r="AF180" s="66"/>
      <c r="AG180" s="66"/>
      <c r="AH180" s="66"/>
      <c r="AI180" s="66"/>
      <c r="AJ180" s="66"/>
      <c r="AK180" s="66"/>
      <c r="AL180" s="66"/>
      <c r="AM180" s="66"/>
      <c r="AN180" s="66"/>
      <c r="AO180" s="66"/>
      <c r="AP180" s="66"/>
      <c r="AQ180" s="66"/>
      <c r="AR180" s="66"/>
      <c r="AS180" s="66"/>
      <c r="AT180" s="66"/>
      <c r="AU180" s="66"/>
      <c r="AV180" s="66"/>
      <c r="AW180" s="66"/>
      <c r="AX180" s="66"/>
      <c r="AY180" s="66"/>
      <c r="AZ180" s="66"/>
      <c r="BA180" s="66"/>
      <c r="BB180" s="66"/>
      <c r="BC180" s="66"/>
      <c r="BD180" s="66"/>
      <c r="BE180" s="66"/>
      <c r="BF180" s="66"/>
      <c r="BG180" s="66"/>
      <c r="BH180" s="66"/>
      <c r="BI180" s="66"/>
      <c r="BJ180" s="66"/>
      <c r="BK180" s="66"/>
      <c r="BL180" s="66"/>
      <c r="BM180" s="66"/>
      <c r="BN180" s="66"/>
      <c r="BO180" s="66"/>
      <c r="BP180" s="66"/>
      <c r="BQ180" s="66"/>
      <c r="BR180" s="66"/>
      <c r="BS180" s="66"/>
      <c r="BT180" s="66"/>
      <c r="BU180" s="66"/>
      <c r="BV180" s="66"/>
      <c r="BW180" s="66"/>
      <c r="BX180" s="66"/>
      <c r="BY180" s="66"/>
      <c r="BZ180" s="66"/>
      <c r="CA180" s="66"/>
      <c r="CB180" s="66"/>
      <c r="CC180" s="66"/>
      <c r="CD180" s="66"/>
      <c r="CE180" s="66"/>
      <c r="CF180" s="66"/>
      <c r="CG180" s="66"/>
      <c r="CH180" s="66"/>
      <c r="CI180" s="66"/>
      <c r="CJ180" s="66"/>
      <c r="CK180" s="66"/>
      <c r="CL180" s="66"/>
      <c r="CM180" s="66"/>
      <c r="CN180" s="66"/>
      <c r="CO180" s="66"/>
      <c r="CP180" s="66"/>
      <c r="CQ180" s="23" t="s">
        <v>77</v>
      </c>
    </row>
    <row r="181" spans="2:95" hidden="1" outlineLevel="1" x14ac:dyDescent="0.2">
      <c r="B181" s="8" t="s">
        <v>62</v>
      </c>
      <c r="D181" s="75"/>
      <c r="E181" s="75"/>
      <c r="F181" s="75"/>
      <c r="G181" s="75"/>
      <c r="H181" s="75"/>
      <c r="I181" s="75"/>
      <c r="J181" s="75"/>
      <c r="K181" s="75"/>
      <c r="L181" s="237">
        <f t="shared" ref="L181:X181" si="305">L183/(1-L175*(1-L176))</f>
        <v>0</v>
      </c>
      <c r="M181" s="72">
        <f t="shared" si="305"/>
        <v>0</v>
      </c>
      <c r="N181" s="72">
        <f t="shared" si="305"/>
        <v>0</v>
      </c>
      <c r="O181" s="72">
        <f t="shared" si="305"/>
        <v>0</v>
      </c>
      <c r="P181" s="72">
        <f>P183/(1-P175*(1-P176))</f>
        <v>0</v>
      </c>
      <c r="Q181" s="237">
        <f>Q183/(1-Q175*(1-Q176))</f>
        <v>0.13329032258064516</v>
      </c>
      <c r="R181" s="72">
        <f t="shared" si="305"/>
        <v>0.13329032258064516</v>
      </c>
      <c r="S181" s="72">
        <f t="shared" si="305"/>
        <v>0.13329032258064516</v>
      </c>
      <c r="T181" s="72">
        <f t="shared" si="305"/>
        <v>0.13329032258064516</v>
      </c>
      <c r="U181" s="72">
        <f>U183/(1-U175*(1-U176))</f>
        <v>0.13329032258064516</v>
      </c>
      <c r="V181" s="72">
        <f t="shared" si="305"/>
        <v>8.6829268292682921E-2</v>
      </c>
      <c r="W181" s="237">
        <f t="shared" si="305"/>
        <v>8.6829268292682921E-2</v>
      </c>
      <c r="X181" s="173">
        <f t="shared" si="305"/>
        <v>8.6829268292682921E-2</v>
      </c>
      <c r="Y181" s="173">
        <f t="shared" ref="Y181:BD181" si="306">Y183/(1-Y175*(1-Y176))</f>
        <v>8.6829268292682921E-2</v>
      </c>
      <c r="Z181" s="173">
        <f t="shared" si="306"/>
        <v>8.6829268292682921E-2</v>
      </c>
      <c r="AA181" s="173">
        <f t="shared" si="306"/>
        <v>8.6829268292682921E-2</v>
      </c>
      <c r="AB181" s="178">
        <f t="shared" si="306"/>
        <v>0.11677419354838708</v>
      </c>
      <c r="AC181" s="173">
        <f t="shared" si="306"/>
        <v>0.11677419354838708</v>
      </c>
      <c r="AD181" s="173">
        <f t="shared" si="306"/>
        <v>0.11677419354838708</v>
      </c>
      <c r="AE181" s="173">
        <f t="shared" si="306"/>
        <v>0.11677419354838708</v>
      </c>
      <c r="AF181" s="173">
        <f t="shared" si="306"/>
        <v>0.11677419354838708</v>
      </c>
      <c r="AG181" s="173">
        <f t="shared" si="306"/>
        <v>0.11677419354838708</v>
      </c>
      <c r="AH181" s="173">
        <f t="shared" si="306"/>
        <v>0.11677419354838708</v>
      </c>
      <c r="AI181" s="173">
        <f t="shared" si="306"/>
        <v>0.11677419354838708</v>
      </c>
      <c r="AJ181" s="173">
        <f t="shared" si="306"/>
        <v>0.11677419354838708</v>
      </c>
      <c r="AK181" s="173">
        <f t="shared" si="306"/>
        <v>0.11677419354838708</v>
      </c>
      <c r="AL181" s="173">
        <f t="shared" si="306"/>
        <v>0.11677419354838708</v>
      </c>
      <c r="AM181" s="173">
        <f t="shared" si="306"/>
        <v>0.11677419354838708</v>
      </c>
      <c r="AN181" s="173">
        <f t="shared" si="306"/>
        <v>0.11677419354838708</v>
      </c>
      <c r="AO181" s="173">
        <f t="shared" si="306"/>
        <v>0.11677419354838708</v>
      </c>
      <c r="AP181" s="173">
        <f t="shared" si="306"/>
        <v>0.11677419354838708</v>
      </c>
      <c r="AQ181" s="173">
        <f t="shared" si="306"/>
        <v>0.11677419354838708</v>
      </c>
      <c r="AR181" s="173">
        <f t="shared" si="306"/>
        <v>0.11677419354838708</v>
      </c>
      <c r="AS181" s="173">
        <f t="shared" si="306"/>
        <v>0.11677419354838708</v>
      </c>
      <c r="AT181" s="173">
        <f t="shared" si="306"/>
        <v>0.11677419354838708</v>
      </c>
      <c r="AU181" s="173">
        <f t="shared" si="306"/>
        <v>0.11677419354838708</v>
      </c>
      <c r="AV181" s="173">
        <f t="shared" si="306"/>
        <v>0.11677419354838708</v>
      </c>
      <c r="AW181" s="173">
        <f t="shared" si="306"/>
        <v>0.11677419354838708</v>
      </c>
      <c r="AX181" s="173">
        <f t="shared" si="306"/>
        <v>0.11677419354838708</v>
      </c>
      <c r="AY181" s="173">
        <f t="shared" si="306"/>
        <v>0.11677419354838708</v>
      </c>
      <c r="AZ181" s="173">
        <f t="shared" si="306"/>
        <v>0.11677419354838708</v>
      </c>
      <c r="BA181" s="173">
        <f t="shared" si="306"/>
        <v>0.11677419354838708</v>
      </c>
      <c r="BB181" s="173">
        <f t="shared" si="306"/>
        <v>0.11677419354838708</v>
      </c>
      <c r="BC181" s="173">
        <f t="shared" si="306"/>
        <v>0.11677419354838708</v>
      </c>
      <c r="BD181" s="173">
        <f t="shared" si="306"/>
        <v>0.11677419354838708</v>
      </c>
      <c r="BE181" s="173">
        <f t="shared" ref="BE181:CP181" si="307">BE183/(1-BE175*(1-BE176))</f>
        <v>0.11677419354838708</v>
      </c>
      <c r="BF181" s="173">
        <f t="shared" si="307"/>
        <v>0.11677419354838708</v>
      </c>
      <c r="BG181" s="173">
        <f t="shared" si="307"/>
        <v>0.11677419354838708</v>
      </c>
      <c r="BH181" s="173">
        <f t="shared" si="307"/>
        <v>0.11677419354838708</v>
      </c>
      <c r="BI181" s="173">
        <f t="shared" si="307"/>
        <v>0.11677419354838708</v>
      </c>
      <c r="BJ181" s="173">
        <f t="shared" si="307"/>
        <v>0.11677419354838708</v>
      </c>
      <c r="BK181" s="173">
        <f t="shared" si="307"/>
        <v>0.11677419354838708</v>
      </c>
      <c r="BL181" s="173">
        <f t="shared" si="307"/>
        <v>0.11677419354838708</v>
      </c>
      <c r="BM181" s="173">
        <f t="shared" si="307"/>
        <v>0.11677419354838708</v>
      </c>
      <c r="BN181" s="173">
        <f t="shared" si="307"/>
        <v>0.11677419354838708</v>
      </c>
      <c r="BO181" s="173">
        <f t="shared" si="307"/>
        <v>0.11677419354838708</v>
      </c>
      <c r="BP181" s="173">
        <f t="shared" si="307"/>
        <v>0.11677419354838708</v>
      </c>
      <c r="BQ181" s="173">
        <f t="shared" si="307"/>
        <v>0.11677419354838708</v>
      </c>
      <c r="BR181" s="173">
        <f t="shared" si="307"/>
        <v>0.11677419354838708</v>
      </c>
      <c r="BS181" s="173">
        <f t="shared" si="307"/>
        <v>0.11677419354838708</v>
      </c>
      <c r="BT181" s="173">
        <f t="shared" si="307"/>
        <v>0.11677419354838708</v>
      </c>
      <c r="BU181" s="173">
        <f t="shared" si="307"/>
        <v>0.11677419354838708</v>
      </c>
      <c r="BV181" s="173">
        <f t="shared" si="307"/>
        <v>0.11677419354838708</v>
      </c>
      <c r="BW181" s="173">
        <f t="shared" si="307"/>
        <v>0.11677419354838708</v>
      </c>
      <c r="BX181" s="173">
        <f t="shared" si="307"/>
        <v>0.11677419354838708</v>
      </c>
      <c r="BY181" s="173">
        <f t="shared" si="307"/>
        <v>0.11677419354838708</v>
      </c>
      <c r="BZ181" s="173">
        <f t="shared" si="307"/>
        <v>0.11677419354838708</v>
      </c>
      <c r="CA181" s="173">
        <f t="shared" si="307"/>
        <v>0.11677419354838708</v>
      </c>
      <c r="CB181" s="173">
        <f t="shared" si="307"/>
        <v>0.11677419354838708</v>
      </c>
      <c r="CC181" s="173">
        <f t="shared" si="307"/>
        <v>0.11677419354838708</v>
      </c>
      <c r="CD181" s="173">
        <f t="shared" si="307"/>
        <v>0.11677419354838708</v>
      </c>
      <c r="CE181" s="173">
        <f t="shared" si="307"/>
        <v>0.11677419354838708</v>
      </c>
      <c r="CF181" s="173">
        <f t="shared" si="307"/>
        <v>0.11677419354838708</v>
      </c>
      <c r="CG181" s="173">
        <f t="shared" si="307"/>
        <v>0.11677419354838708</v>
      </c>
      <c r="CH181" s="173">
        <f t="shared" si="307"/>
        <v>0.11677419354838708</v>
      </c>
      <c r="CI181" s="173">
        <f t="shared" si="307"/>
        <v>0.11677419354838708</v>
      </c>
      <c r="CJ181" s="173">
        <f t="shared" si="307"/>
        <v>0.11677419354838708</v>
      </c>
      <c r="CK181" s="173">
        <f t="shared" si="307"/>
        <v>0.11677419354838708</v>
      </c>
      <c r="CL181" s="173">
        <f t="shared" si="307"/>
        <v>0.11677419354838708</v>
      </c>
      <c r="CM181" s="173">
        <f t="shared" si="307"/>
        <v>0.11677419354838708</v>
      </c>
      <c r="CN181" s="173">
        <f t="shared" si="307"/>
        <v>0.11677419354838708</v>
      </c>
      <c r="CO181" s="173">
        <f t="shared" si="307"/>
        <v>0.11677419354838708</v>
      </c>
      <c r="CP181" s="173">
        <f t="shared" si="307"/>
        <v>0.11677419354838708</v>
      </c>
      <c r="CQ181" s="23" t="s">
        <v>77</v>
      </c>
    </row>
    <row r="182" spans="2:95" hidden="1" outlineLevel="1" x14ac:dyDescent="0.2">
      <c r="B182" s="8" t="s">
        <v>63</v>
      </c>
      <c r="D182" s="9"/>
      <c r="E182" s="9"/>
      <c r="F182" s="9"/>
      <c r="G182" s="75"/>
      <c r="H182" s="75"/>
      <c r="I182" s="75"/>
      <c r="J182" s="75"/>
      <c r="K182" s="75"/>
      <c r="L182" s="237">
        <f t="shared" ref="L182:BD182" si="308">+(1+L181)/(1+L168)-1</f>
        <v>0</v>
      </c>
      <c r="M182" s="72">
        <f t="shared" si="308"/>
        <v>0</v>
      </c>
      <c r="N182" s="72">
        <f t="shared" si="308"/>
        <v>0</v>
      </c>
      <c r="O182" s="72">
        <f t="shared" si="308"/>
        <v>0</v>
      </c>
      <c r="P182" s="72">
        <f t="shared" si="308"/>
        <v>0</v>
      </c>
      <c r="Q182" s="237">
        <f t="shared" si="308"/>
        <v>0.10511001714348622</v>
      </c>
      <c r="R182" s="72">
        <f t="shared" si="308"/>
        <v>0.10511001714348622</v>
      </c>
      <c r="S182" s="72">
        <f t="shared" si="308"/>
        <v>0.10511001714348622</v>
      </c>
      <c r="T182" s="72">
        <f t="shared" si="308"/>
        <v>0.10511001714348622</v>
      </c>
      <c r="U182" s="72">
        <f t="shared" si="308"/>
        <v>0.10511001714348622</v>
      </c>
      <c r="V182" s="72">
        <f t="shared" si="308"/>
        <v>6.0321237358715196E-2</v>
      </c>
      <c r="W182" s="237">
        <f t="shared" si="308"/>
        <v>6.1460365555896956E-2</v>
      </c>
      <c r="X182" s="173">
        <f t="shared" si="308"/>
        <v>6.1460365555896956E-2</v>
      </c>
      <c r="Y182" s="173">
        <f t="shared" si="308"/>
        <v>6.1460365555896956E-2</v>
      </c>
      <c r="Z182" s="173">
        <f t="shared" si="308"/>
        <v>6.1460365555896956E-2</v>
      </c>
      <c r="AA182" s="173">
        <f t="shared" si="308"/>
        <v>6.1460365555896956E-2</v>
      </c>
      <c r="AB182" s="178">
        <f t="shared" si="308"/>
        <v>9.0706312675443934E-2</v>
      </c>
      <c r="AC182" s="173">
        <f t="shared" si="308"/>
        <v>9.0706312675443934E-2</v>
      </c>
      <c r="AD182" s="173">
        <f t="shared" si="308"/>
        <v>9.0706312675443934E-2</v>
      </c>
      <c r="AE182" s="173">
        <f t="shared" si="308"/>
        <v>9.0706312675443934E-2</v>
      </c>
      <c r="AF182" s="173">
        <f t="shared" si="308"/>
        <v>9.0706312675443934E-2</v>
      </c>
      <c r="AG182" s="173">
        <f t="shared" si="308"/>
        <v>9.0706312675443934E-2</v>
      </c>
      <c r="AH182" s="173">
        <f t="shared" si="308"/>
        <v>9.0706312675443934E-2</v>
      </c>
      <c r="AI182" s="173">
        <f t="shared" si="308"/>
        <v>9.0706312675443934E-2</v>
      </c>
      <c r="AJ182" s="173">
        <f t="shared" si="308"/>
        <v>9.0706312675443934E-2</v>
      </c>
      <c r="AK182" s="173">
        <f t="shared" si="308"/>
        <v>9.0706312675443934E-2</v>
      </c>
      <c r="AL182" s="173">
        <f t="shared" si="308"/>
        <v>9.0706312675443934E-2</v>
      </c>
      <c r="AM182" s="173">
        <f t="shared" si="308"/>
        <v>9.0706312675443934E-2</v>
      </c>
      <c r="AN182" s="173">
        <f t="shared" si="308"/>
        <v>9.0706312675443934E-2</v>
      </c>
      <c r="AO182" s="173">
        <f t="shared" si="308"/>
        <v>9.0706312675443934E-2</v>
      </c>
      <c r="AP182" s="173">
        <f t="shared" si="308"/>
        <v>9.0706312675443934E-2</v>
      </c>
      <c r="AQ182" s="173">
        <f t="shared" si="308"/>
        <v>9.0706312675443934E-2</v>
      </c>
      <c r="AR182" s="173">
        <f t="shared" si="308"/>
        <v>9.0706312675443934E-2</v>
      </c>
      <c r="AS182" s="173">
        <f t="shared" si="308"/>
        <v>9.0706312675443934E-2</v>
      </c>
      <c r="AT182" s="173">
        <f t="shared" si="308"/>
        <v>9.0706312675443934E-2</v>
      </c>
      <c r="AU182" s="173">
        <f t="shared" si="308"/>
        <v>9.0706312675443934E-2</v>
      </c>
      <c r="AV182" s="173">
        <f t="shared" si="308"/>
        <v>9.0706312675443934E-2</v>
      </c>
      <c r="AW182" s="173">
        <f t="shared" si="308"/>
        <v>9.0706312675443934E-2</v>
      </c>
      <c r="AX182" s="173">
        <f t="shared" si="308"/>
        <v>9.0706312675443934E-2</v>
      </c>
      <c r="AY182" s="173">
        <f t="shared" si="308"/>
        <v>9.0706312675443934E-2</v>
      </c>
      <c r="AZ182" s="173">
        <f t="shared" si="308"/>
        <v>9.0706312675443934E-2</v>
      </c>
      <c r="BA182" s="173">
        <f t="shared" si="308"/>
        <v>9.0706312675443934E-2</v>
      </c>
      <c r="BB182" s="173">
        <f t="shared" si="308"/>
        <v>9.0706312675443934E-2</v>
      </c>
      <c r="BC182" s="173">
        <f t="shared" si="308"/>
        <v>9.0706312675443934E-2</v>
      </c>
      <c r="BD182" s="173">
        <f t="shared" si="308"/>
        <v>9.0706312675443934E-2</v>
      </c>
      <c r="BE182" s="173">
        <f t="shared" ref="BE182:CP182" si="309">+(1+BE181)/(1+BE168)-1</f>
        <v>9.0706312675443934E-2</v>
      </c>
      <c r="BF182" s="173">
        <f t="shared" si="309"/>
        <v>9.0706312675443934E-2</v>
      </c>
      <c r="BG182" s="173">
        <f t="shared" si="309"/>
        <v>9.0706312675443934E-2</v>
      </c>
      <c r="BH182" s="173">
        <f t="shared" si="309"/>
        <v>9.0706312675443934E-2</v>
      </c>
      <c r="BI182" s="173">
        <f t="shared" si="309"/>
        <v>9.0706312675443934E-2</v>
      </c>
      <c r="BJ182" s="173">
        <f t="shared" si="309"/>
        <v>9.0706312675443934E-2</v>
      </c>
      <c r="BK182" s="173">
        <f t="shared" si="309"/>
        <v>9.0706312675443934E-2</v>
      </c>
      <c r="BL182" s="173">
        <f t="shared" si="309"/>
        <v>9.0706312675443934E-2</v>
      </c>
      <c r="BM182" s="173">
        <f t="shared" si="309"/>
        <v>9.0706312675443934E-2</v>
      </c>
      <c r="BN182" s="173">
        <f t="shared" si="309"/>
        <v>9.0706312675443934E-2</v>
      </c>
      <c r="BO182" s="173">
        <f t="shared" si="309"/>
        <v>9.0706312675443934E-2</v>
      </c>
      <c r="BP182" s="173">
        <f t="shared" si="309"/>
        <v>9.0706312675443934E-2</v>
      </c>
      <c r="BQ182" s="173">
        <f t="shared" si="309"/>
        <v>9.0706312675443934E-2</v>
      </c>
      <c r="BR182" s="173">
        <f t="shared" si="309"/>
        <v>9.0706312675443934E-2</v>
      </c>
      <c r="BS182" s="173">
        <f t="shared" si="309"/>
        <v>9.0706312675443934E-2</v>
      </c>
      <c r="BT182" s="173">
        <f t="shared" si="309"/>
        <v>9.0706312675443934E-2</v>
      </c>
      <c r="BU182" s="173">
        <f t="shared" si="309"/>
        <v>9.0706312675443934E-2</v>
      </c>
      <c r="BV182" s="173">
        <f t="shared" si="309"/>
        <v>9.0706312675443934E-2</v>
      </c>
      <c r="BW182" s="173">
        <f t="shared" si="309"/>
        <v>9.0706312675443934E-2</v>
      </c>
      <c r="BX182" s="173">
        <f t="shared" si="309"/>
        <v>9.0706312675443934E-2</v>
      </c>
      <c r="BY182" s="173">
        <f t="shared" si="309"/>
        <v>9.0706312675443934E-2</v>
      </c>
      <c r="BZ182" s="173">
        <f t="shared" si="309"/>
        <v>9.0706312675443934E-2</v>
      </c>
      <c r="CA182" s="173">
        <f t="shared" si="309"/>
        <v>9.0706312675443934E-2</v>
      </c>
      <c r="CB182" s="173">
        <f t="shared" si="309"/>
        <v>9.0706312675443934E-2</v>
      </c>
      <c r="CC182" s="173">
        <f t="shared" si="309"/>
        <v>9.0706312675443934E-2</v>
      </c>
      <c r="CD182" s="173">
        <f t="shared" si="309"/>
        <v>9.0706312675443934E-2</v>
      </c>
      <c r="CE182" s="173">
        <f t="shared" si="309"/>
        <v>9.0706312675443934E-2</v>
      </c>
      <c r="CF182" s="173">
        <f t="shared" si="309"/>
        <v>9.0706312675443934E-2</v>
      </c>
      <c r="CG182" s="173">
        <f t="shared" si="309"/>
        <v>9.0706312675443934E-2</v>
      </c>
      <c r="CH182" s="173">
        <f t="shared" si="309"/>
        <v>9.0706312675443934E-2</v>
      </c>
      <c r="CI182" s="173">
        <f t="shared" si="309"/>
        <v>9.0706312675443934E-2</v>
      </c>
      <c r="CJ182" s="173">
        <f t="shared" si="309"/>
        <v>9.0706312675443934E-2</v>
      </c>
      <c r="CK182" s="173">
        <f t="shared" si="309"/>
        <v>9.0706312675443934E-2</v>
      </c>
      <c r="CL182" s="173">
        <f t="shared" si="309"/>
        <v>9.0706312675443934E-2</v>
      </c>
      <c r="CM182" s="173">
        <f t="shared" si="309"/>
        <v>9.0706312675443934E-2</v>
      </c>
      <c r="CN182" s="173">
        <f t="shared" si="309"/>
        <v>9.0706312675443934E-2</v>
      </c>
      <c r="CO182" s="173">
        <f t="shared" si="309"/>
        <v>9.0706312675443934E-2</v>
      </c>
      <c r="CP182" s="173">
        <f t="shared" si="309"/>
        <v>9.0706312675443934E-2</v>
      </c>
      <c r="CQ182" s="23" t="s">
        <v>77</v>
      </c>
    </row>
    <row r="183" spans="2:95" hidden="1" outlineLevel="1" x14ac:dyDescent="0.2">
      <c r="B183" s="8" t="s">
        <v>64</v>
      </c>
      <c r="D183" s="9"/>
      <c r="E183" s="9"/>
      <c r="F183" s="9"/>
      <c r="G183" s="9"/>
      <c r="H183" s="9"/>
      <c r="I183" s="9"/>
      <c r="J183" s="9"/>
      <c r="L183" s="237">
        <f t="shared" ref="L183:X183" si="310">+L174*L173+L167</f>
        <v>0</v>
      </c>
      <c r="M183" s="72">
        <f t="shared" si="310"/>
        <v>0</v>
      </c>
      <c r="N183" s="72">
        <f t="shared" si="310"/>
        <v>0</v>
      </c>
      <c r="O183" s="72">
        <f t="shared" si="310"/>
        <v>0</v>
      </c>
      <c r="P183" s="72">
        <f>+P174*P173+P167</f>
        <v>0</v>
      </c>
      <c r="Q183" s="237">
        <f>+Q174*Q173+Q167</f>
        <v>0.1033</v>
      </c>
      <c r="R183" s="72">
        <f t="shared" si="310"/>
        <v>0.1033</v>
      </c>
      <c r="S183" s="72">
        <f t="shared" si="310"/>
        <v>0.1033</v>
      </c>
      <c r="T183" s="72">
        <f t="shared" si="310"/>
        <v>0.1033</v>
      </c>
      <c r="U183" s="72">
        <f>+U174*U173+U167</f>
        <v>0.1033</v>
      </c>
      <c r="V183" s="72">
        <f t="shared" si="310"/>
        <v>7.1199999999999999E-2</v>
      </c>
      <c r="W183" s="237">
        <f t="shared" si="310"/>
        <v>7.1199999999999999E-2</v>
      </c>
      <c r="X183" s="173">
        <f t="shared" si="310"/>
        <v>7.1199999999999999E-2</v>
      </c>
      <c r="Y183" s="173">
        <f t="shared" ref="Y183:BD183" si="311">+Y174*Y173+Y167</f>
        <v>7.1199999999999999E-2</v>
      </c>
      <c r="Z183" s="173">
        <f t="shared" si="311"/>
        <v>7.1199999999999999E-2</v>
      </c>
      <c r="AA183" s="173">
        <f t="shared" si="311"/>
        <v>7.1199999999999999E-2</v>
      </c>
      <c r="AB183" s="178">
        <f t="shared" si="311"/>
        <v>9.0499999999999997E-2</v>
      </c>
      <c r="AC183" s="173">
        <f t="shared" si="311"/>
        <v>9.0499999999999997E-2</v>
      </c>
      <c r="AD183" s="173">
        <f t="shared" si="311"/>
        <v>9.0499999999999997E-2</v>
      </c>
      <c r="AE183" s="173">
        <f t="shared" si="311"/>
        <v>9.0499999999999997E-2</v>
      </c>
      <c r="AF183" s="173">
        <f t="shared" si="311"/>
        <v>9.0499999999999997E-2</v>
      </c>
      <c r="AG183" s="173">
        <f t="shared" si="311"/>
        <v>9.0499999999999997E-2</v>
      </c>
      <c r="AH183" s="173">
        <f t="shared" si="311"/>
        <v>9.0499999999999997E-2</v>
      </c>
      <c r="AI183" s="173">
        <f t="shared" si="311"/>
        <v>9.0499999999999997E-2</v>
      </c>
      <c r="AJ183" s="173">
        <f t="shared" si="311"/>
        <v>9.0499999999999997E-2</v>
      </c>
      <c r="AK183" s="173">
        <f t="shared" si="311"/>
        <v>9.0499999999999997E-2</v>
      </c>
      <c r="AL183" s="173">
        <f t="shared" si="311"/>
        <v>9.0499999999999997E-2</v>
      </c>
      <c r="AM183" s="173">
        <f t="shared" si="311"/>
        <v>9.0499999999999997E-2</v>
      </c>
      <c r="AN183" s="173">
        <f t="shared" si="311"/>
        <v>9.0499999999999997E-2</v>
      </c>
      <c r="AO183" s="173">
        <f t="shared" si="311"/>
        <v>9.0499999999999997E-2</v>
      </c>
      <c r="AP183" s="173">
        <f t="shared" si="311"/>
        <v>9.0499999999999997E-2</v>
      </c>
      <c r="AQ183" s="173">
        <f t="shared" si="311"/>
        <v>9.0499999999999997E-2</v>
      </c>
      <c r="AR183" s="173">
        <f t="shared" si="311"/>
        <v>9.0499999999999997E-2</v>
      </c>
      <c r="AS183" s="173">
        <f t="shared" si="311"/>
        <v>9.0499999999999997E-2</v>
      </c>
      <c r="AT183" s="173">
        <f t="shared" si="311"/>
        <v>9.0499999999999997E-2</v>
      </c>
      <c r="AU183" s="173">
        <f t="shared" si="311"/>
        <v>9.0499999999999997E-2</v>
      </c>
      <c r="AV183" s="173">
        <f t="shared" si="311"/>
        <v>9.0499999999999997E-2</v>
      </c>
      <c r="AW183" s="173">
        <f t="shared" si="311"/>
        <v>9.0499999999999997E-2</v>
      </c>
      <c r="AX183" s="173">
        <f t="shared" si="311"/>
        <v>9.0499999999999997E-2</v>
      </c>
      <c r="AY183" s="173">
        <f t="shared" si="311"/>
        <v>9.0499999999999997E-2</v>
      </c>
      <c r="AZ183" s="173">
        <f t="shared" si="311"/>
        <v>9.0499999999999997E-2</v>
      </c>
      <c r="BA183" s="173">
        <f t="shared" si="311"/>
        <v>9.0499999999999997E-2</v>
      </c>
      <c r="BB183" s="173">
        <f t="shared" si="311"/>
        <v>9.0499999999999997E-2</v>
      </c>
      <c r="BC183" s="173">
        <f t="shared" si="311"/>
        <v>9.0499999999999997E-2</v>
      </c>
      <c r="BD183" s="173">
        <f t="shared" si="311"/>
        <v>9.0499999999999997E-2</v>
      </c>
      <c r="BE183" s="173">
        <f t="shared" ref="BE183:CP183" si="312">+BE174*BE173+BE167</f>
        <v>9.0499999999999997E-2</v>
      </c>
      <c r="BF183" s="173">
        <f t="shared" si="312"/>
        <v>9.0499999999999997E-2</v>
      </c>
      <c r="BG183" s="173">
        <f t="shared" si="312"/>
        <v>9.0499999999999997E-2</v>
      </c>
      <c r="BH183" s="173">
        <f t="shared" si="312"/>
        <v>9.0499999999999997E-2</v>
      </c>
      <c r="BI183" s="173">
        <f t="shared" si="312"/>
        <v>9.0499999999999997E-2</v>
      </c>
      <c r="BJ183" s="173">
        <f t="shared" si="312"/>
        <v>9.0499999999999997E-2</v>
      </c>
      <c r="BK183" s="173">
        <f t="shared" si="312"/>
        <v>9.0499999999999997E-2</v>
      </c>
      <c r="BL183" s="173">
        <f t="shared" si="312"/>
        <v>9.0499999999999997E-2</v>
      </c>
      <c r="BM183" s="173">
        <f t="shared" si="312"/>
        <v>9.0499999999999997E-2</v>
      </c>
      <c r="BN183" s="173">
        <f t="shared" si="312"/>
        <v>9.0499999999999997E-2</v>
      </c>
      <c r="BO183" s="173">
        <f t="shared" si="312"/>
        <v>9.0499999999999997E-2</v>
      </c>
      <c r="BP183" s="173">
        <f t="shared" si="312"/>
        <v>9.0499999999999997E-2</v>
      </c>
      <c r="BQ183" s="173">
        <f t="shared" si="312"/>
        <v>9.0499999999999997E-2</v>
      </c>
      <c r="BR183" s="173">
        <f t="shared" si="312"/>
        <v>9.0499999999999997E-2</v>
      </c>
      <c r="BS183" s="173">
        <f t="shared" si="312"/>
        <v>9.0499999999999997E-2</v>
      </c>
      <c r="BT183" s="173">
        <f t="shared" si="312"/>
        <v>9.0499999999999997E-2</v>
      </c>
      <c r="BU183" s="173">
        <f t="shared" si="312"/>
        <v>9.0499999999999997E-2</v>
      </c>
      <c r="BV183" s="173">
        <f t="shared" si="312"/>
        <v>9.0499999999999997E-2</v>
      </c>
      <c r="BW183" s="173">
        <f t="shared" si="312"/>
        <v>9.0499999999999997E-2</v>
      </c>
      <c r="BX183" s="173">
        <f t="shared" si="312"/>
        <v>9.0499999999999997E-2</v>
      </c>
      <c r="BY183" s="173">
        <f t="shared" si="312"/>
        <v>9.0499999999999997E-2</v>
      </c>
      <c r="BZ183" s="173">
        <f t="shared" si="312"/>
        <v>9.0499999999999997E-2</v>
      </c>
      <c r="CA183" s="173">
        <f t="shared" si="312"/>
        <v>9.0499999999999997E-2</v>
      </c>
      <c r="CB183" s="173">
        <f t="shared" si="312"/>
        <v>9.0499999999999997E-2</v>
      </c>
      <c r="CC183" s="173">
        <f t="shared" si="312"/>
        <v>9.0499999999999997E-2</v>
      </c>
      <c r="CD183" s="173">
        <f t="shared" si="312"/>
        <v>9.0499999999999997E-2</v>
      </c>
      <c r="CE183" s="173">
        <f t="shared" si="312"/>
        <v>9.0499999999999997E-2</v>
      </c>
      <c r="CF183" s="173">
        <f t="shared" si="312"/>
        <v>9.0499999999999997E-2</v>
      </c>
      <c r="CG183" s="173">
        <f t="shared" si="312"/>
        <v>9.0499999999999997E-2</v>
      </c>
      <c r="CH183" s="173">
        <f t="shared" si="312"/>
        <v>9.0499999999999997E-2</v>
      </c>
      <c r="CI183" s="173">
        <f t="shared" si="312"/>
        <v>9.0499999999999997E-2</v>
      </c>
      <c r="CJ183" s="173">
        <f t="shared" si="312"/>
        <v>9.0499999999999997E-2</v>
      </c>
      <c r="CK183" s="173">
        <f t="shared" si="312"/>
        <v>9.0499999999999997E-2</v>
      </c>
      <c r="CL183" s="173">
        <f t="shared" si="312"/>
        <v>9.0499999999999997E-2</v>
      </c>
      <c r="CM183" s="173">
        <f t="shared" si="312"/>
        <v>9.0499999999999997E-2</v>
      </c>
      <c r="CN183" s="173">
        <f t="shared" si="312"/>
        <v>9.0499999999999997E-2</v>
      </c>
      <c r="CO183" s="173">
        <f t="shared" si="312"/>
        <v>9.0499999999999997E-2</v>
      </c>
      <c r="CP183" s="173">
        <f t="shared" si="312"/>
        <v>9.0499999999999997E-2</v>
      </c>
      <c r="CQ183" s="23" t="s">
        <v>77</v>
      </c>
    </row>
    <row r="184" spans="2:95" hidden="1" outlineLevel="1" x14ac:dyDescent="0.2">
      <c r="B184" s="8" t="s">
        <v>65</v>
      </c>
      <c r="D184" s="75"/>
      <c r="E184" s="75"/>
      <c r="F184" s="75"/>
      <c r="G184" s="75"/>
      <c r="H184" s="75"/>
      <c r="I184" s="75"/>
      <c r="J184" s="75"/>
      <c r="K184" s="75"/>
      <c r="L184" s="237">
        <f t="shared" ref="L184:BD184" si="313">+(1+L183)/(1+L168)-1</f>
        <v>0</v>
      </c>
      <c r="M184" s="72">
        <f t="shared" si="313"/>
        <v>0</v>
      </c>
      <c r="N184" s="72">
        <f t="shared" si="313"/>
        <v>0</v>
      </c>
      <c r="O184" s="72">
        <f t="shared" si="313"/>
        <v>0</v>
      </c>
      <c r="P184" s="72">
        <f t="shared" si="313"/>
        <v>0</v>
      </c>
      <c r="Q184" s="237">
        <f t="shared" si="313"/>
        <v>7.5865431496830782E-2</v>
      </c>
      <c r="R184" s="72">
        <f t="shared" si="313"/>
        <v>7.5865431496830782E-2</v>
      </c>
      <c r="S184" s="72">
        <f t="shared" si="313"/>
        <v>7.5865431496830782E-2</v>
      </c>
      <c r="T184" s="72">
        <f t="shared" si="313"/>
        <v>7.5865431496830782E-2</v>
      </c>
      <c r="U184" s="72">
        <f t="shared" si="313"/>
        <v>7.5865431496830782E-2</v>
      </c>
      <c r="V184" s="72">
        <f t="shared" si="313"/>
        <v>4.5073170731707357E-2</v>
      </c>
      <c r="W184" s="237">
        <f t="shared" si="313"/>
        <v>4.6195917570075018E-2</v>
      </c>
      <c r="X184" s="173">
        <f t="shared" si="313"/>
        <v>4.6195917570075018E-2</v>
      </c>
      <c r="Y184" s="173">
        <f t="shared" si="313"/>
        <v>4.6195917570075018E-2</v>
      </c>
      <c r="Z184" s="173">
        <f t="shared" si="313"/>
        <v>4.6195917570075018E-2</v>
      </c>
      <c r="AA184" s="173">
        <f t="shared" si="313"/>
        <v>4.6195917570075018E-2</v>
      </c>
      <c r="AB184" s="178">
        <f t="shared" si="313"/>
        <v>6.5045414591268669E-2</v>
      </c>
      <c r="AC184" s="173">
        <f t="shared" si="313"/>
        <v>6.5045414591268669E-2</v>
      </c>
      <c r="AD184" s="173">
        <f t="shared" si="313"/>
        <v>6.5045414591268669E-2</v>
      </c>
      <c r="AE184" s="173">
        <f t="shared" si="313"/>
        <v>6.5045414591268669E-2</v>
      </c>
      <c r="AF184" s="173">
        <f t="shared" si="313"/>
        <v>6.5045414591268669E-2</v>
      </c>
      <c r="AG184" s="173">
        <f t="shared" si="313"/>
        <v>6.5045414591268669E-2</v>
      </c>
      <c r="AH184" s="173">
        <f t="shared" si="313"/>
        <v>6.5045414591268669E-2</v>
      </c>
      <c r="AI184" s="173">
        <f t="shared" si="313"/>
        <v>6.5045414591268669E-2</v>
      </c>
      <c r="AJ184" s="173">
        <f t="shared" si="313"/>
        <v>6.5045414591268669E-2</v>
      </c>
      <c r="AK184" s="173">
        <f t="shared" si="313"/>
        <v>6.5045414591268669E-2</v>
      </c>
      <c r="AL184" s="173">
        <f t="shared" si="313"/>
        <v>6.5045414591268669E-2</v>
      </c>
      <c r="AM184" s="173">
        <f t="shared" si="313"/>
        <v>6.5045414591268669E-2</v>
      </c>
      <c r="AN184" s="173">
        <f t="shared" si="313"/>
        <v>6.5045414591268669E-2</v>
      </c>
      <c r="AO184" s="173">
        <f t="shared" si="313"/>
        <v>6.5045414591268669E-2</v>
      </c>
      <c r="AP184" s="173">
        <f t="shared" si="313"/>
        <v>6.5045414591268669E-2</v>
      </c>
      <c r="AQ184" s="173">
        <f t="shared" si="313"/>
        <v>6.5045414591268669E-2</v>
      </c>
      <c r="AR184" s="173">
        <f t="shared" si="313"/>
        <v>6.5045414591268669E-2</v>
      </c>
      <c r="AS184" s="173">
        <f t="shared" si="313"/>
        <v>6.5045414591268669E-2</v>
      </c>
      <c r="AT184" s="173">
        <f t="shared" si="313"/>
        <v>6.5045414591268669E-2</v>
      </c>
      <c r="AU184" s="173">
        <f t="shared" si="313"/>
        <v>6.5045414591268669E-2</v>
      </c>
      <c r="AV184" s="173">
        <f t="shared" si="313"/>
        <v>6.5045414591268669E-2</v>
      </c>
      <c r="AW184" s="173">
        <f t="shared" si="313"/>
        <v>6.5045414591268669E-2</v>
      </c>
      <c r="AX184" s="173">
        <f t="shared" si="313"/>
        <v>6.5045414591268669E-2</v>
      </c>
      <c r="AY184" s="173">
        <f t="shared" si="313"/>
        <v>6.5045414591268669E-2</v>
      </c>
      <c r="AZ184" s="173">
        <f t="shared" si="313"/>
        <v>6.5045414591268669E-2</v>
      </c>
      <c r="BA184" s="173">
        <f t="shared" si="313"/>
        <v>6.5045414591268669E-2</v>
      </c>
      <c r="BB184" s="173">
        <f t="shared" si="313"/>
        <v>6.5045414591268669E-2</v>
      </c>
      <c r="BC184" s="173">
        <f t="shared" si="313"/>
        <v>6.5045414591268669E-2</v>
      </c>
      <c r="BD184" s="173">
        <f t="shared" si="313"/>
        <v>6.5045414591268669E-2</v>
      </c>
      <c r="BE184" s="173">
        <f t="shared" ref="BE184:CP184" si="314">+(1+BE183)/(1+BE168)-1</f>
        <v>6.5045414591268669E-2</v>
      </c>
      <c r="BF184" s="173">
        <f t="shared" si="314"/>
        <v>6.5045414591268669E-2</v>
      </c>
      <c r="BG184" s="173">
        <f t="shared" si="314"/>
        <v>6.5045414591268669E-2</v>
      </c>
      <c r="BH184" s="173">
        <f t="shared" si="314"/>
        <v>6.5045414591268669E-2</v>
      </c>
      <c r="BI184" s="173">
        <f t="shared" si="314"/>
        <v>6.5045414591268669E-2</v>
      </c>
      <c r="BJ184" s="173">
        <f t="shared" si="314"/>
        <v>6.5045414591268669E-2</v>
      </c>
      <c r="BK184" s="173">
        <f t="shared" si="314"/>
        <v>6.5045414591268669E-2</v>
      </c>
      <c r="BL184" s="173">
        <f t="shared" si="314"/>
        <v>6.5045414591268669E-2</v>
      </c>
      <c r="BM184" s="173">
        <f t="shared" si="314"/>
        <v>6.5045414591268669E-2</v>
      </c>
      <c r="BN184" s="173">
        <f t="shared" si="314"/>
        <v>6.5045414591268669E-2</v>
      </c>
      <c r="BO184" s="173">
        <f t="shared" si="314"/>
        <v>6.5045414591268669E-2</v>
      </c>
      <c r="BP184" s="173">
        <f t="shared" si="314"/>
        <v>6.5045414591268669E-2</v>
      </c>
      <c r="BQ184" s="173">
        <f t="shared" si="314"/>
        <v>6.5045414591268669E-2</v>
      </c>
      <c r="BR184" s="173">
        <f t="shared" si="314"/>
        <v>6.5045414591268669E-2</v>
      </c>
      <c r="BS184" s="173">
        <f t="shared" si="314"/>
        <v>6.5045414591268669E-2</v>
      </c>
      <c r="BT184" s="173">
        <f t="shared" si="314"/>
        <v>6.5045414591268669E-2</v>
      </c>
      <c r="BU184" s="173">
        <f t="shared" si="314"/>
        <v>6.5045414591268669E-2</v>
      </c>
      <c r="BV184" s="173">
        <f t="shared" si="314"/>
        <v>6.5045414591268669E-2</v>
      </c>
      <c r="BW184" s="173">
        <f t="shared" si="314"/>
        <v>6.5045414591268669E-2</v>
      </c>
      <c r="BX184" s="173">
        <f t="shared" si="314"/>
        <v>6.5045414591268669E-2</v>
      </c>
      <c r="BY184" s="173">
        <f t="shared" si="314"/>
        <v>6.5045414591268669E-2</v>
      </c>
      <c r="BZ184" s="173">
        <f t="shared" si="314"/>
        <v>6.5045414591268669E-2</v>
      </c>
      <c r="CA184" s="173">
        <f t="shared" si="314"/>
        <v>6.5045414591268669E-2</v>
      </c>
      <c r="CB184" s="173">
        <f t="shared" si="314"/>
        <v>6.5045414591268669E-2</v>
      </c>
      <c r="CC184" s="173">
        <f t="shared" si="314"/>
        <v>6.5045414591268669E-2</v>
      </c>
      <c r="CD184" s="173">
        <f t="shared" si="314"/>
        <v>6.5045414591268669E-2</v>
      </c>
      <c r="CE184" s="173">
        <f t="shared" si="314"/>
        <v>6.5045414591268669E-2</v>
      </c>
      <c r="CF184" s="173">
        <f t="shared" si="314"/>
        <v>6.5045414591268669E-2</v>
      </c>
      <c r="CG184" s="173">
        <f t="shared" si="314"/>
        <v>6.5045414591268669E-2</v>
      </c>
      <c r="CH184" s="173">
        <f t="shared" si="314"/>
        <v>6.5045414591268669E-2</v>
      </c>
      <c r="CI184" s="173">
        <f t="shared" si="314"/>
        <v>6.5045414591268669E-2</v>
      </c>
      <c r="CJ184" s="173">
        <f t="shared" si="314"/>
        <v>6.5045414591268669E-2</v>
      </c>
      <c r="CK184" s="173">
        <f t="shared" si="314"/>
        <v>6.5045414591268669E-2</v>
      </c>
      <c r="CL184" s="173">
        <f t="shared" si="314"/>
        <v>6.5045414591268669E-2</v>
      </c>
      <c r="CM184" s="173">
        <f t="shared" si="314"/>
        <v>6.5045414591268669E-2</v>
      </c>
      <c r="CN184" s="173">
        <f t="shared" si="314"/>
        <v>6.5045414591268669E-2</v>
      </c>
      <c r="CO184" s="173">
        <f t="shared" si="314"/>
        <v>6.5045414591268669E-2</v>
      </c>
      <c r="CP184" s="173">
        <f t="shared" si="314"/>
        <v>6.5045414591268669E-2</v>
      </c>
      <c r="CQ184" s="23" t="s">
        <v>77</v>
      </c>
    </row>
    <row r="185" spans="2:95" hidden="1" outlineLevel="1" x14ac:dyDescent="0.2">
      <c r="B185" s="358" t="s">
        <v>72</v>
      </c>
      <c r="D185" s="66"/>
      <c r="E185" s="66"/>
      <c r="F185" s="66"/>
      <c r="G185" s="66"/>
      <c r="H185" s="66"/>
      <c r="I185" s="66"/>
      <c r="J185" s="66"/>
      <c r="K185" s="66"/>
      <c r="L185" s="238"/>
      <c r="M185" s="66"/>
      <c r="N185" s="66"/>
      <c r="O185" s="66"/>
      <c r="P185" s="66"/>
      <c r="Q185" s="238"/>
      <c r="R185" s="66"/>
      <c r="S185" s="66"/>
      <c r="T185" s="66"/>
      <c r="U185" s="66"/>
      <c r="V185" s="66"/>
      <c r="W185" s="238"/>
      <c r="X185" s="66"/>
      <c r="Y185" s="66"/>
      <c r="Z185" s="66"/>
      <c r="AA185" s="66"/>
      <c r="AB185" s="238"/>
      <c r="AC185" s="66"/>
      <c r="AD185" s="66"/>
      <c r="AE185" s="66"/>
      <c r="AF185" s="66"/>
      <c r="AG185" s="66"/>
      <c r="AH185" s="66"/>
      <c r="AI185" s="66"/>
      <c r="AJ185" s="66"/>
      <c r="AK185" s="66"/>
      <c r="AL185" s="66"/>
      <c r="AM185" s="66"/>
      <c r="AN185" s="66"/>
      <c r="AO185" s="66"/>
      <c r="AP185" s="66"/>
      <c r="AQ185" s="66"/>
      <c r="AR185" s="66"/>
      <c r="AS185" s="66"/>
      <c r="AT185" s="66"/>
      <c r="AU185" s="66"/>
      <c r="AV185" s="66"/>
      <c r="AW185" s="66"/>
      <c r="AX185" s="66"/>
      <c r="AY185" s="66"/>
      <c r="AZ185" s="66"/>
      <c r="BA185" s="66"/>
      <c r="BB185" s="66"/>
      <c r="BC185" s="66"/>
      <c r="BD185" s="66"/>
      <c r="BE185" s="66"/>
      <c r="BF185" s="66"/>
      <c r="BG185" s="66"/>
      <c r="BH185" s="66"/>
      <c r="BI185" s="66"/>
      <c r="BJ185" s="66"/>
      <c r="BK185" s="66"/>
      <c r="BL185" s="66"/>
      <c r="BM185" s="66"/>
      <c r="BN185" s="66"/>
      <c r="BO185" s="66"/>
      <c r="BP185" s="66"/>
      <c r="BQ185" s="66"/>
      <c r="BR185" s="66"/>
      <c r="BS185" s="66"/>
      <c r="BT185" s="66"/>
      <c r="BU185" s="66"/>
      <c r="BV185" s="66"/>
      <c r="BW185" s="66"/>
      <c r="BX185" s="66"/>
      <c r="BY185" s="66"/>
      <c r="BZ185" s="66"/>
      <c r="CA185" s="66"/>
      <c r="CB185" s="66"/>
      <c r="CC185" s="66"/>
      <c r="CD185" s="66"/>
      <c r="CE185" s="66"/>
      <c r="CF185" s="66"/>
      <c r="CG185" s="66"/>
      <c r="CH185" s="66"/>
      <c r="CI185" s="66"/>
      <c r="CJ185" s="66"/>
      <c r="CK185" s="66"/>
      <c r="CL185" s="66"/>
      <c r="CM185" s="66"/>
      <c r="CN185" s="66"/>
      <c r="CO185" s="66"/>
      <c r="CP185" s="66"/>
      <c r="CQ185" s="23" t="s">
        <v>77</v>
      </c>
    </row>
    <row r="186" spans="2:95" hidden="1" outlineLevel="1" x14ac:dyDescent="0.2">
      <c r="B186" s="12" t="s">
        <v>68</v>
      </c>
      <c r="D186" s="9"/>
      <c r="E186" s="9"/>
      <c r="F186" s="9"/>
      <c r="G186" s="9"/>
      <c r="H186" s="9"/>
      <c r="I186" s="9"/>
      <c r="J186" s="9"/>
      <c r="L186" s="237">
        <f t="shared" ref="L186:X186" si="315">L181*L171+L178*L170</f>
        <v>0</v>
      </c>
      <c r="M186" s="72">
        <f t="shared" si="315"/>
        <v>0</v>
      </c>
      <c r="N186" s="72">
        <f t="shared" si="315"/>
        <v>0</v>
      </c>
      <c r="O186" s="72">
        <f t="shared" si="315"/>
        <v>0</v>
      </c>
      <c r="P186" s="72">
        <f t="shared" si="315"/>
        <v>0</v>
      </c>
      <c r="Q186" s="237">
        <f t="shared" si="315"/>
        <v>0.10929612903225806</v>
      </c>
      <c r="R186" s="72">
        <f t="shared" si="315"/>
        <v>0.10929612903225806</v>
      </c>
      <c r="S186" s="72">
        <f t="shared" si="315"/>
        <v>0.10929612903225806</v>
      </c>
      <c r="T186" s="72">
        <f t="shared" si="315"/>
        <v>0.10929612903225806</v>
      </c>
      <c r="U186" s="72">
        <f t="shared" si="315"/>
        <v>0.10929612903225806</v>
      </c>
      <c r="V186" s="72">
        <f t="shared" si="315"/>
        <v>6.5691707317073161E-2</v>
      </c>
      <c r="W186" s="237">
        <f t="shared" si="315"/>
        <v>6.8091707317073161E-2</v>
      </c>
      <c r="X186" s="173">
        <f t="shared" si="315"/>
        <v>6.8091707317073161E-2</v>
      </c>
      <c r="Y186" s="173">
        <f t="shared" ref="Y186:BD186" si="316">Y181*Y171+Y178*Y170</f>
        <v>6.8091707317073161E-2</v>
      </c>
      <c r="Z186" s="173">
        <f t="shared" si="316"/>
        <v>6.8091707317073161E-2</v>
      </c>
      <c r="AA186" s="173">
        <f t="shared" si="316"/>
        <v>6.8091707317073161E-2</v>
      </c>
      <c r="AB186" s="178">
        <f t="shared" si="316"/>
        <v>8.2709677419354838E-2</v>
      </c>
      <c r="AC186" s="173">
        <f t="shared" si="316"/>
        <v>8.2709677419354838E-2</v>
      </c>
      <c r="AD186" s="173">
        <f t="shared" si="316"/>
        <v>8.2709677419354838E-2</v>
      </c>
      <c r="AE186" s="173">
        <f t="shared" si="316"/>
        <v>8.2709677419354838E-2</v>
      </c>
      <c r="AF186" s="173">
        <f t="shared" si="316"/>
        <v>8.2709677419354838E-2</v>
      </c>
      <c r="AG186" s="173">
        <f t="shared" si="316"/>
        <v>8.2709677419354838E-2</v>
      </c>
      <c r="AH186" s="173">
        <f t="shared" si="316"/>
        <v>8.2709677419354838E-2</v>
      </c>
      <c r="AI186" s="173">
        <f t="shared" si="316"/>
        <v>8.2709677419354838E-2</v>
      </c>
      <c r="AJ186" s="173">
        <f t="shared" si="316"/>
        <v>8.2709677419354838E-2</v>
      </c>
      <c r="AK186" s="173">
        <f t="shared" si="316"/>
        <v>8.2709677419354838E-2</v>
      </c>
      <c r="AL186" s="173">
        <f t="shared" si="316"/>
        <v>8.2709677419354838E-2</v>
      </c>
      <c r="AM186" s="173">
        <f t="shared" si="316"/>
        <v>8.2709677419354838E-2</v>
      </c>
      <c r="AN186" s="173">
        <f t="shared" si="316"/>
        <v>8.2709677419354838E-2</v>
      </c>
      <c r="AO186" s="173">
        <f t="shared" si="316"/>
        <v>8.2709677419354838E-2</v>
      </c>
      <c r="AP186" s="173">
        <f t="shared" si="316"/>
        <v>8.2709677419354838E-2</v>
      </c>
      <c r="AQ186" s="173">
        <f t="shared" si="316"/>
        <v>8.2709677419354838E-2</v>
      </c>
      <c r="AR186" s="173">
        <f t="shared" si="316"/>
        <v>8.2709677419354838E-2</v>
      </c>
      <c r="AS186" s="173">
        <f t="shared" si="316"/>
        <v>8.2709677419354838E-2</v>
      </c>
      <c r="AT186" s="173">
        <f t="shared" si="316"/>
        <v>8.2709677419354838E-2</v>
      </c>
      <c r="AU186" s="173">
        <f t="shared" si="316"/>
        <v>8.2709677419354838E-2</v>
      </c>
      <c r="AV186" s="173">
        <f t="shared" si="316"/>
        <v>8.2709677419354838E-2</v>
      </c>
      <c r="AW186" s="173">
        <f t="shared" si="316"/>
        <v>8.2709677419354838E-2</v>
      </c>
      <c r="AX186" s="173">
        <f t="shared" si="316"/>
        <v>8.2709677419354838E-2</v>
      </c>
      <c r="AY186" s="173">
        <f t="shared" si="316"/>
        <v>8.2709677419354838E-2</v>
      </c>
      <c r="AZ186" s="173">
        <f t="shared" si="316"/>
        <v>8.2709677419354838E-2</v>
      </c>
      <c r="BA186" s="173">
        <f t="shared" si="316"/>
        <v>8.2709677419354838E-2</v>
      </c>
      <c r="BB186" s="173">
        <f t="shared" si="316"/>
        <v>8.2709677419354838E-2</v>
      </c>
      <c r="BC186" s="173">
        <f t="shared" si="316"/>
        <v>8.2709677419354838E-2</v>
      </c>
      <c r="BD186" s="173">
        <f t="shared" si="316"/>
        <v>8.2709677419354838E-2</v>
      </c>
      <c r="BE186" s="173">
        <f t="shared" ref="BE186:CP186" si="317">BE181*BE171+BE178*BE170</f>
        <v>8.2709677419354838E-2</v>
      </c>
      <c r="BF186" s="173">
        <f t="shared" si="317"/>
        <v>8.2709677419354838E-2</v>
      </c>
      <c r="BG186" s="173">
        <f t="shared" si="317"/>
        <v>8.2709677419354838E-2</v>
      </c>
      <c r="BH186" s="173">
        <f t="shared" si="317"/>
        <v>8.2709677419354838E-2</v>
      </c>
      <c r="BI186" s="173">
        <f t="shared" si="317"/>
        <v>8.2709677419354838E-2</v>
      </c>
      <c r="BJ186" s="173">
        <f t="shared" si="317"/>
        <v>8.2709677419354838E-2</v>
      </c>
      <c r="BK186" s="173">
        <f t="shared" si="317"/>
        <v>8.2709677419354838E-2</v>
      </c>
      <c r="BL186" s="173">
        <f t="shared" si="317"/>
        <v>8.2709677419354838E-2</v>
      </c>
      <c r="BM186" s="173">
        <f t="shared" si="317"/>
        <v>8.2709677419354838E-2</v>
      </c>
      <c r="BN186" s="173">
        <f t="shared" si="317"/>
        <v>8.2709677419354838E-2</v>
      </c>
      <c r="BO186" s="173">
        <f t="shared" si="317"/>
        <v>8.2709677419354838E-2</v>
      </c>
      <c r="BP186" s="173">
        <f t="shared" si="317"/>
        <v>8.2709677419354838E-2</v>
      </c>
      <c r="BQ186" s="173">
        <f t="shared" si="317"/>
        <v>8.2709677419354838E-2</v>
      </c>
      <c r="BR186" s="173">
        <f t="shared" si="317"/>
        <v>8.2709677419354838E-2</v>
      </c>
      <c r="BS186" s="173">
        <f t="shared" si="317"/>
        <v>8.2709677419354838E-2</v>
      </c>
      <c r="BT186" s="173">
        <f t="shared" si="317"/>
        <v>8.2709677419354838E-2</v>
      </c>
      <c r="BU186" s="173">
        <f t="shared" si="317"/>
        <v>8.2709677419354838E-2</v>
      </c>
      <c r="BV186" s="173">
        <f t="shared" si="317"/>
        <v>8.2709677419354838E-2</v>
      </c>
      <c r="BW186" s="173">
        <f t="shared" si="317"/>
        <v>8.2709677419354838E-2</v>
      </c>
      <c r="BX186" s="173">
        <f t="shared" si="317"/>
        <v>8.2709677419354838E-2</v>
      </c>
      <c r="BY186" s="173">
        <f t="shared" si="317"/>
        <v>8.2709677419354838E-2</v>
      </c>
      <c r="BZ186" s="173">
        <f t="shared" si="317"/>
        <v>8.2709677419354838E-2</v>
      </c>
      <c r="CA186" s="173">
        <f t="shared" si="317"/>
        <v>8.2709677419354838E-2</v>
      </c>
      <c r="CB186" s="173">
        <f t="shared" si="317"/>
        <v>8.2709677419354838E-2</v>
      </c>
      <c r="CC186" s="173">
        <f t="shared" si="317"/>
        <v>8.2709677419354838E-2</v>
      </c>
      <c r="CD186" s="173">
        <f t="shared" si="317"/>
        <v>8.2709677419354838E-2</v>
      </c>
      <c r="CE186" s="173">
        <f t="shared" si="317"/>
        <v>8.2709677419354838E-2</v>
      </c>
      <c r="CF186" s="173">
        <f t="shared" si="317"/>
        <v>8.2709677419354838E-2</v>
      </c>
      <c r="CG186" s="173">
        <f t="shared" si="317"/>
        <v>8.2709677419354838E-2</v>
      </c>
      <c r="CH186" s="173">
        <f t="shared" si="317"/>
        <v>8.2709677419354838E-2</v>
      </c>
      <c r="CI186" s="173">
        <f t="shared" si="317"/>
        <v>8.2709677419354838E-2</v>
      </c>
      <c r="CJ186" s="173">
        <f t="shared" si="317"/>
        <v>8.2709677419354838E-2</v>
      </c>
      <c r="CK186" s="173">
        <f t="shared" si="317"/>
        <v>8.2709677419354838E-2</v>
      </c>
      <c r="CL186" s="173">
        <f t="shared" si="317"/>
        <v>8.2709677419354838E-2</v>
      </c>
      <c r="CM186" s="173">
        <f t="shared" si="317"/>
        <v>8.2709677419354838E-2</v>
      </c>
      <c r="CN186" s="173">
        <f t="shared" si="317"/>
        <v>8.2709677419354838E-2</v>
      </c>
      <c r="CO186" s="173">
        <f t="shared" si="317"/>
        <v>8.2709677419354838E-2</v>
      </c>
      <c r="CP186" s="173">
        <f t="shared" si="317"/>
        <v>8.2709677419354838E-2</v>
      </c>
      <c r="CQ186" s="23" t="s">
        <v>77</v>
      </c>
    </row>
    <row r="187" spans="2:95" hidden="1" outlineLevel="1" x14ac:dyDescent="0.2">
      <c r="B187" s="12" t="s">
        <v>69</v>
      </c>
      <c r="D187" s="9"/>
      <c r="E187" s="9"/>
      <c r="F187" s="9"/>
      <c r="G187" s="9"/>
      <c r="H187" s="9"/>
      <c r="I187" s="9"/>
      <c r="J187" s="9"/>
      <c r="L187" s="237">
        <f t="shared" ref="L187:BD187" si="318">+(1+L186)/(1+L168)-1</f>
        <v>0</v>
      </c>
      <c r="M187" s="72">
        <f t="shared" si="318"/>
        <v>0</v>
      </c>
      <c r="N187" s="72">
        <f t="shared" si="318"/>
        <v>0</v>
      </c>
      <c r="O187" s="72">
        <f t="shared" si="318"/>
        <v>0</v>
      </c>
      <c r="P187" s="72">
        <f t="shared" si="318"/>
        <v>0</v>
      </c>
      <c r="Q187" s="237">
        <f t="shared" si="318"/>
        <v>8.171246126987608E-2</v>
      </c>
      <c r="R187" s="72">
        <f t="shared" si="318"/>
        <v>8.171246126987608E-2</v>
      </c>
      <c r="S187" s="72">
        <f t="shared" si="318"/>
        <v>8.171246126987608E-2</v>
      </c>
      <c r="T187" s="72">
        <f t="shared" si="318"/>
        <v>8.171246126987608E-2</v>
      </c>
      <c r="U187" s="72">
        <f t="shared" si="318"/>
        <v>8.171246126987608E-2</v>
      </c>
      <c r="V187" s="72">
        <f t="shared" si="318"/>
        <v>3.9699226650803165E-2</v>
      </c>
      <c r="W187" s="237">
        <f t="shared" si="318"/>
        <v>4.3160179038063573E-2</v>
      </c>
      <c r="X187" s="173">
        <f t="shared" si="318"/>
        <v>4.3160179038063573E-2</v>
      </c>
      <c r="Y187" s="173">
        <f t="shared" si="318"/>
        <v>4.3160179038063573E-2</v>
      </c>
      <c r="Z187" s="173">
        <f t="shared" si="318"/>
        <v>4.3160179038063573E-2</v>
      </c>
      <c r="AA187" s="173">
        <f t="shared" si="318"/>
        <v>4.3160179038063573E-2</v>
      </c>
      <c r="AB187" s="178">
        <f t="shared" si="318"/>
        <v>5.7436934680491047E-2</v>
      </c>
      <c r="AC187" s="173">
        <f t="shared" si="318"/>
        <v>5.7436934680491047E-2</v>
      </c>
      <c r="AD187" s="173">
        <f t="shared" si="318"/>
        <v>5.7436934680491047E-2</v>
      </c>
      <c r="AE187" s="173">
        <f t="shared" si="318"/>
        <v>5.7436934680491047E-2</v>
      </c>
      <c r="AF187" s="173">
        <f t="shared" si="318"/>
        <v>5.7436934680491047E-2</v>
      </c>
      <c r="AG187" s="173">
        <f t="shared" si="318"/>
        <v>5.7436934680491047E-2</v>
      </c>
      <c r="AH187" s="173">
        <f t="shared" si="318"/>
        <v>5.7436934680491047E-2</v>
      </c>
      <c r="AI187" s="173">
        <f t="shared" si="318"/>
        <v>5.7436934680491047E-2</v>
      </c>
      <c r="AJ187" s="173">
        <f t="shared" si="318"/>
        <v>5.7436934680491047E-2</v>
      </c>
      <c r="AK187" s="173">
        <f t="shared" si="318"/>
        <v>5.7436934680491047E-2</v>
      </c>
      <c r="AL187" s="173">
        <f t="shared" si="318"/>
        <v>5.7436934680491047E-2</v>
      </c>
      <c r="AM187" s="173">
        <f t="shared" si="318"/>
        <v>5.7436934680491047E-2</v>
      </c>
      <c r="AN187" s="173">
        <f t="shared" si="318"/>
        <v>5.7436934680491047E-2</v>
      </c>
      <c r="AO187" s="173">
        <f t="shared" si="318"/>
        <v>5.7436934680491047E-2</v>
      </c>
      <c r="AP187" s="173">
        <f t="shared" si="318"/>
        <v>5.7436934680491047E-2</v>
      </c>
      <c r="AQ187" s="173">
        <f t="shared" si="318"/>
        <v>5.7436934680491047E-2</v>
      </c>
      <c r="AR187" s="173">
        <f t="shared" si="318"/>
        <v>5.7436934680491047E-2</v>
      </c>
      <c r="AS187" s="173">
        <f t="shared" si="318"/>
        <v>5.7436934680491047E-2</v>
      </c>
      <c r="AT187" s="173">
        <f t="shared" si="318"/>
        <v>5.7436934680491047E-2</v>
      </c>
      <c r="AU187" s="173">
        <f t="shared" si="318"/>
        <v>5.7436934680491047E-2</v>
      </c>
      <c r="AV187" s="173">
        <f t="shared" si="318"/>
        <v>5.7436934680491047E-2</v>
      </c>
      <c r="AW187" s="173">
        <f t="shared" si="318"/>
        <v>5.7436934680491047E-2</v>
      </c>
      <c r="AX187" s="173">
        <f t="shared" si="318"/>
        <v>5.7436934680491047E-2</v>
      </c>
      <c r="AY187" s="173">
        <f t="shared" si="318"/>
        <v>5.7436934680491047E-2</v>
      </c>
      <c r="AZ187" s="173">
        <f t="shared" si="318"/>
        <v>5.7436934680491047E-2</v>
      </c>
      <c r="BA187" s="173">
        <f t="shared" si="318"/>
        <v>5.7436934680491047E-2</v>
      </c>
      <c r="BB187" s="173">
        <f t="shared" si="318"/>
        <v>5.7436934680491047E-2</v>
      </c>
      <c r="BC187" s="173">
        <f t="shared" si="318"/>
        <v>5.7436934680491047E-2</v>
      </c>
      <c r="BD187" s="173">
        <f t="shared" si="318"/>
        <v>5.7436934680491047E-2</v>
      </c>
      <c r="BE187" s="173">
        <f t="shared" ref="BE187:CP187" si="319">+(1+BE186)/(1+BE168)-1</f>
        <v>5.7436934680491047E-2</v>
      </c>
      <c r="BF187" s="173">
        <f t="shared" si="319"/>
        <v>5.7436934680491047E-2</v>
      </c>
      <c r="BG187" s="173">
        <f t="shared" si="319"/>
        <v>5.7436934680491047E-2</v>
      </c>
      <c r="BH187" s="173">
        <f t="shared" si="319"/>
        <v>5.7436934680491047E-2</v>
      </c>
      <c r="BI187" s="173">
        <f t="shared" si="319"/>
        <v>5.7436934680491047E-2</v>
      </c>
      <c r="BJ187" s="173">
        <f t="shared" si="319"/>
        <v>5.7436934680491047E-2</v>
      </c>
      <c r="BK187" s="173">
        <f t="shared" si="319"/>
        <v>5.7436934680491047E-2</v>
      </c>
      <c r="BL187" s="173">
        <f t="shared" si="319"/>
        <v>5.7436934680491047E-2</v>
      </c>
      <c r="BM187" s="173">
        <f t="shared" si="319"/>
        <v>5.7436934680491047E-2</v>
      </c>
      <c r="BN187" s="173">
        <f t="shared" si="319"/>
        <v>5.7436934680491047E-2</v>
      </c>
      <c r="BO187" s="173">
        <f t="shared" si="319"/>
        <v>5.7436934680491047E-2</v>
      </c>
      <c r="BP187" s="173">
        <f t="shared" si="319"/>
        <v>5.7436934680491047E-2</v>
      </c>
      <c r="BQ187" s="173">
        <f t="shared" si="319"/>
        <v>5.7436934680491047E-2</v>
      </c>
      <c r="BR187" s="173">
        <f t="shared" si="319"/>
        <v>5.7436934680491047E-2</v>
      </c>
      <c r="BS187" s="173">
        <f t="shared" si="319"/>
        <v>5.7436934680491047E-2</v>
      </c>
      <c r="BT187" s="173">
        <f t="shared" si="319"/>
        <v>5.7436934680491047E-2</v>
      </c>
      <c r="BU187" s="173">
        <f t="shared" si="319"/>
        <v>5.7436934680491047E-2</v>
      </c>
      <c r="BV187" s="173">
        <f t="shared" si="319"/>
        <v>5.7436934680491047E-2</v>
      </c>
      <c r="BW187" s="173">
        <f t="shared" si="319"/>
        <v>5.7436934680491047E-2</v>
      </c>
      <c r="BX187" s="173">
        <f t="shared" si="319"/>
        <v>5.7436934680491047E-2</v>
      </c>
      <c r="BY187" s="173">
        <f t="shared" si="319"/>
        <v>5.7436934680491047E-2</v>
      </c>
      <c r="BZ187" s="173">
        <f t="shared" si="319"/>
        <v>5.7436934680491047E-2</v>
      </c>
      <c r="CA187" s="173">
        <f t="shared" si="319"/>
        <v>5.7436934680491047E-2</v>
      </c>
      <c r="CB187" s="173">
        <f t="shared" si="319"/>
        <v>5.7436934680491047E-2</v>
      </c>
      <c r="CC187" s="173">
        <f t="shared" si="319"/>
        <v>5.7436934680491047E-2</v>
      </c>
      <c r="CD187" s="173">
        <f t="shared" si="319"/>
        <v>5.7436934680491047E-2</v>
      </c>
      <c r="CE187" s="173">
        <f t="shared" si="319"/>
        <v>5.7436934680491047E-2</v>
      </c>
      <c r="CF187" s="173">
        <f t="shared" si="319"/>
        <v>5.7436934680491047E-2</v>
      </c>
      <c r="CG187" s="173">
        <f t="shared" si="319"/>
        <v>5.7436934680491047E-2</v>
      </c>
      <c r="CH187" s="173">
        <f t="shared" si="319"/>
        <v>5.7436934680491047E-2</v>
      </c>
      <c r="CI187" s="173">
        <f t="shared" si="319"/>
        <v>5.7436934680491047E-2</v>
      </c>
      <c r="CJ187" s="173">
        <f t="shared" si="319"/>
        <v>5.7436934680491047E-2</v>
      </c>
      <c r="CK187" s="173">
        <f t="shared" si="319"/>
        <v>5.7436934680491047E-2</v>
      </c>
      <c r="CL187" s="173">
        <f t="shared" si="319"/>
        <v>5.7436934680491047E-2</v>
      </c>
      <c r="CM187" s="173">
        <f t="shared" si="319"/>
        <v>5.7436934680491047E-2</v>
      </c>
      <c r="CN187" s="173">
        <f t="shared" si="319"/>
        <v>5.7436934680491047E-2</v>
      </c>
      <c r="CO187" s="173">
        <f t="shared" si="319"/>
        <v>5.7436934680491047E-2</v>
      </c>
      <c r="CP187" s="173">
        <f t="shared" si="319"/>
        <v>5.7436934680491047E-2</v>
      </c>
      <c r="CQ187" s="23" t="s">
        <v>77</v>
      </c>
    </row>
    <row r="188" spans="2:95" hidden="1" outlineLevel="1" x14ac:dyDescent="0.2">
      <c r="B188" s="2" t="s">
        <v>70</v>
      </c>
      <c r="C188" s="78"/>
      <c r="D188" s="3"/>
      <c r="E188" s="3"/>
      <c r="F188" s="3"/>
      <c r="G188" s="3"/>
      <c r="H188" s="3"/>
      <c r="I188" s="3"/>
      <c r="J188" s="3"/>
      <c r="K188" s="3"/>
      <c r="L188" s="5">
        <f t="shared" ref="L188:X188" si="320">L178*L170+L183*L171</f>
        <v>0</v>
      </c>
      <c r="M188" s="30">
        <f t="shared" si="320"/>
        <v>0</v>
      </c>
      <c r="N188" s="30">
        <f t="shared" si="320"/>
        <v>0</v>
      </c>
      <c r="O188" s="30">
        <f t="shared" si="320"/>
        <v>0</v>
      </c>
      <c r="P188" s="30">
        <f>P178*P170+P183*P171</f>
        <v>0</v>
      </c>
      <c r="Q188" s="5">
        <f>Q178*Q170+Q183*Q171</f>
        <v>9.7299999999999998E-2</v>
      </c>
      <c r="R188" s="30">
        <f t="shared" si="320"/>
        <v>9.7299999999999998E-2</v>
      </c>
      <c r="S188" s="30">
        <f t="shared" si="320"/>
        <v>9.7299999999999998E-2</v>
      </c>
      <c r="T188" s="30">
        <f t="shared" si="320"/>
        <v>9.7299999999999998E-2</v>
      </c>
      <c r="U188" s="30">
        <f>U178*U170+U183*U171</f>
        <v>9.7299999999999998E-2</v>
      </c>
      <c r="V188" s="30">
        <f t="shared" si="320"/>
        <v>5.944E-2</v>
      </c>
      <c r="W188" s="126">
        <f t="shared" si="320"/>
        <v>6.1839999999999992E-2</v>
      </c>
      <c r="X188" s="38">
        <f t="shared" si="320"/>
        <v>6.1839999999999992E-2</v>
      </c>
      <c r="Y188" s="38">
        <f t="shared" ref="Y188:BD188" si="321">Y178*Y170+Y183*Y171</f>
        <v>6.1839999999999992E-2</v>
      </c>
      <c r="Z188" s="38">
        <f t="shared" si="321"/>
        <v>6.1839999999999992E-2</v>
      </c>
      <c r="AA188" s="38">
        <f t="shared" si="321"/>
        <v>6.1839999999999992E-2</v>
      </c>
      <c r="AB188" s="126">
        <f t="shared" si="321"/>
        <v>7.22E-2</v>
      </c>
      <c r="AC188" s="38">
        <f t="shared" si="321"/>
        <v>7.22E-2</v>
      </c>
      <c r="AD188" s="38">
        <f t="shared" si="321"/>
        <v>7.22E-2</v>
      </c>
      <c r="AE188" s="38">
        <f t="shared" si="321"/>
        <v>7.22E-2</v>
      </c>
      <c r="AF188" s="38">
        <f t="shared" si="321"/>
        <v>7.22E-2</v>
      </c>
      <c r="AG188" s="38">
        <f t="shared" si="321"/>
        <v>7.22E-2</v>
      </c>
      <c r="AH188" s="38">
        <f t="shared" si="321"/>
        <v>7.22E-2</v>
      </c>
      <c r="AI188" s="38">
        <f t="shared" si="321"/>
        <v>7.22E-2</v>
      </c>
      <c r="AJ188" s="38">
        <f t="shared" si="321"/>
        <v>7.22E-2</v>
      </c>
      <c r="AK188" s="38">
        <f t="shared" si="321"/>
        <v>7.22E-2</v>
      </c>
      <c r="AL188" s="38">
        <f t="shared" si="321"/>
        <v>7.22E-2</v>
      </c>
      <c r="AM188" s="38">
        <f t="shared" si="321"/>
        <v>7.22E-2</v>
      </c>
      <c r="AN188" s="38">
        <f t="shared" si="321"/>
        <v>7.22E-2</v>
      </c>
      <c r="AO188" s="38">
        <f t="shared" si="321"/>
        <v>7.22E-2</v>
      </c>
      <c r="AP188" s="38">
        <f t="shared" si="321"/>
        <v>7.22E-2</v>
      </c>
      <c r="AQ188" s="38">
        <f t="shared" si="321"/>
        <v>7.22E-2</v>
      </c>
      <c r="AR188" s="38">
        <f t="shared" si="321"/>
        <v>7.22E-2</v>
      </c>
      <c r="AS188" s="38">
        <f t="shared" si="321"/>
        <v>7.22E-2</v>
      </c>
      <c r="AT188" s="38">
        <f t="shared" si="321"/>
        <v>7.22E-2</v>
      </c>
      <c r="AU188" s="38">
        <f t="shared" si="321"/>
        <v>7.22E-2</v>
      </c>
      <c r="AV188" s="38">
        <f t="shared" si="321"/>
        <v>7.22E-2</v>
      </c>
      <c r="AW188" s="38">
        <f t="shared" si="321"/>
        <v>7.22E-2</v>
      </c>
      <c r="AX188" s="38">
        <f t="shared" si="321"/>
        <v>7.22E-2</v>
      </c>
      <c r="AY188" s="38">
        <f t="shared" si="321"/>
        <v>7.22E-2</v>
      </c>
      <c r="AZ188" s="38">
        <f t="shared" si="321"/>
        <v>7.22E-2</v>
      </c>
      <c r="BA188" s="38">
        <f t="shared" si="321"/>
        <v>7.22E-2</v>
      </c>
      <c r="BB188" s="38">
        <f t="shared" si="321"/>
        <v>7.22E-2</v>
      </c>
      <c r="BC188" s="38">
        <f t="shared" si="321"/>
        <v>7.22E-2</v>
      </c>
      <c r="BD188" s="38">
        <f t="shared" si="321"/>
        <v>7.22E-2</v>
      </c>
      <c r="BE188" s="38">
        <f t="shared" ref="BE188:CP188" si="322">BE178*BE170+BE183*BE171</f>
        <v>7.22E-2</v>
      </c>
      <c r="BF188" s="38">
        <f t="shared" si="322"/>
        <v>7.22E-2</v>
      </c>
      <c r="BG188" s="38">
        <f t="shared" si="322"/>
        <v>7.22E-2</v>
      </c>
      <c r="BH188" s="38">
        <f t="shared" si="322"/>
        <v>7.22E-2</v>
      </c>
      <c r="BI188" s="38">
        <f t="shared" si="322"/>
        <v>7.22E-2</v>
      </c>
      <c r="BJ188" s="38">
        <f t="shared" si="322"/>
        <v>7.22E-2</v>
      </c>
      <c r="BK188" s="38">
        <f t="shared" si="322"/>
        <v>7.22E-2</v>
      </c>
      <c r="BL188" s="38">
        <f t="shared" si="322"/>
        <v>7.22E-2</v>
      </c>
      <c r="BM188" s="38">
        <f t="shared" si="322"/>
        <v>7.22E-2</v>
      </c>
      <c r="BN188" s="38">
        <f t="shared" si="322"/>
        <v>7.22E-2</v>
      </c>
      <c r="BO188" s="38">
        <f t="shared" si="322"/>
        <v>7.22E-2</v>
      </c>
      <c r="BP188" s="38">
        <f t="shared" si="322"/>
        <v>7.22E-2</v>
      </c>
      <c r="BQ188" s="38">
        <f t="shared" si="322"/>
        <v>7.22E-2</v>
      </c>
      <c r="BR188" s="38">
        <f t="shared" si="322"/>
        <v>7.22E-2</v>
      </c>
      <c r="BS188" s="38">
        <f t="shared" si="322"/>
        <v>7.22E-2</v>
      </c>
      <c r="BT188" s="38">
        <f t="shared" si="322"/>
        <v>7.22E-2</v>
      </c>
      <c r="BU188" s="38">
        <f t="shared" si="322"/>
        <v>7.22E-2</v>
      </c>
      <c r="BV188" s="38">
        <f t="shared" si="322"/>
        <v>7.22E-2</v>
      </c>
      <c r="BW188" s="38">
        <f t="shared" si="322"/>
        <v>7.22E-2</v>
      </c>
      <c r="BX188" s="38">
        <f t="shared" si="322"/>
        <v>7.22E-2</v>
      </c>
      <c r="BY188" s="38">
        <f t="shared" si="322"/>
        <v>7.22E-2</v>
      </c>
      <c r="BZ188" s="38">
        <f t="shared" si="322"/>
        <v>7.22E-2</v>
      </c>
      <c r="CA188" s="38">
        <f t="shared" si="322"/>
        <v>7.22E-2</v>
      </c>
      <c r="CB188" s="38">
        <f t="shared" si="322"/>
        <v>7.22E-2</v>
      </c>
      <c r="CC188" s="38">
        <f t="shared" si="322"/>
        <v>7.22E-2</v>
      </c>
      <c r="CD188" s="38">
        <f t="shared" si="322"/>
        <v>7.22E-2</v>
      </c>
      <c r="CE188" s="38">
        <f t="shared" si="322"/>
        <v>7.22E-2</v>
      </c>
      <c r="CF188" s="38">
        <f t="shared" si="322"/>
        <v>7.22E-2</v>
      </c>
      <c r="CG188" s="38">
        <f t="shared" si="322"/>
        <v>7.22E-2</v>
      </c>
      <c r="CH188" s="38">
        <f t="shared" si="322"/>
        <v>7.22E-2</v>
      </c>
      <c r="CI188" s="38">
        <f t="shared" si="322"/>
        <v>7.22E-2</v>
      </c>
      <c r="CJ188" s="38">
        <f t="shared" si="322"/>
        <v>7.22E-2</v>
      </c>
      <c r="CK188" s="38">
        <f t="shared" si="322"/>
        <v>7.22E-2</v>
      </c>
      <c r="CL188" s="38">
        <f t="shared" si="322"/>
        <v>7.22E-2</v>
      </c>
      <c r="CM188" s="38">
        <f t="shared" si="322"/>
        <v>7.22E-2</v>
      </c>
      <c r="CN188" s="38">
        <f t="shared" si="322"/>
        <v>7.22E-2</v>
      </c>
      <c r="CO188" s="38">
        <f t="shared" si="322"/>
        <v>7.22E-2</v>
      </c>
      <c r="CP188" s="38">
        <f t="shared" si="322"/>
        <v>7.22E-2</v>
      </c>
      <c r="CQ188" s="23" t="s">
        <v>77</v>
      </c>
    </row>
    <row r="189" spans="2:95" hidden="1" outlineLevel="1" x14ac:dyDescent="0.2">
      <c r="B189" s="12" t="s">
        <v>71</v>
      </c>
      <c r="D189" s="9"/>
      <c r="E189" s="9"/>
      <c r="F189" s="9"/>
      <c r="G189" s="9"/>
      <c r="H189" s="9"/>
      <c r="I189" s="9"/>
      <c r="J189" s="9"/>
      <c r="L189" s="82">
        <f t="shared" ref="L189:BD189" si="323">+(1+L188)/(1+L168)-1</f>
        <v>0</v>
      </c>
      <c r="M189" s="72">
        <f t="shared" si="323"/>
        <v>0</v>
      </c>
      <c r="N189" s="72">
        <f t="shared" si="323"/>
        <v>0</v>
      </c>
      <c r="O189" s="72">
        <f t="shared" si="323"/>
        <v>0</v>
      </c>
      <c r="P189" s="72">
        <f t="shared" si="323"/>
        <v>0</v>
      </c>
      <c r="Q189" s="82">
        <f t="shared" si="323"/>
        <v>7.0014627011213859E-2</v>
      </c>
      <c r="R189" s="72">
        <f t="shared" si="323"/>
        <v>7.0014627011213859E-2</v>
      </c>
      <c r="S189" s="72">
        <f t="shared" si="323"/>
        <v>7.0014627011213859E-2</v>
      </c>
      <c r="T189" s="72">
        <f t="shared" si="323"/>
        <v>7.0014627011213859E-2</v>
      </c>
      <c r="U189" s="72">
        <f t="shared" si="323"/>
        <v>7.0014627011213859E-2</v>
      </c>
      <c r="V189" s="72">
        <f t="shared" si="323"/>
        <v>3.3600000000000074E-2</v>
      </c>
      <c r="W189" s="179">
        <f t="shared" si="323"/>
        <v>3.7054399843734709E-2</v>
      </c>
      <c r="X189" s="173">
        <f t="shared" si="323"/>
        <v>3.7054399843734709E-2</v>
      </c>
      <c r="Y189" s="173">
        <f t="shared" si="323"/>
        <v>3.7054399843734709E-2</v>
      </c>
      <c r="Z189" s="173">
        <f t="shared" si="323"/>
        <v>3.7054399843734709E-2</v>
      </c>
      <c r="AA189" s="173">
        <f t="shared" si="323"/>
        <v>3.7054399843734709E-2</v>
      </c>
      <c r="AB189" s="179">
        <f t="shared" si="323"/>
        <v>4.7172575446821075E-2</v>
      </c>
      <c r="AC189" s="173">
        <f t="shared" si="323"/>
        <v>4.7172575446821075E-2</v>
      </c>
      <c r="AD189" s="173">
        <f t="shared" si="323"/>
        <v>4.7172575446821075E-2</v>
      </c>
      <c r="AE189" s="173">
        <f t="shared" si="323"/>
        <v>4.7172575446821075E-2</v>
      </c>
      <c r="AF189" s="173">
        <f t="shared" si="323"/>
        <v>4.7172575446821075E-2</v>
      </c>
      <c r="AG189" s="173">
        <f t="shared" si="323"/>
        <v>4.7172575446821075E-2</v>
      </c>
      <c r="AH189" s="173">
        <f t="shared" si="323"/>
        <v>4.7172575446821075E-2</v>
      </c>
      <c r="AI189" s="173">
        <f t="shared" si="323"/>
        <v>4.7172575446821075E-2</v>
      </c>
      <c r="AJ189" s="173">
        <f t="shared" si="323"/>
        <v>4.7172575446821075E-2</v>
      </c>
      <c r="AK189" s="173">
        <f t="shared" si="323"/>
        <v>4.7172575446821075E-2</v>
      </c>
      <c r="AL189" s="173">
        <f t="shared" si="323"/>
        <v>4.7172575446821075E-2</v>
      </c>
      <c r="AM189" s="173">
        <f t="shared" si="323"/>
        <v>4.7172575446821075E-2</v>
      </c>
      <c r="AN189" s="173">
        <f t="shared" si="323"/>
        <v>4.7172575446821075E-2</v>
      </c>
      <c r="AO189" s="173">
        <f t="shared" si="323"/>
        <v>4.7172575446821075E-2</v>
      </c>
      <c r="AP189" s="173">
        <f t="shared" si="323"/>
        <v>4.7172575446821075E-2</v>
      </c>
      <c r="AQ189" s="173">
        <f t="shared" si="323"/>
        <v>4.7172575446821075E-2</v>
      </c>
      <c r="AR189" s="173">
        <f t="shared" si="323"/>
        <v>4.7172575446821075E-2</v>
      </c>
      <c r="AS189" s="173">
        <f t="shared" si="323"/>
        <v>4.7172575446821075E-2</v>
      </c>
      <c r="AT189" s="173">
        <f t="shared" si="323"/>
        <v>4.7172575446821075E-2</v>
      </c>
      <c r="AU189" s="173">
        <f t="shared" si="323"/>
        <v>4.7172575446821075E-2</v>
      </c>
      <c r="AV189" s="173">
        <f t="shared" si="323"/>
        <v>4.7172575446821075E-2</v>
      </c>
      <c r="AW189" s="173">
        <f t="shared" si="323"/>
        <v>4.7172575446821075E-2</v>
      </c>
      <c r="AX189" s="173">
        <f t="shared" si="323"/>
        <v>4.7172575446821075E-2</v>
      </c>
      <c r="AY189" s="173">
        <f t="shared" si="323"/>
        <v>4.7172575446821075E-2</v>
      </c>
      <c r="AZ189" s="173">
        <f t="shared" si="323"/>
        <v>4.7172575446821075E-2</v>
      </c>
      <c r="BA189" s="173">
        <f t="shared" si="323"/>
        <v>4.7172575446821075E-2</v>
      </c>
      <c r="BB189" s="173">
        <f t="shared" si="323"/>
        <v>4.7172575446821075E-2</v>
      </c>
      <c r="BC189" s="173">
        <f t="shared" si="323"/>
        <v>4.7172575446821075E-2</v>
      </c>
      <c r="BD189" s="173">
        <f t="shared" si="323"/>
        <v>4.7172575446821075E-2</v>
      </c>
      <c r="BE189" s="173">
        <f t="shared" ref="BE189:CP189" si="324">+(1+BE188)/(1+BE168)-1</f>
        <v>4.7172575446821075E-2</v>
      </c>
      <c r="BF189" s="173">
        <f t="shared" si="324"/>
        <v>4.7172575446821075E-2</v>
      </c>
      <c r="BG189" s="173">
        <f t="shared" si="324"/>
        <v>4.7172575446821075E-2</v>
      </c>
      <c r="BH189" s="173">
        <f t="shared" si="324"/>
        <v>4.7172575446821075E-2</v>
      </c>
      <c r="BI189" s="173">
        <f t="shared" si="324"/>
        <v>4.7172575446821075E-2</v>
      </c>
      <c r="BJ189" s="173">
        <f t="shared" si="324"/>
        <v>4.7172575446821075E-2</v>
      </c>
      <c r="BK189" s="173">
        <f t="shared" si="324"/>
        <v>4.7172575446821075E-2</v>
      </c>
      <c r="BL189" s="173">
        <f t="shared" si="324"/>
        <v>4.7172575446821075E-2</v>
      </c>
      <c r="BM189" s="173">
        <f t="shared" si="324"/>
        <v>4.7172575446821075E-2</v>
      </c>
      <c r="BN189" s="173">
        <f t="shared" si="324"/>
        <v>4.7172575446821075E-2</v>
      </c>
      <c r="BO189" s="173">
        <f t="shared" si="324"/>
        <v>4.7172575446821075E-2</v>
      </c>
      <c r="BP189" s="173">
        <f t="shared" si="324"/>
        <v>4.7172575446821075E-2</v>
      </c>
      <c r="BQ189" s="173">
        <f t="shared" si="324"/>
        <v>4.7172575446821075E-2</v>
      </c>
      <c r="BR189" s="173">
        <f t="shared" si="324"/>
        <v>4.7172575446821075E-2</v>
      </c>
      <c r="BS189" s="173">
        <f t="shared" si="324"/>
        <v>4.7172575446821075E-2</v>
      </c>
      <c r="BT189" s="173">
        <f t="shared" si="324"/>
        <v>4.7172575446821075E-2</v>
      </c>
      <c r="BU189" s="173">
        <f t="shared" si="324"/>
        <v>4.7172575446821075E-2</v>
      </c>
      <c r="BV189" s="173">
        <f t="shared" si="324"/>
        <v>4.7172575446821075E-2</v>
      </c>
      <c r="BW189" s="173">
        <f t="shared" si="324"/>
        <v>4.7172575446821075E-2</v>
      </c>
      <c r="BX189" s="173">
        <f t="shared" si="324"/>
        <v>4.7172575446821075E-2</v>
      </c>
      <c r="BY189" s="173">
        <f t="shared" si="324"/>
        <v>4.7172575446821075E-2</v>
      </c>
      <c r="BZ189" s="173">
        <f t="shared" si="324"/>
        <v>4.7172575446821075E-2</v>
      </c>
      <c r="CA189" s="173">
        <f t="shared" si="324"/>
        <v>4.7172575446821075E-2</v>
      </c>
      <c r="CB189" s="173">
        <f t="shared" si="324"/>
        <v>4.7172575446821075E-2</v>
      </c>
      <c r="CC189" s="173">
        <f t="shared" si="324"/>
        <v>4.7172575446821075E-2</v>
      </c>
      <c r="CD189" s="173">
        <f t="shared" si="324"/>
        <v>4.7172575446821075E-2</v>
      </c>
      <c r="CE189" s="173">
        <f t="shared" si="324"/>
        <v>4.7172575446821075E-2</v>
      </c>
      <c r="CF189" s="173">
        <f t="shared" si="324"/>
        <v>4.7172575446821075E-2</v>
      </c>
      <c r="CG189" s="173">
        <f t="shared" si="324"/>
        <v>4.7172575446821075E-2</v>
      </c>
      <c r="CH189" s="173">
        <f t="shared" si="324"/>
        <v>4.7172575446821075E-2</v>
      </c>
      <c r="CI189" s="173">
        <f t="shared" si="324"/>
        <v>4.7172575446821075E-2</v>
      </c>
      <c r="CJ189" s="173">
        <f t="shared" si="324"/>
        <v>4.7172575446821075E-2</v>
      </c>
      <c r="CK189" s="173">
        <f t="shared" si="324"/>
        <v>4.7172575446821075E-2</v>
      </c>
      <c r="CL189" s="173">
        <f t="shared" si="324"/>
        <v>4.7172575446821075E-2</v>
      </c>
      <c r="CM189" s="173">
        <f t="shared" si="324"/>
        <v>4.7172575446821075E-2</v>
      </c>
      <c r="CN189" s="173">
        <f t="shared" si="324"/>
        <v>4.7172575446821075E-2</v>
      </c>
      <c r="CO189" s="173">
        <f t="shared" si="324"/>
        <v>4.7172575446821075E-2</v>
      </c>
      <c r="CP189" s="173">
        <f t="shared" si="324"/>
        <v>4.7172575446821075E-2</v>
      </c>
      <c r="CQ189" s="23" t="s">
        <v>77</v>
      </c>
    </row>
    <row r="190" spans="2:95" hidden="1" outlineLevel="1" x14ac:dyDescent="0.2">
      <c r="CQ190" s="23" t="s">
        <v>77</v>
      </c>
    </row>
    <row r="191" spans="2:95" hidden="1" outlineLevel="1" x14ac:dyDescent="0.2">
      <c r="B191" s="358" t="s">
        <v>79</v>
      </c>
      <c r="D191" s="218"/>
      <c r="E191" s="218"/>
      <c r="F191" s="218"/>
      <c r="G191" s="218"/>
      <c r="H191" s="218"/>
      <c r="I191" s="218"/>
      <c r="J191" s="218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  <c r="Y191" s="66"/>
      <c r="Z191" s="66"/>
      <c r="AA191" s="66"/>
      <c r="AB191" s="66"/>
      <c r="AC191" s="66"/>
      <c r="AD191" s="66"/>
      <c r="AE191" s="66"/>
      <c r="AF191" s="66"/>
      <c r="AG191" s="66"/>
      <c r="AH191" s="66"/>
      <c r="AI191" s="66"/>
      <c r="AJ191" s="66"/>
      <c r="AK191" s="66"/>
      <c r="AL191" s="66"/>
      <c r="AM191" s="66"/>
      <c r="AN191" s="66"/>
      <c r="AO191" s="66"/>
      <c r="AP191" s="66"/>
      <c r="AQ191" s="66"/>
      <c r="AR191" s="66"/>
      <c r="AS191" s="66"/>
      <c r="AT191" s="66"/>
      <c r="AU191" s="66"/>
      <c r="AV191" s="66"/>
      <c r="AW191" s="66"/>
      <c r="AX191" s="66"/>
      <c r="AY191" s="66"/>
      <c r="AZ191" s="66"/>
      <c r="BA191" s="66"/>
      <c r="BB191" s="66"/>
      <c r="BC191" s="66"/>
      <c r="BD191" s="66"/>
      <c r="BE191" s="66"/>
      <c r="BF191" s="66"/>
      <c r="BG191" s="66"/>
      <c r="BH191" s="66"/>
      <c r="BI191" s="66"/>
      <c r="BJ191" s="66"/>
      <c r="BK191" s="66"/>
      <c r="BL191" s="66"/>
      <c r="BM191" s="66"/>
      <c r="BN191" s="66"/>
      <c r="BO191" s="66"/>
      <c r="BP191" s="66"/>
      <c r="BQ191" s="66"/>
      <c r="BR191" s="66"/>
      <c r="BS191" s="66"/>
      <c r="BT191" s="66"/>
      <c r="BU191" s="66"/>
      <c r="BV191" s="66"/>
      <c r="BW191" s="66"/>
      <c r="BX191" s="66"/>
      <c r="BY191" s="66"/>
      <c r="BZ191" s="66"/>
      <c r="CA191" s="66"/>
      <c r="CB191" s="66"/>
      <c r="CC191" s="66"/>
      <c r="CD191" s="66"/>
      <c r="CE191" s="66"/>
      <c r="CF191" s="66"/>
      <c r="CG191" s="66"/>
      <c r="CH191" s="66"/>
      <c r="CI191" s="66"/>
      <c r="CJ191" s="66"/>
      <c r="CK191" s="66"/>
      <c r="CL191" s="66"/>
      <c r="CM191" s="66"/>
      <c r="CN191" s="66"/>
      <c r="CO191" s="66"/>
      <c r="CP191" s="66"/>
      <c r="CQ191" s="23" t="s">
        <v>77</v>
      </c>
    </row>
    <row r="192" spans="2:95" hidden="1" outlineLevel="1" x14ac:dyDescent="0.2">
      <c r="B192" s="8" t="s">
        <v>324</v>
      </c>
      <c r="D192" s="9"/>
      <c r="E192" s="9"/>
      <c r="F192" s="9"/>
      <c r="G192" s="9"/>
      <c r="H192" s="9"/>
      <c r="I192" s="9"/>
      <c r="J192" s="9"/>
      <c r="K192" s="9">
        <f t="shared" ref="K192:Q192" si="325">ROUND(+K188*K159,3)</f>
        <v>0</v>
      </c>
      <c r="L192" s="9">
        <f t="shared" si="325"/>
        <v>0</v>
      </c>
      <c r="M192" s="9">
        <f t="shared" si="325"/>
        <v>0</v>
      </c>
      <c r="N192" s="9">
        <f t="shared" si="325"/>
        <v>0</v>
      </c>
      <c r="O192" s="9">
        <f t="shared" si="325"/>
        <v>0</v>
      </c>
      <c r="P192" s="9">
        <f t="shared" si="325"/>
        <v>0</v>
      </c>
      <c r="Q192" s="9">
        <f t="shared" si="325"/>
        <v>8.9610000000000003</v>
      </c>
      <c r="R192" s="9">
        <f t="shared" ref="R192:BD192" si="326">ROUND(+R188*R159,3)</f>
        <v>10.265000000000001</v>
      </c>
      <c r="S192" s="208">
        <f t="shared" si="326"/>
        <v>10.157999999999999</v>
      </c>
      <c r="T192" s="208">
        <f t="shared" si="326"/>
        <v>10.041</v>
      </c>
      <c r="U192" s="299">
        <f t="shared" si="326"/>
        <v>9.8559999999999999</v>
      </c>
      <c r="V192" s="250">
        <f>ROUND(+V188*V159,3)</f>
        <v>6.3840000000000003</v>
      </c>
      <c r="W192" s="272">
        <f t="shared" si="326"/>
        <v>7.1609999999999996</v>
      </c>
      <c r="X192" s="272">
        <f t="shared" si="326"/>
        <v>7.6059999999999999</v>
      </c>
      <c r="Y192" s="272">
        <f t="shared" si="326"/>
        <v>7.7110000000000003</v>
      </c>
      <c r="Z192" s="272">
        <f t="shared" si="326"/>
        <v>7.7919999999999998</v>
      </c>
      <c r="AA192" s="272">
        <f t="shared" si="326"/>
        <v>7.8659999999999997</v>
      </c>
      <c r="AB192" s="272">
        <f t="shared" si="326"/>
        <v>9.2560000000000002</v>
      </c>
      <c r="AC192" s="272">
        <f t="shared" si="326"/>
        <v>9.3320000000000007</v>
      </c>
      <c r="AD192" s="272">
        <f t="shared" si="326"/>
        <v>9.4079999999999995</v>
      </c>
      <c r="AE192" s="272">
        <f t="shared" si="326"/>
        <v>9.4849999999999994</v>
      </c>
      <c r="AF192" s="272">
        <f t="shared" si="326"/>
        <v>9.5630000000000006</v>
      </c>
      <c r="AG192" s="272">
        <f t="shared" si="326"/>
        <v>9.641</v>
      </c>
      <c r="AH192" s="272">
        <f t="shared" si="326"/>
        <v>9.7200000000000006</v>
      </c>
      <c r="AI192" s="272">
        <f t="shared" si="326"/>
        <v>9.7989999999999995</v>
      </c>
      <c r="AJ192" s="272">
        <f t="shared" si="326"/>
        <v>9.8789999999999996</v>
      </c>
      <c r="AK192" s="272">
        <f t="shared" si="326"/>
        <v>9.9600000000000009</v>
      </c>
      <c r="AL192" s="272">
        <f t="shared" si="326"/>
        <v>10.041</v>
      </c>
      <c r="AM192" s="272">
        <f t="shared" si="326"/>
        <v>10.122999999999999</v>
      </c>
      <c r="AN192" s="272">
        <f t="shared" si="326"/>
        <v>10.206</v>
      </c>
      <c r="AO192" s="272">
        <f t="shared" si="326"/>
        <v>10.29</v>
      </c>
      <c r="AP192" s="272">
        <f t="shared" si="326"/>
        <v>10.374000000000001</v>
      </c>
      <c r="AQ192" s="272">
        <f t="shared" si="326"/>
        <v>10.459</v>
      </c>
      <c r="AR192" s="272">
        <f t="shared" si="326"/>
        <v>10.544</v>
      </c>
      <c r="AS192" s="272">
        <f t="shared" si="326"/>
        <v>10.63</v>
      </c>
      <c r="AT192" s="272">
        <f t="shared" si="326"/>
        <v>10.717000000000001</v>
      </c>
      <c r="AU192" s="272">
        <f t="shared" si="326"/>
        <v>10.805</v>
      </c>
      <c r="AV192" s="272">
        <f t="shared" si="326"/>
        <v>10.893000000000001</v>
      </c>
      <c r="AW192" s="272">
        <f t="shared" si="326"/>
        <v>10.981999999999999</v>
      </c>
      <c r="AX192" s="272">
        <f t="shared" si="326"/>
        <v>11.071999999999999</v>
      </c>
      <c r="AY192" s="272">
        <f t="shared" si="326"/>
        <v>11.163</v>
      </c>
      <c r="AZ192" s="272">
        <f t="shared" si="326"/>
        <v>11.254</v>
      </c>
      <c r="BA192" s="272">
        <f t="shared" si="326"/>
        <v>11.346</v>
      </c>
      <c r="BB192" s="272">
        <f t="shared" si="326"/>
        <v>11.439</v>
      </c>
      <c r="BC192" s="272">
        <f t="shared" si="326"/>
        <v>11.532</v>
      </c>
      <c r="BD192" s="272">
        <f t="shared" si="326"/>
        <v>11.627000000000001</v>
      </c>
      <c r="BE192" s="272">
        <f t="shared" ref="BE192:CP192" si="327">ROUND(+BE188*BE159,3)</f>
        <v>11.722</v>
      </c>
      <c r="BF192" s="272">
        <f t="shared" si="327"/>
        <v>11.817</v>
      </c>
      <c r="BG192" s="272">
        <f t="shared" si="327"/>
        <v>11.914</v>
      </c>
      <c r="BH192" s="272">
        <f t="shared" si="327"/>
        <v>12.012</v>
      </c>
      <c r="BI192" s="272">
        <f t="shared" si="327"/>
        <v>12.11</v>
      </c>
      <c r="BJ192" s="272">
        <f t="shared" si="327"/>
        <v>12.209</v>
      </c>
      <c r="BK192" s="272">
        <f t="shared" si="327"/>
        <v>12.308999999999999</v>
      </c>
      <c r="BL192" s="272">
        <f t="shared" si="327"/>
        <v>12.409000000000001</v>
      </c>
      <c r="BM192" s="272">
        <f t="shared" si="327"/>
        <v>12.510999999999999</v>
      </c>
      <c r="BN192" s="272">
        <f t="shared" si="327"/>
        <v>12.613</v>
      </c>
      <c r="BO192" s="272">
        <f t="shared" si="327"/>
        <v>12.715999999999999</v>
      </c>
      <c r="BP192" s="272">
        <f t="shared" si="327"/>
        <v>12.82</v>
      </c>
      <c r="BQ192" s="272">
        <f t="shared" si="327"/>
        <v>12.925000000000001</v>
      </c>
      <c r="BR192" s="272">
        <f t="shared" si="327"/>
        <v>13.031000000000001</v>
      </c>
      <c r="BS192" s="272">
        <f t="shared" si="327"/>
        <v>13.137</v>
      </c>
      <c r="BT192" s="272">
        <f t="shared" si="327"/>
        <v>13.244999999999999</v>
      </c>
      <c r="BU192" s="272">
        <f t="shared" si="327"/>
        <v>13.353</v>
      </c>
      <c r="BV192" s="272">
        <f t="shared" si="327"/>
        <v>13.462</v>
      </c>
      <c r="BW192" s="272">
        <f t="shared" si="327"/>
        <v>13.571999999999999</v>
      </c>
      <c r="BX192" s="272">
        <f t="shared" si="327"/>
        <v>13.683</v>
      </c>
      <c r="BY192" s="272">
        <f t="shared" si="327"/>
        <v>13.795</v>
      </c>
      <c r="BZ192" s="272">
        <f t="shared" si="327"/>
        <v>13.907999999999999</v>
      </c>
      <c r="CA192" s="272">
        <f t="shared" si="327"/>
        <v>14.022</v>
      </c>
      <c r="CB192" s="272">
        <f t="shared" si="327"/>
        <v>14.135999999999999</v>
      </c>
      <c r="CC192" s="272">
        <f t="shared" si="327"/>
        <v>14.252000000000001</v>
      </c>
      <c r="CD192" s="272">
        <f t="shared" si="327"/>
        <v>14.368</v>
      </c>
      <c r="CE192" s="272">
        <f t="shared" si="327"/>
        <v>14.486000000000001</v>
      </c>
      <c r="CF192" s="272">
        <f t="shared" si="327"/>
        <v>14.603999999999999</v>
      </c>
      <c r="CG192" s="272">
        <f t="shared" si="327"/>
        <v>14.724</v>
      </c>
      <c r="CH192" s="272">
        <f t="shared" si="327"/>
        <v>14.843999999999999</v>
      </c>
      <c r="CI192" s="272">
        <f t="shared" si="327"/>
        <v>14.965</v>
      </c>
      <c r="CJ192" s="272">
        <f t="shared" si="327"/>
        <v>15.087999999999999</v>
      </c>
      <c r="CK192" s="272">
        <f t="shared" si="327"/>
        <v>15.211</v>
      </c>
      <c r="CL192" s="272">
        <f t="shared" si="327"/>
        <v>15.336</v>
      </c>
      <c r="CM192" s="272">
        <f t="shared" si="327"/>
        <v>15.461</v>
      </c>
      <c r="CN192" s="272">
        <f t="shared" si="327"/>
        <v>15.587</v>
      </c>
      <c r="CO192" s="272">
        <f t="shared" si="327"/>
        <v>15.715</v>
      </c>
      <c r="CP192" s="272">
        <f t="shared" si="327"/>
        <v>15.843</v>
      </c>
      <c r="CQ192" s="23"/>
    </row>
    <row r="193" spans="2:95" hidden="1" outlineLevel="1" x14ac:dyDescent="0.2">
      <c r="B193" s="529" t="s">
        <v>552</v>
      </c>
      <c r="D193" s="9"/>
      <c r="E193" s="9"/>
      <c r="F193" s="9"/>
      <c r="G193" s="9"/>
      <c r="H193" s="9"/>
      <c r="I193" s="9"/>
      <c r="J193" s="9"/>
      <c r="S193" s="208"/>
      <c r="T193" s="208"/>
      <c r="U193" s="299"/>
      <c r="V193" s="250">
        <f>ROUND(V183*V171*V159,3)</f>
        <v>3.0590000000000002</v>
      </c>
      <c r="W193" s="272">
        <f t="shared" ref="W193:BD193" si="328">ROUND(W183*W171*W159,3)</f>
        <v>3.298</v>
      </c>
      <c r="X193" s="272">
        <f t="shared" si="328"/>
        <v>3.5030000000000001</v>
      </c>
      <c r="Y193" s="272">
        <f t="shared" si="328"/>
        <v>3.5510000000000002</v>
      </c>
      <c r="Z193" s="272">
        <f t="shared" si="328"/>
        <v>3.5880000000000001</v>
      </c>
      <c r="AA193" s="272">
        <f t="shared" si="328"/>
        <v>3.6230000000000002</v>
      </c>
      <c r="AB193" s="272">
        <f t="shared" si="328"/>
        <v>4.641</v>
      </c>
      <c r="AC193" s="272">
        <f t="shared" si="328"/>
        <v>4.6790000000000003</v>
      </c>
      <c r="AD193" s="272">
        <f t="shared" si="328"/>
        <v>4.7169999999999996</v>
      </c>
      <c r="AE193" s="272">
        <f t="shared" si="328"/>
        <v>4.7560000000000002</v>
      </c>
      <c r="AF193" s="272">
        <f t="shared" si="328"/>
        <v>4.7939999999999996</v>
      </c>
      <c r="AG193" s="272">
        <f t="shared" si="328"/>
        <v>4.8339999999999996</v>
      </c>
      <c r="AH193" s="272">
        <f t="shared" si="328"/>
        <v>4.8730000000000002</v>
      </c>
      <c r="AI193" s="272">
        <f t="shared" si="328"/>
        <v>4.9130000000000003</v>
      </c>
      <c r="AJ193" s="272">
        <f t="shared" si="328"/>
        <v>4.9530000000000003</v>
      </c>
      <c r="AK193" s="272">
        <f t="shared" si="328"/>
        <v>4.9939999999999998</v>
      </c>
      <c r="AL193" s="272">
        <f t="shared" si="328"/>
        <v>5.0350000000000001</v>
      </c>
      <c r="AM193" s="272">
        <f t="shared" si="328"/>
        <v>5.0759999999999996</v>
      </c>
      <c r="AN193" s="272">
        <f t="shared" si="328"/>
        <v>5.117</v>
      </c>
      <c r="AO193" s="272">
        <f t="shared" si="328"/>
        <v>5.1589999999999998</v>
      </c>
      <c r="AP193" s="272">
        <f t="shared" si="328"/>
        <v>5.2009999999999996</v>
      </c>
      <c r="AQ193" s="272">
        <f t="shared" si="328"/>
        <v>5.2439999999999998</v>
      </c>
      <c r="AR193" s="272">
        <f t="shared" si="328"/>
        <v>5.2869999999999999</v>
      </c>
      <c r="AS193" s="272">
        <f t="shared" si="328"/>
        <v>5.33</v>
      </c>
      <c r="AT193" s="272">
        <f t="shared" si="328"/>
        <v>5.3730000000000002</v>
      </c>
      <c r="AU193" s="272">
        <f t="shared" si="328"/>
        <v>5.4169999999999998</v>
      </c>
      <c r="AV193" s="272">
        <f t="shared" si="328"/>
        <v>5.4619999999999997</v>
      </c>
      <c r="AW193" s="272">
        <f t="shared" si="328"/>
        <v>5.5060000000000002</v>
      </c>
      <c r="AX193" s="272">
        <f t="shared" si="328"/>
        <v>5.5510000000000002</v>
      </c>
      <c r="AY193" s="272">
        <f t="shared" si="328"/>
        <v>5.5970000000000004</v>
      </c>
      <c r="AZ193" s="272">
        <f t="shared" si="328"/>
        <v>5.6429999999999998</v>
      </c>
      <c r="BA193" s="272">
        <f t="shared" si="328"/>
        <v>5.6890000000000001</v>
      </c>
      <c r="BB193" s="272">
        <f t="shared" si="328"/>
        <v>5.7350000000000003</v>
      </c>
      <c r="BC193" s="272">
        <f t="shared" si="328"/>
        <v>5.782</v>
      </c>
      <c r="BD193" s="272">
        <f t="shared" si="328"/>
        <v>5.8289999999999997</v>
      </c>
      <c r="BE193" s="272">
        <f t="shared" ref="BE193:CP193" si="329">ROUND(BE183*BE171*BE159,3)</f>
        <v>5.8769999999999998</v>
      </c>
      <c r="BF193" s="272">
        <f t="shared" si="329"/>
        <v>5.9249999999999998</v>
      </c>
      <c r="BG193" s="272">
        <f t="shared" si="329"/>
        <v>5.9740000000000002</v>
      </c>
      <c r="BH193" s="272">
        <f t="shared" si="329"/>
        <v>6.0220000000000002</v>
      </c>
      <c r="BI193" s="272">
        <f t="shared" si="329"/>
        <v>6.0720000000000001</v>
      </c>
      <c r="BJ193" s="272">
        <f t="shared" si="329"/>
        <v>6.1210000000000004</v>
      </c>
      <c r="BK193" s="272">
        <f t="shared" si="329"/>
        <v>6.1710000000000003</v>
      </c>
      <c r="BL193" s="272">
        <f t="shared" si="329"/>
        <v>6.2220000000000004</v>
      </c>
      <c r="BM193" s="272">
        <f t="shared" si="329"/>
        <v>6.2729999999999997</v>
      </c>
      <c r="BN193" s="272">
        <f t="shared" si="329"/>
        <v>6.3239999999999998</v>
      </c>
      <c r="BO193" s="272">
        <f t="shared" si="329"/>
        <v>6.3760000000000003</v>
      </c>
      <c r="BP193" s="272">
        <f t="shared" si="329"/>
        <v>6.4279999999999999</v>
      </c>
      <c r="BQ193" s="272">
        <f t="shared" si="329"/>
        <v>6.48</v>
      </c>
      <c r="BR193" s="272">
        <f t="shared" si="329"/>
        <v>6.5330000000000004</v>
      </c>
      <c r="BS193" s="272">
        <f t="shared" si="329"/>
        <v>6.5869999999999997</v>
      </c>
      <c r="BT193" s="272">
        <f t="shared" si="329"/>
        <v>6.641</v>
      </c>
      <c r="BU193" s="272">
        <f t="shared" si="329"/>
        <v>6.6950000000000003</v>
      </c>
      <c r="BV193" s="272">
        <f t="shared" si="329"/>
        <v>6.75</v>
      </c>
      <c r="BW193" s="272">
        <f t="shared" si="329"/>
        <v>6.8049999999999997</v>
      </c>
      <c r="BX193" s="272">
        <f t="shared" si="329"/>
        <v>6.8609999999999998</v>
      </c>
      <c r="BY193" s="272">
        <f t="shared" si="329"/>
        <v>6.9169999999999998</v>
      </c>
      <c r="BZ193" s="272">
        <f t="shared" si="329"/>
        <v>6.9729999999999999</v>
      </c>
      <c r="CA193" s="272">
        <f t="shared" si="329"/>
        <v>7.03</v>
      </c>
      <c r="CB193" s="272">
        <f t="shared" si="329"/>
        <v>7.0880000000000001</v>
      </c>
      <c r="CC193" s="272">
        <f t="shared" si="329"/>
        <v>7.1459999999999999</v>
      </c>
      <c r="CD193" s="272">
        <f t="shared" si="329"/>
        <v>7.2039999999999997</v>
      </c>
      <c r="CE193" s="272">
        <f t="shared" si="329"/>
        <v>7.2629999999999999</v>
      </c>
      <c r="CF193" s="272">
        <f t="shared" si="329"/>
        <v>7.3220000000000001</v>
      </c>
      <c r="CG193" s="272">
        <f t="shared" si="329"/>
        <v>7.3819999999999997</v>
      </c>
      <c r="CH193" s="272">
        <f t="shared" si="329"/>
        <v>7.4429999999999996</v>
      </c>
      <c r="CI193" s="272">
        <f t="shared" si="329"/>
        <v>7.5030000000000001</v>
      </c>
      <c r="CJ193" s="272">
        <f t="shared" si="329"/>
        <v>7.5650000000000004</v>
      </c>
      <c r="CK193" s="272">
        <f t="shared" si="329"/>
        <v>7.6269999999999998</v>
      </c>
      <c r="CL193" s="272">
        <f t="shared" si="329"/>
        <v>7.6890000000000001</v>
      </c>
      <c r="CM193" s="272">
        <f t="shared" si="329"/>
        <v>7.7519999999999998</v>
      </c>
      <c r="CN193" s="272">
        <f t="shared" si="329"/>
        <v>7.8150000000000004</v>
      </c>
      <c r="CO193" s="272">
        <f t="shared" si="329"/>
        <v>7.8789999999999996</v>
      </c>
      <c r="CP193" s="272">
        <f t="shared" si="329"/>
        <v>7.944</v>
      </c>
      <c r="CQ193" s="23"/>
    </row>
    <row r="194" spans="2:95" hidden="1" outlineLevel="1" x14ac:dyDescent="0.2">
      <c r="B194" s="529" t="s">
        <v>553</v>
      </c>
      <c r="D194" s="9"/>
      <c r="E194" s="9"/>
      <c r="F194" s="9"/>
      <c r="G194" s="9"/>
      <c r="H194" s="9"/>
      <c r="I194" s="9"/>
      <c r="J194" s="9"/>
      <c r="S194" s="208"/>
      <c r="T194" s="208"/>
      <c r="U194" s="299"/>
      <c r="V194" s="250">
        <f>ROUND(V178*V170*V159,3)</f>
        <v>3.3250000000000002</v>
      </c>
      <c r="W194" s="272">
        <f t="shared" ref="W194:BD194" si="330">ROUND(W178*W170*W159,3)</f>
        <v>3.863</v>
      </c>
      <c r="X194" s="272">
        <f t="shared" si="330"/>
        <v>4.1029999999999998</v>
      </c>
      <c r="Y194" s="272">
        <f t="shared" si="330"/>
        <v>4.16</v>
      </c>
      <c r="Z194" s="272">
        <f t="shared" si="330"/>
        <v>4.2030000000000003</v>
      </c>
      <c r="AA194" s="272">
        <f t="shared" si="330"/>
        <v>4.2430000000000003</v>
      </c>
      <c r="AB194" s="272">
        <f t="shared" si="330"/>
        <v>4.6150000000000002</v>
      </c>
      <c r="AC194" s="272">
        <f t="shared" si="330"/>
        <v>4.6529999999999996</v>
      </c>
      <c r="AD194" s="272">
        <f t="shared" si="330"/>
        <v>4.6909999999999998</v>
      </c>
      <c r="AE194" s="272">
        <f t="shared" si="330"/>
        <v>4.7290000000000001</v>
      </c>
      <c r="AF194" s="272">
        <f t="shared" si="330"/>
        <v>4.7679999999999998</v>
      </c>
      <c r="AG194" s="272">
        <f t="shared" si="330"/>
        <v>4.8070000000000004</v>
      </c>
      <c r="AH194" s="272">
        <f t="shared" si="330"/>
        <v>4.8460000000000001</v>
      </c>
      <c r="AI194" s="272">
        <f t="shared" si="330"/>
        <v>4.8860000000000001</v>
      </c>
      <c r="AJ194" s="272">
        <f t="shared" si="330"/>
        <v>4.9260000000000002</v>
      </c>
      <c r="AK194" s="272">
        <f t="shared" si="330"/>
        <v>4.9660000000000002</v>
      </c>
      <c r="AL194" s="272">
        <f t="shared" si="330"/>
        <v>5.0069999999999997</v>
      </c>
      <c r="AM194" s="272">
        <f t="shared" si="330"/>
        <v>5.048</v>
      </c>
      <c r="AN194" s="272">
        <f t="shared" si="330"/>
        <v>5.0890000000000004</v>
      </c>
      <c r="AO194" s="272">
        <f t="shared" si="330"/>
        <v>5.1310000000000002</v>
      </c>
      <c r="AP194" s="272">
        <f t="shared" si="330"/>
        <v>5.173</v>
      </c>
      <c r="AQ194" s="272">
        <f t="shared" si="330"/>
        <v>5.2149999999999999</v>
      </c>
      <c r="AR194" s="272">
        <f t="shared" si="330"/>
        <v>5.2569999999999997</v>
      </c>
      <c r="AS194" s="272">
        <f t="shared" si="330"/>
        <v>5.3</v>
      </c>
      <c r="AT194" s="272">
        <f t="shared" si="330"/>
        <v>5.3440000000000003</v>
      </c>
      <c r="AU194" s="272">
        <f t="shared" si="330"/>
        <v>5.3869999999999996</v>
      </c>
      <c r="AV194" s="272">
        <f t="shared" si="330"/>
        <v>5.4320000000000004</v>
      </c>
      <c r="AW194" s="272">
        <f t="shared" si="330"/>
        <v>5.476</v>
      </c>
      <c r="AX194" s="272">
        <f t="shared" si="330"/>
        <v>5.5209999999999999</v>
      </c>
      <c r="AY194" s="272">
        <f t="shared" si="330"/>
        <v>5.5659999999999998</v>
      </c>
      <c r="AZ194" s="272">
        <f t="shared" si="330"/>
        <v>5.6109999999999998</v>
      </c>
      <c r="BA194" s="272">
        <f t="shared" si="330"/>
        <v>5.657</v>
      </c>
      <c r="BB194" s="272">
        <f t="shared" si="330"/>
        <v>5.7039999999999997</v>
      </c>
      <c r="BC194" s="272">
        <f t="shared" si="330"/>
        <v>5.75</v>
      </c>
      <c r="BD194" s="272">
        <f t="shared" si="330"/>
        <v>5.7969999999999997</v>
      </c>
      <c r="BE194" s="272">
        <f t="shared" ref="BE194:CP194" si="331">ROUND(BE178*BE170*BE159,3)</f>
        <v>5.8449999999999998</v>
      </c>
      <c r="BF194" s="272">
        <f t="shared" si="331"/>
        <v>5.8920000000000003</v>
      </c>
      <c r="BG194" s="272">
        <f t="shared" si="331"/>
        <v>5.9409999999999998</v>
      </c>
      <c r="BH194" s="272">
        <f t="shared" si="331"/>
        <v>5.9889999999999999</v>
      </c>
      <c r="BI194" s="272">
        <f t="shared" si="331"/>
        <v>6.0380000000000003</v>
      </c>
      <c r="BJ194" s="272">
        <f t="shared" si="331"/>
        <v>6.0869999999999997</v>
      </c>
      <c r="BK194" s="272">
        <f t="shared" si="331"/>
        <v>6.1369999999999996</v>
      </c>
      <c r="BL194" s="272">
        <f t="shared" si="331"/>
        <v>6.1870000000000003</v>
      </c>
      <c r="BM194" s="272">
        <f t="shared" si="331"/>
        <v>6.2380000000000004</v>
      </c>
      <c r="BN194" s="272">
        <f t="shared" si="331"/>
        <v>6.2889999999999997</v>
      </c>
      <c r="BO194" s="272">
        <f t="shared" si="331"/>
        <v>6.34</v>
      </c>
      <c r="BP194" s="272">
        <f t="shared" si="331"/>
        <v>6.3920000000000003</v>
      </c>
      <c r="BQ194" s="272">
        <f t="shared" si="331"/>
        <v>6.4450000000000003</v>
      </c>
      <c r="BR194" s="272">
        <f t="shared" si="331"/>
        <v>6.4969999999999999</v>
      </c>
      <c r="BS194" s="272">
        <f t="shared" si="331"/>
        <v>6.55</v>
      </c>
      <c r="BT194" s="272">
        <f t="shared" si="331"/>
        <v>6.6040000000000001</v>
      </c>
      <c r="BU194" s="272">
        <f t="shared" si="331"/>
        <v>6.6580000000000004</v>
      </c>
      <c r="BV194" s="272">
        <f t="shared" si="331"/>
        <v>6.7119999999999997</v>
      </c>
      <c r="BW194" s="272">
        <f t="shared" si="331"/>
        <v>6.7670000000000003</v>
      </c>
      <c r="BX194" s="272">
        <f t="shared" si="331"/>
        <v>6.8230000000000004</v>
      </c>
      <c r="BY194" s="272">
        <f t="shared" si="331"/>
        <v>6.8780000000000001</v>
      </c>
      <c r="BZ194" s="272">
        <f t="shared" si="331"/>
        <v>6.9349999999999996</v>
      </c>
      <c r="CA194" s="272">
        <f t="shared" si="331"/>
        <v>6.9909999999999997</v>
      </c>
      <c r="CB194" s="272">
        <f t="shared" si="331"/>
        <v>7.0490000000000004</v>
      </c>
      <c r="CC194" s="272">
        <f t="shared" si="331"/>
        <v>7.1059999999999999</v>
      </c>
      <c r="CD194" s="272">
        <f t="shared" si="331"/>
        <v>7.1639999999999997</v>
      </c>
      <c r="CE194" s="272">
        <f t="shared" si="331"/>
        <v>7.2229999999999999</v>
      </c>
      <c r="CF194" s="272">
        <f t="shared" si="331"/>
        <v>7.282</v>
      </c>
      <c r="CG194" s="272">
        <f t="shared" si="331"/>
        <v>7.3410000000000002</v>
      </c>
      <c r="CH194" s="272">
        <f t="shared" si="331"/>
        <v>7.4009999999999998</v>
      </c>
      <c r="CI194" s="272">
        <f t="shared" si="331"/>
        <v>7.4619999999999997</v>
      </c>
      <c r="CJ194" s="272">
        <f t="shared" si="331"/>
        <v>7.5229999999999997</v>
      </c>
      <c r="CK194" s="272">
        <f t="shared" si="331"/>
        <v>7.585</v>
      </c>
      <c r="CL194" s="272">
        <f t="shared" si="331"/>
        <v>7.6470000000000002</v>
      </c>
      <c r="CM194" s="272">
        <f t="shared" si="331"/>
        <v>7.7089999999999996</v>
      </c>
      <c r="CN194" s="272">
        <f t="shared" si="331"/>
        <v>7.7720000000000002</v>
      </c>
      <c r="CO194" s="272">
        <f t="shared" si="331"/>
        <v>7.8360000000000003</v>
      </c>
      <c r="CP194" s="272">
        <f t="shared" si="331"/>
        <v>7.9</v>
      </c>
      <c r="CQ194" s="23"/>
    </row>
    <row r="195" spans="2:95" hidden="1" outlineLevel="1" x14ac:dyDescent="0.2">
      <c r="B195" s="8" t="s">
        <v>14</v>
      </c>
      <c r="D195" s="9"/>
      <c r="E195" s="9"/>
      <c r="F195" s="9"/>
      <c r="G195" s="9"/>
      <c r="H195" s="9"/>
      <c r="I195" s="9"/>
      <c r="J195" s="9"/>
      <c r="Q195" s="9">
        <v>2.7</v>
      </c>
      <c r="R195" s="9">
        <v>2.8</v>
      </c>
      <c r="S195" s="208">
        <v>3</v>
      </c>
      <c r="T195" s="208">
        <v>3.2</v>
      </c>
      <c r="U195" s="299">
        <v>0.8</v>
      </c>
      <c r="V195" s="250">
        <f>-V162-V161</f>
        <v>2</v>
      </c>
      <c r="W195" s="272">
        <f>-W162-W161</f>
        <v>0.70000000000000018</v>
      </c>
      <c r="X195" s="272">
        <f>-X162-X161</f>
        <v>1</v>
      </c>
      <c r="Y195" s="272">
        <f t="shared" ref="Y195:BD195" si="332">-Y162-Y161</f>
        <v>1.0999999999999996</v>
      </c>
      <c r="Z195" s="272">
        <f t="shared" si="332"/>
        <v>1.2999999999999998</v>
      </c>
      <c r="AA195" s="272">
        <f t="shared" si="332"/>
        <v>1.5999999999999996</v>
      </c>
      <c r="AB195" s="272">
        <f t="shared" si="332"/>
        <v>1.5721835220125784</v>
      </c>
      <c r="AC195" s="272">
        <f t="shared" si="332"/>
        <v>1.585038841490368</v>
      </c>
      <c r="AD195" s="272">
        <f t="shared" si="332"/>
        <v>1.5979992754389323</v>
      </c>
      <c r="AE195" s="272">
        <f t="shared" si="332"/>
        <v>1.6110656833508696</v>
      </c>
      <c r="AF195" s="272">
        <f t="shared" si="332"/>
        <v>1.6242389317466213</v>
      </c>
      <c r="AG195" s="272">
        <f t="shared" si="332"/>
        <v>1.6375198942319278</v>
      </c>
      <c r="AH195" s="272">
        <f t="shared" si="332"/>
        <v>1.6509094515557705</v>
      </c>
      <c r="AI195" s="272">
        <f t="shared" si="332"/>
        <v>1.6644084916687745</v>
      </c>
      <c r="AJ195" s="272">
        <f t="shared" si="332"/>
        <v>1.6780179097820995</v>
      </c>
      <c r="AK195" s="272">
        <f t="shared" si="332"/>
        <v>1.6917386084268018</v>
      </c>
      <c r="AL195" s="272">
        <f t="shared" si="332"/>
        <v>1.7055714975136933</v>
      </c>
      <c r="AM195" s="272">
        <f t="shared" si="332"/>
        <v>1.7195174943936768</v>
      </c>
      <c r="AN195" s="272">
        <f t="shared" si="332"/>
        <v>1.7335775239185907</v>
      </c>
      <c r="AO195" s="272">
        <f t="shared" si="332"/>
        <v>1.7477525185025313</v>
      </c>
      <c r="AP195" s="272">
        <f t="shared" si="332"/>
        <v>1.7620434181836964</v>
      </c>
      <c r="AQ195" s="272">
        <f t="shared" si="332"/>
        <v>1.7764511706867192</v>
      </c>
      <c r="AR195" s="272">
        <f t="shared" si="332"/>
        <v>1.7909767314855229</v>
      </c>
      <c r="AS195" s="272">
        <f t="shared" si="332"/>
        <v>1.8056210638666821</v>
      </c>
      <c r="AT195" s="272">
        <f t="shared" si="332"/>
        <v>1.8203851389933048</v>
      </c>
      <c r="AU195" s="272">
        <f t="shared" si="332"/>
        <v>1.8352699359694378</v>
      </c>
      <c r="AV195" s="272">
        <f t="shared" si="332"/>
        <v>1.8502764419049975</v>
      </c>
      <c r="AW195" s="272">
        <f t="shared" si="332"/>
        <v>1.8654056519812281</v>
      </c>
      <c r="AX195" s="272">
        <f t="shared" si="332"/>
        <v>1.8806585695167048</v>
      </c>
      <c r="AY195" s="272">
        <f t="shared" si="332"/>
        <v>1.8960362060338665</v>
      </c>
      <c r="AZ195" s="272">
        <f t="shared" si="332"/>
        <v>1.9115395813260969</v>
      </c>
      <c r="BA195" s="272">
        <f t="shared" si="332"/>
        <v>1.9271697235253544</v>
      </c>
      <c r="BB195" s="272">
        <f t="shared" si="332"/>
        <v>1.9429276691703574</v>
      </c>
      <c r="BC195" s="272">
        <f t="shared" si="332"/>
        <v>1.9588144632753157</v>
      </c>
      <c r="BD195" s="272">
        <f t="shared" si="332"/>
        <v>1.9748311593992414</v>
      </c>
      <c r="BE195" s="272">
        <f t="shared" ref="BE195:CP195" si="333">-BE162-BE161</f>
        <v>1.9909788197158145</v>
      </c>
      <c r="BF195" s="272">
        <f t="shared" si="333"/>
        <v>2.0072585150838171</v>
      </c>
      <c r="BG195" s="272">
        <f t="shared" si="333"/>
        <v>2.0236713251181597</v>
      </c>
      <c r="BH195" s="272">
        <f t="shared" si="333"/>
        <v>2.0402183382614694</v>
      </c>
      <c r="BI195" s="272">
        <f t="shared" si="333"/>
        <v>2.0569006518562727</v>
      </c>
      <c r="BJ195" s="272">
        <f t="shared" si="333"/>
        <v>2.0737193722177718</v>
      </c>
      <c r="BK195" s="272">
        <f t="shared" si="333"/>
        <v>2.0906756147072079</v>
      </c>
      <c r="BL195" s="272">
        <f t="shared" si="333"/>
        <v>2.1077705038058294</v>
      </c>
      <c r="BM195" s="272">
        <f t="shared" si="333"/>
        <v>2.1250051731894644</v>
      </c>
      <c r="BN195" s="272">
        <f t="shared" si="333"/>
        <v>2.1423807658037006</v>
      </c>
      <c r="BO195" s="272">
        <f t="shared" si="333"/>
        <v>2.1598984339396843</v>
      </c>
      <c r="BP195" s="272">
        <f t="shared" si="333"/>
        <v>2.177559339310533</v>
      </c>
      <c r="BQ195" s="272">
        <f t="shared" si="333"/>
        <v>2.1953646531283804</v>
      </c>
      <c r="BR195" s="272">
        <f t="shared" si="333"/>
        <v>2.2133155561820415</v>
      </c>
      <c r="BS195" s="272">
        <f t="shared" si="333"/>
        <v>2.2314132389153265</v>
      </c>
      <c r="BT195" s="272">
        <f t="shared" si="333"/>
        <v>2.2496589015059802</v>
      </c>
      <c r="BU195" s="272">
        <f t="shared" si="333"/>
        <v>2.2680537539452752</v>
      </c>
      <c r="BV195" s="272">
        <f t="shared" si="333"/>
        <v>2.2865990161182577</v>
      </c>
      <c r="BW195" s="272">
        <f t="shared" si="333"/>
        <v>2.3052959178846431</v>
      </c>
      <c r="BX195" s="272">
        <f t="shared" si="333"/>
        <v>2.3241456991603782</v>
      </c>
      <c r="BY195" s="272">
        <f t="shared" si="333"/>
        <v>2.3431496099998652</v>
      </c>
      <c r="BZ195" s="272">
        <f t="shared" si="333"/>
        <v>2.3623089106788644</v>
      </c>
      <c r="CA195" s="272">
        <f t="shared" si="333"/>
        <v>2.3816248717780688</v>
      </c>
      <c r="CB195" s="272">
        <f t="shared" si="333"/>
        <v>2.4010987742673695</v>
      </c>
      <c r="CC195" s="272">
        <f t="shared" si="333"/>
        <v>2.4207319095907964</v>
      </c>
      <c r="CD195" s="272">
        <f t="shared" si="333"/>
        <v>2.4405255797521743</v>
      </c>
      <c r="CE195" s="272">
        <f t="shared" si="333"/>
        <v>2.4604810974014564</v>
      </c>
      <c r="CF195" s="272">
        <f t="shared" si="333"/>
        <v>2.4805997859217808</v>
      </c>
      <c r="CG195" s="272">
        <f t="shared" si="333"/>
        <v>2.5008829795172325</v>
      </c>
      <c r="CH195" s="272">
        <f t="shared" si="333"/>
        <v>2.5213320233013237</v>
      </c>
      <c r="CI195" s="272">
        <f t="shared" si="333"/>
        <v>2.5419482733861916</v>
      </c>
      <c r="CJ195" s="272">
        <f t="shared" si="333"/>
        <v>2.5627330969725408</v>
      </c>
      <c r="CK195" s="272">
        <f t="shared" si="333"/>
        <v>2.5836878724403016</v>
      </c>
      <c r="CL195" s="272">
        <f t="shared" si="333"/>
        <v>2.6048139894400473</v>
      </c>
      <c r="CM195" s="272">
        <f t="shared" si="333"/>
        <v>2.626112848985148</v>
      </c>
      <c r="CN195" s="272">
        <f t="shared" si="333"/>
        <v>2.6475858635446796</v>
      </c>
      <c r="CO195" s="272">
        <f t="shared" si="333"/>
        <v>2.6692344571370974</v>
      </c>
      <c r="CP195" s="272">
        <f t="shared" si="333"/>
        <v>2.6910600654246704</v>
      </c>
      <c r="CQ195" s="23" t="s">
        <v>77</v>
      </c>
    </row>
    <row r="196" spans="2:95" hidden="1" outlineLevel="1" x14ac:dyDescent="0.2">
      <c r="B196" s="8" t="s">
        <v>326</v>
      </c>
      <c r="D196" s="9"/>
      <c r="E196" s="9"/>
      <c r="F196" s="9"/>
      <c r="G196" s="9"/>
      <c r="H196" s="9"/>
      <c r="I196" s="9"/>
      <c r="J196" s="9"/>
      <c r="Q196" s="9">
        <v>13.6</v>
      </c>
      <c r="R196" s="9">
        <v>15.8</v>
      </c>
      <c r="S196" s="208">
        <v>14.6</v>
      </c>
      <c r="T196" s="208">
        <v>15.8</v>
      </c>
      <c r="U196" s="198">
        <v>17.8</v>
      </c>
      <c r="V196" s="39">
        <v>18</v>
      </c>
      <c r="W196" s="157">
        <v>11.9</v>
      </c>
      <c r="X196" s="157">
        <v>12.9</v>
      </c>
      <c r="Y196" s="157">
        <v>13.9</v>
      </c>
      <c r="Z196" s="157">
        <v>11.8</v>
      </c>
      <c r="AA196" s="157">
        <v>12.3</v>
      </c>
      <c r="AB196" s="272">
        <f t="shared" ref="AB196:BD196" si="334">+AA196*(1+AB168)</f>
        <v>12.593970000000001</v>
      </c>
      <c r="AC196" s="272">
        <f t="shared" si="334"/>
        <v>12.894965883000001</v>
      </c>
      <c r="AD196" s="272">
        <f t="shared" si="334"/>
        <v>13.203155567603702</v>
      </c>
      <c r="AE196" s="272">
        <f t="shared" si="334"/>
        <v>13.518710985669431</v>
      </c>
      <c r="AF196" s="272">
        <f t="shared" si="334"/>
        <v>13.84180817822693</v>
      </c>
      <c r="AG196" s="272">
        <f t="shared" si="334"/>
        <v>14.172627393686554</v>
      </c>
      <c r="AH196" s="272">
        <f t="shared" si="334"/>
        <v>14.511353188395663</v>
      </c>
      <c r="AI196" s="272">
        <f t="shared" si="334"/>
        <v>14.858174529598321</v>
      </c>
      <c r="AJ196" s="272">
        <f t="shared" si="334"/>
        <v>15.21328490085572</v>
      </c>
      <c r="AK196" s="272">
        <f t="shared" si="334"/>
        <v>15.576882409986172</v>
      </c>
      <c r="AL196" s="272">
        <f t="shared" si="334"/>
        <v>15.949169899584842</v>
      </c>
      <c r="AM196" s="272">
        <f t="shared" si="334"/>
        <v>16.330355060184921</v>
      </c>
      <c r="AN196" s="272">
        <f t="shared" si="334"/>
        <v>16.720650546123341</v>
      </c>
      <c r="AO196" s="272">
        <f t="shared" si="334"/>
        <v>17.120274094175688</v>
      </c>
      <c r="AP196" s="272">
        <f t="shared" si="334"/>
        <v>17.529448645026488</v>
      </c>
      <c r="AQ196" s="272">
        <f t="shared" si="334"/>
        <v>17.948402467642623</v>
      </c>
      <c r="AR196" s="272">
        <f t="shared" si="334"/>
        <v>18.377369286619281</v>
      </c>
      <c r="AS196" s="272">
        <f t="shared" si="334"/>
        <v>18.816588412569484</v>
      </c>
      <c r="AT196" s="272">
        <f t="shared" si="334"/>
        <v>19.266304875629896</v>
      </c>
      <c r="AU196" s="272">
        <f t="shared" si="334"/>
        <v>19.72676956215745</v>
      </c>
      <c r="AV196" s="272">
        <f t="shared" si="334"/>
        <v>20.198239354693015</v>
      </c>
      <c r="AW196" s="272">
        <f t="shared" si="334"/>
        <v>20.68097727527018</v>
      </c>
      <c r="AX196" s="272">
        <f t="shared" si="334"/>
        <v>21.175252632149139</v>
      </c>
      <c r="AY196" s="272">
        <f t="shared" si="334"/>
        <v>21.681341170057504</v>
      </c>
      <c r="AZ196" s="272">
        <f t="shared" si="334"/>
        <v>22.19952522402188</v>
      </c>
      <c r="BA196" s="272">
        <f t="shared" si="334"/>
        <v>22.730093876876005</v>
      </c>
      <c r="BB196" s="272">
        <f t="shared" si="334"/>
        <v>23.27334312053334</v>
      </c>
      <c r="BC196" s="272">
        <f t="shared" si="334"/>
        <v>23.829576021114089</v>
      </c>
      <c r="BD196" s="272">
        <f t="shared" si="334"/>
        <v>24.399102888018717</v>
      </c>
      <c r="BE196" s="272">
        <f t="shared" ref="BE196:CP196" si="335">+BD196*(1+BE168)</f>
        <v>24.982241447042366</v>
      </c>
      <c r="BF196" s="272">
        <f t="shared" si="335"/>
        <v>25.579317017626678</v>
      </c>
      <c r="BG196" s="272">
        <f t="shared" si="335"/>
        <v>26.190662694347957</v>
      </c>
      <c r="BH196" s="272">
        <f t="shared" si="335"/>
        <v>26.816619532742873</v>
      </c>
      <c r="BI196" s="272">
        <f t="shared" si="335"/>
        <v>27.457536739575428</v>
      </c>
      <c r="BJ196" s="272">
        <f t="shared" si="335"/>
        <v>28.11377186765128</v>
      </c>
      <c r="BK196" s="272">
        <f t="shared" si="335"/>
        <v>28.785691015288148</v>
      </c>
      <c r="BL196" s="272">
        <f t="shared" si="335"/>
        <v>29.473669030553534</v>
      </c>
      <c r="BM196" s="272">
        <f t="shared" si="335"/>
        <v>30.178089720383763</v>
      </c>
      <c r="BN196" s="272">
        <f t="shared" si="335"/>
        <v>30.899346064700936</v>
      </c>
      <c r="BO196" s="272">
        <f t="shared" si="335"/>
        <v>31.637840435647288</v>
      </c>
      <c r="BP196" s="272">
        <f t="shared" si="335"/>
        <v>32.393984822059259</v>
      </c>
      <c r="BQ196" s="272">
        <f t="shared" si="335"/>
        <v>33.168201059306476</v>
      </c>
      <c r="BR196" s="272">
        <f t="shared" si="335"/>
        <v>33.960921064623903</v>
      </c>
      <c r="BS196" s="272">
        <f t="shared" si="335"/>
        <v>34.772587078068419</v>
      </c>
      <c r="BT196" s="272">
        <f t="shared" si="335"/>
        <v>35.603651909234259</v>
      </c>
      <c r="BU196" s="272">
        <f t="shared" si="335"/>
        <v>36.454579189864958</v>
      </c>
      <c r="BV196" s="272">
        <f t="shared" si="335"/>
        <v>37.325843632502732</v>
      </c>
      <c r="BW196" s="272">
        <f t="shared" si="335"/>
        <v>38.217931295319545</v>
      </c>
      <c r="BX196" s="272">
        <f t="shared" si="335"/>
        <v>39.13133985327768</v>
      </c>
      <c r="BY196" s="272">
        <f t="shared" si="335"/>
        <v>40.066578875771015</v>
      </c>
      <c r="BZ196" s="272">
        <f t="shared" si="335"/>
        <v>41.024170110901942</v>
      </c>
      <c r="CA196" s="272">
        <f t="shared" si="335"/>
        <v>42.004647776552503</v>
      </c>
      <c r="CB196" s="272">
        <f t="shared" si="335"/>
        <v>43.008558858412108</v>
      </c>
      <c r="CC196" s="272">
        <f t="shared" si="335"/>
        <v>44.036463415128161</v>
      </c>
      <c r="CD196" s="272">
        <f t="shared" si="335"/>
        <v>45.088934890749726</v>
      </c>
      <c r="CE196" s="272">
        <f t="shared" si="335"/>
        <v>46.166560434638647</v>
      </c>
      <c r="CF196" s="272">
        <f t="shared" si="335"/>
        <v>47.269941229026514</v>
      </c>
      <c r="CG196" s="272">
        <f t="shared" si="335"/>
        <v>48.399692824400248</v>
      </c>
      <c r="CH196" s="272">
        <f t="shared" si="335"/>
        <v>49.556445482903413</v>
      </c>
      <c r="CI196" s="272">
        <f t="shared" si="335"/>
        <v>50.740844529944809</v>
      </c>
      <c r="CJ196" s="272">
        <f t="shared" si="335"/>
        <v>51.953550714210493</v>
      </c>
      <c r="CK196" s="272">
        <f t="shared" si="335"/>
        <v>53.195240576280128</v>
      </c>
      <c r="CL196" s="272">
        <f t="shared" si="335"/>
        <v>54.466606826053223</v>
      </c>
      <c r="CM196" s="272">
        <f t="shared" si="335"/>
        <v>55.768358729195896</v>
      </c>
      <c r="CN196" s="272">
        <f t="shared" si="335"/>
        <v>57.101222502823681</v>
      </c>
      <c r="CO196" s="272">
        <f t="shared" si="335"/>
        <v>58.465941720641169</v>
      </c>
      <c r="CP196" s="272">
        <f t="shared" si="335"/>
        <v>59.863277727764498</v>
      </c>
      <c r="CQ196" s="23" t="s">
        <v>77</v>
      </c>
    </row>
    <row r="197" spans="2:95" hidden="1" outlineLevel="1" x14ac:dyDescent="0.2">
      <c r="B197" s="8" t="s">
        <v>395</v>
      </c>
      <c r="D197" s="9"/>
      <c r="E197" s="9"/>
      <c r="F197" s="9"/>
      <c r="G197" s="9"/>
      <c r="H197" s="9"/>
      <c r="I197" s="9"/>
      <c r="J197" s="9"/>
      <c r="Q197" s="9">
        <v>1.1000000000000001</v>
      </c>
      <c r="R197" s="9">
        <v>1.5</v>
      </c>
      <c r="S197" s="208">
        <v>1.6</v>
      </c>
      <c r="T197" s="208">
        <v>1.7</v>
      </c>
      <c r="U197" s="198">
        <v>1</v>
      </c>
      <c r="V197" s="250">
        <f>+U197/SUM(U192:U196)*SUM(V192:V196)</f>
        <v>1.1515321900477931</v>
      </c>
      <c r="W197" s="157">
        <v>0.3</v>
      </c>
      <c r="X197" s="157">
        <v>0.3</v>
      </c>
      <c r="Y197" s="157">
        <v>0.3</v>
      </c>
      <c r="Z197" s="157">
        <v>0.3</v>
      </c>
      <c r="AA197" s="157">
        <v>0.3</v>
      </c>
      <c r="AB197" s="272">
        <f t="shared" ref="AB197:BD197" si="336">+AA197/SUM(AA192:AA196)*SUM(AB192:AB196)</f>
        <v>0.33083983722339944</v>
      </c>
      <c r="AC197" s="272">
        <f t="shared" si="336"/>
        <v>0.33555620333919783</v>
      </c>
      <c r="AD197" s="272">
        <f t="shared" si="336"/>
        <v>0.34034646506860117</v>
      </c>
      <c r="AE197" s="272">
        <f t="shared" si="336"/>
        <v>0.34523262016421735</v>
      </c>
      <c r="AF197" s="272">
        <f t="shared" si="336"/>
        <v>0.35020633548164365</v>
      </c>
      <c r="AG197" s="272">
        <f t="shared" si="336"/>
        <v>0.35527956892466056</v>
      </c>
      <c r="AH197" s="272">
        <f t="shared" si="336"/>
        <v>0.36043394951354707</v>
      </c>
      <c r="AI197" s="272">
        <f t="shared" si="336"/>
        <v>0.3656916477585086</v>
      </c>
      <c r="AJ197" s="272">
        <f t="shared" si="336"/>
        <v>0.37104450739711614</v>
      </c>
      <c r="AK197" s="272">
        <f t="shared" si="336"/>
        <v>0.37650466743803629</v>
      </c>
      <c r="AL197" s="272">
        <f t="shared" si="336"/>
        <v>0.38206406652030095</v>
      </c>
      <c r="AM197" s="272">
        <f t="shared" si="336"/>
        <v>0.38772481662977787</v>
      </c>
      <c r="AN197" s="272">
        <f t="shared" si="336"/>
        <v>0.39348908008276784</v>
      </c>
      <c r="AO197" s="272">
        <f t="shared" si="336"/>
        <v>0.3993793191078383</v>
      </c>
      <c r="AP197" s="272">
        <f t="shared" si="336"/>
        <v>0.40536742774578338</v>
      </c>
      <c r="AQ197" s="272">
        <f t="shared" si="336"/>
        <v>0.41147597501008376</v>
      </c>
      <c r="AR197" s="272">
        <f t="shared" si="336"/>
        <v>0.41768708846623381</v>
      </c>
      <c r="AS197" s="272">
        <f t="shared" si="336"/>
        <v>0.42402344907299028</v>
      </c>
      <c r="AT197" s="272">
        <f t="shared" si="336"/>
        <v>0.43048754739426831</v>
      </c>
      <c r="AU197" s="272">
        <f t="shared" si="336"/>
        <v>0.43707180917380078</v>
      </c>
      <c r="AV197" s="272">
        <f t="shared" si="336"/>
        <v>0.44379909351307384</v>
      </c>
      <c r="AW197" s="272">
        <f t="shared" si="336"/>
        <v>0.45063157661229147</v>
      </c>
      <c r="AX197" s="272">
        <f t="shared" si="336"/>
        <v>0.45761249191751319</v>
      </c>
      <c r="AY197" s="272">
        <f t="shared" si="336"/>
        <v>0.46473451717155134</v>
      </c>
      <c r="AZ197" s="272">
        <f t="shared" si="336"/>
        <v>0.47198027273232962</v>
      </c>
      <c r="BA197" s="272">
        <f t="shared" si="336"/>
        <v>0.47937294411853421</v>
      </c>
      <c r="BB197" s="272">
        <f t="shared" si="336"/>
        <v>0.48691553850266966</v>
      </c>
      <c r="BC197" s="272">
        <f t="shared" si="336"/>
        <v>0.49459088638353199</v>
      </c>
      <c r="BD197" s="272">
        <f t="shared" si="336"/>
        <v>0.50243251262909649</v>
      </c>
      <c r="BE197" s="272">
        <f t="shared" ref="BE197:CP197" si="337">+BD197/SUM(BD192:BD196)*SUM(BE192:BE196)</f>
        <v>0.51043352051928492</v>
      </c>
      <c r="BF197" s="272">
        <f t="shared" si="337"/>
        <v>0.51856684192134006</v>
      </c>
      <c r="BG197" s="272">
        <f t="shared" si="337"/>
        <v>0.52689660521867687</v>
      </c>
      <c r="BH197" s="272">
        <f t="shared" si="337"/>
        <v>0.53536552920158276</v>
      </c>
      <c r="BI197" s="272">
        <f t="shared" si="337"/>
        <v>0.54401765717567185</v>
      </c>
      <c r="BJ197" s="272">
        <f t="shared" si="337"/>
        <v>0.5528262477038578</v>
      </c>
      <c r="BK197" s="272">
        <f t="shared" si="337"/>
        <v>0.56182539109741525</v>
      </c>
      <c r="BL197" s="272">
        <f t="shared" si="337"/>
        <v>0.570998645393757</v>
      </c>
      <c r="BM197" s="272">
        <f t="shared" si="337"/>
        <v>0.58037015618493404</v>
      </c>
      <c r="BN197" s="272">
        <f t="shared" si="337"/>
        <v>0.58991354107557337</v>
      </c>
      <c r="BO197" s="272">
        <f t="shared" si="337"/>
        <v>0.59965313380386365</v>
      </c>
      <c r="BP197" s="272">
        <f t="shared" si="337"/>
        <v>0.60959311718449438</v>
      </c>
      <c r="BQ197" s="272">
        <f t="shared" si="337"/>
        <v>0.61973777381649753</v>
      </c>
      <c r="BR197" s="272">
        <f t="shared" si="337"/>
        <v>0.63008136427651806</v>
      </c>
      <c r="BS197" s="272">
        <f t="shared" si="337"/>
        <v>0.64063850212929008</v>
      </c>
      <c r="BT197" s="272">
        <f t="shared" si="337"/>
        <v>0.65142390804610106</v>
      </c>
      <c r="BU197" s="272">
        <f t="shared" si="337"/>
        <v>0.66241191560283041</v>
      </c>
      <c r="BV197" s="272">
        <f t="shared" si="337"/>
        <v>0.67362759160995866</v>
      </c>
      <c r="BW197" s="272">
        <f t="shared" si="337"/>
        <v>0.68507586946413512</v>
      </c>
      <c r="BX197" s="272">
        <f t="shared" si="337"/>
        <v>0.696771924464478</v>
      </c>
      <c r="BY197" s="272">
        <f t="shared" si="337"/>
        <v>0.7086905556739761</v>
      </c>
      <c r="BZ197" s="272">
        <f t="shared" si="337"/>
        <v>0.72086743069904968</v>
      </c>
      <c r="CA197" s="272">
        <f t="shared" si="337"/>
        <v>0.73328772254654317</v>
      </c>
      <c r="CB197" s="272">
        <f t="shared" si="337"/>
        <v>0.74597723035245145</v>
      </c>
      <c r="CC197" s="272">
        <f t="shared" si="337"/>
        <v>0.75892138895166328</v>
      </c>
      <c r="CD197" s="272">
        <f t="shared" si="337"/>
        <v>0.77212601718245699</v>
      </c>
      <c r="CE197" s="272">
        <f t="shared" si="337"/>
        <v>0.7856274453162807</v>
      </c>
      <c r="CF197" s="272">
        <f t="shared" si="337"/>
        <v>0.79939127647423347</v>
      </c>
      <c r="CG197" s="272">
        <f t="shared" si="337"/>
        <v>0.81345412868436962</v>
      </c>
      <c r="CH197" s="272">
        <f t="shared" si="337"/>
        <v>0.82781227226854126</v>
      </c>
      <c r="CI197" s="272">
        <f t="shared" si="337"/>
        <v>0.84246213016331317</v>
      </c>
      <c r="CJ197" s="272">
        <f t="shared" si="337"/>
        <v>0.85744077832596199</v>
      </c>
      <c r="CK197" s="272">
        <f t="shared" si="337"/>
        <v>0.87272470756668885</v>
      </c>
      <c r="CL197" s="272">
        <f t="shared" si="337"/>
        <v>0.88833106927132754</v>
      </c>
      <c r="CM197" s="272">
        <f t="shared" si="337"/>
        <v>0.90425693417434905</v>
      </c>
      <c r="CN197" s="272">
        <f t="shared" si="337"/>
        <v>0.92051979312602938</v>
      </c>
      <c r="CO197" s="272">
        <f t="shared" si="337"/>
        <v>0.93714743700504444</v>
      </c>
      <c r="CP197" s="272">
        <f t="shared" si="337"/>
        <v>0.95411721577877784</v>
      </c>
      <c r="CQ197" s="23" t="s">
        <v>77</v>
      </c>
    </row>
    <row r="198" spans="2:95" hidden="1" outlineLevel="1" x14ac:dyDescent="0.2">
      <c r="B198" s="1" t="s">
        <v>327</v>
      </c>
      <c r="D198" s="3"/>
      <c r="E198" s="3"/>
      <c r="F198" s="3">
        <f>SUM(F192:F197)</f>
        <v>0</v>
      </c>
      <c r="G198" s="3">
        <f>SUM(G192:G197)</f>
        <v>0</v>
      </c>
      <c r="H198" s="3">
        <f>SUM(H192:H197)</f>
        <v>0</v>
      </c>
      <c r="I198" s="3">
        <f>SUM(I192:I197)</f>
        <v>0</v>
      </c>
      <c r="J198" s="3">
        <f>SUM(J192:J197)</f>
        <v>0</v>
      </c>
      <c r="K198" s="3"/>
      <c r="L198" s="3"/>
      <c r="M198" s="3">
        <f t="shared" ref="M198:U198" si="338">SUM(M192:M197)</f>
        <v>0</v>
      </c>
      <c r="N198" s="3">
        <f t="shared" si="338"/>
        <v>0</v>
      </c>
      <c r="O198" s="3">
        <f t="shared" si="338"/>
        <v>0</v>
      </c>
      <c r="P198" s="3">
        <f t="shared" si="338"/>
        <v>0</v>
      </c>
      <c r="Q198" s="3">
        <f t="shared" si="338"/>
        <v>26.361000000000004</v>
      </c>
      <c r="R198" s="3">
        <f t="shared" si="338"/>
        <v>30.365000000000002</v>
      </c>
      <c r="S198" s="33">
        <f t="shared" si="338"/>
        <v>29.358000000000001</v>
      </c>
      <c r="T198" s="33">
        <f t="shared" si="338"/>
        <v>30.741</v>
      </c>
      <c r="U198" s="33">
        <f t="shared" si="338"/>
        <v>29.456000000000003</v>
      </c>
      <c r="V198" s="33">
        <f>SUM(V193:V197)</f>
        <v>27.535532190047793</v>
      </c>
      <c r="W198" s="33">
        <f t="shared" ref="W198:BD198" si="339">SUM(W193:W197)</f>
        <v>20.061</v>
      </c>
      <c r="X198" s="33">
        <f t="shared" si="339"/>
        <v>21.806000000000001</v>
      </c>
      <c r="Y198" s="33">
        <f t="shared" si="339"/>
        <v>23.010999999999999</v>
      </c>
      <c r="Z198" s="33">
        <f t="shared" si="339"/>
        <v>21.191000000000003</v>
      </c>
      <c r="AA198" s="33">
        <f t="shared" si="339"/>
        <v>22.066000000000003</v>
      </c>
      <c r="AB198" s="33">
        <f t="shared" si="339"/>
        <v>23.75299335923598</v>
      </c>
      <c r="AC198" s="33">
        <f t="shared" si="339"/>
        <v>24.14756092782957</v>
      </c>
      <c r="AD198" s="33">
        <f t="shared" si="339"/>
        <v>24.549501308111235</v>
      </c>
      <c r="AE198" s="33">
        <f t="shared" si="339"/>
        <v>24.960009289184519</v>
      </c>
      <c r="AF198" s="33">
        <f t="shared" si="339"/>
        <v>25.378253445455194</v>
      </c>
      <c r="AG198" s="33">
        <f t="shared" si="339"/>
        <v>25.806426856843142</v>
      </c>
      <c r="AH198" s="33">
        <f t="shared" si="339"/>
        <v>26.241696589464983</v>
      </c>
      <c r="AI198" s="33">
        <f t="shared" si="339"/>
        <v>26.687274669025605</v>
      </c>
      <c r="AJ198" s="33">
        <f t="shared" si="339"/>
        <v>27.141347318034938</v>
      </c>
      <c r="AK198" s="33">
        <f t="shared" si="339"/>
        <v>27.605125685851011</v>
      </c>
      <c r="AL198" s="33">
        <f t="shared" si="339"/>
        <v>28.078805463618835</v>
      </c>
      <c r="AM198" s="33">
        <f t="shared" si="339"/>
        <v>28.561597371208375</v>
      </c>
      <c r="AN198" s="33">
        <f t="shared" si="339"/>
        <v>29.053717150124701</v>
      </c>
      <c r="AO198" s="33">
        <f t="shared" si="339"/>
        <v>29.557405931786057</v>
      </c>
      <c r="AP198" s="33">
        <f t="shared" si="339"/>
        <v>30.070859490955964</v>
      </c>
      <c r="AQ198" s="33">
        <f t="shared" si="339"/>
        <v>30.595329613339427</v>
      </c>
      <c r="AR198" s="33">
        <f t="shared" si="339"/>
        <v>31.130033106571037</v>
      </c>
      <c r="AS198" s="33">
        <f t="shared" si="339"/>
        <v>31.676232925509154</v>
      </c>
      <c r="AT198" s="33">
        <f t="shared" si="339"/>
        <v>32.234177562017472</v>
      </c>
      <c r="AU198" s="33">
        <f t="shared" si="339"/>
        <v>32.803111307300689</v>
      </c>
      <c r="AV198" s="33">
        <f t="shared" si="339"/>
        <v>33.386314890111088</v>
      </c>
      <c r="AW198" s="33">
        <f t="shared" si="339"/>
        <v>33.979014503863695</v>
      </c>
      <c r="AX198" s="33">
        <f t="shared" si="339"/>
        <v>34.585523693583355</v>
      </c>
      <c r="AY198" s="33">
        <f t="shared" si="339"/>
        <v>35.205111893262924</v>
      </c>
      <c r="AZ198" s="33">
        <f t="shared" si="339"/>
        <v>35.837045078080308</v>
      </c>
      <c r="BA198" s="33">
        <f t="shared" si="339"/>
        <v>36.482636544519899</v>
      </c>
      <c r="BB198" s="33">
        <f t="shared" si="339"/>
        <v>37.142186328206371</v>
      </c>
      <c r="BC198" s="33">
        <f t="shared" si="339"/>
        <v>37.814981370772941</v>
      </c>
      <c r="BD198" s="33">
        <f t="shared" si="339"/>
        <v>38.502366560047058</v>
      </c>
      <c r="BE198" s="33">
        <f t="shared" ref="BE198:CP198" si="340">SUM(BE193:BE197)</f>
        <v>39.20565378727747</v>
      </c>
      <c r="BF198" s="33">
        <f t="shared" si="340"/>
        <v>39.922142374631839</v>
      </c>
      <c r="BG198" s="33">
        <f t="shared" si="340"/>
        <v>40.656230624684788</v>
      </c>
      <c r="BH198" s="33">
        <f t="shared" si="340"/>
        <v>41.403203400205925</v>
      </c>
      <c r="BI198" s="33">
        <f t="shared" si="340"/>
        <v>42.16845504860737</v>
      </c>
      <c r="BJ198" s="33">
        <f t="shared" si="340"/>
        <v>42.948317487572908</v>
      </c>
      <c r="BK198" s="33">
        <f t="shared" si="340"/>
        <v>43.746192021092767</v>
      </c>
      <c r="BL198" s="33">
        <f t="shared" si="340"/>
        <v>44.561438179753125</v>
      </c>
      <c r="BM198" s="33">
        <f t="shared" si="340"/>
        <v>45.394465049758161</v>
      </c>
      <c r="BN198" s="33">
        <f t="shared" si="340"/>
        <v>46.244640371580211</v>
      </c>
      <c r="BO198" s="33">
        <f t="shared" si="340"/>
        <v>47.113392003390835</v>
      </c>
      <c r="BP198" s="33">
        <f t="shared" si="340"/>
        <v>48.001137278554289</v>
      </c>
      <c r="BQ198" s="33">
        <f t="shared" si="340"/>
        <v>48.908303486251356</v>
      </c>
      <c r="BR198" s="33">
        <f t="shared" si="340"/>
        <v>49.834317985082464</v>
      </c>
      <c r="BS198" s="33">
        <f t="shared" si="340"/>
        <v>50.781638819113041</v>
      </c>
      <c r="BT198" s="33">
        <f t="shared" si="340"/>
        <v>51.749734718786343</v>
      </c>
      <c r="BU198" s="33">
        <f t="shared" si="340"/>
        <v>52.738044859413066</v>
      </c>
      <c r="BV198" s="33">
        <f t="shared" si="340"/>
        <v>53.748070240230945</v>
      </c>
      <c r="BW198" s="33">
        <f t="shared" si="340"/>
        <v>54.780303082668318</v>
      </c>
      <c r="BX198" s="33">
        <f t="shared" si="340"/>
        <v>55.836257476902539</v>
      </c>
      <c r="BY198" s="33">
        <f t="shared" si="340"/>
        <v>56.913419041444854</v>
      </c>
      <c r="BZ198" s="33">
        <f t="shared" si="340"/>
        <v>58.015346452279857</v>
      </c>
      <c r="CA198" s="33">
        <f t="shared" si="340"/>
        <v>59.140560370877118</v>
      </c>
      <c r="CB198" s="33">
        <f t="shared" si="340"/>
        <v>60.292634863031928</v>
      </c>
      <c r="CC198" s="33">
        <f t="shared" si="340"/>
        <v>61.468116713670618</v>
      </c>
      <c r="CD198" s="33">
        <f t="shared" si="340"/>
        <v>62.669586487684356</v>
      </c>
      <c r="CE198" s="33">
        <f t="shared" si="340"/>
        <v>63.89866897735638</v>
      </c>
      <c r="CF198" s="33">
        <f t="shared" si="340"/>
        <v>65.153932291422535</v>
      </c>
      <c r="CG198" s="33">
        <f t="shared" si="340"/>
        <v>66.437029932601845</v>
      </c>
      <c r="CH198" s="33">
        <f t="shared" si="340"/>
        <v>67.749589778473279</v>
      </c>
      <c r="CI198" s="33">
        <f t="shared" si="340"/>
        <v>69.090254933494322</v>
      </c>
      <c r="CJ198" s="33">
        <f t="shared" si="340"/>
        <v>70.461724589509004</v>
      </c>
      <c r="CK198" s="33">
        <f t="shared" si="340"/>
        <v>71.863653156287114</v>
      </c>
      <c r="CL198" s="33">
        <f t="shared" si="340"/>
        <v>73.295751884764599</v>
      </c>
      <c r="CM198" s="33">
        <f t="shared" si="340"/>
        <v>74.759728512355395</v>
      </c>
      <c r="CN198" s="33">
        <f t="shared" si="340"/>
        <v>76.256328159494387</v>
      </c>
      <c r="CO198" s="33">
        <f t="shared" si="340"/>
        <v>77.787323614783304</v>
      </c>
      <c r="CP198" s="33">
        <f t="shared" si="340"/>
        <v>79.352455008967951</v>
      </c>
      <c r="CQ198" s="23" t="s">
        <v>77</v>
      </c>
    </row>
    <row r="199" spans="2:95" hidden="1" outlineLevel="1" x14ac:dyDescent="0.2">
      <c r="B199" s="1" t="s">
        <v>329</v>
      </c>
      <c r="D199" s="3"/>
      <c r="E199" s="3"/>
      <c r="F199" s="3">
        <f>SUM(F195:F198)</f>
        <v>0</v>
      </c>
      <c r="G199" s="3">
        <f>SUM(G195:G198)</f>
        <v>0</v>
      </c>
      <c r="H199" s="3">
        <f>SUM(H195:H198)</f>
        <v>0</v>
      </c>
      <c r="I199" s="3">
        <f>SUM(I195:I198)</f>
        <v>0</v>
      </c>
      <c r="J199" s="3">
        <f>SUM(J195:J198)</f>
        <v>0</v>
      </c>
      <c r="K199" s="3"/>
      <c r="L199" s="3"/>
      <c r="M199" s="3"/>
      <c r="N199" s="3"/>
      <c r="O199" s="3"/>
      <c r="P199" s="3"/>
      <c r="Q199" s="3">
        <v>27.8</v>
      </c>
      <c r="R199" s="3">
        <v>28.6</v>
      </c>
      <c r="S199" s="33">
        <v>29.3</v>
      </c>
      <c r="T199" s="33">
        <v>29.5</v>
      </c>
      <c r="U199" s="4">
        <v>29.5</v>
      </c>
      <c r="V199" s="230">
        <f>+V198</f>
        <v>27.535532190047793</v>
      </c>
      <c r="W199" s="230">
        <v>22.2</v>
      </c>
      <c r="X199" s="230">
        <v>22.4</v>
      </c>
      <c r="Y199" s="230">
        <v>22.5</v>
      </c>
      <c r="Z199" s="230">
        <v>22.8</v>
      </c>
      <c r="AA199" s="230">
        <v>22.9</v>
      </c>
      <c r="AB199" s="33">
        <f t="shared" ref="AB199:BD199" si="341">+AB198</f>
        <v>23.75299335923598</v>
      </c>
      <c r="AC199" s="33">
        <f t="shared" si="341"/>
        <v>24.14756092782957</v>
      </c>
      <c r="AD199" s="33">
        <f t="shared" si="341"/>
        <v>24.549501308111235</v>
      </c>
      <c r="AE199" s="33">
        <f t="shared" si="341"/>
        <v>24.960009289184519</v>
      </c>
      <c r="AF199" s="33">
        <f t="shared" si="341"/>
        <v>25.378253445455194</v>
      </c>
      <c r="AG199" s="33">
        <f t="shared" si="341"/>
        <v>25.806426856843142</v>
      </c>
      <c r="AH199" s="33">
        <f t="shared" si="341"/>
        <v>26.241696589464983</v>
      </c>
      <c r="AI199" s="33">
        <f t="shared" si="341"/>
        <v>26.687274669025605</v>
      </c>
      <c r="AJ199" s="33">
        <f t="shared" si="341"/>
        <v>27.141347318034938</v>
      </c>
      <c r="AK199" s="33">
        <f t="shared" si="341"/>
        <v>27.605125685851011</v>
      </c>
      <c r="AL199" s="33">
        <f t="shared" si="341"/>
        <v>28.078805463618835</v>
      </c>
      <c r="AM199" s="33">
        <f t="shared" si="341"/>
        <v>28.561597371208375</v>
      </c>
      <c r="AN199" s="33">
        <f t="shared" si="341"/>
        <v>29.053717150124701</v>
      </c>
      <c r="AO199" s="33">
        <f t="shared" si="341"/>
        <v>29.557405931786057</v>
      </c>
      <c r="AP199" s="33">
        <f t="shared" si="341"/>
        <v>30.070859490955964</v>
      </c>
      <c r="AQ199" s="33">
        <f t="shared" si="341"/>
        <v>30.595329613339427</v>
      </c>
      <c r="AR199" s="33">
        <f t="shared" si="341"/>
        <v>31.130033106571037</v>
      </c>
      <c r="AS199" s="33">
        <f t="shared" si="341"/>
        <v>31.676232925509154</v>
      </c>
      <c r="AT199" s="33">
        <f t="shared" si="341"/>
        <v>32.234177562017472</v>
      </c>
      <c r="AU199" s="33">
        <f t="shared" si="341"/>
        <v>32.803111307300689</v>
      </c>
      <c r="AV199" s="33">
        <f t="shared" si="341"/>
        <v>33.386314890111088</v>
      </c>
      <c r="AW199" s="33">
        <f t="shared" si="341"/>
        <v>33.979014503863695</v>
      </c>
      <c r="AX199" s="33">
        <f t="shared" si="341"/>
        <v>34.585523693583355</v>
      </c>
      <c r="AY199" s="33">
        <f t="shared" si="341"/>
        <v>35.205111893262924</v>
      </c>
      <c r="AZ199" s="33">
        <f t="shared" si="341"/>
        <v>35.837045078080308</v>
      </c>
      <c r="BA199" s="33">
        <f t="shared" si="341"/>
        <v>36.482636544519899</v>
      </c>
      <c r="BB199" s="33">
        <f t="shared" si="341"/>
        <v>37.142186328206371</v>
      </c>
      <c r="BC199" s="33">
        <f t="shared" si="341"/>
        <v>37.814981370772941</v>
      </c>
      <c r="BD199" s="33">
        <f t="shared" si="341"/>
        <v>38.502366560047058</v>
      </c>
      <c r="BE199" s="33">
        <f t="shared" ref="BE199:CP199" si="342">+BE198</f>
        <v>39.20565378727747</v>
      </c>
      <c r="BF199" s="33">
        <f t="shared" si="342"/>
        <v>39.922142374631839</v>
      </c>
      <c r="BG199" s="33">
        <f t="shared" si="342"/>
        <v>40.656230624684788</v>
      </c>
      <c r="BH199" s="33">
        <f t="shared" si="342"/>
        <v>41.403203400205925</v>
      </c>
      <c r="BI199" s="33">
        <f t="shared" si="342"/>
        <v>42.16845504860737</v>
      </c>
      <c r="BJ199" s="33">
        <f t="shared" si="342"/>
        <v>42.948317487572908</v>
      </c>
      <c r="BK199" s="33">
        <f t="shared" si="342"/>
        <v>43.746192021092767</v>
      </c>
      <c r="BL199" s="33">
        <f t="shared" si="342"/>
        <v>44.561438179753125</v>
      </c>
      <c r="BM199" s="33">
        <f t="shared" si="342"/>
        <v>45.394465049758161</v>
      </c>
      <c r="BN199" s="33">
        <f t="shared" si="342"/>
        <v>46.244640371580211</v>
      </c>
      <c r="BO199" s="33">
        <f t="shared" si="342"/>
        <v>47.113392003390835</v>
      </c>
      <c r="BP199" s="33">
        <f t="shared" si="342"/>
        <v>48.001137278554289</v>
      </c>
      <c r="BQ199" s="33">
        <f t="shared" si="342"/>
        <v>48.908303486251356</v>
      </c>
      <c r="BR199" s="33">
        <f t="shared" si="342"/>
        <v>49.834317985082464</v>
      </c>
      <c r="BS199" s="33">
        <f t="shared" si="342"/>
        <v>50.781638819113041</v>
      </c>
      <c r="BT199" s="33">
        <f t="shared" si="342"/>
        <v>51.749734718786343</v>
      </c>
      <c r="BU199" s="33">
        <f t="shared" si="342"/>
        <v>52.738044859413066</v>
      </c>
      <c r="BV199" s="33">
        <f t="shared" si="342"/>
        <v>53.748070240230945</v>
      </c>
      <c r="BW199" s="33">
        <f t="shared" si="342"/>
        <v>54.780303082668318</v>
      </c>
      <c r="BX199" s="33">
        <f t="shared" si="342"/>
        <v>55.836257476902539</v>
      </c>
      <c r="BY199" s="33">
        <f t="shared" si="342"/>
        <v>56.913419041444854</v>
      </c>
      <c r="BZ199" s="33">
        <f t="shared" si="342"/>
        <v>58.015346452279857</v>
      </c>
      <c r="CA199" s="33">
        <f t="shared" si="342"/>
        <v>59.140560370877118</v>
      </c>
      <c r="CB199" s="33">
        <f t="shared" si="342"/>
        <v>60.292634863031928</v>
      </c>
      <c r="CC199" s="33">
        <f t="shared" si="342"/>
        <v>61.468116713670618</v>
      </c>
      <c r="CD199" s="33">
        <f t="shared" si="342"/>
        <v>62.669586487684356</v>
      </c>
      <c r="CE199" s="33">
        <f t="shared" si="342"/>
        <v>63.89866897735638</v>
      </c>
      <c r="CF199" s="33">
        <f t="shared" si="342"/>
        <v>65.153932291422535</v>
      </c>
      <c r="CG199" s="33">
        <f t="shared" si="342"/>
        <v>66.437029932601845</v>
      </c>
      <c r="CH199" s="33">
        <f t="shared" si="342"/>
        <v>67.749589778473279</v>
      </c>
      <c r="CI199" s="33">
        <f t="shared" si="342"/>
        <v>69.090254933494322</v>
      </c>
      <c r="CJ199" s="33">
        <f t="shared" si="342"/>
        <v>70.461724589509004</v>
      </c>
      <c r="CK199" s="33">
        <f t="shared" si="342"/>
        <v>71.863653156287114</v>
      </c>
      <c r="CL199" s="33">
        <f t="shared" si="342"/>
        <v>73.295751884764599</v>
      </c>
      <c r="CM199" s="33">
        <f t="shared" si="342"/>
        <v>74.759728512355395</v>
      </c>
      <c r="CN199" s="33">
        <f t="shared" si="342"/>
        <v>76.256328159494387</v>
      </c>
      <c r="CO199" s="33">
        <f t="shared" si="342"/>
        <v>77.787323614783304</v>
      </c>
      <c r="CP199" s="33">
        <f t="shared" si="342"/>
        <v>79.352455008967951</v>
      </c>
      <c r="CQ199" s="23" t="s">
        <v>77</v>
      </c>
    </row>
    <row r="200" spans="2:95" hidden="1" outlineLevel="1" x14ac:dyDescent="0.2">
      <c r="B200" s="1" t="s">
        <v>330</v>
      </c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8">
        <v>0</v>
      </c>
      <c r="R200" s="38">
        <v>0</v>
      </c>
      <c r="S200" s="38">
        <v>0</v>
      </c>
      <c r="T200" s="38">
        <v>0</v>
      </c>
      <c r="U200" s="31">
        <v>0</v>
      </c>
      <c r="V200" s="33"/>
      <c r="W200" s="33"/>
      <c r="X200" s="33"/>
      <c r="Y200" s="33"/>
      <c r="Z200" s="33"/>
      <c r="AA200" s="33"/>
      <c r="AB200" s="33"/>
      <c r="AC200" s="33"/>
      <c r="AD200" s="33"/>
      <c r="AE200" s="33"/>
      <c r="AF200" s="33"/>
      <c r="AG200" s="33"/>
      <c r="AH200" s="33"/>
      <c r="AI200" s="33"/>
      <c r="AJ200" s="33"/>
      <c r="AK200" s="33"/>
      <c r="AL200" s="33"/>
      <c r="AM200" s="33"/>
      <c r="AN200" s="33"/>
      <c r="AO200" s="33"/>
      <c r="AP200" s="33"/>
      <c r="AQ200" s="33"/>
      <c r="AR200" s="33"/>
      <c r="AS200" s="33"/>
      <c r="AT200" s="33"/>
      <c r="AU200" s="33"/>
      <c r="AV200" s="33"/>
      <c r="AW200" s="33"/>
      <c r="AX200" s="33"/>
      <c r="AY200" s="33"/>
      <c r="AZ200" s="33"/>
      <c r="BA200" s="33"/>
      <c r="BB200" s="33"/>
      <c r="BC200" s="33"/>
      <c r="BD200" s="33"/>
      <c r="BE200" s="33"/>
      <c r="BF200" s="33"/>
      <c r="BG200" s="33"/>
      <c r="BH200" s="33"/>
      <c r="BI200" s="33"/>
      <c r="BJ200" s="33"/>
      <c r="BK200" s="33"/>
      <c r="BL200" s="33"/>
      <c r="BM200" s="33"/>
      <c r="BN200" s="33"/>
      <c r="BO200" s="33"/>
      <c r="BP200" s="33"/>
      <c r="BQ200" s="33"/>
      <c r="BR200" s="33"/>
      <c r="BS200" s="33"/>
      <c r="BT200" s="33"/>
      <c r="BU200" s="33"/>
      <c r="BV200" s="33"/>
      <c r="BW200" s="33"/>
      <c r="BX200" s="33"/>
      <c r="BY200" s="33"/>
      <c r="BZ200" s="33"/>
      <c r="CA200" s="33"/>
      <c r="CB200" s="33"/>
      <c r="CC200" s="33"/>
      <c r="CD200" s="33"/>
      <c r="CE200" s="33"/>
      <c r="CF200" s="33"/>
      <c r="CG200" s="33"/>
      <c r="CH200" s="33"/>
      <c r="CI200" s="33"/>
      <c r="CJ200" s="33"/>
      <c r="CK200" s="33"/>
      <c r="CL200" s="33"/>
      <c r="CM200" s="33"/>
      <c r="CN200" s="33"/>
      <c r="CO200" s="33"/>
      <c r="CP200" s="33"/>
      <c r="CQ200" s="23" t="s">
        <v>77</v>
      </c>
    </row>
    <row r="201" spans="2:95" hidden="1" outlineLevel="1" x14ac:dyDescent="0.2">
      <c r="CQ201" s="23" t="s">
        <v>77</v>
      </c>
    </row>
    <row r="202" spans="2:95" hidden="1" outlineLevel="1" x14ac:dyDescent="0.2">
      <c r="B202" s="358" t="s">
        <v>321</v>
      </c>
      <c r="D202" s="66"/>
      <c r="E202" s="66"/>
      <c r="F202" s="66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  <c r="Y202" s="66"/>
      <c r="Z202" s="66"/>
      <c r="AA202" s="66"/>
      <c r="AB202" s="66"/>
      <c r="AC202" s="66"/>
      <c r="AD202" s="66"/>
      <c r="AE202" s="66"/>
      <c r="AF202" s="66"/>
      <c r="AG202" s="66"/>
      <c r="AH202" s="66"/>
      <c r="AI202" s="66"/>
      <c r="AJ202" s="66"/>
      <c r="AK202" s="66"/>
      <c r="AL202" s="66"/>
      <c r="AM202" s="66"/>
      <c r="AN202" s="66"/>
      <c r="AO202" s="66"/>
      <c r="AP202" s="66"/>
      <c r="AQ202" s="66"/>
      <c r="AR202" s="66"/>
      <c r="AS202" s="66"/>
      <c r="AT202" s="66"/>
      <c r="AU202" s="66"/>
      <c r="AV202" s="66"/>
      <c r="AW202" s="66"/>
      <c r="AX202" s="66"/>
      <c r="AY202" s="66"/>
      <c r="AZ202" s="66"/>
      <c r="BA202" s="66"/>
      <c r="BB202" s="66"/>
      <c r="BC202" s="66"/>
      <c r="BD202" s="66"/>
      <c r="BE202" s="66"/>
      <c r="BF202" s="66"/>
      <c r="BG202" s="66"/>
      <c r="BH202" s="66"/>
      <c r="BI202" s="66"/>
      <c r="BJ202" s="66"/>
      <c r="BK202" s="66"/>
      <c r="BL202" s="66"/>
      <c r="BM202" s="66"/>
      <c r="BN202" s="66"/>
      <c r="BO202" s="66"/>
      <c r="BP202" s="66"/>
      <c r="BQ202" s="66"/>
      <c r="BR202" s="66"/>
      <c r="BS202" s="66"/>
      <c r="BT202" s="66"/>
      <c r="BU202" s="66"/>
      <c r="BV202" s="66"/>
      <c r="BW202" s="66"/>
      <c r="BX202" s="66"/>
      <c r="BY202" s="66"/>
      <c r="BZ202" s="66"/>
      <c r="CA202" s="66"/>
      <c r="CB202" s="66"/>
      <c r="CC202" s="66"/>
      <c r="CD202" s="66"/>
      <c r="CE202" s="66"/>
      <c r="CF202" s="66"/>
      <c r="CG202" s="66"/>
      <c r="CH202" s="66"/>
      <c r="CI202" s="66"/>
      <c r="CJ202" s="66"/>
      <c r="CK202" s="66"/>
      <c r="CL202" s="66"/>
      <c r="CM202" s="66"/>
      <c r="CN202" s="66"/>
      <c r="CO202" s="66"/>
      <c r="CP202" s="66"/>
      <c r="CQ202" s="23" t="s">
        <v>77</v>
      </c>
    </row>
    <row r="203" spans="2:95" hidden="1" outlineLevel="1" x14ac:dyDescent="0.2">
      <c r="B203" s="7" t="s">
        <v>321</v>
      </c>
      <c r="D203" s="530"/>
      <c r="E203" s="530"/>
      <c r="F203" s="530"/>
      <c r="G203" s="530" t="e">
        <f>+#REF!/#REF!-1</f>
        <v>#REF!</v>
      </c>
      <c r="H203" s="530" t="e">
        <f>+#REF!/#REF!-1</f>
        <v>#REF!</v>
      </c>
      <c r="I203" s="530" t="e">
        <f>+#REF!/#REF!-1</f>
        <v>#REF!</v>
      </c>
      <c r="J203" s="530" t="e">
        <f>+#REF!/#REF!-1</f>
        <v>#REF!</v>
      </c>
      <c r="L203" s="530">
        <f t="shared" ref="L203:X203" si="343">+L168</f>
        <v>0</v>
      </c>
      <c r="M203" s="530">
        <f t="shared" si="343"/>
        <v>0</v>
      </c>
      <c r="N203" s="530">
        <f t="shared" si="343"/>
        <v>0</v>
      </c>
      <c r="O203" s="530">
        <f t="shared" si="343"/>
        <v>0</v>
      </c>
      <c r="P203" s="530">
        <f t="shared" si="343"/>
        <v>0</v>
      </c>
      <c r="Q203" s="530">
        <f t="shared" si="343"/>
        <v>2.5499999999999998E-2</v>
      </c>
      <c r="R203" s="530">
        <f t="shared" si="343"/>
        <v>2.5499999999999998E-2</v>
      </c>
      <c r="S203" s="530">
        <f t="shared" si="343"/>
        <v>2.5499999999999998E-2</v>
      </c>
      <c r="T203" s="530">
        <f t="shared" si="343"/>
        <v>2.5499999999999998E-2</v>
      </c>
      <c r="U203" s="530">
        <f t="shared" si="343"/>
        <v>2.5499999999999998E-2</v>
      </c>
      <c r="V203" s="530">
        <f t="shared" si="343"/>
        <v>2.5000000000000001E-2</v>
      </c>
      <c r="W203" s="530">
        <f t="shared" si="343"/>
        <v>2.3900000000000001E-2</v>
      </c>
      <c r="X203" s="530">
        <f t="shared" si="343"/>
        <v>2.3900000000000001E-2</v>
      </c>
      <c r="Y203" s="530">
        <f t="shared" ref="Y203:BD203" si="344">+Y168</f>
        <v>2.3900000000000001E-2</v>
      </c>
      <c r="Z203" s="530">
        <f t="shared" si="344"/>
        <v>2.3900000000000001E-2</v>
      </c>
      <c r="AA203" s="530">
        <f t="shared" si="344"/>
        <v>2.3900000000000001E-2</v>
      </c>
      <c r="AB203" s="530">
        <f t="shared" si="344"/>
        <v>2.3900000000000001E-2</v>
      </c>
      <c r="AC203" s="530">
        <f t="shared" si="344"/>
        <v>2.3900000000000001E-2</v>
      </c>
      <c r="AD203" s="530">
        <f t="shared" si="344"/>
        <v>2.3900000000000001E-2</v>
      </c>
      <c r="AE203" s="530">
        <f t="shared" si="344"/>
        <v>2.3900000000000001E-2</v>
      </c>
      <c r="AF203" s="530">
        <f t="shared" si="344"/>
        <v>2.3900000000000001E-2</v>
      </c>
      <c r="AG203" s="530">
        <f t="shared" si="344"/>
        <v>2.3900000000000001E-2</v>
      </c>
      <c r="AH203" s="530">
        <f t="shared" si="344"/>
        <v>2.3900000000000001E-2</v>
      </c>
      <c r="AI203" s="530">
        <f t="shared" si="344"/>
        <v>2.3900000000000001E-2</v>
      </c>
      <c r="AJ203" s="530">
        <f t="shared" si="344"/>
        <v>2.3900000000000001E-2</v>
      </c>
      <c r="AK203" s="530">
        <f t="shared" si="344"/>
        <v>2.3900000000000001E-2</v>
      </c>
      <c r="AL203" s="530">
        <f t="shared" si="344"/>
        <v>2.3900000000000001E-2</v>
      </c>
      <c r="AM203" s="530">
        <f t="shared" si="344"/>
        <v>2.3900000000000001E-2</v>
      </c>
      <c r="AN203" s="530">
        <f t="shared" si="344"/>
        <v>2.3900000000000001E-2</v>
      </c>
      <c r="AO203" s="530">
        <f t="shared" si="344"/>
        <v>2.3900000000000001E-2</v>
      </c>
      <c r="AP203" s="530">
        <f t="shared" si="344"/>
        <v>2.3900000000000001E-2</v>
      </c>
      <c r="AQ203" s="530">
        <f t="shared" si="344"/>
        <v>2.3900000000000001E-2</v>
      </c>
      <c r="AR203" s="530">
        <f t="shared" si="344"/>
        <v>2.3900000000000001E-2</v>
      </c>
      <c r="AS203" s="530">
        <f t="shared" si="344"/>
        <v>2.3900000000000001E-2</v>
      </c>
      <c r="AT203" s="530">
        <f t="shared" si="344"/>
        <v>2.3900000000000001E-2</v>
      </c>
      <c r="AU203" s="530">
        <f t="shared" si="344"/>
        <v>2.3900000000000001E-2</v>
      </c>
      <c r="AV203" s="530">
        <f t="shared" si="344"/>
        <v>2.3900000000000001E-2</v>
      </c>
      <c r="AW203" s="530">
        <f t="shared" si="344"/>
        <v>2.3900000000000001E-2</v>
      </c>
      <c r="AX203" s="530">
        <f t="shared" si="344"/>
        <v>2.3900000000000001E-2</v>
      </c>
      <c r="AY203" s="530">
        <f t="shared" si="344"/>
        <v>2.3900000000000001E-2</v>
      </c>
      <c r="AZ203" s="530">
        <f t="shared" si="344"/>
        <v>2.3900000000000001E-2</v>
      </c>
      <c r="BA203" s="530">
        <f t="shared" si="344"/>
        <v>2.3900000000000001E-2</v>
      </c>
      <c r="BB203" s="530">
        <f t="shared" si="344"/>
        <v>2.3900000000000001E-2</v>
      </c>
      <c r="BC203" s="530">
        <f t="shared" si="344"/>
        <v>2.3900000000000001E-2</v>
      </c>
      <c r="BD203" s="530">
        <f t="shared" si="344"/>
        <v>2.3900000000000001E-2</v>
      </c>
      <c r="BE203" s="530">
        <f t="shared" ref="BE203:CP203" si="345">+BE168</f>
        <v>2.3900000000000001E-2</v>
      </c>
      <c r="BF203" s="530">
        <f t="shared" si="345"/>
        <v>2.3900000000000001E-2</v>
      </c>
      <c r="BG203" s="530">
        <f t="shared" si="345"/>
        <v>2.3900000000000001E-2</v>
      </c>
      <c r="BH203" s="530">
        <f t="shared" si="345"/>
        <v>2.3900000000000001E-2</v>
      </c>
      <c r="BI203" s="530">
        <f t="shared" si="345"/>
        <v>2.3900000000000001E-2</v>
      </c>
      <c r="BJ203" s="530">
        <f t="shared" si="345"/>
        <v>2.3900000000000001E-2</v>
      </c>
      <c r="BK203" s="530">
        <f t="shared" si="345"/>
        <v>2.3900000000000001E-2</v>
      </c>
      <c r="BL203" s="530">
        <f t="shared" si="345"/>
        <v>2.3900000000000001E-2</v>
      </c>
      <c r="BM203" s="530">
        <f t="shared" si="345"/>
        <v>2.3900000000000001E-2</v>
      </c>
      <c r="BN203" s="530">
        <f t="shared" si="345"/>
        <v>2.3900000000000001E-2</v>
      </c>
      <c r="BO203" s="530">
        <f t="shared" si="345"/>
        <v>2.3900000000000001E-2</v>
      </c>
      <c r="BP203" s="530">
        <f t="shared" si="345"/>
        <v>2.3900000000000001E-2</v>
      </c>
      <c r="BQ203" s="530">
        <f t="shared" si="345"/>
        <v>2.3900000000000001E-2</v>
      </c>
      <c r="BR203" s="530">
        <f t="shared" si="345"/>
        <v>2.3900000000000001E-2</v>
      </c>
      <c r="BS203" s="530">
        <f t="shared" si="345"/>
        <v>2.3900000000000001E-2</v>
      </c>
      <c r="BT203" s="530">
        <f t="shared" si="345"/>
        <v>2.3900000000000001E-2</v>
      </c>
      <c r="BU203" s="530">
        <f t="shared" si="345"/>
        <v>2.3900000000000001E-2</v>
      </c>
      <c r="BV203" s="530">
        <f t="shared" si="345"/>
        <v>2.3900000000000001E-2</v>
      </c>
      <c r="BW203" s="530">
        <f t="shared" si="345"/>
        <v>2.3900000000000001E-2</v>
      </c>
      <c r="BX203" s="530">
        <f t="shared" si="345"/>
        <v>2.3900000000000001E-2</v>
      </c>
      <c r="BY203" s="530">
        <f t="shared" si="345"/>
        <v>2.3900000000000001E-2</v>
      </c>
      <c r="BZ203" s="530">
        <f t="shared" si="345"/>
        <v>2.3900000000000001E-2</v>
      </c>
      <c r="CA203" s="530">
        <f t="shared" si="345"/>
        <v>2.3900000000000001E-2</v>
      </c>
      <c r="CB203" s="530">
        <f t="shared" si="345"/>
        <v>2.3900000000000001E-2</v>
      </c>
      <c r="CC203" s="530">
        <f t="shared" si="345"/>
        <v>2.3900000000000001E-2</v>
      </c>
      <c r="CD203" s="530">
        <f t="shared" si="345"/>
        <v>2.3900000000000001E-2</v>
      </c>
      <c r="CE203" s="530">
        <f t="shared" si="345"/>
        <v>2.3900000000000001E-2</v>
      </c>
      <c r="CF203" s="530">
        <f t="shared" si="345"/>
        <v>2.3900000000000001E-2</v>
      </c>
      <c r="CG203" s="530">
        <f t="shared" si="345"/>
        <v>2.3900000000000001E-2</v>
      </c>
      <c r="CH203" s="530">
        <f t="shared" si="345"/>
        <v>2.3900000000000001E-2</v>
      </c>
      <c r="CI203" s="530">
        <f t="shared" si="345"/>
        <v>2.3900000000000001E-2</v>
      </c>
      <c r="CJ203" s="530">
        <f t="shared" si="345"/>
        <v>2.3900000000000001E-2</v>
      </c>
      <c r="CK203" s="530">
        <f t="shared" si="345"/>
        <v>2.3900000000000001E-2</v>
      </c>
      <c r="CL203" s="530">
        <f t="shared" si="345"/>
        <v>2.3900000000000001E-2</v>
      </c>
      <c r="CM203" s="530">
        <f t="shared" si="345"/>
        <v>2.3900000000000001E-2</v>
      </c>
      <c r="CN203" s="530">
        <f t="shared" si="345"/>
        <v>2.3900000000000001E-2</v>
      </c>
      <c r="CO203" s="530">
        <f t="shared" si="345"/>
        <v>2.3900000000000001E-2</v>
      </c>
      <c r="CP203" s="530">
        <f t="shared" si="345"/>
        <v>2.3900000000000001E-2</v>
      </c>
      <c r="CQ203" s="23" t="s">
        <v>77</v>
      </c>
    </row>
    <row r="204" spans="2:95" hidden="1" outlineLevel="1" x14ac:dyDescent="0.2">
      <c r="B204" s="8" t="s">
        <v>322</v>
      </c>
      <c r="D204" s="9"/>
      <c r="E204" s="9"/>
      <c r="F204" s="9"/>
      <c r="G204" s="9"/>
      <c r="H204" s="9"/>
      <c r="I204" s="9"/>
      <c r="J204" s="9"/>
      <c r="L204" s="531"/>
      <c r="M204" s="447">
        <f>+L204*(1+M203)</f>
        <v>0</v>
      </c>
      <c r="N204" s="447">
        <f>+M204*(1+N203)</f>
        <v>0</v>
      </c>
      <c r="O204" s="447">
        <f>+N204*(1+O203)</f>
        <v>0</v>
      </c>
      <c r="P204" s="531"/>
      <c r="Q204" s="447">
        <f t="shared" ref="Q204:BD204" si="346">+P204*(1+Q203)</f>
        <v>0</v>
      </c>
      <c r="R204" s="447">
        <f t="shared" si="346"/>
        <v>0</v>
      </c>
      <c r="S204" s="68">
        <f t="shared" si="346"/>
        <v>0</v>
      </c>
      <c r="T204" s="68">
        <f t="shared" si="346"/>
        <v>0</v>
      </c>
      <c r="U204" s="32">
        <f t="shared" si="346"/>
        <v>0</v>
      </c>
      <c r="V204" s="69">
        <f t="shared" si="346"/>
        <v>0</v>
      </c>
      <c r="W204" s="69">
        <f t="shared" si="346"/>
        <v>0</v>
      </c>
      <c r="X204" s="69">
        <f t="shared" si="346"/>
        <v>0</v>
      </c>
      <c r="Y204" s="69">
        <f t="shared" si="346"/>
        <v>0</v>
      </c>
      <c r="Z204" s="69">
        <f t="shared" si="346"/>
        <v>0</v>
      </c>
      <c r="AA204" s="69">
        <f t="shared" si="346"/>
        <v>0</v>
      </c>
      <c r="AB204" s="69">
        <f t="shared" si="346"/>
        <v>0</v>
      </c>
      <c r="AC204" s="69">
        <f t="shared" si="346"/>
        <v>0</v>
      </c>
      <c r="AD204" s="69">
        <f t="shared" si="346"/>
        <v>0</v>
      </c>
      <c r="AE204" s="69">
        <f t="shared" si="346"/>
        <v>0</v>
      </c>
      <c r="AF204" s="69">
        <f t="shared" si="346"/>
        <v>0</v>
      </c>
      <c r="AG204" s="69">
        <f t="shared" si="346"/>
        <v>0</v>
      </c>
      <c r="AH204" s="69">
        <f t="shared" si="346"/>
        <v>0</v>
      </c>
      <c r="AI204" s="69">
        <f t="shared" si="346"/>
        <v>0</v>
      </c>
      <c r="AJ204" s="69">
        <f t="shared" si="346"/>
        <v>0</v>
      </c>
      <c r="AK204" s="69">
        <f t="shared" si="346"/>
        <v>0</v>
      </c>
      <c r="AL204" s="69">
        <f t="shared" si="346"/>
        <v>0</v>
      </c>
      <c r="AM204" s="69">
        <f t="shared" si="346"/>
        <v>0</v>
      </c>
      <c r="AN204" s="69">
        <f t="shared" si="346"/>
        <v>0</v>
      </c>
      <c r="AO204" s="69">
        <f t="shared" si="346"/>
        <v>0</v>
      </c>
      <c r="AP204" s="69">
        <f t="shared" si="346"/>
        <v>0</v>
      </c>
      <c r="AQ204" s="69">
        <f t="shared" si="346"/>
        <v>0</v>
      </c>
      <c r="AR204" s="69">
        <f t="shared" si="346"/>
        <v>0</v>
      </c>
      <c r="AS204" s="69">
        <f t="shared" si="346"/>
        <v>0</v>
      </c>
      <c r="AT204" s="69">
        <f t="shared" si="346"/>
        <v>0</v>
      </c>
      <c r="AU204" s="69">
        <f t="shared" si="346"/>
        <v>0</v>
      </c>
      <c r="AV204" s="69">
        <f t="shared" si="346"/>
        <v>0</v>
      </c>
      <c r="AW204" s="69">
        <f t="shared" si="346"/>
        <v>0</v>
      </c>
      <c r="AX204" s="69">
        <f t="shared" si="346"/>
        <v>0</v>
      </c>
      <c r="AY204" s="69">
        <f t="shared" si="346"/>
        <v>0</v>
      </c>
      <c r="AZ204" s="69">
        <f t="shared" si="346"/>
        <v>0</v>
      </c>
      <c r="BA204" s="69">
        <f t="shared" si="346"/>
        <v>0</v>
      </c>
      <c r="BB204" s="69">
        <f t="shared" si="346"/>
        <v>0</v>
      </c>
      <c r="BC204" s="69">
        <f t="shared" si="346"/>
        <v>0</v>
      </c>
      <c r="BD204" s="69">
        <f t="shared" si="346"/>
        <v>0</v>
      </c>
      <c r="BE204" s="69">
        <f t="shared" ref="BE204:CP204" si="347">+BD204*(1+BE203)</f>
        <v>0</v>
      </c>
      <c r="BF204" s="69">
        <f t="shared" si="347"/>
        <v>0</v>
      </c>
      <c r="BG204" s="69">
        <f t="shared" si="347"/>
        <v>0</v>
      </c>
      <c r="BH204" s="69">
        <f t="shared" si="347"/>
        <v>0</v>
      </c>
      <c r="BI204" s="69">
        <f t="shared" si="347"/>
        <v>0</v>
      </c>
      <c r="BJ204" s="69">
        <f t="shared" si="347"/>
        <v>0</v>
      </c>
      <c r="BK204" s="69">
        <f t="shared" si="347"/>
        <v>0</v>
      </c>
      <c r="BL204" s="69">
        <f t="shared" si="347"/>
        <v>0</v>
      </c>
      <c r="BM204" s="69">
        <f t="shared" si="347"/>
        <v>0</v>
      </c>
      <c r="BN204" s="69">
        <f t="shared" si="347"/>
        <v>0</v>
      </c>
      <c r="BO204" s="69">
        <f t="shared" si="347"/>
        <v>0</v>
      </c>
      <c r="BP204" s="69">
        <f t="shared" si="347"/>
        <v>0</v>
      </c>
      <c r="BQ204" s="69">
        <f t="shared" si="347"/>
        <v>0</v>
      </c>
      <c r="BR204" s="69">
        <f t="shared" si="347"/>
        <v>0</v>
      </c>
      <c r="BS204" s="69">
        <f t="shared" si="347"/>
        <v>0</v>
      </c>
      <c r="BT204" s="69">
        <f t="shared" si="347"/>
        <v>0</v>
      </c>
      <c r="BU204" s="69">
        <f t="shared" si="347"/>
        <v>0</v>
      </c>
      <c r="BV204" s="69">
        <f t="shared" si="347"/>
        <v>0</v>
      </c>
      <c r="BW204" s="69">
        <f t="shared" si="347"/>
        <v>0</v>
      </c>
      <c r="BX204" s="69">
        <f t="shared" si="347"/>
        <v>0</v>
      </c>
      <c r="BY204" s="69">
        <f t="shared" si="347"/>
        <v>0</v>
      </c>
      <c r="BZ204" s="69">
        <f t="shared" si="347"/>
        <v>0</v>
      </c>
      <c r="CA204" s="69">
        <f t="shared" si="347"/>
        <v>0</v>
      </c>
      <c r="CB204" s="69">
        <f t="shared" si="347"/>
        <v>0</v>
      </c>
      <c r="CC204" s="69">
        <f t="shared" si="347"/>
        <v>0</v>
      </c>
      <c r="CD204" s="69">
        <f t="shared" si="347"/>
        <v>0</v>
      </c>
      <c r="CE204" s="69">
        <f t="shared" si="347"/>
        <v>0</v>
      </c>
      <c r="CF204" s="69">
        <f t="shared" si="347"/>
        <v>0</v>
      </c>
      <c r="CG204" s="69">
        <f t="shared" si="347"/>
        <v>0</v>
      </c>
      <c r="CH204" s="69">
        <f t="shared" si="347"/>
        <v>0</v>
      </c>
      <c r="CI204" s="69">
        <f t="shared" si="347"/>
        <v>0</v>
      </c>
      <c r="CJ204" s="69">
        <f t="shared" si="347"/>
        <v>0</v>
      </c>
      <c r="CK204" s="69">
        <f t="shared" si="347"/>
        <v>0</v>
      </c>
      <c r="CL204" s="69">
        <f t="shared" si="347"/>
        <v>0</v>
      </c>
      <c r="CM204" s="69">
        <f t="shared" si="347"/>
        <v>0</v>
      </c>
      <c r="CN204" s="69">
        <f t="shared" si="347"/>
        <v>0</v>
      </c>
      <c r="CO204" s="69">
        <f t="shared" si="347"/>
        <v>0</v>
      </c>
      <c r="CP204" s="69">
        <f t="shared" si="347"/>
        <v>0</v>
      </c>
      <c r="CQ204" s="23" t="s">
        <v>77</v>
      </c>
    </row>
    <row r="205" spans="2:95" collapsed="1" x14ac:dyDescent="0.2">
      <c r="CQ205" s="23" t="s">
        <v>77</v>
      </c>
    </row>
    <row r="206" spans="2:95" x14ac:dyDescent="0.2">
      <c r="B206" s="728" t="s">
        <v>337</v>
      </c>
      <c r="C206" s="312"/>
      <c r="D206" s="312"/>
      <c r="E206" s="312"/>
      <c r="F206" s="312">
        <f t="shared" ref="F206:CQ206" si="348">Fiscal_Year</f>
        <v>36707</v>
      </c>
      <c r="G206" s="312">
        <f t="shared" si="348"/>
        <v>37072</v>
      </c>
      <c r="H206" s="312">
        <f t="shared" si="348"/>
        <v>37437</v>
      </c>
      <c r="I206" s="312">
        <f t="shared" si="348"/>
        <v>37802</v>
      </c>
      <c r="J206" s="312">
        <f t="shared" si="348"/>
        <v>38168</v>
      </c>
      <c r="K206" s="312">
        <f t="shared" si="348"/>
        <v>38533</v>
      </c>
      <c r="L206" s="312">
        <f t="shared" si="348"/>
        <v>38898</v>
      </c>
      <c r="M206" s="312">
        <f t="shared" si="348"/>
        <v>39263</v>
      </c>
      <c r="N206" s="312">
        <f t="shared" si="348"/>
        <v>39629</v>
      </c>
      <c r="O206" s="312">
        <f t="shared" si="348"/>
        <v>39994</v>
      </c>
      <c r="P206" s="312">
        <f t="shared" si="348"/>
        <v>40359</v>
      </c>
      <c r="Q206" s="312">
        <f t="shared" si="348"/>
        <v>40724</v>
      </c>
      <c r="R206" s="312">
        <f t="shared" si="348"/>
        <v>41090</v>
      </c>
      <c r="S206" s="312">
        <f t="shared" si="348"/>
        <v>41455</v>
      </c>
      <c r="T206" s="312">
        <f t="shared" si="348"/>
        <v>41820</v>
      </c>
      <c r="U206" s="312">
        <f t="shared" si="348"/>
        <v>42185</v>
      </c>
      <c r="V206" s="312">
        <f t="shared" si="348"/>
        <v>42551</v>
      </c>
      <c r="W206" s="312">
        <f t="shared" si="348"/>
        <v>42916</v>
      </c>
      <c r="X206" s="312">
        <f t="shared" si="348"/>
        <v>43281</v>
      </c>
      <c r="Y206" s="312">
        <f t="shared" si="348"/>
        <v>43646</v>
      </c>
      <c r="Z206" s="312">
        <f t="shared" si="348"/>
        <v>44012</v>
      </c>
      <c r="AA206" s="312">
        <f t="shared" si="348"/>
        <v>44377</v>
      </c>
      <c r="AB206" s="312">
        <f t="shared" si="348"/>
        <v>44742</v>
      </c>
      <c r="AC206" s="312">
        <f t="shared" si="348"/>
        <v>45107</v>
      </c>
      <c r="AD206" s="312">
        <f t="shared" si="348"/>
        <v>45473</v>
      </c>
      <c r="AE206" s="312">
        <f t="shared" si="348"/>
        <v>45838</v>
      </c>
      <c r="AF206" s="312">
        <f t="shared" si="348"/>
        <v>46203</v>
      </c>
      <c r="AG206" s="312">
        <f t="shared" si="348"/>
        <v>46568</v>
      </c>
      <c r="AH206" s="312">
        <f t="shared" si="348"/>
        <v>46934</v>
      </c>
      <c r="AI206" s="312">
        <f t="shared" si="348"/>
        <v>47299</v>
      </c>
      <c r="AJ206" s="312">
        <f t="shared" si="348"/>
        <v>47664</v>
      </c>
      <c r="AK206" s="312">
        <f t="shared" si="348"/>
        <v>48029</v>
      </c>
      <c r="AL206" s="312">
        <f t="shared" si="348"/>
        <v>48395</v>
      </c>
      <c r="AM206" s="312">
        <f t="shared" si="348"/>
        <v>48760</v>
      </c>
      <c r="AN206" s="312">
        <f t="shared" si="348"/>
        <v>49125</v>
      </c>
      <c r="AO206" s="312">
        <f t="shared" si="348"/>
        <v>49490</v>
      </c>
      <c r="AP206" s="312">
        <f t="shared" si="348"/>
        <v>49856</v>
      </c>
      <c r="AQ206" s="312">
        <f t="shared" si="348"/>
        <v>50221</v>
      </c>
      <c r="AR206" s="312">
        <f t="shared" si="348"/>
        <v>50586</v>
      </c>
      <c r="AS206" s="312">
        <f t="shared" si="348"/>
        <v>50951</v>
      </c>
      <c r="AT206" s="312">
        <f t="shared" si="348"/>
        <v>51317</v>
      </c>
      <c r="AU206" s="312">
        <f t="shared" si="348"/>
        <v>51682</v>
      </c>
      <c r="AV206" s="312">
        <f t="shared" si="348"/>
        <v>52047</v>
      </c>
      <c r="AW206" s="312">
        <f t="shared" si="348"/>
        <v>52412</v>
      </c>
      <c r="AX206" s="312">
        <f t="shared" si="348"/>
        <v>52778</v>
      </c>
      <c r="AY206" s="312">
        <f t="shared" si="348"/>
        <v>53143</v>
      </c>
      <c r="AZ206" s="312">
        <f t="shared" si="348"/>
        <v>53508</v>
      </c>
      <c r="BA206" s="312">
        <f t="shared" si="348"/>
        <v>53873</v>
      </c>
      <c r="BB206" s="312">
        <f t="shared" si="348"/>
        <v>54239</v>
      </c>
      <c r="BC206" s="312">
        <f t="shared" si="348"/>
        <v>54604</v>
      </c>
      <c r="BD206" s="312">
        <f t="shared" si="348"/>
        <v>54969</v>
      </c>
      <c r="BE206" s="312">
        <f t="shared" si="348"/>
        <v>55334</v>
      </c>
      <c r="BF206" s="312">
        <f t="shared" si="348"/>
        <v>55700</v>
      </c>
      <c r="BG206" s="312">
        <f t="shared" si="348"/>
        <v>56065</v>
      </c>
      <c r="BH206" s="312">
        <f t="shared" si="348"/>
        <v>56430</v>
      </c>
      <c r="BI206" s="312">
        <f t="shared" si="348"/>
        <v>56795</v>
      </c>
      <c r="BJ206" s="312">
        <f t="shared" si="348"/>
        <v>57161</v>
      </c>
      <c r="BK206" s="312">
        <f t="shared" si="348"/>
        <v>57526</v>
      </c>
      <c r="BL206" s="312">
        <f t="shared" si="348"/>
        <v>57891</v>
      </c>
      <c r="BM206" s="312">
        <f t="shared" si="348"/>
        <v>58256</v>
      </c>
      <c r="BN206" s="312">
        <f t="shared" si="348"/>
        <v>58622</v>
      </c>
      <c r="BO206" s="312">
        <f t="shared" si="348"/>
        <v>58987</v>
      </c>
      <c r="BP206" s="312">
        <f t="shared" si="348"/>
        <v>59352</v>
      </c>
      <c r="BQ206" s="312">
        <f t="shared" si="348"/>
        <v>59717</v>
      </c>
      <c r="BR206" s="312">
        <f t="shared" si="348"/>
        <v>60083</v>
      </c>
      <c r="BS206" s="312">
        <f t="shared" si="348"/>
        <v>60448</v>
      </c>
      <c r="BT206" s="312">
        <f t="shared" si="348"/>
        <v>60813</v>
      </c>
      <c r="BU206" s="312">
        <f t="shared" si="348"/>
        <v>61178</v>
      </c>
      <c r="BV206" s="312">
        <f t="shared" si="348"/>
        <v>61544</v>
      </c>
      <c r="BW206" s="312">
        <f t="shared" si="348"/>
        <v>61909</v>
      </c>
      <c r="BX206" s="312">
        <f t="shared" si="348"/>
        <v>62274</v>
      </c>
      <c r="BY206" s="312">
        <f t="shared" si="348"/>
        <v>62639</v>
      </c>
      <c r="BZ206" s="312">
        <f t="shared" si="348"/>
        <v>63005</v>
      </c>
      <c r="CA206" s="312">
        <f t="shared" si="348"/>
        <v>63370</v>
      </c>
      <c r="CB206" s="312">
        <f t="shared" si="348"/>
        <v>63735</v>
      </c>
      <c r="CC206" s="312">
        <f t="shared" si="348"/>
        <v>64100</v>
      </c>
      <c r="CD206" s="312">
        <f t="shared" si="348"/>
        <v>64466</v>
      </c>
      <c r="CE206" s="312">
        <f t="shared" si="348"/>
        <v>64831</v>
      </c>
      <c r="CF206" s="312">
        <f t="shared" si="348"/>
        <v>65196</v>
      </c>
      <c r="CG206" s="312">
        <f t="shared" si="348"/>
        <v>65561</v>
      </c>
      <c r="CH206" s="312">
        <f t="shared" si="348"/>
        <v>65927</v>
      </c>
      <c r="CI206" s="312">
        <f t="shared" si="348"/>
        <v>66292</v>
      </c>
      <c r="CJ206" s="312">
        <f t="shared" si="348"/>
        <v>66657</v>
      </c>
      <c r="CK206" s="312">
        <f t="shared" si="348"/>
        <v>67022</v>
      </c>
      <c r="CL206" s="312">
        <f t="shared" si="348"/>
        <v>67388</v>
      </c>
      <c r="CM206" s="312">
        <f t="shared" si="348"/>
        <v>67753</v>
      </c>
      <c r="CN206" s="312">
        <f t="shared" si="348"/>
        <v>68118</v>
      </c>
      <c r="CO206" s="312">
        <f t="shared" si="348"/>
        <v>68483</v>
      </c>
      <c r="CP206" s="312">
        <f t="shared" si="348"/>
        <v>68849</v>
      </c>
      <c r="CQ206" s="312">
        <f t="shared" si="348"/>
        <v>0</v>
      </c>
    </row>
    <row r="207" spans="2:95" ht="5.0999999999999996" customHeight="1" outlineLevel="1" x14ac:dyDescent="0.2">
      <c r="B207" s="107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W207" s="108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AT207" s="108"/>
      <c r="AU207" s="108"/>
      <c r="AV207" s="108"/>
      <c r="AW207" s="108"/>
      <c r="AX207" s="108"/>
      <c r="AY207" s="108"/>
      <c r="AZ207" s="108"/>
      <c r="BA207" s="108"/>
      <c r="BB207" s="108"/>
      <c r="BC207" s="108"/>
      <c r="BD207" s="108"/>
      <c r="BE207" s="108"/>
      <c r="BF207" s="108"/>
      <c r="BG207" s="108"/>
      <c r="BH207" s="108"/>
      <c r="BI207" s="108"/>
      <c r="BJ207" s="108"/>
      <c r="BK207" s="108"/>
      <c r="BL207" s="108"/>
      <c r="BM207" s="108"/>
      <c r="BN207" s="108"/>
      <c r="BO207" s="108"/>
      <c r="BP207" s="108"/>
      <c r="BQ207" s="108"/>
      <c r="BR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N207" s="108"/>
      <c r="CO207" s="108"/>
      <c r="CP207" s="108"/>
      <c r="CQ207" s="23" t="s">
        <v>77</v>
      </c>
    </row>
    <row r="208" spans="2:95" outlineLevel="1" x14ac:dyDescent="0.2">
      <c r="B208" s="8" t="s">
        <v>562</v>
      </c>
      <c r="S208" s="260">
        <v>80</v>
      </c>
      <c r="T208" s="9">
        <f>S208</f>
        <v>80</v>
      </c>
      <c r="U208" s="9">
        <f t="shared" ref="U208:BD208" si="349">T208</f>
        <v>80</v>
      </c>
      <c r="V208" s="9">
        <f t="shared" si="349"/>
        <v>80</v>
      </c>
      <c r="W208" s="9">
        <f t="shared" si="349"/>
        <v>80</v>
      </c>
      <c r="X208" s="9">
        <f t="shared" si="349"/>
        <v>80</v>
      </c>
      <c r="Y208" s="9">
        <f t="shared" si="349"/>
        <v>80</v>
      </c>
      <c r="Z208" s="9">
        <f t="shared" si="349"/>
        <v>80</v>
      </c>
      <c r="AA208" s="9">
        <f t="shared" si="349"/>
        <v>80</v>
      </c>
      <c r="AB208" s="9">
        <f t="shared" si="349"/>
        <v>80</v>
      </c>
      <c r="AC208" s="9">
        <f t="shared" si="349"/>
        <v>80</v>
      </c>
      <c r="AD208" s="9">
        <f t="shared" si="349"/>
        <v>80</v>
      </c>
      <c r="AE208" s="9">
        <f t="shared" si="349"/>
        <v>80</v>
      </c>
      <c r="AF208" s="9">
        <f t="shared" si="349"/>
        <v>80</v>
      </c>
      <c r="AG208" s="9">
        <f t="shared" si="349"/>
        <v>80</v>
      </c>
      <c r="AH208" s="9">
        <f t="shared" si="349"/>
        <v>80</v>
      </c>
      <c r="AI208" s="9">
        <f t="shared" si="349"/>
        <v>80</v>
      </c>
      <c r="AJ208" s="9">
        <f t="shared" si="349"/>
        <v>80</v>
      </c>
      <c r="AK208" s="9">
        <f t="shared" si="349"/>
        <v>80</v>
      </c>
      <c r="AL208" s="9">
        <f t="shared" si="349"/>
        <v>80</v>
      </c>
      <c r="AM208" s="9">
        <f t="shared" si="349"/>
        <v>80</v>
      </c>
      <c r="AN208" s="9">
        <f t="shared" si="349"/>
        <v>80</v>
      </c>
      <c r="AO208" s="9">
        <f t="shared" si="349"/>
        <v>80</v>
      </c>
      <c r="AP208" s="9">
        <f t="shared" si="349"/>
        <v>80</v>
      </c>
      <c r="AQ208" s="9">
        <f t="shared" si="349"/>
        <v>80</v>
      </c>
      <c r="AR208" s="9">
        <f t="shared" si="349"/>
        <v>80</v>
      </c>
      <c r="AS208" s="9">
        <f t="shared" si="349"/>
        <v>80</v>
      </c>
      <c r="AT208" s="9">
        <f t="shared" si="349"/>
        <v>80</v>
      </c>
      <c r="AU208" s="9">
        <f t="shared" si="349"/>
        <v>80</v>
      </c>
      <c r="AV208" s="9">
        <f t="shared" si="349"/>
        <v>80</v>
      </c>
      <c r="AW208" s="9">
        <f t="shared" si="349"/>
        <v>80</v>
      </c>
      <c r="AX208" s="9">
        <f t="shared" si="349"/>
        <v>80</v>
      </c>
      <c r="AY208" s="9">
        <f t="shared" si="349"/>
        <v>80</v>
      </c>
      <c r="AZ208" s="9">
        <f t="shared" si="349"/>
        <v>80</v>
      </c>
      <c r="BA208" s="9">
        <f t="shared" si="349"/>
        <v>80</v>
      </c>
      <c r="BB208" s="9">
        <f t="shared" si="349"/>
        <v>80</v>
      </c>
      <c r="BC208" s="9">
        <f t="shared" si="349"/>
        <v>80</v>
      </c>
      <c r="BD208" s="9">
        <f t="shared" si="349"/>
        <v>80</v>
      </c>
      <c r="BE208" s="9">
        <f t="shared" ref="BE208:CP208" si="350">BD208</f>
        <v>80</v>
      </c>
      <c r="BF208" s="9">
        <f t="shared" si="350"/>
        <v>80</v>
      </c>
      <c r="BG208" s="9">
        <f t="shared" si="350"/>
        <v>80</v>
      </c>
      <c r="BH208" s="9">
        <f t="shared" si="350"/>
        <v>80</v>
      </c>
      <c r="BI208" s="9">
        <f t="shared" si="350"/>
        <v>80</v>
      </c>
      <c r="BJ208" s="9">
        <f t="shared" si="350"/>
        <v>80</v>
      </c>
      <c r="BK208" s="9">
        <f t="shared" si="350"/>
        <v>80</v>
      </c>
      <c r="BL208" s="9">
        <f t="shared" si="350"/>
        <v>80</v>
      </c>
      <c r="BM208" s="9">
        <f t="shared" si="350"/>
        <v>80</v>
      </c>
      <c r="BN208" s="9">
        <f t="shared" si="350"/>
        <v>80</v>
      </c>
      <c r="BO208" s="9">
        <f t="shared" si="350"/>
        <v>80</v>
      </c>
      <c r="BP208" s="9">
        <f t="shared" si="350"/>
        <v>80</v>
      </c>
      <c r="BQ208" s="9">
        <f t="shared" si="350"/>
        <v>80</v>
      </c>
      <c r="BR208" s="9">
        <f t="shared" si="350"/>
        <v>80</v>
      </c>
      <c r="BS208" s="9">
        <f t="shared" si="350"/>
        <v>80</v>
      </c>
      <c r="BT208" s="9">
        <f t="shared" si="350"/>
        <v>80</v>
      </c>
      <c r="BU208" s="9">
        <f t="shared" si="350"/>
        <v>80</v>
      </c>
      <c r="BV208" s="9">
        <f t="shared" si="350"/>
        <v>80</v>
      </c>
      <c r="BW208" s="9">
        <f t="shared" si="350"/>
        <v>80</v>
      </c>
      <c r="BX208" s="9">
        <f t="shared" si="350"/>
        <v>80</v>
      </c>
      <c r="BY208" s="9">
        <f t="shared" si="350"/>
        <v>80</v>
      </c>
      <c r="BZ208" s="9">
        <f t="shared" si="350"/>
        <v>80</v>
      </c>
      <c r="CA208" s="9">
        <f t="shared" si="350"/>
        <v>80</v>
      </c>
      <c r="CB208" s="9">
        <f t="shared" si="350"/>
        <v>80</v>
      </c>
      <c r="CC208" s="9">
        <f t="shared" si="350"/>
        <v>80</v>
      </c>
      <c r="CD208" s="9">
        <f t="shared" si="350"/>
        <v>80</v>
      </c>
      <c r="CE208" s="9">
        <f t="shared" si="350"/>
        <v>80</v>
      </c>
      <c r="CF208" s="9">
        <f t="shared" si="350"/>
        <v>80</v>
      </c>
      <c r="CG208" s="9">
        <f t="shared" si="350"/>
        <v>80</v>
      </c>
      <c r="CH208" s="9">
        <f t="shared" si="350"/>
        <v>80</v>
      </c>
      <c r="CI208" s="9">
        <f t="shared" si="350"/>
        <v>80</v>
      </c>
      <c r="CJ208" s="9">
        <f t="shared" si="350"/>
        <v>80</v>
      </c>
      <c r="CK208" s="9">
        <f t="shared" si="350"/>
        <v>80</v>
      </c>
      <c r="CL208" s="9">
        <f t="shared" si="350"/>
        <v>80</v>
      </c>
      <c r="CM208" s="9">
        <f t="shared" si="350"/>
        <v>80</v>
      </c>
      <c r="CN208" s="9">
        <f t="shared" si="350"/>
        <v>80</v>
      </c>
      <c r="CO208" s="9">
        <f t="shared" si="350"/>
        <v>80</v>
      </c>
      <c r="CP208" s="9">
        <f t="shared" si="350"/>
        <v>80</v>
      </c>
      <c r="CQ208" s="23" t="s">
        <v>77</v>
      </c>
    </row>
    <row r="209" spans="2:95" outlineLevel="1" x14ac:dyDescent="0.2">
      <c r="B209" s="8" t="s">
        <v>563</v>
      </c>
      <c r="S209" s="10">
        <f>S210*1000/S208/8760</f>
        <v>0.37100456621004568</v>
      </c>
      <c r="T209" s="261">
        <f>S209</f>
        <v>0.37100456621004568</v>
      </c>
      <c r="U209" s="10">
        <f>T209</f>
        <v>0.37100456621004568</v>
      </c>
      <c r="V209" s="10">
        <f t="shared" ref="V209:BD209" si="351">U209</f>
        <v>0.37100456621004568</v>
      </c>
      <c r="W209" s="10">
        <f t="shared" si="351"/>
        <v>0.37100456621004568</v>
      </c>
      <c r="X209" s="10">
        <f t="shared" si="351"/>
        <v>0.37100456621004568</v>
      </c>
      <c r="Y209" s="10">
        <f t="shared" si="351"/>
        <v>0.37100456621004568</v>
      </c>
      <c r="Z209" s="10">
        <f t="shared" si="351"/>
        <v>0.37100456621004568</v>
      </c>
      <c r="AA209" s="10">
        <f t="shared" si="351"/>
        <v>0.37100456621004568</v>
      </c>
      <c r="AB209" s="10">
        <f t="shared" si="351"/>
        <v>0.37100456621004568</v>
      </c>
      <c r="AC209" s="10">
        <f t="shared" si="351"/>
        <v>0.37100456621004568</v>
      </c>
      <c r="AD209" s="10">
        <f t="shared" si="351"/>
        <v>0.37100456621004568</v>
      </c>
      <c r="AE209" s="10">
        <f t="shared" si="351"/>
        <v>0.37100456621004568</v>
      </c>
      <c r="AF209" s="10">
        <f t="shared" si="351"/>
        <v>0.37100456621004568</v>
      </c>
      <c r="AG209" s="10">
        <f t="shared" si="351"/>
        <v>0.37100456621004568</v>
      </c>
      <c r="AH209" s="10">
        <f t="shared" si="351"/>
        <v>0.37100456621004568</v>
      </c>
      <c r="AI209" s="10">
        <f t="shared" si="351"/>
        <v>0.37100456621004568</v>
      </c>
      <c r="AJ209" s="10">
        <f t="shared" si="351"/>
        <v>0.37100456621004568</v>
      </c>
      <c r="AK209" s="10">
        <f t="shared" si="351"/>
        <v>0.37100456621004568</v>
      </c>
      <c r="AL209" s="10">
        <f t="shared" si="351"/>
        <v>0.37100456621004568</v>
      </c>
      <c r="AM209" s="10">
        <f t="shared" si="351"/>
        <v>0.37100456621004568</v>
      </c>
      <c r="AN209" s="10">
        <f t="shared" si="351"/>
        <v>0.37100456621004568</v>
      </c>
      <c r="AO209" s="10">
        <f t="shared" si="351"/>
        <v>0.37100456621004568</v>
      </c>
      <c r="AP209" s="10">
        <f t="shared" si="351"/>
        <v>0.37100456621004568</v>
      </c>
      <c r="AQ209" s="10">
        <f t="shared" si="351"/>
        <v>0.37100456621004568</v>
      </c>
      <c r="AR209" s="10">
        <f t="shared" si="351"/>
        <v>0.37100456621004568</v>
      </c>
      <c r="AS209" s="10">
        <f t="shared" si="351"/>
        <v>0.37100456621004568</v>
      </c>
      <c r="AT209" s="10">
        <f t="shared" si="351"/>
        <v>0.37100456621004568</v>
      </c>
      <c r="AU209" s="10">
        <f t="shared" si="351"/>
        <v>0.37100456621004568</v>
      </c>
      <c r="AV209" s="10">
        <f t="shared" si="351"/>
        <v>0.37100456621004568</v>
      </c>
      <c r="AW209" s="10">
        <f t="shared" si="351"/>
        <v>0.37100456621004568</v>
      </c>
      <c r="AX209" s="10">
        <f t="shared" si="351"/>
        <v>0.37100456621004568</v>
      </c>
      <c r="AY209" s="10">
        <f t="shared" si="351"/>
        <v>0.37100456621004568</v>
      </c>
      <c r="AZ209" s="10">
        <f t="shared" si="351"/>
        <v>0.37100456621004568</v>
      </c>
      <c r="BA209" s="10">
        <f t="shared" si="351"/>
        <v>0.37100456621004568</v>
      </c>
      <c r="BB209" s="10">
        <f t="shared" si="351"/>
        <v>0.37100456621004568</v>
      </c>
      <c r="BC209" s="10">
        <f t="shared" si="351"/>
        <v>0.37100456621004568</v>
      </c>
      <c r="BD209" s="10">
        <f t="shared" si="351"/>
        <v>0.37100456621004568</v>
      </c>
      <c r="BE209" s="10">
        <f t="shared" ref="BE209:CP209" si="352">BD209</f>
        <v>0.37100456621004568</v>
      </c>
      <c r="BF209" s="10">
        <f t="shared" si="352"/>
        <v>0.37100456621004568</v>
      </c>
      <c r="BG209" s="10">
        <f t="shared" si="352"/>
        <v>0.37100456621004568</v>
      </c>
      <c r="BH209" s="10">
        <f t="shared" si="352"/>
        <v>0.37100456621004568</v>
      </c>
      <c r="BI209" s="10">
        <f t="shared" si="352"/>
        <v>0.37100456621004568</v>
      </c>
      <c r="BJ209" s="10">
        <f t="shared" si="352"/>
        <v>0.37100456621004568</v>
      </c>
      <c r="BK209" s="10">
        <f t="shared" si="352"/>
        <v>0.37100456621004568</v>
      </c>
      <c r="BL209" s="10">
        <f t="shared" si="352"/>
        <v>0.37100456621004568</v>
      </c>
      <c r="BM209" s="10">
        <f t="shared" si="352"/>
        <v>0.37100456621004568</v>
      </c>
      <c r="BN209" s="10">
        <f t="shared" si="352"/>
        <v>0.37100456621004568</v>
      </c>
      <c r="BO209" s="10">
        <f t="shared" si="352"/>
        <v>0.37100456621004568</v>
      </c>
      <c r="BP209" s="10">
        <f t="shared" si="352"/>
        <v>0.37100456621004568</v>
      </c>
      <c r="BQ209" s="10">
        <f t="shared" si="352"/>
        <v>0.37100456621004568</v>
      </c>
      <c r="BR209" s="10">
        <f t="shared" si="352"/>
        <v>0.37100456621004568</v>
      </c>
      <c r="BS209" s="10">
        <f t="shared" si="352"/>
        <v>0.37100456621004568</v>
      </c>
      <c r="BT209" s="10">
        <f t="shared" si="352"/>
        <v>0.37100456621004568</v>
      </c>
      <c r="BU209" s="10">
        <f t="shared" si="352"/>
        <v>0.37100456621004568</v>
      </c>
      <c r="BV209" s="10">
        <f t="shared" si="352"/>
        <v>0.37100456621004568</v>
      </c>
      <c r="BW209" s="10">
        <f t="shared" si="352"/>
        <v>0.37100456621004568</v>
      </c>
      <c r="BX209" s="10">
        <f t="shared" si="352"/>
        <v>0.37100456621004568</v>
      </c>
      <c r="BY209" s="10">
        <f t="shared" si="352"/>
        <v>0.37100456621004568</v>
      </c>
      <c r="BZ209" s="10">
        <f t="shared" si="352"/>
        <v>0.37100456621004568</v>
      </c>
      <c r="CA209" s="10">
        <f t="shared" si="352"/>
        <v>0.37100456621004568</v>
      </c>
      <c r="CB209" s="10">
        <f t="shared" si="352"/>
        <v>0.37100456621004568</v>
      </c>
      <c r="CC209" s="10">
        <f t="shared" si="352"/>
        <v>0.37100456621004568</v>
      </c>
      <c r="CD209" s="10">
        <f t="shared" si="352"/>
        <v>0.37100456621004568</v>
      </c>
      <c r="CE209" s="10">
        <f t="shared" si="352"/>
        <v>0.37100456621004568</v>
      </c>
      <c r="CF209" s="10">
        <f t="shared" si="352"/>
        <v>0.37100456621004568</v>
      </c>
      <c r="CG209" s="10">
        <f t="shared" si="352"/>
        <v>0.37100456621004568</v>
      </c>
      <c r="CH209" s="10">
        <f t="shared" si="352"/>
        <v>0.37100456621004568</v>
      </c>
      <c r="CI209" s="10">
        <f t="shared" si="352"/>
        <v>0.37100456621004568</v>
      </c>
      <c r="CJ209" s="10">
        <f t="shared" si="352"/>
        <v>0.37100456621004568</v>
      </c>
      <c r="CK209" s="10">
        <f t="shared" si="352"/>
        <v>0.37100456621004568</v>
      </c>
      <c r="CL209" s="10">
        <f t="shared" si="352"/>
        <v>0.37100456621004568</v>
      </c>
      <c r="CM209" s="10">
        <f t="shared" si="352"/>
        <v>0.37100456621004568</v>
      </c>
      <c r="CN209" s="10">
        <f t="shared" si="352"/>
        <v>0.37100456621004568</v>
      </c>
      <c r="CO209" s="10">
        <f t="shared" si="352"/>
        <v>0.37100456621004568</v>
      </c>
      <c r="CP209" s="10">
        <f t="shared" si="352"/>
        <v>0.37100456621004568</v>
      </c>
      <c r="CQ209" s="23" t="s">
        <v>77</v>
      </c>
    </row>
    <row r="210" spans="2:95" outlineLevel="1" x14ac:dyDescent="0.2">
      <c r="B210" s="8" t="s">
        <v>564</v>
      </c>
      <c r="S210" s="260">
        <f>260</f>
        <v>260</v>
      </c>
      <c r="T210" s="9">
        <f>T208*T209*8760/1000</f>
        <v>260</v>
      </c>
      <c r="U210" s="9">
        <f t="shared" ref="U210:BD210" si="353">U208*U209*8760/1000</f>
        <v>260</v>
      </c>
      <c r="V210" s="9">
        <f t="shared" si="353"/>
        <v>260</v>
      </c>
      <c r="W210" s="9">
        <f t="shared" si="353"/>
        <v>260</v>
      </c>
      <c r="X210" s="9">
        <f t="shared" si="353"/>
        <v>260</v>
      </c>
      <c r="Y210" s="9">
        <f t="shared" si="353"/>
        <v>260</v>
      </c>
      <c r="Z210" s="9">
        <f t="shared" si="353"/>
        <v>260</v>
      </c>
      <c r="AA210" s="9">
        <f t="shared" si="353"/>
        <v>260</v>
      </c>
      <c r="AB210" s="9">
        <f t="shared" si="353"/>
        <v>260</v>
      </c>
      <c r="AC210" s="9">
        <f t="shared" si="353"/>
        <v>260</v>
      </c>
      <c r="AD210" s="9">
        <f t="shared" si="353"/>
        <v>260</v>
      </c>
      <c r="AE210" s="9">
        <f t="shared" si="353"/>
        <v>260</v>
      </c>
      <c r="AF210" s="9">
        <f t="shared" si="353"/>
        <v>260</v>
      </c>
      <c r="AG210" s="9">
        <f t="shared" si="353"/>
        <v>260</v>
      </c>
      <c r="AH210" s="9">
        <f t="shared" si="353"/>
        <v>260</v>
      </c>
      <c r="AI210" s="9">
        <f t="shared" si="353"/>
        <v>260</v>
      </c>
      <c r="AJ210" s="9">
        <f t="shared" si="353"/>
        <v>260</v>
      </c>
      <c r="AK210" s="9">
        <f t="shared" si="353"/>
        <v>260</v>
      </c>
      <c r="AL210" s="9">
        <f t="shared" si="353"/>
        <v>260</v>
      </c>
      <c r="AM210" s="9">
        <f t="shared" si="353"/>
        <v>260</v>
      </c>
      <c r="AN210" s="9">
        <f t="shared" si="353"/>
        <v>260</v>
      </c>
      <c r="AO210" s="9">
        <f t="shared" si="353"/>
        <v>260</v>
      </c>
      <c r="AP210" s="9">
        <f t="shared" si="353"/>
        <v>260</v>
      </c>
      <c r="AQ210" s="9">
        <f t="shared" si="353"/>
        <v>260</v>
      </c>
      <c r="AR210" s="9">
        <f t="shared" si="353"/>
        <v>260</v>
      </c>
      <c r="AS210" s="9">
        <f t="shared" si="353"/>
        <v>260</v>
      </c>
      <c r="AT210" s="9">
        <f t="shared" si="353"/>
        <v>260</v>
      </c>
      <c r="AU210" s="9">
        <f t="shared" si="353"/>
        <v>260</v>
      </c>
      <c r="AV210" s="9">
        <f t="shared" si="353"/>
        <v>260</v>
      </c>
      <c r="AW210" s="9">
        <f t="shared" si="353"/>
        <v>260</v>
      </c>
      <c r="AX210" s="9">
        <f t="shared" si="353"/>
        <v>260</v>
      </c>
      <c r="AY210" s="9">
        <f t="shared" si="353"/>
        <v>260</v>
      </c>
      <c r="AZ210" s="9">
        <f t="shared" si="353"/>
        <v>260</v>
      </c>
      <c r="BA210" s="9">
        <f t="shared" si="353"/>
        <v>260</v>
      </c>
      <c r="BB210" s="9">
        <f t="shared" si="353"/>
        <v>260</v>
      </c>
      <c r="BC210" s="9">
        <f t="shared" si="353"/>
        <v>260</v>
      </c>
      <c r="BD210" s="9">
        <f t="shared" si="353"/>
        <v>260</v>
      </c>
      <c r="BE210" s="9">
        <f t="shared" ref="BE210:CP210" si="354">BE208*BE209*8760/1000</f>
        <v>260</v>
      </c>
      <c r="BF210" s="9">
        <f t="shared" si="354"/>
        <v>260</v>
      </c>
      <c r="BG210" s="9">
        <f t="shared" si="354"/>
        <v>260</v>
      </c>
      <c r="BH210" s="9">
        <f t="shared" si="354"/>
        <v>260</v>
      </c>
      <c r="BI210" s="9">
        <f t="shared" si="354"/>
        <v>260</v>
      </c>
      <c r="BJ210" s="9">
        <f t="shared" si="354"/>
        <v>260</v>
      </c>
      <c r="BK210" s="9">
        <f t="shared" si="354"/>
        <v>260</v>
      </c>
      <c r="BL210" s="9">
        <f t="shared" si="354"/>
        <v>260</v>
      </c>
      <c r="BM210" s="9">
        <f t="shared" si="354"/>
        <v>260</v>
      </c>
      <c r="BN210" s="9">
        <f t="shared" si="354"/>
        <v>260</v>
      </c>
      <c r="BO210" s="9">
        <f t="shared" si="354"/>
        <v>260</v>
      </c>
      <c r="BP210" s="9">
        <f t="shared" si="354"/>
        <v>260</v>
      </c>
      <c r="BQ210" s="9">
        <f t="shared" si="354"/>
        <v>260</v>
      </c>
      <c r="BR210" s="9">
        <f t="shared" si="354"/>
        <v>260</v>
      </c>
      <c r="BS210" s="9">
        <f t="shared" si="354"/>
        <v>260</v>
      </c>
      <c r="BT210" s="9">
        <f t="shared" si="354"/>
        <v>260</v>
      </c>
      <c r="BU210" s="9">
        <f t="shared" si="354"/>
        <v>260</v>
      </c>
      <c r="BV210" s="9">
        <f t="shared" si="354"/>
        <v>260</v>
      </c>
      <c r="BW210" s="9">
        <f t="shared" si="354"/>
        <v>260</v>
      </c>
      <c r="BX210" s="9">
        <f t="shared" si="354"/>
        <v>260</v>
      </c>
      <c r="BY210" s="9">
        <f t="shared" si="354"/>
        <v>260</v>
      </c>
      <c r="BZ210" s="9">
        <f t="shared" si="354"/>
        <v>260</v>
      </c>
      <c r="CA210" s="9">
        <f t="shared" si="354"/>
        <v>260</v>
      </c>
      <c r="CB210" s="9">
        <f t="shared" si="354"/>
        <v>260</v>
      </c>
      <c r="CC210" s="9">
        <f t="shared" si="354"/>
        <v>260</v>
      </c>
      <c r="CD210" s="9">
        <f t="shared" si="354"/>
        <v>260</v>
      </c>
      <c r="CE210" s="9">
        <f t="shared" si="354"/>
        <v>260</v>
      </c>
      <c r="CF210" s="9">
        <f t="shared" si="354"/>
        <v>260</v>
      </c>
      <c r="CG210" s="9">
        <f t="shared" si="354"/>
        <v>260</v>
      </c>
      <c r="CH210" s="9">
        <f t="shared" si="354"/>
        <v>260</v>
      </c>
      <c r="CI210" s="9">
        <f t="shared" si="354"/>
        <v>260</v>
      </c>
      <c r="CJ210" s="9">
        <f t="shared" si="354"/>
        <v>260</v>
      </c>
      <c r="CK210" s="9">
        <f t="shared" si="354"/>
        <v>260</v>
      </c>
      <c r="CL210" s="9">
        <f t="shared" si="354"/>
        <v>260</v>
      </c>
      <c r="CM210" s="9">
        <f t="shared" si="354"/>
        <v>260</v>
      </c>
      <c r="CN210" s="9">
        <f t="shared" si="354"/>
        <v>260</v>
      </c>
      <c r="CO210" s="9">
        <f t="shared" si="354"/>
        <v>260</v>
      </c>
      <c r="CP210" s="9">
        <f t="shared" si="354"/>
        <v>260</v>
      </c>
      <c r="CQ210" s="23" t="s">
        <v>77</v>
      </c>
    </row>
    <row r="211" spans="2:95" x14ac:dyDescent="0.2">
      <c r="CQ211" s="23" t="s">
        <v>77</v>
      </c>
    </row>
    <row r="212" spans="2:95" x14ac:dyDescent="0.2">
      <c r="B212" s="728" t="s">
        <v>565</v>
      </c>
      <c r="C212" s="312"/>
      <c r="D212" s="312"/>
      <c r="E212" s="312"/>
      <c r="F212" s="312">
        <f t="shared" ref="F212:CQ212" si="355">Fiscal_Year</f>
        <v>36707</v>
      </c>
      <c r="G212" s="312">
        <f t="shared" si="355"/>
        <v>37072</v>
      </c>
      <c r="H212" s="312">
        <f t="shared" si="355"/>
        <v>37437</v>
      </c>
      <c r="I212" s="312">
        <f t="shared" si="355"/>
        <v>37802</v>
      </c>
      <c r="J212" s="312">
        <f t="shared" si="355"/>
        <v>38168</v>
      </c>
      <c r="K212" s="312">
        <f t="shared" si="355"/>
        <v>38533</v>
      </c>
      <c r="L212" s="312">
        <f t="shared" si="355"/>
        <v>38898</v>
      </c>
      <c r="M212" s="312">
        <f t="shared" si="355"/>
        <v>39263</v>
      </c>
      <c r="N212" s="312">
        <f t="shared" si="355"/>
        <v>39629</v>
      </c>
      <c r="O212" s="312">
        <f t="shared" si="355"/>
        <v>39994</v>
      </c>
      <c r="P212" s="312">
        <f t="shared" si="355"/>
        <v>40359</v>
      </c>
      <c r="Q212" s="312">
        <f t="shared" si="355"/>
        <v>40724</v>
      </c>
      <c r="R212" s="312">
        <f t="shared" si="355"/>
        <v>41090</v>
      </c>
      <c r="S212" s="312">
        <f t="shared" si="355"/>
        <v>41455</v>
      </c>
      <c r="T212" s="312">
        <f t="shared" si="355"/>
        <v>41820</v>
      </c>
      <c r="U212" s="312">
        <f t="shared" si="355"/>
        <v>42185</v>
      </c>
      <c r="V212" s="312">
        <f t="shared" si="355"/>
        <v>42551</v>
      </c>
      <c r="W212" s="312">
        <f t="shared" si="355"/>
        <v>42916</v>
      </c>
      <c r="X212" s="312">
        <f t="shared" si="355"/>
        <v>43281</v>
      </c>
      <c r="Y212" s="312">
        <f t="shared" si="355"/>
        <v>43646</v>
      </c>
      <c r="Z212" s="312">
        <f t="shared" si="355"/>
        <v>44012</v>
      </c>
      <c r="AA212" s="312">
        <f t="shared" si="355"/>
        <v>44377</v>
      </c>
      <c r="AB212" s="312">
        <f t="shared" si="355"/>
        <v>44742</v>
      </c>
      <c r="AC212" s="312">
        <f t="shared" si="355"/>
        <v>45107</v>
      </c>
      <c r="AD212" s="312">
        <f t="shared" si="355"/>
        <v>45473</v>
      </c>
      <c r="AE212" s="312">
        <f t="shared" si="355"/>
        <v>45838</v>
      </c>
      <c r="AF212" s="312">
        <f t="shared" si="355"/>
        <v>46203</v>
      </c>
      <c r="AG212" s="312">
        <f t="shared" si="355"/>
        <v>46568</v>
      </c>
      <c r="AH212" s="312">
        <f t="shared" si="355"/>
        <v>46934</v>
      </c>
      <c r="AI212" s="312">
        <f t="shared" si="355"/>
        <v>47299</v>
      </c>
      <c r="AJ212" s="312">
        <f t="shared" si="355"/>
        <v>47664</v>
      </c>
      <c r="AK212" s="312">
        <f t="shared" si="355"/>
        <v>48029</v>
      </c>
      <c r="AL212" s="312">
        <f t="shared" si="355"/>
        <v>48395</v>
      </c>
      <c r="AM212" s="312">
        <f t="shared" si="355"/>
        <v>48760</v>
      </c>
      <c r="AN212" s="312">
        <f t="shared" si="355"/>
        <v>49125</v>
      </c>
      <c r="AO212" s="312">
        <f t="shared" si="355"/>
        <v>49490</v>
      </c>
      <c r="AP212" s="312">
        <f t="shared" si="355"/>
        <v>49856</v>
      </c>
      <c r="AQ212" s="312">
        <f t="shared" si="355"/>
        <v>50221</v>
      </c>
      <c r="AR212" s="312">
        <f t="shared" si="355"/>
        <v>50586</v>
      </c>
      <c r="AS212" s="312">
        <f t="shared" si="355"/>
        <v>50951</v>
      </c>
      <c r="AT212" s="312">
        <f t="shared" si="355"/>
        <v>51317</v>
      </c>
      <c r="AU212" s="312">
        <f t="shared" si="355"/>
        <v>51682</v>
      </c>
      <c r="AV212" s="312">
        <f t="shared" si="355"/>
        <v>52047</v>
      </c>
      <c r="AW212" s="312">
        <f t="shared" si="355"/>
        <v>52412</v>
      </c>
      <c r="AX212" s="312">
        <f t="shared" si="355"/>
        <v>52778</v>
      </c>
      <c r="AY212" s="312">
        <f t="shared" si="355"/>
        <v>53143</v>
      </c>
      <c r="AZ212" s="312">
        <f t="shared" si="355"/>
        <v>53508</v>
      </c>
      <c r="BA212" s="312">
        <f t="shared" si="355"/>
        <v>53873</v>
      </c>
      <c r="BB212" s="312">
        <f t="shared" si="355"/>
        <v>54239</v>
      </c>
      <c r="BC212" s="312">
        <f t="shared" si="355"/>
        <v>54604</v>
      </c>
      <c r="BD212" s="312">
        <f t="shared" si="355"/>
        <v>54969</v>
      </c>
      <c r="BE212" s="312">
        <f t="shared" si="355"/>
        <v>55334</v>
      </c>
      <c r="BF212" s="312">
        <f t="shared" si="355"/>
        <v>55700</v>
      </c>
      <c r="BG212" s="312">
        <f t="shared" si="355"/>
        <v>56065</v>
      </c>
      <c r="BH212" s="312">
        <f t="shared" si="355"/>
        <v>56430</v>
      </c>
      <c r="BI212" s="312">
        <f t="shared" si="355"/>
        <v>56795</v>
      </c>
      <c r="BJ212" s="312">
        <f t="shared" si="355"/>
        <v>57161</v>
      </c>
      <c r="BK212" s="312">
        <f t="shared" si="355"/>
        <v>57526</v>
      </c>
      <c r="BL212" s="312">
        <f t="shared" si="355"/>
        <v>57891</v>
      </c>
      <c r="BM212" s="312">
        <f t="shared" si="355"/>
        <v>58256</v>
      </c>
      <c r="BN212" s="312">
        <f t="shared" si="355"/>
        <v>58622</v>
      </c>
      <c r="BO212" s="312">
        <f t="shared" si="355"/>
        <v>58987</v>
      </c>
      <c r="BP212" s="312">
        <f t="shared" si="355"/>
        <v>59352</v>
      </c>
      <c r="BQ212" s="312">
        <f t="shared" si="355"/>
        <v>59717</v>
      </c>
      <c r="BR212" s="312">
        <f t="shared" si="355"/>
        <v>60083</v>
      </c>
      <c r="BS212" s="312">
        <f t="shared" si="355"/>
        <v>60448</v>
      </c>
      <c r="BT212" s="312">
        <f t="shared" si="355"/>
        <v>60813</v>
      </c>
      <c r="BU212" s="312">
        <f t="shared" si="355"/>
        <v>61178</v>
      </c>
      <c r="BV212" s="312">
        <f t="shared" si="355"/>
        <v>61544</v>
      </c>
      <c r="BW212" s="312">
        <f t="shared" si="355"/>
        <v>61909</v>
      </c>
      <c r="BX212" s="312">
        <f t="shared" si="355"/>
        <v>62274</v>
      </c>
      <c r="BY212" s="312">
        <f t="shared" si="355"/>
        <v>62639</v>
      </c>
      <c r="BZ212" s="312">
        <f t="shared" si="355"/>
        <v>63005</v>
      </c>
      <c r="CA212" s="312">
        <f t="shared" si="355"/>
        <v>63370</v>
      </c>
      <c r="CB212" s="312">
        <f t="shared" si="355"/>
        <v>63735</v>
      </c>
      <c r="CC212" s="312">
        <f t="shared" si="355"/>
        <v>64100</v>
      </c>
      <c r="CD212" s="312">
        <f t="shared" si="355"/>
        <v>64466</v>
      </c>
      <c r="CE212" s="312">
        <f t="shared" si="355"/>
        <v>64831</v>
      </c>
      <c r="CF212" s="312">
        <f t="shared" si="355"/>
        <v>65196</v>
      </c>
      <c r="CG212" s="312">
        <f t="shared" si="355"/>
        <v>65561</v>
      </c>
      <c r="CH212" s="312">
        <f t="shared" si="355"/>
        <v>65927</v>
      </c>
      <c r="CI212" s="312">
        <f t="shared" si="355"/>
        <v>66292</v>
      </c>
      <c r="CJ212" s="312">
        <f t="shared" si="355"/>
        <v>66657</v>
      </c>
      <c r="CK212" s="312">
        <f t="shared" si="355"/>
        <v>67022</v>
      </c>
      <c r="CL212" s="312">
        <f t="shared" si="355"/>
        <v>67388</v>
      </c>
      <c r="CM212" s="312">
        <f t="shared" si="355"/>
        <v>67753</v>
      </c>
      <c r="CN212" s="312">
        <f t="shared" si="355"/>
        <v>68118</v>
      </c>
      <c r="CO212" s="312">
        <f t="shared" si="355"/>
        <v>68483</v>
      </c>
      <c r="CP212" s="312">
        <f t="shared" si="355"/>
        <v>68849</v>
      </c>
      <c r="CQ212" s="312">
        <f t="shared" si="355"/>
        <v>0</v>
      </c>
    </row>
    <row r="213" spans="2:95" ht="5.0999999999999996" customHeight="1" outlineLevel="1" x14ac:dyDescent="0.2">
      <c r="B213" s="107"/>
      <c r="D213" s="108"/>
      <c r="E213" s="108"/>
      <c r="F213" s="108"/>
      <c r="G213" s="108"/>
      <c r="H213" s="108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V213" s="108"/>
      <c r="W213" s="108"/>
      <c r="X213" s="108"/>
      <c r="Y213" s="108"/>
      <c r="Z213" s="108"/>
      <c r="AA213" s="108"/>
      <c r="AB213" s="108"/>
      <c r="AC213" s="108"/>
      <c r="AD213" s="108"/>
      <c r="AE213" s="108"/>
      <c r="AF213" s="108"/>
      <c r="AG213" s="108"/>
      <c r="AH213" s="108"/>
      <c r="AI213" s="108"/>
      <c r="AJ213" s="108"/>
      <c r="AK213" s="108"/>
      <c r="AL213" s="108"/>
      <c r="AM213" s="108"/>
      <c r="AN213" s="108"/>
      <c r="AO213" s="108"/>
      <c r="AP213" s="108"/>
      <c r="AQ213" s="108"/>
      <c r="AR213" s="108"/>
      <c r="AS213" s="108"/>
      <c r="AT213" s="108"/>
      <c r="AU213" s="108"/>
      <c r="AV213" s="108"/>
      <c r="AW213" s="108"/>
      <c r="AX213" s="108"/>
      <c r="AY213" s="108"/>
      <c r="AZ213" s="108"/>
      <c r="BA213" s="108"/>
      <c r="BB213" s="108"/>
      <c r="BC213" s="108"/>
      <c r="BD213" s="108"/>
      <c r="BE213" s="108"/>
      <c r="BF213" s="108"/>
      <c r="BG213" s="108"/>
      <c r="BH213" s="108"/>
      <c r="BI213" s="108"/>
      <c r="BJ213" s="108"/>
      <c r="BK213" s="108"/>
      <c r="BL213" s="108"/>
      <c r="BM213" s="108"/>
      <c r="BN213" s="108"/>
      <c r="BO213" s="108"/>
      <c r="BP213" s="108"/>
      <c r="BQ213" s="108"/>
      <c r="BR213" s="108"/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N213" s="108"/>
      <c r="CO213" s="108"/>
      <c r="CP213" s="108"/>
      <c r="CQ213" s="23" t="s">
        <v>77</v>
      </c>
    </row>
    <row r="214" spans="2:95" outlineLevel="1" x14ac:dyDescent="0.2">
      <c r="B214" s="8" t="s">
        <v>562</v>
      </c>
      <c r="Y214" s="260">
        <v>130</v>
      </c>
      <c r="Z214" s="9">
        <f t="shared" ref="Z214:BD214" si="356">Y214</f>
        <v>130</v>
      </c>
      <c r="AA214" s="9">
        <f t="shared" si="356"/>
        <v>130</v>
      </c>
      <c r="AB214" s="9">
        <f t="shared" si="356"/>
        <v>130</v>
      </c>
      <c r="AC214" s="9">
        <f t="shared" si="356"/>
        <v>130</v>
      </c>
      <c r="AD214" s="9">
        <f t="shared" si="356"/>
        <v>130</v>
      </c>
      <c r="AE214" s="9">
        <f t="shared" si="356"/>
        <v>130</v>
      </c>
      <c r="AF214" s="9">
        <f t="shared" si="356"/>
        <v>130</v>
      </c>
      <c r="AG214" s="9">
        <f t="shared" si="356"/>
        <v>130</v>
      </c>
      <c r="AH214" s="9">
        <f t="shared" si="356"/>
        <v>130</v>
      </c>
      <c r="AI214" s="9">
        <f t="shared" si="356"/>
        <v>130</v>
      </c>
      <c r="AJ214" s="9">
        <f t="shared" si="356"/>
        <v>130</v>
      </c>
      <c r="AK214" s="9">
        <f t="shared" si="356"/>
        <v>130</v>
      </c>
      <c r="AL214" s="9">
        <f t="shared" si="356"/>
        <v>130</v>
      </c>
      <c r="AM214" s="9">
        <f t="shared" si="356"/>
        <v>130</v>
      </c>
      <c r="AN214" s="9">
        <f t="shared" si="356"/>
        <v>130</v>
      </c>
      <c r="AO214" s="9">
        <f t="shared" si="356"/>
        <v>130</v>
      </c>
      <c r="AP214" s="9">
        <f t="shared" si="356"/>
        <v>130</v>
      </c>
      <c r="AQ214" s="9">
        <f t="shared" si="356"/>
        <v>130</v>
      </c>
      <c r="AR214" s="9">
        <f t="shared" si="356"/>
        <v>130</v>
      </c>
      <c r="AS214" s="9">
        <f t="shared" si="356"/>
        <v>130</v>
      </c>
      <c r="AT214" s="9">
        <f t="shared" si="356"/>
        <v>130</v>
      </c>
      <c r="AU214" s="9">
        <f t="shared" si="356"/>
        <v>130</v>
      </c>
      <c r="AV214" s="9">
        <f t="shared" si="356"/>
        <v>130</v>
      </c>
      <c r="AW214" s="9">
        <f t="shared" si="356"/>
        <v>130</v>
      </c>
      <c r="AX214" s="9">
        <f t="shared" si="356"/>
        <v>130</v>
      </c>
      <c r="AY214" s="9">
        <f t="shared" si="356"/>
        <v>130</v>
      </c>
      <c r="AZ214" s="9">
        <f t="shared" si="356"/>
        <v>130</v>
      </c>
      <c r="BA214" s="9">
        <f t="shared" si="356"/>
        <v>130</v>
      </c>
      <c r="BB214" s="9">
        <f t="shared" si="356"/>
        <v>130</v>
      </c>
      <c r="BC214" s="9">
        <f t="shared" si="356"/>
        <v>130</v>
      </c>
      <c r="BD214" s="9">
        <f t="shared" si="356"/>
        <v>130</v>
      </c>
      <c r="BE214" s="9">
        <f t="shared" ref="BE214:CP214" si="357">BD214</f>
        <v>130</v>
      </c>
      <c r="BF214" s="9">
        <f t="shared" si="357"/>
        <v>130</v>
      </c>
      <c r="BG214" s="9">
        <f t="shared" si="357"/>
        <v>130</v>
      </c>
      <c r="BH214" s="9">
        <f t="shared" si="357"/>
        <v>130</v>
      </c>
      <c r="BI214" s="9">
        <f t="shared" si="357"/>
        <v>130</v>
      </c>
      <c r="BJ214" s="9">
        <f t="shared" si="357"/>
        <v>130</v>
      </c>
      <c r="BK214" s="9">
        <f t="shared" si="357"/>
        <v>130</v>
      </c>
      <c r="BL214" s="9">
        <f t="shared" si="357"/>
        <v>130</v>
      </c>
      <c r="BM214" s="9">
        <f t="shared" si="357"/>
        <v>130</v>
      </c>
      <c r="BN214" s="9">
        <f t="shared" si="357"/>
        <v>130</v>
      </c>
      <c r="BO214" s="9">
        <f t="shared" si="357"/>
        <v>130</v>
      </c>
      <c r="BP214" s="9">
        <f t="shared" si="357"/>
        <v>130</v>
      </c>
      <c r="BQ214" s="9">
        <f t="shared" si="357"/>
        <v>130</v>
      </c>
      <c r="BR214" s="9">
        <f t="shared" si="357"/>
        <v>130</v>
      </c>
      <c r="BS214" s="9">
        <f t="shared" si="357"/>
        <v>130</v>
      </c>
      <c r="BT214" s="9">
        <f t="shared" si="357"/>
        <v>130</v>
      </c>
      <c r="BU214" s="9">
        <f t="shared" si="357"/>
        <v>130</v>
      </c>
      <c r="BV214" s="9">
        <f t="shared" si="357"/>
        <v>130</v>
      </c>
      <c r="BW214" s="9">
        <f t="shared" si="357"/>
        <v>130</v>
      </c>
      <c r="BX214" s="9">
        <f t="shared" si="357"/>
        <v>130</v>
      </c>
      <c r="BY214" s="9">
        <f t="shared" si="357"/>
        <v>130</v>
      </c>
      <c r="BZ214" s="9">
        <f t="shared" si="357"/>
        <v>130</v>
      </c>
      <c r="CA214" s="9">
        <f t="shared" si="357"/>
        <v>130</v>
      </c>
      <c r="CB214" s="9">
        <f t="shared" si="357"/>
        <v>130</v>
      </c>
      <c r="CC214" s="9">
        <f t="shared" si="357"/>
        <v>130</v>
      </c>
      <c r="CD214" s="9">
        <f t="shared" si="357"/>
        <v>130</v>
      </c>
      <c r="CE214" s="9">
        <f t="shared" si="357"/>
        <v>130</v>
      </c>
      <c r="CF214" s="9">
        <f t="shared" si="357"/>
        <v>130</v>
      </c>
      <c r="CG214" s="9">
        <f t="shared" si="357"/>
        <v>130</v>
      </c>
      <c r="CH214" s="9">
        <f t="shared" si="357"/>
        <v>130</v>
      </c>
      <c r="CI214" s="9">
        <f t="shared" si="357"/>
        <v>130</v>
      </c>
      <c r="CJ214" s="9">
        <f t="shared" si="357"/>
        <v>130</v>
      </c>
      <c r="CK214" s="9">
        <f t="shared" si="357"/>
        <v>130</v>
      </c>
      <c r="CL214" s="9">
        <f t="shared" si="357"/>
        <v>130</v>
      </c>
      <c r="CM214" s="9">
        <f t="shared" si="357"/>
        <v>130</v>
      </c>
      <c r="CN214" s="9">
        <f t="shared" si="357"/>
        <v>130</v>
      </c>
      <c r="CO214" s="9">
        <f t="shared" si="357"/>
        <v>130</v>
      </c>
      <c r="CP214" s="9">
        <f t="shared" si="357"/>
        <v>130</v>
      </c>
      <c r="CQ214" s="23" t="s">
        <v>77</v>
      </c>
    </row>
    <row r="215" spans="2:95" outlineLevel="1" x14ac:dyDescent="0.2">
      <c r="B215" s="8" t="s">
        <v>563</v>
      </c>
      <c r="S215" s="10"/>
      <c r="T215" s="10"/>
      <c r="U215" s="10"/>
      <c r="V215" s="10"/>
      <c r="W215" s="10"/>
      <c r="X215" s="10"/>
      <c r="Y215" s="261">
        <v>0.43</v>
      </c>
      <c r="Z215" s="10">
        <f t="shared" ref="Z215:BD215" si="358">Y215</f>
        <v>0.43</v>
      </c>
      <c r="AA215" s="10">
        <f t="shared" si="358"/>
        <v>0.43</v>
      </c>
      <c r="AB215" s="10">
        <f t="shared" si="358"/>
        <v>0.43</v>
      </c>
      <c r="AC215" s="10">
        <f t="shared" si="358"/>
        <v>0.43</v>
      </c>
      <c r="AD215" s="10">
        <f t="shared" si="358"/>
        <v>0.43</v>
      </c>
      <c r="AE215" s="10">
        <f t="shared" si="358"/>
        <v>0.43</v>
      </c>
      <c r="AF215" s="10">
        <f t="shared" si="358"/>
        <v>0.43</v>
      </c>
      <c r="AG215" s="10">
        <f t="shared" si="358"/>
        <v>0.43</v>
      </c>
      <c r="AH215" s="10">
        <f t="shared" si="358"/>
        <v>0.43</v>
      </c>
      <c r="AI215" s="10">
        <f t="shared" si="358"/>
        <v>0.43</v>
      </c>
      <c r="AJ215" s="10">
        <f t="shared" si="358"/>
        <v>0.43</v>
      </c>
      <c r="AK215" s="10">
        <f t="shared" si="358"/>
        <v>0.43</v>
      </c>
      <c r="AL215" s="10">
        <f t="shared" si="358"/>
        <v>0.43</v>
      </c>
      <c r="AM215" s="10">
        <f t="shared" si="358"/>
        <v>0.43</v>
      </c>
      <c r="AN215" s="10">
        <f t="shared" si="358"/>
        <v>0.43</v>
      </c>
      <c r="AO215" s="10">
        <f t="shared" si="358"/>
        <v>0.43</v>
      </c>
      <c r="AP215" s="10">
        <f t="shared" si="358"/>
        <v>0.43</v>
      </c>
      <c r="AQ215" s="10">
        <f t="shared" si="358"/>
        <v>0.43</v>
      </c>
      <c r="AR215" s="10">
        <f t="shared" si="358"/>
        <v>0.43</v>
      </c>
      <c r="AS215" s="10">
        <f t="shared" si="358"/>
        <v>0.43</v>
      </c>
      <c r="AT215" s="10">
        <f t="shared" si="358"/>
        <v>0.43</v>
      </c>
      <c r="AU215" s="10">
        <f t="shared" si="358"/>
        <v>0.43</v>
      </c>
      <c r="AV215" s="10">
        <f t="shared" si="358"/>
        <v>0.43</v>
      </c>
      <c r="AW215" s="10">
        <f t="shared" si="358"/>
        <v>0.43</v>
      </c>
      <c r="AX215" s="10">
        <f t="shared" si="358"/>
        <v>0.43</v>
      </c>
      <c r="AY215" s="10">
        <f t="shared" si="358"/>
        <v>0.43</v>
      </c>
      <c r="AZ215" s="10">
        <f t="shared" si="358"/>
        <v>0.43</v>
      </c>
      <c r="BA215" s="10">
        <f t="shared" si="358"/>
        <v>0.43</v>
      </c>
      <c r="BB215" s="10">
        <f t="shared" si="358"/>
        <v>0.43</v>
      </c>
      <c r="BC215" s="10">
        <f t="shared" si="358"/>
        <v>0.43</v>
      </c>
      <c r="BD215" s="10">
        <f t="shared" si="358"/>
        <v>0.43</v>
      </c>
      <c r="BE215" s="10">
        <f t="shared" ref="BE215:CP215" si="359">BD215</f>
        <v>0.43</v>
      </c>
      <c r="BF215" s="10">
        <f t="shared" si="359"/>
        <v>0.43</v>
      </c>
      <c r="BG215" s="10">
        <f t="shared" si="359"/>
        <v>0.43</v>
      </c>
      <c r="BH215" s="10">
        <f t="shared" si="359"/>
        <v>0.43</v>
      </c>
      <c r="BI215" s="10">
        <f t="shared" si="359"/>
        <v>0.43</v>
      </c>
      <c r="BJ215" s="10">
        <f t="shared" si="359"/>
        <v>0.43</v>
      </c>
      <c r="BK215" s="10">
        <f t="shared" si="359"/>
        <v>0.43</v>
      </c>
      <c r="BL215" s="10">
        <f t="shared" si="359"/>
        <v>0.43</v>
      </c>
      <c r="BM215" s="10">
        <f t="shared" si="359"/>
        <v>0.43</v>
      </c>
      <c r="BN215" s="10">
        <f t="shared" si="359"/>
        <v>0.43</v>
      </c>
      <c r="BO215" s="10">
        <f t="shared" si="359"/>
        <v>0.43</v>
      </c>
      <c r="BP215" s="10">
        <f t="shared" si="359"/>
        <v>0.43</v>
      </c>
      <c r="BQ215" s="10">
        <f t="shared" si="359"/>
        <v>0.43</v>
      </c>
      <c r="BR215" s="10">
        <f t="shared" si="359"/>
        <v>0.43</v>
      </c>
      <c r="BS215" s="10">
        <f t="shared" si="359"/>
        <v>0.43</v>
      </c>
      <c r="BT215" s="10">
        <f t="shared" si="359"/>
        <v>0.43</v>
      </c>
      <c r="BU215" s="10">
        <f t="shared" si="359"/>
        <v>0.43</v>
      </c>
      <c r="BV215" s="10">
        <f t="shared" si="359"/>
        <v>0.43</v>
      </c>
      <c r="BW215" s="10">
        <f t="shared" si="359"/>
        <v>0.43</v>
      </c>
      <c r="BX215" s="10">
        <f t="shared" si="359"/>
        <v>0.43</v>
      </c>
      <c r="BY215" s="10">
        <f t="shared" si="359"/>
        <v>0.43</v>
      </c>
      <c r="BZ215" s="10">
        <f t="shared" si="359"/>
        <v>0.43</v>
      </c>
      <c r="CA215" s="10">
        <f t="shared" si="359"/>
        <v>0.43</v>
      </c>
      <c r="CB215" s="10">
        <f t="shared" si="359"/>
        <v>0.43</v>
      </c>
      <c r="CC215" s="10">
        <f t="shared" si="359"/>
        <v>0.43</v>
      </c>
      <c r="CD215" s="10">
        <f t="shared" si="359"/>
        <v>0.43</v>
      </c>
      <c r="CE215" s="10">
        <f t="shared" si="359"/>
        <v>0.43</v>
      </c>
      <c r="CF215" s="10">
        <f t="shared" si="359"/>
        <v>0.43</v>
      </c>
      <c r="CG215" s="10">
        <f t="shared" si="359"/>
        <v>0.43</v>
      </c>
      <c r="CH215" s="10">
        <f t="shared" si="359"/>
        <v>0.43</v>
      </c>
      <c r="CI215" s="10">
        <f t="shared" si="359"/>
        <v>0.43</v>
      </c>
      <c r="CJ215" s="10">
        <f t="shared" si="359"/>
        <v>0.43</v>
      </c>
      <c r="CK215" s="10">
        <f t="shared" si="359"/>
        <v>0.43</v>
      </c>
      <c r="CL215" s="10">
        <f t="shared" si="359"/>
        <v>0.43</v>
      </c>
      <c r="CM215" s="10">
        <f t="shared" si="359"/>
        <v>0.43</v>
      </c>
      <c r="CN215" s="10">
        <f t="shared" si="359"/>
        <v>0.43</v>
      </c>
      <c r="CO215" s="10">
        <f t="shared" si="359"/>
        <v>0.43</v>
      </c>
      <c r="CP215" s="10">
        <f t="shared" si="359"/>
        <v>0.43</v>
      </c>
      <c r="CQ215" s="23" t="s">
        <v>77</v>
      </c>
    </row>
    <row r="216" spans="2:95" outlineLevel="1" x14ac:dyDescent="0.2">
      <c r="B216" s="8" t="s">
        <v>564</v>
      </c>
      <c r="Y216" s="9">
        <f t="shared" ref="Y216:BD216" si="360">Y214*Y215*8760/1000</f>
        <v>489.68400000000003</v>
      </c>
      <c r="Z216" s="9">
        <f t="shared" si="360"/>
        <v>489.68400000000003</v>
      </c>
      <c r="AA216" s="9">
        <f t="shared" si="360"/>
        <v>489.68400000000003</v>
      </c>
      <c r="AB216" s="9">
        <f t="shared" si="360"/>
        <v>489.68400000000003</v>
      </c>
      <c r="AC216" s="9">
        <f t="shared" si="360"/>
        <v>489.68400000000003</v>
      </c>
      <c r="AD216" s="9">
        <f t="shared" si="360"/>
        <v>489.68400000000003</v>
      </c>
      <c r="AE216" s="9">
        <f t="shared" si="360"/>
        <v>489.68400000000003</v>
      </c>
      <c r="AF216" s="9">
        <f t="shared" si="360"/>
        <v>489.68400000000003</v>
      </c>
      <c r="AG216" s="9">
        <f t="shared" si="360"/>
        <v>489.68400000000003</v>
      </c>
      <c r="AH216" s="9">
        <f t="shared" si="360"/>
        <v>489.68400000000003</v>
      </c>
      <c r="AI216" s="9">
        <f t="shared" si="360"/>
        <v>489.68400000000003</v>
      </c>
      <c r="AJ216" s="9">
        <f t="shared" si="360"/>
        <v>489.68400000000003</v>
      </c>
      <c r="AK216" s="9">
        <f t="shared" si="360"/>
        <v>489.68400000000003</v>
      </c>
      <c r="AL216" s="9">
        <f t="shared" si="360"/>
        <v>489.68400000000003</v>
      </c>
      <c r="AM216" s="9">
        <f t="shared" si="360"/>
        <v>489.68400000000003</v>
      </c>
      <c r="AN216" s="9">
        <f t="shared" si="360"/>
        <v>489.68400000000003</v>
      </c>
      <c r="AO216" s="9">
        <f t="shared" si="360"/>
        <v>489.68400000000003</v>
      </c>
      <c r="AP216" s="9">
        <f t="shared" si="360"/>
        <v>489.68400000000003</v>
      </c>
      <c r="AQ216" s="9">
        <f t="shared" si="360"/>
        <v>489.68400000000003</v>
      </c>
      <c r="AR216" s="9">
        <f t="shared" si="360"/>
        <v>489.68400000000003</v>
      </c>
      <c r="AS216" s="9">
        <f t="shared" si="360"/>
        <v>489.68400000000003</v>
      </c>
      <c r="AT216" s="9">
        <f t="shared" si="360"/>
        <v>489.68400000000003</v>
      </c>
      <c r="AU216" s="9">
        <f t="shared" si="360"/>
        <v>489.68400000000003</v>
      </c>
      <c r="AV216" s="9">
        <f t="shared" si="360"/>
        <v>489.68400000000003</v>
      </c>
      <c r="AW216" s="9">
        <f t="shared" si="360"/>
        <v>489.68400000000003</v>
      </c>
      <c r="AX216" s="9">
        <f t="shared" si="360"/>
        <v>489.68400000000003</v>
      </c>
      <c r="AY216" s="9">
        <f t="shared" si="360"/>
        <v>489.68400000000003</v>
      </c>
      <c r="AZ216" s="9">
        <f t="shared" si="360"/>
        <v>489.68400000000003</v>
      </c>
      <c r="BA216" s="9">
        <f t="shared" si="360"/>
        <v>489.68400000000003</v>
      </c>
      <c r="BB216" s="9">
        <f t="shared" si="360"/>
        <v>489.68400000000003</v>
      </c>
      <c r="BC216" s="9">
        <f t="shared" si="360"/>
        <v>489.68400000000003</v>
      </c>
      <c r="BD216" s="9">
        <f t="shared" si="360"/>
        <v>489.68400000000003</v>
      </c>
      <c r="BE216" s="9">
        <f t="shared" ref="BE216:CP216" si="361">BE214*BE215*8760/1000</f>
        <v>489.68400000000003</v>
      </c>
      <c r="BF216" s="9">
        <f t="shared" si="361"/>
        <v>489.68400000000003</v>
      </c>
      <c r="BG216" s="9">
        <f t="shared" si="361"/>
        <v>489.68400000000003</v>
      </c>
      <c r="BH216" s="9">
        <f t="shared" si="361"/>
        <v>489.68400000000003</v>
      </c>
      <c r="BI216" s="9">
        <f t="shared" si="361"/>
        <v>489.68400000000003</v>
      </c>
      <c r="BJ216" s="9">
        <f t="shared" si="361"/>
        <v>489.68400000000003</v>
      </c>
      <c r="BK216" s="9">
        <f t="shared" si="361"/>
        <v>489.68400000000003</v>
      </c>
      <c r="BL216" s="9">
        <f t="shared" si="361"/>
        <v>489.68400000000003</v>
      </c>
      <c r="BM216" s="9">
        <f t="shared" si="361"/>
        <v>489.68400000000003</v>
      </c>
      <c r="BN216" s="9">
        <f t="shared" si="361"/>
        <v>489.68400000000003</v>
      </c>
      <c r="BO216" s="9">
        <f t="shared" si="361"/>
        <v>489.68400000000003</v>
      </c>
      <c r="BP216" s="9">
        <f t="shared" si="361"/>
        <v>489.68400000000003</v>
      </c>
      <c r="BQ216" s="9">
        <f t="shared" si="361"/>
        <v>489.68400000000003</v>
      </c>
      <c r="BR216" s="9">
        <f t="shared" si="361"/>
        <v>489.68400000000003</v>
      </c>
      <c r="BS216" s="9">
        <f t="shared" si="361"/>
        <v>489.68400000000003</v>
      </c>
      <c r="BT216" s="9">
        <f t="shared" si="361"/>
        <v>489.68400000000003</v>
      </c>
      <c r="BU216" s="9">
        <f t="shared" si="361"/>
        <v>489.68400000000003</v>
      </c>
      <c r="BV216" s="9">
        <f t="shared" si="361"/>
        <v>489.68400000000003</v>
      </c>
      <c r="BW216" s="9">
        <f t="shared" si="361"/>
        <v>489.68400000000003</v>
      </c>
      <c r="BX216" s="9">
        <f t="shared" si="361"/>
        <v>489.68400000000003</v>
      </c>
      <c r="BY216" s="9">
        <f t="shared" si="361"/>
        <v>489.68400000000003</v>
      </c>
      <c r="BZ216" s="9">
        <f t="shared" si="361"/>
        <v>489.68400000000003</v>
      </c>
      <c r="CA216" s="9">
        <f t="shared" si="361"/>
        <v>489.68400000000003</v>
      </c>
      <c r="CB216" s="9">
        <f t="shared" si="361"/>
        <v>489.68400000000003</v>
      </c>
      <c r="CC216" s="9">
        <f t="shared" si="361"/>
        <v>489.68400000000003</v>
      </c>
      <c r="CD216" s="9">
        <f t="shared" si="361"/>
        <v>489.68400000000003</v>
      </c>
      <c r="CE216" s="9">
        <f t="shared" si="361"/>
        <v>489.68400000000003</v>
      </c>
      <c r="CF216" s="9">
        <f t="shared" si="361"/>
        <v>489.68400000000003</v>
      </c>
      <c r="CG216" s="9">
        <f t="shared" si="361"/>
        <v>489.68400000000003</v>
      </c>
      <c r="CH216" s="9">
        <f t="shared" si="361"/>
        <v>489.68400000000003</v>
      </c>
      <c r="CI216" s="9">
        <f t="shared" si="361"/>
        <v>489.68400000000003</v>
      </c>
      <c r="CJ216" s="9">
        <f t="shared" si="361"/>
        <v>489.68400000000003</v>
      </c>
      <c r="CK216" s="9">
        <f t="shared" si="361"/>
        <v>489.68400000000003</v>
      </c>
      <c r="CL216" s="9">
        <f t="shared" si="361"/>
        <v>489.68400000000003</v>
      </c>
      <c r="CM216" s="9">
        <f t="shared" si="361"/>
        <v>489.68400000000003</v>
      </c>
      <c r="CN216" s="9">
        <f t="shared" si="361"/>
        <v>489.68400000000003</v>
      </c>
      <c r="CO216" s="9">
        <f t="shared" si="361"/>
        <v>489.68400000000003</v>
      </c>
      <c r="CP216" s="9">
        <f t="shared" si="361"/>
        <v>489.68400000000003</v>
      </c>
      <c r="CQ216" s="23" t="s">
        <v>77</v>
      </c>
    </row>
    <row r="217" spans="2:95" x14ac:dyDescent="0.2">
      <c r="CQ217" s="23" t="s">
        <v>77</v>
      </c>
    </row>
    <row r="218" spans="2:95" x14ac:dyDescent="0.2">
      <c r="B218" s="728" t="s">
        <v>594</v>
      </c>
      <c r="C218" s="312"/>
      <c r="D218" s="312"/>
      <c r="E218" s="312"/>
      <c r="F218" s="312">
        <f t="shared" ref="F218:CQ218" si="362">Fiscal_Year</f>
        <v>36707</v>
      </c>
      <c r="G218" s="312">
        <f t="shared" si="362"/>
        <v>37072</v>
      </c>
      <c r="H218" s="312">
        <f t="shared" si="362"/>
        <v>37437</v>
      </c>
      <c r="I218" s="312">
        <f t="shared" si="362"/>
        <v>37802</v>
      </c>
      <c r="J218" s="312">
        <f t="shared" si="362"/>
        <v>38168</v>
      </c>
      <c r="K218" s="312">
        <f t="shared" si="362"/>
        <v>38533</v>
      </c>
      <c r="L218" s="312">
        <f t="shared" si="362"/>
        <v>38898</v>
      </c>
      <c r="M218" s="312">
        <f t="shared" si="362"/>
        <v>39263</v>
      </c>
      <c r="N218" s="312">
        <f t="shared" si="362"/>
        <v>39629</v>
      </c>
      <c r="O218" s="312">
        <f t="shared" si="362"/>
        <v>39994</v>
      </c>
      <c r="P218" s="312">
        <f t="shared" si="362"/>
        <v>40359</v>
      </c>
      <c r="Q218" s="312">
        <f t="shared" si="362"/>
        <v>40724</v>
      </c>
      <c r="R218" s="312">
        <f t="shared" si="362"/>
        <v>41090</v>
      </c>
      <c r="S218" s="312">
        <f t="shared" si="362"/>
        <v>41455</v>
      </c>
      <c r="T218" s="312">
        <f t="shared" si="362"/>
        <v>41820</v>
      </c>
      <c r="U218" s="312">
        <f t="shared" si="362"/>
        <v>42185</v>
      </c>
      <c r="V218" s="312">
        <f t="shared" si="362"/>
        <v>42551</v>
      </c>
      <c r="W218" s="312">
        <f t="shared" si="362"/>
        <v>42916</v>
      </c>
      <c r="X218" s="312">
        <f t="shared" si="362"/>
        <v>43281</v>
      </c>
      <c r="Y218" s="312">
        <f t="shared" si="362"/>
        <v>43646</v>
      </c>
      <c r="Z218" s="312">
        <f t="shared" si="362"/>
        <v>44012</v>
      </c>
      <c r="AA218" s="312">
        <f t="shared" si="362"/>
        <v>44377</v>
      </c>
      <c r="AB218" s="312">
        <f t="shared" si="362"/>
        <v>44742</v>
      </c>
      <c r="AC218" s="312">
        <f t="shared" si="362"/>
        <v>45107</v>
      </c>
      <c r="AD218" s="312">
        <f t="shared" si="362"/>
        <v>45473</v>
      </c>
      <c r="AE218" s="312">
        <f t="shared" si="362"/>
        <v>45838</v>
      </c>
      <c r="AF218" s="312">
        <f t="shared" si="362"/>
        <v>46203</v>
      </c>
      <c r="AG218" s="312">
        <f t="shared" si="362"/>
        <v>46568</v>
      </c>
      <c r="AH218" s="312">
        <f t="shared" si="362"/>
        <v>46934</v>
      </c>
      <c r="AI218" s="312">
        <f t="shared" si="362"/>
        <v>47299</v>
      </c>
      <c r="AJ218" s="312">
        <f t="shared" si="362"/>
        <v>47664</v>
      </c>
      <c r="AK218" s="312">
        <f t="shared" si="362"/>
        <v>48029</v>
      </c>
      <c r="AL218" s="312">
        <f t="shared" si="362"/>
        <v>48395</v>
      </c>
      <c r="AM218" s="312">
        <f t="shared" si="362"/>
        <v>48760</v>
      </c>
      <c r="AN218" s="312">
        <f t="shared" si="362"/>
        <v>49125</v>
      </c>
      <c r="AO218" s="312">
        <f t="shared" si="362"/>
        <v>49490</v>
      </c>
      <c r="AP218" s="312">
        <f t="shared" si="362"/>
        <v>49856</v>
      </c>
      <c r="AQ218" s="312">
        <f t="shared" si="362"/>
        <v>50221</v>
      </c>
      <c r="AR218" s="312">
        <f t="shared" si="362"/>
        <v>50586</v>
      </c>
      <c r="AS218" s="312">
        <f t="shared" si="362"/>
        <v>50951</v>
      </c>
      <c r="AT218" s="312">
        <f t="shared" si="362"/>
        <v>51317</v>
      </c>
      <c r="AU218" s="312">
        <f t="shared" si="362"/>
        <v>51682</v>
      </c>
      <c r="AV218" s="312">
        <f t="shared" si="362"/>
        <v>52047</v>
      </c>
      <c r="AW218" s="312">
        <f t="shared" si="362"/>
        <v>52412</v>
      </c>
      <c r="AX218" s="312">
        <f t="shared" si="362"/>
        <v>52778</v>
      </c>
      <c r="AY218" s="312">
        <f t="shared" si="362"/>
        <v>53143</v>
      </c>
      <c r="AZ218" s="312">
        <f t="shared" si="362"/>
        <v>53508</v>
      </c>
      <c r="BA218" s="312">
        <f t="shared" si="362"/>
        <v>53873</v>
      </c>
      <c r="BB218" s="312">
        <f t="shared" si="362"/>
        <v>54239</v>
      </c>
      <c r="BC218" s="312">
        <f t="shared" si="362"/>
        <v>54604</v>
      </c>
      <c r="BD218" s="312">
        <f t="shared" si="362"/>
        <v>54969</v>
      </c>
      <c r="BE218" s="312">
        <f t="shared" si="362"/>
        <v>55334</v>
      </c>
      <c r="BF218" s="312">
        <f t="shared" si="362"/>
        <v>55700</v>
      </c>
      <c r="BG218" s="312">
        <f t="shared" si="362"/>
        <v>56065</v>
      </c>
      <c r="BH218" s="312">
        <f t="shared" si="362"/>
        <v>56430</v>
      </c>
      <c r="BI218" s="312">
        <f t="shared" si="362"/>
        <v>56795</v>
      </c>
      <c r="BJ218" s="312">
        <f t="shared" si="362"/>
        <v>57161</v>
      </c>
      <c r="BK218" s="312">
        <f t="shared" si="362"/>
        <v>57526</v>
      </c>
      <c r="BL218" s="312">
        <f t="shared" si="362"/>
        <v>57891</v>
      </c>
      <c r="BM218" s="312">
        <f t="shared" si="362"/>
        <v>58256</v>
      </c>
      <c r="BN218" s="312">
        <f t="shared" si="362"/>
        <v>58622</v>
      </c>
      <c r="BO218" s="312">
        <f t="shared" si="362"/>
        <v>58987</v>
      </c>
      <c r="BP218" s="312">
        <f t="shared" si="362"/>
        <v>59352</v>
      </c>
      <c r="BQ218" s="312">
        <f t="shared" si="362"/>
        <v>59717</v>
      </c>
      <c r="BR218" s="312">
        <f t="shared" si="362"/>
        <v>60083</v>
      </c>
      <c r="BS218" s="312">
        <f t="shared" si="362"/>
        <v>60448</v>
      </c>
      <c r="BT218" s="312">
        <f t="shared" si="362"/>
        <v>60813</v>
      </c>
      <c r="BU218" s="312">
        <f t="shared" si="362"/>
        <v>61178</v>
      </c>
      <c r="BV218" s="312">
        <f t="shared" si="362"/>
        <v>61544</v>
      </c>
      <c r="BW218" s="312">
        <f t="shared" si="362"/>
        <v>61909</v>
      </c>
      <c r="BX218" s="312">
        <f t="shared" si="362"/>
        <v>62274</v>
      </c>
      <c r="BY218" s="312">
        <f t="shared" si="362"/>
        <v>62639</v>
      </c>
      <c r="BZ218" s="312">
        <f t="shared" si="362"/>
        <v>63005</v>
      </c>
      <c r="CA218" s="312">
        <f t="shared" si="362"/>
        <v>63370</v>
      </c>
      <c r="CB218" s="312">
        <f t="shared" si="362"/>
        <v>63735</v>
      </c>
      <c r="CC218" s="312">
        <f t="shared" si="362"/>
        <v>64100</v>
      </c>
      <c r="CD218" s="312">
        <f t="shared" si="362"/>
        <v>64466</v>
      </c>
      <c r="CE218" s="312">
        <f t="shared" si="362"/>
        <v>64831</v>
      </c>
      <c r="CF218" s="312">
        <f t="shared" si="362"/>
        <v>65196</v>
      </c>
      <c r="CG218" s="312">
        <f t="shared" si="362"/>
        <v>65561</v>
      </c>
      <c r="CH218" s="312">
        <f t="shared" si="362"/>
        <v>65927</v>
      </c>
      <c r="CI218" s="312">
        <f t="shared" si="362"/>
        <v>66292</v>
      </c>
      <c r="CJ218" s="312">
        <f t="shared" si="362"/>
        <v>66657</v>
      </c>
      <c r="CK218" s="312">
        <f t="shared" si="362"/>
        <v>67022</v>
      </c>
      <c r="CL218" s="312">
        <f t="shared" si="362"/>
        <v>67388</v>
      </c>
      <c r="CM218" s="312">
        <f t="shared" si="362"/>
        <v>67753</v>
      </c>
      <c r="CN218" s="312">
        <f t="shared" si="362"/>
        <v>68118</v>
      </c>
      <c r="CO218" s="312">
        <f t="shared" si="362"/>
        <v>68483</v>
      </c>
      <c r="CP218" s="312">
        <f t="shared" si="362"/>
        <v>68849</v>
      </c>
      <c r="CQ218" s="312">
        <f t="shared" si="362"/>
        <v>0</v>
      </c>
    </row>
    <row r="219" spans="2:95" ht="5.0999999999999996" customHeight="1" outlineLevel="1" x14ac:dyDescent="0.2">
      <c r="B219" s="107"/>
      <c r="D219" s="108"/>
      <c r="E219" s="108"/>
      <c r="F219" s="108"/>
      <c r="G219" s="108"/>
      <c r="H219" s="108"/>
      <c r="I219" s="108"/>
      <c r="J219" s="108"/>
      <c r="K219" s="108"/>
      <c r="L219" s="108"/>
      <c r="M219" s="108"/>
      <c r="N219" s="108"/>
      <c r="O219" s="108"/>
      <c r="P219" s="108"/>
      <c r="Q219" s="108"/>
      <c r="R219" s="108"/>
      <c r="S219" s="108"/>
      <c r="T219" s="108"/>
      <c r="U219" s="108"/>
      <c r="V219" s="108"/>
      <c r="W219" s="108"/>
      <c r="X219" s="108"/>
      <c r="Y219" s="108"/>
      <c r="Z219" s="108"/>
      <c r="AA219" s="108"/>
      <c r="AB219" s="108"/>
      <c r="AC219" s="108"/>
      <c r="AD219" s="108"/>
      <c r="AE219" s="108"/>
      <c r="AF219" s="108"/>
      <c r="AG219" s="108"/>
      <c r="AH219" s="108"/>
      <c r="AI219" s="108"/>
      <c r="AJ219" s="108"/>
      <c r="AK219" s="108"/>
      <c r="AL219" s="108"/>
      <c r="AM219" s="108"/>
      <c r="AN219" s="108"/>
      <c r="AO219" s="108"/>
      <c r="AP219" s="108"/>
      <c r="AQ219" s="108"/>
      <c r="AR219" s="108"/>
      <c r="AS219" s="108"/>
      <c r="AT219" s="108"/>
      <c r="AU219" s="108"/>
      <c r="AV219" s="108"/>
      <c r="AW219" s="108"/>
      <c r="AX219" s="108"/>
      <c r="AY219" s="108"/>
      <c r="AZ219" s="108"/>
      <c r="BA219" s="108"/>
      <c r="BB219" s="108"/>
      <c r="BC219" s="108"/>
      <c r="BD219" s="108"/>
      <c r="BE219" s="108"/>
      <c r="BF219" s="108"/>
      <c r="BG219" s="108"/>
      <c r="BH219" s="108"/>
      <c r="BI219" s="108"/>
      <c r="BJ219" s="108"/>
      <c r="BK219" s="108"/>
      <c r="BL219" s="108"/>
      <c r="BM219" s="108"/>
      <c r="BN219" s="108"/>
      <c r="BO219" s="108"/>
      <c r="BP219" s="108"/>
      <c r="BQ219" s="108"/>
      <c r="BR219" s="108"/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N219" s="108"/>
      <c r="CO219" s="108"/>
      <c r="CP219" s="108"/>
      <c r="CQ219" s="23" t="s">
        <v>77</v>
      </c>
    </row>
    <row r="220" spans="2:95" outlineLevel="1" x14ac:dyDescent="0.2">
      <c r="B220" s="8" t="s">
        <v>562</v>
      </c>
      <c r="X220" s="260">
        <v>20</v>
      </c>
      <c r="Y220" s="9">
        <f t="shared" ref="Y220:BD220" si="363">X220</f>
        <v>20</v>
      </c>
      <c r="Z220" s="9">
        <f t="shared" si="363"/>
        <v>20</v>
      </c>
      <c r="AA220" s="9">
        <f t="shared" si="363"/>
        <v>20</v>
      </c>
      <c r="AB220" s="9">
        <f t="shared" si="363"/>
        <v>20</v>
      </c>
      <c r="AC220" s="9">
        <f t="shared" si="363"/>
        <v>20</v>
      </c>
      <c r="AD220" s="9">
        <f t="shared" si="363"/>
        <v>20</v>
      </c>
      <c r="AE220" s="9">
        <f t="shared" si="363"/>
        <v>20</v>
      </c>
      <c r="AF220" s="9">
        <f t="shared" si="363"/>
        <v>20</v>
      </c>
      <c r="AG220" s="9">
        <f t="shared" si="363"/>
        <v>20</v>
      </c>
      <c r="AH220" s="9">
        <f t="shared" si="363"/>
        <v>20</v>
      </c>
      <c r="AI220" s="9">
        <f t="shared" si="363"/>
        <v>20</v>
      </c>
      <c r="AJ220" s="9">
        <f t="shared" si="363"/>
        <v>20</v>
      </c>
      <c r="AK220" s="9">
        <f t="shared" si="363"/>
        <v>20</v>
      </c>
      <c r="AL220" s="9">
        <f t="shared" si="363"/>
        <v>20</v>
      </c>
      <c r="AM220" s="9">
        <f t="shared" si="363"/>
        <v>20</v>
      </c>
      <c r="AN220" s="9">
        <f t="shared" si="363"/>
        <v>20</v>
      </c>
      <c r="AO220" s="9">
        <f t="shared" si="363"/>
        <v>20</v>
      </c>
      <c r="AP220" s="9">
        <f t="shared" si="363"/>
        <v>20</v>
      </c>
      <c r="AQ220" s="9">
        <f t="shared" si="363"/>
        <v>20</v>
      </c>
      <c r="AR220" s="9">
        <f t="shared" si="363"/>
        <v>20</v>
      </c>
      <c r="AS220" s="9">
        <f t="shared" si="363"/>
        <v>20</v>
      </c>
      <c r="AT220" s="9">
        <f t="shared" si="363"/>
        <v>20</v>
      </c>
      <c r="AU220" s="9">
        <f t="shared" si="363"/>
        <v>20</v>
      </c>
      <c r="AV220" s="9">
        <f t="shared" si="363"/>
        <v>20</v>
      </c>
      <c r="AW220" s="9">
        <f t="shared" si="363"/>
        <v>20</v>
      </c>
      <c r="AX220" s="9">
        <f t="shared" si="363"/>
        <v>20</v>
      </c>
      <c r="AY220" s="9">
        <f t="shared" si="363"/>
        <v>20</v>
      </c>
      <c r="AZ220" s="9">
        <f t="shared" si="363"/>
        <v>20</v>
      </c>
      <c r="BA220" s="9">
        <f t="shared" si="363"/>
        <v>20</v>
      </c>
      <c r="BB220" s="9">
        <f t="shared" si="363"/>
        <v>20</v>
      </c>
      <c r="BC220" s="9">
        <f t="shared" si="363"/>
        <v>20</v>
      </c>
      <c r="BD220" s="9">
        <f t="shared" si="363"/>
        <v>20</v>
      </c>
      <c r="BE220" s="9">
        <f t="shared" ref="BE220:CJ220" si="364">BD220</f>
        <v>20</v>
      </c>
      <c r="BF220" s="9">
        <f t="shared" si="364"/>
        <v>20</v>
      </c>
      <c r="BG220" s="9">
        <f t="shared" si="364"/>
        <v>20</v>
      </c>
      <c r="BH220" s="9">
        <f t="shared" si="364"/>
        <v>20</v>
      </c>
      <c r="BI220" s="9">
        <f t="shared" si="364"/>
        <v>20</v>
      </c>
      <c r="BJ220" s="9">
        <f t="shared" si="364"/>
        <v>20</v>
      </c>
      <c r="BK220" s="9">
        <f t="shared" si="364"/>
        <v>20</v>
      </c>
      <c r="BL220" s="9">
        <f t="shared" si="364"/>
        <v>20</v>
      </c>
      <c r="BM220" s="9">
        <f t="shared" si="364"/>
        <v>20</v>
      </c>
      <c r="BN220" s="9">
        <f t="shared" si="364"/>
        <v>20</v>
      </c>
      <c r="BO220" s="9">
        <f t="shared" si="364"/>
        <v>20</v>
      </c>
      <c r="BP220" s="9">
        <f t="shared" si="364"/>
        <v>20</v>
      </c>
      <c r="BQ220" s="9">
        <f t="shared" si="364"/>
        <v>20</v>
      </c>
      <c r="BR220" s="9">
        <f t="shared" si="364"/>
        <v>20</v>
      </c>
      <c r="BS220" s="9">
        <f t="shared" si="364"/>
        <v>20</v>
      </c>
      <c r="BT220" s="9">
        <f t="shared" si="364"/>
        <v>20</v>
      </c>
      <c r="BU220" s="9">
        <f t="shared" si="364"/>
        <v>20</v>
      </c>
      <c r="BV220" s="9">
        <f t="shared" si="364"/>
        <v>20</v>
      </c>
      <c r="BW220" s="9">
        <f t="shared" si="364"/>
        <v>20</v>
      </c>
      <c r="BX220" s="9">
        <f t="shared" si="364"/>
        <v>20</v>
      </c>
      <c r="BY220" s="9">
        <f t="shared" si="364"/>
        <v>20</v>
      </c>
      <c r="BZ220" s="9">
        <f t="shared" si="364"/>
        <v>20</v>
      </c>
      <c r="CA220" s="9">
        <f t="shared" si="364"/>
        <v>20</v>
      </c>
      <c r="CB220" s="9">
        <f t="shared" si="364"/>
        <v>20</v>
      </c>
      <c r="CC220" s="9">
        <f t="shared" si="364"/>
        <v>20</v>
      </c>
      <c r="CD220" s="9">
        <f t="shared" si="364"/>
        <v>20</v>
      </c>
      <c r="CE220" s="9">
        <f t="shared" si="364"/>
        <v>20</v>
      </c>
      <c r="CF220" s="9">
        <f t="shared" si="364"/>
        <v>20</v>
      </c>
      <c r="CG220" s="9">
        <f t="shared" si="364"/>
        <v>20</v>
      </c>
      <c r="CH220" s="9">
        <f t="shared" si="364"/>
        <v>20</v>
      </c>
      <c r="CI220" s="9">
        <f t="shared" si="364"/>
        <v>20</v>
      </c>
      <c r="CJ220" s="9">
        <f t="shared" si="364"/>
        <v>20</v>
      </c>
      <c r="CK220" s="9">
        <f t="shared" ref="CK220:CP220" si="365">CJ220</f>
        <v>20</v>
      </c>
      <c r="CL220" s="9">
        <f t="shared" si="365"/>
        <v>20</v>
      </c>
      <c r="CM220" s="9">
        <f t="shared" si="365"/>
        <v>20</v>
      </c>
      <c r="CN220" s="9">
        <f t="shared" si="365"/>
        <v>20</v>
      </c>
      <c r="CO220" s="9">
        <f t="shared" si="365"/>
        <v>20</v>
      </c>
      <c r="CP220" s="9">
        <f t="shared" si="365"/>
        <v>20</v>
      </c>
      <c r="CQ220" s="23" t="s">
        <v>77</v>
      </c>
    </row>
    <row r="221" spans="2:95" outlineLevel="1" x14ac:dyDescent="0.2">
      <c r="B221" s="8" t="s">
        <v>563</v>
      </c>
      <c r="S221" s="10"/>
      <c r="T221" s="10"/>
      <c r="U221" s="10"/>
      <c r="V221" s="10"/>
      <c r="W221" s="10"/>
      <c r="X221" s="261">
        <v>0.2</v>
      </c>
      <c r="Y221" s="10">
        <f t="shared" ref="Y221:BD221" si="366">X221</f>
        <v>0.2</v>
      </c>
      <c r="Z221" s="10">
        <f t="shared" si="366"/>
        <v>0.2</v>
      </c>
      <c r="AA221" s="10">
        <f t="shared" si="366"/>
        <v>0.2</v>
      </c>
      <c r="AB221" s="10">
        <f t="shared" si="366"/>
        <v>0.2</v>
      </c>
      <c r="AC221" s="10">
        <f t="shared" si="366"/>
        <v>0.2</v>
      </c>
      <c r="AD221" s="10">
        <f t="shared" si="366"/>
        <v>0.2</v>
      </c>
      <c r="AE221" s="10">
        <f t="shared" si="366"/>
        <v>0.2</v>
      </c>
      <c r="AF221" s="10">
        <f t="shared" si="366"/>
        <v>0.2</v>
      </c>
      <c r="AG221" s="10">
        <f t="shared" si="366"/>
        <v>0.2</v>
      </c>
      <c r="AH221" s="10">
        <f t="shared" si="366"/>
        <v>0.2</v>
      </c>
      <c r="AI221" s="10">
        <f t="shared" si="366"/>
        <v>0.2</v>
      </c>
      <c r="AJ221" s="10">
        <f t="shared" si="366"/>
        <v>0.2</v>
      </c>
      <c r="AK221" s="10">
        <f t="shared" si="366"/>
        <v>0.2</v>
      </c>
      <c r="AL221" s="10">
        <f t="shared" si="366"/>
        <v>0.2</v>
      </c>
      <c r="AM221" s="10">
        <f t="shared" si="366"/>
        <v>0.2</v>
      </c>
      <c r="AN221" s="10">
        <f t="shared" si="366"/>
        <v>0.2</v>
      </c>
      <c r="AO221" s="10">
        <f t="shared" si="366"/>
        <v>0.2</v>
      </c>
      <c r="AP221" s="10">
        <f t="shared" si="366"/>
        <v>0.2</v>
      </c>
      <c r="AQ221" s="10">
        <f t="shared" si="366"/>
        <v>0.2</v>
      </c>
      <c r="AR221" s="10">
        <f t="shared" si="366"/>
        <v>0.2</v>
      </c>
      <c r="AS221" s="10">
        <f t="shared" si="366"/>
        <v>0.2</v>
      </c>
      <c r="AT221" s="10">
        <f t="shared" si="366"/>
        <v>0.2</v>
      </c>
      <c r="AU221" s="10">
        <f t="shared" si="366"/>
        <v>0.2</v>
      </c>
      <c r="AV221" s="10">
        <f t="shared" si="366"/>
        <v>0.2</v>
      </c>
      <c r="AW221" s="10">
        <f t="shared" si="366"/>
        <v>0.2</v>
      </c>
      <c r="AX221" s="10">
        <f t="shared" si="366"/>
        <v>0.2</v>
      </c>
      <c r="AY221" s="10">
        <f t="shared" si="366"/>
        <v>0.2</v>
      </c>
      <c r="AZ221" s="10">
        <f t="shared" si="366"/>
        <v>0.2</v>
      </c>
      <c r="BA221" s="10">
        <f t="shared" si="366"/>
        <v>0.2</v>
      </c>
      <c r="BB221" s="10">
        <f t="shared" si="366"/>
        <v>0.2</v>
      </c>
      <c r="BC221" s="10">
        <f t="shared" si="366"/>
        <v>0.2</v>
      </c>
      <c r="BD221" s="10">
        <f t="shared" si="366"/>
        <v>0.2</v>
      </c>
      <c r="BE221" s="10">
        <f t="shared" ref="BE221:CJ221" si="367">BD221</f>
        <v>0.2</v>
      </c>
      <c r="BF221" s="10">
        <f t="shared" si="367"/>
        <v>0.2</v>
      </c>
      <c r="BG221" s="10">
        <f t="shared" si="367"/>
        <v>0.2</v>
      </c>
      <c r="BH221" s="10">
        <f t="shared" si="367"/>
        <v>0.2</v>
      </c>
      <c r="BI221" s="10">
        <f t="shared" si="367"/>
        <v>0.2</v>
      </c>
      <c r="BJ221" s="10">
        <f t="shared" si="367"/>
        <v>0.2</v>
      </c>
      <c r="BK221" s="10">
        <f t="shared" si="367"/>
        <v>0.2</v>
      </c>
      <c r="BL221" s="10">
        <f t="shared" si="367"/>
        <v>0.2</v>
      </c>
      <c r="BM221" s="10">
        <f t="shared" si="367"/>
        <v>0.2</v>
      </c>
      <c r="BN221" s="10">
        <f t="shared" si="367"/>
        <v>0.2</v>
      </c>
      <c r="BO221" s="10">
        <f t="shared" si="367"/>
        <v>0.2</v>
      </c>
      <c r="BP221" s="10">
        <f t="shared" si="367"/>
        <v>0.2</v>
      </c>
      <c r="BQ221" s="10">
        <f t="shared" si="367"/>
        <v>0.2</v>
      </c>
      <c r="BR221" s="10">
        <f t="shared" si="367"/>
        <v>0.2</v>
      </c>
      <c r="BS221" s="10">
        <f t="shared" si="367"/>
        <v>0.2</v>
      </c>
      <c r="BT221" s="10">
        <f t="shared" si="367"/>
        <v>0.2</v>
      </c>
      <c r="BU221" s="10">
        <f t="shared" si="367"/>
        <v>0.2</v>
      </c>
      <c r="BV221" s="10">
        <f t="shared" si="367"/>
        <v>0.2</v>
      </c>
      <c r="BW221" s="10">
        <f t="shared" si="367"/>
        <v>0.2</v>
      </c>
      <c r="BX221" s="10">
        <f t="shared" si="367"/>
        <v>0.2</v>
      </c>
      <c r="BY221" s="10">
        <f t="shared" si="367"/>
        <v>0.2</v>
      </c>
      <c r="BZ221" s="10">
        <f t="shared" si="367"/>
        <v>0.2</v>
      </c>
      <c r="CA221" s="10">
        <f t="shared" si="367"/>
        <v>0.2</v>
      </c>
      <c r="CB221" s="10">
        <f t="shared" si="367"/>
        <v>0.2</v>
      </c>
      <c r="CC221" s="10">
        <f t="shared" si="367"/>
        <v>0.2</v>
      </c>
      <c r="CD221" s="10">
        <f t="shared" si="367"/>
        <v>0.2</v>
      </c>
      <c r="CE221" s="10">
        <f t="shared" si="367"/>
        <v>0.2</v>
      </c>
      <c r="CF221" s="10">
        <f t="shared" si="367"/>
        <v>0.2</v>
      </c>
      <c r="CG221" s="10">
        <f t="shared" si="367"/>
        <v>0.2</v>
      </c>
      <c r="CH221" s="10">
        <f t="shared" si="367"/>
        <v>0.2</v>
      </c>
      <c r="CI221" s="10">
        <f t="shared" si="367"/>
        <v>0.2</v>
      </c>
      <c r="CJ221" s="10">
        <f t="shared" si="367"/>
        <v>0.2</v>
      </c>
      <c r="CK221" s="10">
        <f t="shared" ref="CK221:CP221" si="368">CJ221</f>
        <v>0.2</v>
      </c>
      <c r="CL221" s="10">
        <f t="shared" si="368"/>
        <v>0.2</v>
      </c>
      <c r="CM221" s="10">
        <f t="shared" si="368"/>
        <v>0.2</v>
      </c>
      <c r="CN221" s="10">
        <f t="shared" si="368"/>
        <v>0.2</v>
      </c>
      <c r="CO221" s="10">
        <f t="shared" si="368"/>
        <v>0.2</v>
      </c>
      <c r="CP221" s="10">
        <f t="shared" si="368"/>
        <v>0.2</v>
      </c>
      <c r="CQ221" s="23" t="s">
        <v>77</v>
      </c>
    </row>
    <row r="222" spans="2:95" outlineLevel="1" x14ac:dyDescent="0.2">
      <c r="B222" s="8" t="s">
        <v>564</v>
      </c>
      <c r="X222" s="9">
        <f>X220*X221*8760/1000</f>
        <v>35.04</v>
      </c>
      <c r="Y222" s="9">
        <f>Y220*Y221*8760/1000</f>
        <v>35.04</v>
      </c>
      <c r="Z222" s="9">
        <f t="shared" ref="Z222:CJ222" si="369">Z220*Z221*8760/1000</f>
        <v>35.04</v>
      </c>
      <c r="AA222" s="9">
        <f t="shared" si="369"/>
        <v>35.04</v>
      </c>
      <c r="AB222" s="9">
        <f t="shared" si="369"/>
        <v>35.04</v>
      </c>
      <c r="AC222" s="9">
        <f t="shared" si="369"/>
        <v>35.04</v>
      </c>
      <c r="AD222" s="9">
        <f t="shared" si="369"/>
        <v>35.04</v>
      </c>
      <c r="AE222" s="9">
        <f t="shared" si="369"/>
        <v>35.04</v>
      </c>
      <c r="AF222" s="9">
        <f t="shared" si="369"/>
        <v>35.04</v>
      </c>
      <c r="AG222" s="9">
        <f t="shared" si="369"/>
        <v>35.04</v>
      </c>
      <c r="AH222" s="9">
        <f t="shared" si="369"/>
        <v>35.04</v>
      </c>
      <c r="AI222" s="9">
        <f t="shared" si="369"/>
        <v>35.04</v>
      </c>
      <c r="AJ222" s="9">
        <f t="shared" si="369"/>
        <v>35.04</v>
      </c>
      <c r="AK222" s="9">
        <f t="shared" si="369"/>
        <v>35.04</v>
      </c>
      <c r="AL222" s="9">
        <f t="shared" si="369"/>
        <v>35.04</v>
      </c>
      <c r="AM222" s="9">
        <f t="shared" si="369"/>
        <v>35.04</v>
      </c>
      <c r="AN222" s="9">
        <f t="shared" si="369"/>
        <v>35.04</v>
      </c>
      <c r="AO222" s="9">
        <f t="shared" si="369"/>
        <v>35.04</v>
      </c>
      <c r="AP222" s="9">
        <f t="shared" si="369"/>
        <v>35.04</v>
      </c>
      <c r="AQ222" s="9">
        <f t="shared" si="369"/>
        <v>35.04</v>
      </c>
      <c r="AR222" s="9">
        <f t="shared" si="369"/>
        <v>35.04</v>
      </c>
      <c r="AS222" s="9">
        <f t="shared" si="369"/>
        <v>35.04</v>
      </c>
      <c r="AT222" s="9">
        <f t="shared" si="369"/>
        <v>35.04</v>
      </c>
      <c r="AU222" s="9">
        <f t="shared" si="369"/>
        <v>35.04</v>
      </c>
      <c r="AV222" s="9">
        <f t="shared" si="369"/>
        <v>35.04</v>
      </c>
      <c r="AW222" s="9">
        <f t="shared" si="369"/>
        <v>35.04</v>
      </c>
      <c r="AX222" s="9">
        <f t="shared" si="369"/>
        <v>35.04</v>
      </c>
      <c r="AY222" s="9">
        <f t="shared" si="369"/>
        <v>35.04</v>
      </c>
      <c r="AZ222" s="9">
        <f t="shared" si="369"/>
        <v>35.04</v>
      </c>
      <c r="BA222" s="9">
        <f t="shared" si="369"/>
        <v>35.04</v>
      </c>
      <c r="BB222" s="9">
        <f t="shared" si="369"/>
        <v>35.04</v>
      </c>
      <c r="BC222" s="9">
        <f t="shared" si="369"/>
        <v>35.04</v>
      </c>
      <c r="BD222" s="9">
        <f t="shared" si="369"/>
        <v>35.04</v>
      </c>
      <c r="BE222" s="9">
        <f t="shared" si="369"/>
        <v>35.04</v>
      </c>
      <c r="BF222" s="9">
        <f t="shared" si="369"/>
        <v>35.04</v>
      </c>
      <c r="BG222" s="9">
        <f t="shared" si="369"/>
        <v>35.04</v>
      </c>
      <c r="BH222" s="9">
        <f t="shared" si="369"/>
        <v>35.04</v>
      </c>
      <c r="BI222" s="9">
        <f t="shared" si="369"/>
        <v>35.04</v>
      </c>
      <c r="BJ222" s="9">
        <f t="shared" si="369"/>
        <v>35.04</v>
      </c>
      <c r="BK222" s="9">
        <f t="shared" si="369"/>
        <v>35.04</v>
      </c>
      <c r="BL222" s="9">
        <f t="shared" si="369"/>
        <v>35.04</v>
      </c>
      <c r="BM222" s="9">
        <f t="shared" si="369"/>
        <v>35.04</v>
      </c>
      <c r="BN222" s="9">
        <f t="shared" si="369"/>
        <v>35.04</v>
      </c>
      <c r="BO222" s="9">
        <f t="shared" si="369"/>
        <v>35.04</v>
      </c>
      <c r="BP222" s="9">
        <f t="shared" si="369"/>
        <v>35.04</v>
      </c>
      <c r="BQ222" s="9">
        <f t="shared" si="369"/>
        <v>35.04</v>
      </c>
      <c r="BR222" s="9">
        <f t="shared" si="369"/>
        <v>35.04</v>
      </c>
      <c r="BS222" s="9">
        <f t="shared" si="369"/>
        <v>35.04</v>
      </c>
      <c r="BT222" s="9">
        <f t="shared" si="369"/>
        <v>35.04</v>
      </c>
      <c r="BU222" s="9">
        <f t="shared" si="369"/>
        <v>35.04</v>
      </c>
      <c r="BV222" s="9">
        <f t="shared" si="369"/>
        <v>35.04</v>
      </c>
      <c r="BW222" s="9">
        <f t="shared" si="369"/>
        <v>35.04</v>
      </c>
      <c r="BX222" s="9">
        <f t="shared" si="369"/>
        <v>35.04</v>
      </c>
      <c r="BY222" s="9">
        <f t="shared" si="369"/>
        <v>35.04</v>
      </c>
      <c r="BZ222" s="9">
        <f t="shared" si="369"/>
        <v>35.04</v>
      </c>
      <c r="CA222" s="9">
        <f t="shared" si="369"/>
        <v>35.04</v>
      </c>
      <c r="CB222" s="9">
        <f t="shared" si="369"/>
        <v>35.04</v>
      </c>
      <c r="CC222" s="9">
        <f t="shared" si="369"/>
        <v>35.04</v>
      </c>
      <c r="CD222" s="9">
        <f t="shared" si="369"/>
        <v>35.04</v>
      </c>
      <c r="CE222" s="9">
        <f t="shared" si="369"/>
        <v>35.04</v>
      </c>
      <c r="CF222" s="9">
        <f t="shared" si="369"/>
        <v>35.04</v>
      </c>
      <c r="CG222" s="9">
        <f t="shared" si="369"/>
        <v>35.04</v>
      </c>
      <c r="CH222" s="9">
        <f t="shared" si="369"/>
        <v>35.04</v>
      </c>
      <c r="CI222" s="9">
        <f t="shared" si="369"/>
        <v>35.04</v>
      </c>
      <c r="CJ222" s="9">
        <f t="shared" si="369"/>
        <v>35.04</v>
      </c>
      <c r="CK222" s="9">
        <f t="shared" ref="CK222:CP222" si="370">CK220*CK221*8760/1000</f>
        <v>35.04</v>
      </c>
      <c r="CL222" s="9">
        <f t="shared" si="370"/>
        <v>35.04</v>
      </c>
      <c r="CM222" s="9">
        <f t="shared" si="370"/>
        <v>35.04</v>
      </c>
      <c r="CN222" s="9">
        <f t="shared" si="370"/>
        <v>35.04</v>
      </c>
      <c r="CO222" s="9">
        <f t="shared" si="370"/>
        <v>35.04</v>
      </c>
      <c r="CP222" s="9">
        <f t="shared" si="370"/>
        <v>35.04</v>
      </c>
      <c r="CQ222" s="23" t="s">
        <v>77</v>
      </c>
    </row>
    <row r="223" spans="2:95" x14ac:dyDescent="0.2">
      <c r="CQ223" s="23" t="s">
        <v>77</v>
      </c>
    </row>
    <row r="224" spans="2:95" x14ac:dyDescent="0.2">
      <c r="CQ224" s="23" t="s">
        <v>77</v>
      </c>
    </row>
    <row r="225" spans="95:95" x14ac:dyDescent="0.2">
      <c r="CQ225" s="23" t="s">
        <v>77</v>
      </c>
    </row>
    <row r="226" spans="95:95" x14ac:dyDescent="0.2">
      <c r="CQ226" s="23" t="s">
        <v>77</v>
      </c>
    </row>
    <row r="227" spans="95:95" x14ac:dyDescent="0.2">
      <c r="CQ227" s="23" t="s">
        <v>77</v>
      </c>
    </row>
    <row r="228" spans="95:95" x14ac:dyDescent="0.2">
      <c r="CQ228" s="23" t="s">
        <v>77</v>
      </c>
    </row>
    <row r="229" spans="95:95" x14ac:dyDescent="0.2">
      <c r="CQ229" s="23" t="s">
        <v>77</v>
      </c>
    </row>
    <row r="230" spans="95:95" x14ac:dyDescent="0.2">
      <c r="CQ230" s="23" t="s">
        <v>77</v>
      </c>
    </row>
    <row r="231" spans="95:95" x14ac:dyDescent="0.2">
      <c r="CQ231" s="23" t="s">
        <v>77</v>
      </c>
    </row>
    <row r="232" spans="95:95" x14ac:dyDescent="0.2">
      <c r="CQ232" s="23" t="s">
        <v>77</v>
      </c>
    </row>
    <row r="233" spans="95:95" x14ac:dyDescent="0.2">
      <c r="CQ233" s="23" t="s">
        <v>77</v>
      </c>
    </row>
    <row r="234" spans="95:95" x14ac:dyDescent="0.2">
      <c r="CQ234" s="23" t="s">
        <v>77</v>
      </c>
    </row>
    <row r="235" spans="95:95" x14ac:dyDescent="0.2">
      <c r="CQ235" s="23" t="s">
        <v>77</v>
      </c>
    </row>
    <row r="236" spans="95:95" x14ac:dyDescent="0.2">
      <c r="CQ236" s="23" t="s">
        <v>77</v>
      </c>
    </row>
    <row r="237" spans="95:95" x14ac:dyDescent="0.2">
      <c r="CQ237" s="23" t="s">
        <v>77</v>
      </c>
    </row>
    <row r="238" spans="95:95" x14ac:dyDescent="0.2">
      <c r="CQ238" s="23" t="s">
        <v>77</v>
      </c>
    </row>
    <row r="239" spans="95:95" x14ac:dyDescent="0.2">
      <c r="CQ239" s="23" t="s">
        <v>77</v>
      </c>
    </row>
    <row r="240" spans="95:95" x14ac:dyDescent="0.2">
      <c r="CQ240" s="23" t="s">
        <v>77</v>
      </c>
    </row>
    <row r="241" spans="95:95" x14ac:dyDescent="0.2">
      <c r="CQ241" s="23" t="s">
        <v>77</v>
      </c>
    </row>
    <row r="242" spans="95:95" x14ac:dyDescent="0.2">
      <c r="CQ242" s="23" t="s">
        <v>77</v>
      </c>
    </row>
    <row r="243" spans="95:95" x14ac:dyDescent="0.2">
      <c r="CQ243" s="23" t="s">
        <v>77</v>
      </c>
    </row>
    <row r="244" spans="95:95" x14ac:dyDescent="0.2">
      <c r="CQ244" s="23" t="s">
        <v>77</v>
      </c>
    </row>
    <row r="245" spans="95:95" x14ac:dyDescent="0.2">
      <c r="CQ245" s="23" t="s">
        <v>77</v>
      </c>
    </row>
    <row r="246" spans="95:95" x14ac:dyDescent="0.2">
      <c r="CQ246" s="23" t="s">
        <v>77</v>
      </c>
    </row>
    <row r="247" spans="95:95" x14ac:dyDescent="0.2">
      <c r="CQ247" s="23"/>
    </row>
    <row r="248" spans="95:95" x14ac:dyDescent="0.2">
      <c r="CQ248" s="23" t="s">
        <v>77</v>
      </c>
    </row>
    <row r="249" spans="95:95" x14ac:dyDescent="0.2">
      <c r="CQ249" s="23" t="s">
        <v>77</v>
      </c>
    </row>
    <row r="250" spans="95:95" x14ac:dyDescent="0.2">
      <c r="CQ250" s="23" t="s">
        <v>77</v>
      </c>
    </row>
    <row r="251" spans="95:95" x14ac:dyDescent="0.2">
      <c r="CQ251" s="23" t="s">
        <v>77</v>
      </c>
    </row>
    <row r="252" spans="95:95" x14ac:dyDescent="0.2">
      <c r="CQ252" s="23" t="s">
        <v>77</v>
      </c>
    </row>
    <row r="253" spans="95:95" x14ac:dyDescent="0.2">
      <c r="CQ253" s="23" t="s">
        <v>77</v>
      </c>
    </row>
    <row r="254" spans="95:95" x14ac:dyDescent="0.2">
      <c r="CQ254" s="23" t="s">
        <v>77</v>
      </c>
    </row>
    <row r="255" spans="95:95" x14ac:dyDescent="0.2">
      <c r="CQ255" s="23" t="s">
        <v>77</v>
      </c>
    </row>
    <row r="256" spans="95:95" x14ac:dyDescent="0.2">
      <c r="CQ256" s="23" t="s">
        <v>77</v>
      </c>
    </row>
    <row r="257" spans="95:95" x14ac:dyDescent="0.2">
      <c r="CQ257" s="23" t="s">
        <v>77</v>
      </c>
    </row>
    <row r="258" spans="95:95" x14ac:dyDescent="0.2">
      <c r="CQ258" s="23" t="s">
        <v>77</v>
      </c>
    </row>
    <row r="259" spans="95:95" x14ac:dyDescent="0.2">
      <c r="CQ259" s="23" t="s">
        <v>77</v>
      </c>
    </row>
    <row r="260" spans="95:95" x14ac:dyDescent="0.2">
      <c r="CQ260" s="23" t="s">
        <v>77</v>
      </c>
    </row>
    <row r="261" spans="95:95" x14ac:dyDescent="0.2">
      <c r="CQ261" s="23" t="s">
        <v>77</v>
      </c>
    </row>
    <row r="262" spans="95:95" x14ac:dyDescent="0.2">
      <c r="CQ262" s="23" t="s">
        <v>77</v>
      </c>
    </row>
    <row r="263" spans="95:95" x14ac:dyDescent="0.2">
      <c r="CQ263" s="23" t="s">
        <v>77</v>
      </c>
    </row>
    <row r="264" spans="95:95" x14ac:dyDescent="0.2">
      <c r="CQ264" s="23" t="s">
        <v>77</v>
      </c>
    </row>
    <row r="265" spans="95:95" x14ac:dyDescent="0.2">
      <c r="CQ265" s="23" t="s">
        <v>77</v>
      </c>
    </row>
    <row r="266" spans="95:95" x14ac:dyDescent="0.2">
      <c r="CQ266" s="23" t="s">
        <v>77</v>
      </c>
    </row>
    <row r="267" spans="95:95" x14ac:dyDescent="0.2">
      <c r="CQ267" s="23" t="s">
        <v>77</v>
      </c>
    </row>
    <row r="268" spans="95:95" x14ac:dyDescent="0.2">
      <c r="CQ268" s="23" t="s">
        <v>77</v>
      </c>
    </row>
    <row r="269" spans="95:95" x14ac:dyDescent="0.2">
      <c r="CQ269" s="23" t="s">
        <v>77</v>
      </c>
    </row>
    <row r="270" spans="95:95" x14ac:dyDescent="0.2">
      <c r="CQ270" s="23" t="s">
        <v>77</v>
      </c>
    </row>
    <row r="271" spans="95:95" x14ac:dyDescent="0.2">
      <c r="CQ271" s="23" t="s">
        <v>77</v>
      </c>
    </row>
    <row r="272" spans="95:95" x14ac:dyDescent="0.2">
      <c r="CQ272" s="23" t="s">
        <v>77</v>
      </c>
    </row>
    <row r="273" spans="95:95" x14ac:dyDescent="0.2">
      <c r="CQ273" s="23" t="s">
        <v>77</v>
      </c>
    </row>
    <row r="274" spans="95:95" x14ac:dyDescent="0.2">
      <c r="CQ274" s="23" t="s">
        <v>77</v>
      </c>
    </row>
    <row r="275" spans="95:95" x14ac:dyDescent="0.2">
      <c r="CQ275" s="23" t="s">
        <v>77</v>
      </c>
    </row>
    <row r="276" spans="95:95" x14ac:dyDescent="0.2">
      <c r="CQ276" s="23" t="s">
        <v>77</v>
      </c>
    </row>
    <row r="277" spans="95:95" x14ac:dyDescent="0.2">
      <c r="CQ277" s="23" t="s">
        <v>77</v>
      </c>
    </row>
    <row r="278" spans="95:95" x14ac:dyDescent="0.2">
      <c r="CQ278" s="23" t="s">
        <v>77</v>
      </c>
    </row>
    <row r="279" spans="95:95" x14ac:dyDescent="0.2">
      <c r="CQ279" s="23" t="s">
        <v>77</v>
      </c>
    </row>
    <row r="280" spans="95:95" x14ac:dyDescent="0.2">
      <c r="CQ280" s="23" t="s">
        <v>77</v>
      </c>
    </row>
    <row r="281" spans="95:95" x14ac:dyDescent="0.2">
      <c r="CQ281" s="23" t="s">
        <v>77</v>
      </c>
    </row>
    <row r="282" spans="95:95" x14ac:dyDescent="0.2">
      <c r="CQ282" s="23" t="s">
        <v>77</v>
      </c>
    </row>
    <row r="283" spans="95:95" x14ac:dyDescent="0.2">
      <c r="CQ283" s="23" t="s">
        <v>77</v>
      </c>
    </row>
    <row r="284" spans="95:95" x14ac:dyDescent="0.2">
      <c r="CQ284" s="23" t="s">
        <v>77</v>
      </c>
    </row>
    <row r="285" spans="95:95" x14ac:dyDescent="0.2">
      <c r="CQ285" s="23" t="s">
        <v>77</v>
      </c>
    </row>
    <row r="286" spans="95:95" x14ac:dyDescent="0.2">
      <c r="CQ286" s="23" t="s">
        <v>77</v>
      </c>
    </row>
    <row r="287" spans="95:95" x14ac:dyDescent="0.2">
      <c r="CQ287" s="23" t="s">
        <v>77</v>
      </c>
    </row>
    <row r="288" spans="95:95" x14ac:dyDescent="0.2">
      <c r="CQ288" s="23" t="s">
        <v>77</v>
      </c>
    </row>
    <row r="289" spans="95:95" x14ac:dyDescent="0.2">
      <c r="CQ289" s="23" t="s">
        <v>77</v>
      </c>
    </row>
    <row r="290" spans="95:95" x14ac:dyDescent="0.2">
      <c r="CQ290" s="23" t="s">
        <v>77</v>
      </c>
    </row>
    <row r="291" spans="95:95" x14ac:dyDescent="0.2">
      <c r="CQ291" s="23" t="s">
        <v>77</v>
      </c>
    </row>
    <row r="292" spans="95:95" x14ac:dyDescent="0.2">
      <c r="CQ292" s="23" t="s">
        <v>77</v>
      </c>
    </row>
    <row r="293" spans="95:95" x14ac:dyDescent="0.2">
      <c r="CQ293" s="23" t="s">
        <v>77</v>
      </c>
    </row>
    <row r="294" spans="95:95" x14ac:dyDescent="0.2">
      <c r="CQ294" s="23" t="s">
        <v>77</v>
      </c>
    </row>
    <row r="295" spans="95:95" x14ac:dyDescent="0.2">
      <c r="CQ295" s="23" t="s">
        <v>77</v>
      </c>
    </row>
    <row r="296" spans="95:95" x14ac:dyDescent="0.2">
      <c r="CQ296" s="23" t="s">
        <v>77</v>
      </c>
    </row>
    <row r="297" spans="95:95" x14ac:dyDescent="0.2">
      <c r="CQ297" s="23" t="s">
        <v>77</v>
      </c>
    </row>
    <row r="298" spans="95:95" x14ac:dyDescent="0.2">
      <c r="CQ298" s="23" t="s">
        <v>77</v>
      </c>
    </row>
    <row r="299" spans="95:95" x14ac:dyDescent="0.2">
      <c r="CQ299" s="23" t="s">
        <v>77</v>
      </c>
    </row>
    <row r="300" spans="95:95" x14ac:dyDescent="0.2">
      <c r="CQ300" s="23" t="s">
        <v>77</v>
      </c>
    </row>
    <row r="301" spans="95:95" x14ac:dyDescent="0.2">
      <c r="CQ301" s="23" t="s">
        <v>77</v>
      </c>
    </row>
    <row r="302" spans="95:95" x14ac:dyDescent="0.2">
      <c r="CQ302" s="23" t="s">
        <v>77</v>
      </c>
    </row>
    <row r="303" spans="95:95" x14ac:dyDescent="0.2">
      <c r="CQ303" s="23" t="s">
        <v>77</v>
      </c>
    </row>
    <row r="304" spans="95:95" x14ac:dyDescent="0.2">
      <c r="CQ304" s="23" t="s">
        <v>77</v>
      </c>
    </row>
    <row r="305" spans="95:95" x14ac:dyDescent="0.2">
      <c r="CQ305" s="23" t="s">
        <v>77</v>
      </c>
    </row>
    <row r="306" spans="95:95" x14ac:dyDescent="0.2">
      <c r="CQ306" s="23" t="s">
        <v>77</v>
      </c>
    </row>
    <row r="307" spans="95:95" x14ac:dyDescent="0.2">
      <c r="CQ307" s="23" t="s">
        <v>77</v>
      </c>
    </row>
    <row r="308" spans="95:95" x14ac:dyDescent="0.2">
      <c r="CQ308" s="23" t="s">
        <v>77</v>
      </c>
    </row>
    <row r="309" spans="95:95" x14ac:dyDescent="0.2">
      <c r="CQ309" s="23" t="s">
        <v>77</v>
      </c>
    </row>
    <row r="310" spans="95:95" x14ac:dyDescent="0.2">
      <c r="CQ310" s="23" t="s">
        <v>77</v>
      </c>
    </row>
    <row r="311" spans="95:95" x14ac:dyDescent="0.2">
      <c r="CQ311" s="23" t="s">
        <v>77</v>
      </c>
    </row>
    <row r="312" spans="95:95" x14ac:dyDescent="0.2">
      <c r="CQ312" s="23" t="s">
        <v>77</v>
      </c>
    </row>
    <row r="313" spans="95:95" x14ac:dyDescent="0.2">
      <c r="CQ313" s="23" t="s">
        <v>77</v>
      </c>
    </row>
    <row r="314" spans="95:95" x14ac:dyDescent="0.2">
      <c r="CQ314" s="23" t="s">
        <v>77</v>
      </c>
    </row>
    <row r="315" spans="95:95" x14ac:dyDescent="0.2">
      <c r="CQ315" s="23" t="s">
        <v>77</v>
      </c>
    </row>
    <row r="316" spans="95:95" x14ac:dyDescent="0.2">
      <c r="CQ316" s="23" t="s">
        <v>77</v>
      </c>
    </row>
    <row r="317" spans="95:95" x14ac:dyDescent="0.2">
      <c r="CQ317" s="23" t="s">
        <v>77</v>
      </c>
    </row>
    <row r="318" spans="95:95" x14ac:dyDescent="0.2">
      <c r="CQ318" s="23" t="s">
        <v>77</v>
      </c>
    </row>
    <row r="319" spans="95:95" x14ac:dyDescent="0.2">
      <c r="CQ319" s="23" t="s">
        <v>77</v>
      </c>
    </row>
    <row r="320" spans="95:95" x14ac:dyDescent="0.2">
      <c r="CQ320" s="23" t="s">
        <v>77</v>
      </c>
    </row>
    <row r="321" spans="95:95" x14ac:dyDescent="0.2">
      <c r="CQ321" s="23" t="s">
        <v>77</v>
      </c>
    </row>
    <row r="322" spans="95:95" x14ac:dyDescent="0.2">
      <c r="CQ322" s="23" t="s">
        <v>77</v>
      </c>
    </row>
    <row r="323" spans="95:95" x14ac:dyDescent="0.2">
      <c r="CQ323" s="23" t="s">
        <v>77</v>
      </c>
    </row>
    <row r="324" spans="95:95" x14ac:dyDescent="0.2">
      <c r="CQ324" s="23" t="s">
        <v>77</v>
      </c>
    </row>
    <row r="325" spans="95:95" x14ac:dyDescent="0.2">
      <c r="CQ325" s="23" t="s">
        <v>77</v>
      </c>
    </row>
    <row r="326" spans="95:95" x14ac:dyDescent="0.2">
      <c r="CQ326" s="23" t="s">
        <v>77</v>
      </c>
    </row>
    <row r="327" spans="95:95" x14ac:dyDescent="0.2">
      <c r="CQ327" s="23" t="s">
        <v>77</v>
      </c>
    </row>
    <row r="328" spans="95:95" x14ac:dyDescent="0.2">
      <c r="CQ328" s="23" t="s">
        <v>77</v>
      </c>
    </row>
    <row r="329" spans="95:95" x14ac:dyDescent="0.2">
      <c r="CQ329" s="23" t="s">
        <v>77</v>
      </c>
    </row>
    <row r="330" spans="95:95" x14ac:dyDescent="0.2">
      <c r="CQ330" s="23" t="s">
        <v>77</v>
      </c>
    </row>
    <row r="331" spans="95:95" x14ac:dyDescent="0.2">
      <c r="CQ331" s="23" t="s">
        <v>77</v>
      </c>
    </row>
    <row r="332" spans="95:95" x14ac:dyDescent="0.2">
      <c r="CQ332" s="23" t="s">
        <v>77</v>
      </c>
    </row>
    <row r="333" spans="95:95" x14ac:dyDescent="0.2">
      <c r="CQ333" s="23" t="s">
        <v>77</v>
      </c>
    </row>
    <row r="334" spans="95:95" x14ac:dyDescent="0.2">
      <c r="CQ334" s="23" t="s">
        <v>77</v>
      </c>
    </row>
    <row r="335" spans="95:95" x14ac:dyDescent="0.2">
      <c r="CQ335" s="23" t="s">
        <v>77</v>
      </c>
    </row>
    <row r="336" spans="95:95" x14ac:dyDescent="0.2">
      <c r="CQ336" s="23" t="s">
        <v>77</v>
      </c>
    </row>
    <row r="337" spans="95:95" x14ac:dyDescent="0.2">
      <c r="CQ337" s="23" t="s">
        <v>77</v>
      </c>
    </row>
    <row r="338" spans="95:95" x14ac:dyDescent="0.2">
      <c r="CQ338" s="23" t="s">
        <v>77</v>
      </c>
    </row>
    <row r="339" spans="95:95" x14ac:dyDescent="0.2">
      <c r="CQ339" s="23" t="s">
        <v>77</v>
      </c>
    </row>
    <row r="340" spans="95:95" x14ac:dyDescent="0.2">
      <c r="CQ340" s="23" t="s">
        <v>77</v>
      </c>
    </row>
    <row r="341" spans="95:95" x14ac:dyDescent="0.2">
      <c r="CQ341" s="23" t="s">
        <v>77</v>
      </c>
    </row>
    <row r="342" spans="95:95" x14ac:dyDescent="0.2">
      <c r="CQ342" s="23" t="s">
        <v>77</v>
      </c>
    </row>
    <row r="343" spans="95:95" x14ac:dyDescent="0.2">
      <c r="CQ343" s="23" t="s">
        <v>77</v>
      </c>
    </row>
    <row r="344" spans="95:95" x14ac:dyDescent="0.2">
      <c r="CQ344" s="23" t="s">
        <v>77</v>
      </c>
    </row>
    <row r="345" spans="95:95" x14ac:dyDescent="0.2">
      <c r="CQ345" s="23" t="s">
        <v>77</v>
      </c>
    </row>
    <row r="346" spans="95:95" x14ac:dyDescent="0.2">
      <c r="CQ346" s="23" t="s">
        <v>77</v>
      </c>
    </row>
    <row r="347" spans="95:95" x14ac:dyDescent="0.2">
      <c r="CQ347" s="23" t="s">
        <v>77</v>
      </c>
    </row>
    <row r="348" spans="95:95" x14ac:dyDescent="0.2">
      <c r="CQ348" s="23" t="s">
        <v>77</v>
      </c>
    </row>
    <row r="349" spans="95:95" x14ac:dyDescent="0.2">
      <c r="CQ349" s="23" t="s">
        <v>77</v>
      </c>
    </row>
    <row r="350" spans="95:95" x14ac:dyDescent="0.2">
      <c r="CQ350" s="23" t="s">
        <v>77</v>
      </c>
    </row>
    <row r="351" spans="95:95" x14ac:dyDescent="0.2">
      <c r="CQ351" s="23" t="s">
        <v>77</v>
      </c>
    </row>
    <row r="352" spans="95:95" x14ac:dyDescent="0.2">
      <c r="CQ352" s="23" t="s">
        <v>77</v>
      </c>
    </row>
    <row r="353" spans="95:95" x14ac:dyDescent="0.2">
      <c r="CQ353" s="23" t="s">
        <v>77</v>
      </c>
    </row>
    <row r="354" spans="95:95" x14ac:dyDescent="0.2">
      <c r="CQ354" s="23" t="s">
        <v>77</v>
      </c>
    </row>
    <row r="355" spans="95:95" x14ac:dyDescent="0.2">
      <c r="CQ355" s="23" t="s">
        <v>77</v>
      </c>
    </row>
    <row r="356" spans="95:95" x14ac:dyDescent="0.2">
      <c r="CQ356" s="23" t="s">
        <v>77</v>
      </c>
    </row>
    <row r="357" spans="95:95" x14ac:dyDescent="0.2">
      <c r="CQ357" s="23" t="s">
        <v>77</v>
      </c>
    </row>
    <row r="358" spans="95:95" x14ac:dyDescent="0.2">
      <c r="CQ358" s="23" t="s">
        <v>77</v>
      </c>
    </row>
    <row r="359" spans="95:95" x14ac:dyDescent="0.2">
      <c r="CQ359" s="23" t="s">
        <v>77</v>
      </c>
    </row>
    <row r="360" spans="95:95" x14ac:dyDescent="0.2">
      <c r="CQ360" s="23" t="s">
        <v>77</v>
      </c>
    </row>
    <row r="361" spans="95:95" x14ac:dyDescent="0.2">
      <c r="CQ361" s="23" t="s">
        <v>77</v>
      </c>
    </row>
    <row r="362" spans="95:95" x14ac:dyDescent="0.2">
      <c r="CQ362" s="23" t="s">
        <v>77</v>
      </c>
    </row>
    <row r="363" spans="95:95" x14ac:dyDescent="0.2">
      <c r="CQ363" s="23" t="s">
        <v>77</v>
      </c>
    </row>
    <row r="364" spans="95:95" x14ac:dyDescent="0.2">
      <c r="CQ364" s="23" t="s">
        <v>77</v>
      </c>
    </row>
    <row r="365" spans="95:95" x14ac:dyDescent="0.2">
      <c r="CQ365" s="23" t="s">
        <v>77</v>
      </c>
    </row>
    <row r="366" spans="95:95" x14ac:dyDescent="0.2">
      <c r="CQ366" s="23" t="s">
        <v>77</v>
      </c>
    </row>
    <row r="367" spans="95:95" x14ac:dyDescent="0.2">
      <c r="CQ367" s="23" t="s">
        <v>77</v>
      </c>
    </row>
    <row r="368" spans="95:95" x14ac:dyDescent="0.2">
      <c r="CQ368" s="23" t="s">
        <v>77</v>
      </c>
    </row>
    <row r="369" spans="95:95" x14ac:dyDescent="0.2">
      <c r="CQ369" s="23" t="s">
        <v>77</v>
      </c>
    </row>
    <row r="370" spans="95:95" x14ac:dyDescent="0.2">
      <c r="CQ370" s="23" t="s">
        <v>77</v>
      </c>
    </row>
    <row r="371" spans="95:95" x14ac:dyDescent="0.2">
      <c r="CQ371" s="23" t="s">
        <v>77</v>
      </c>
    </row>
    <row r="372" spans="95:95" x14ac:dyDescent="0.2">
      <c r="CQ372" s="23" t="s">
        <v>77</v>
      </c>
    </row>
    <row r="373" spans="95:95" x14ac:dyDescent="0.2">
      <c r="CQ373" s="23" t="s">
        <v>77</v>
      </c>
    </row>
    <row r="374" spans="95:95" x14ac:dyDescent="0.2">
      <c r="CQ374" s="23" t="s">
        <v>77</v>
      </c>
    </row>
    <row r="375" spans="95:95" x14ac:dyDescent="0.2">
      <c r="CQ375" s="23" t="s">
        <v>77</v>
      </c>
    </row>
    <row r="376" spans="95:95" x14ac:dyDescent="0.2">
      <c r="CQ376" s="23" t="s">
        <v>77</v>
      </c>
    </row>
    <row r="377" spans="95:95" x14ac:dyDescent="0.2">
      <c r="CQ377" s="23" t="s">
        <v>77</v>
      </c>
    </row>
    <row r="378" spans="95:95" x14ac:dyDescent="0.2">
      <c r="CQ378" s="23" t="s">
        <v>77</v>
      </c>
    </row>
    <row r="379" spans="95:95" x14ac:dyDescent="0.2">
      <c r="CQ379" s="23" t="s">
        <v>77</v>
      </c>
    </row>
    <row r="380" spans="95:95" x14ac:dyDescent="0.2">
      <c r="CQ380" s="23" t="s">
        <v>77</v>
      </c>
    </row>
    <row r="381" spans="95:95" x14ac:dyDescent="0.2">
      <c r="CQ381" s="23" t="s">
        <v>77</v>
      </c>
    </row>
    <row r="382" spans="95:95" x14ac:dyDescent="0.2">
      <c r="CQ382" s="23" t="s">
        <v>77</v>
      </c>
    </row>
    <row r="383" spans="95:95" x14ac:dyDescent="0.2">
      <c r="CQ383" s="23" t="s">
        <v>77</v>
      </c>
    </row>
    <row r="384" spans="95:95" x14ac:dyDescent="0.2">
      <c r="CQ384" s="23" t="s">
        <v>77</v>
      </c>
    </row>
    <row r="385" spans="95:95" x14ac:dyDescent="0.2">
      <c r="CQ385" s="23" t="s">
        <v>77</v>
      </c>
    </row>
    <row r="386" spans="95:95" x14ac:dyDescent="0.2">
      <c r="CQ386" s="23" t="s">
        <v>77</v>
      </c>
    </row>
    <row r="387" spans="95:95" x14ac:dyDescent="0.2">
      <c r="CQ387" s="23" t="s">
        <v>77</v>
      </c>
    </row>
    <row r="388" spans="95:95" x14ac:dyDescent="0.2">
      <c r="CQ388" s="23" t="s">
        <v>77</v>
      </c>
    </row>
    <row r="389" spans="95:95" x14ac:dyDescent="0.2">
      <c r="CQ389" s="23" t="s">
        <v>77</v>
      </c>
    </row>
    <row r="390" spans="95:95" x14ac:dyDescent="0.2">
      <c r="CQ390" s="23" t="s">
        <v>77</v>
      </c>
    </row>
    <row r="391" spans="95:95" x14ac:dyDescent="0.2">
      <c r="CQ391" s="23" t="s">
        <v>77</v>
      </c>
    </row>
    <row r="392" spans="95:95" x14ac:dyDescent="0.2">
      <c r="CQ392" s="23" t="s">
        <v>77</v>
      </c>
    </row>
    <row r="393" spans="95:95" x14ac:dyDescent="0.2">
      <c r="CQ393" s="23" t="s">
        <v>77</v>
      </c>
    </row>
    <row r="394" spans="95:95" x14ac:dyDescent="0.2">
      <c r="CQ394" s="23" t="s">
        <v>77</v>
      </c>
    </row>
    <row r="395" spans="95:95" x14ac:dyDescent="0.2">
      <c r="CQ395" s="23" t="s">
        <v>77</v>
      </c>
    </row>
    <row r="396" spans="95:95" x14ac:dyDescent="0.2">
      <c r="CQ396" s="23" t="s">
        <v>77</v>
      </c>
    </row>
    <row r="397" spans="95:95" x14ac:dyDescent="0.2">
      <c r="CQ397" s="23" t="s">
        <v>77</v>
      </c>
    </row>
    <row r="398" spans="95:95" x14ac:dyDescent="0.2">
      <c r="CQ398" s="23" t="s">
        <v>77</v>
      </c>
    </row>
    <row r="399" spans="95:95" x14ac:dyDescent="0.2">
      <c r="CQ399" s="23" t="s">
        <v>77</v>
      </c>
    </row>
    <row r="400" spans="95:95" x14ac:dyDescent="0.2">
      <c r="CQ400" s="23" t="s">
        <v>77</v>
      </c>
    </row>
    <row r="401" spans="95:95" x14ac:dyDescent="0.2">
      <c r="CQ401" s="23" t="s">
        <v>77</v>
      </c>
    </row>
    <row r="402" spans="95:95" x14ac:dyDescent="0.2">
      <c r="CQ402" s="23" t="s">
        <v>77</v>
      </c>
    </row>
  </sheetData>
  <phoneticPr fontId="0" type="noConversion"/>
  <conditionalFormatting sqref="X42:CP51">
    <cfRule type="cellIs" dxfId="34" priority="1" stopIfTrue="1" operator="equal">
      <formula>2</formula>
    </cfRule>
    <cfRule type="cellIs" dxfId="33" priority="2" stopIfTrue="1" operator="equal">
      <formula>1</formula>
    </cfRule>
  </conditionalFormatting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V106"/>
  <sheetViews>
    <sheetView showGridLines="0" workbookViewId="0">
      <selection activeCell="Z43" sqref="B37:Z43"/>
    </sheetView>
  </sheetViews>
  <sheetFormatPr defaultRowHeight="11.25" outlineLevelRow="1" outlineLevelCol="1" x14ac:dyDescent="0.2"/>
  <cols>
    <col min="1" max="1" width="1" style="8" customWidth="1"/>
    <col min="2" max="2" width="35.83203125" style="8" customWidth="1"/>
    <col min="3" max="3" width="1" style="24" customWidth="1"/>
    <col min="4" max="10" width="9.33203125" style="8" hidden="1" customWidth="1" outlineLevel="1"/>
    <col min="11" max="11" width="0" style="8" hidden="1" customWidth="1" collapsed="1"/>
    <col min="12" max="12" width="9.83203125" style="8" hidden="1" customWidth="1"/>
    <col min="13" max="18" width="0" style="8" hidden="1" customWidth="1"/>
    <col min="19" max="19" width="10.33203125" style="8" hidden="1" customWidth="1"/>
    <col min="20" max="22" width="0" style="8" hidden="1" customWidth="1"/>
    <col min="23" max="23" width="9.33203125" style="8"/>
    <col min="24" max="55" width="9.33203125" style="8" customWidth="1" outlineLevel="1"/>
    <col min="56" max="94" width="9.33203125" style="8"/>
    <col min="95" max="95" width="1" style="8" customWidth="1"/>
    <col min="96" max="96" width="9.33203125" style="8"/>
    <col min="97" max="97" width="25.5" style="8" bestFit="1" customWidth="1"/>
    <col min="98" max="99" width="9.33203125" style="8"/>
    <col min="100" max="100" width="10.6640625" style="8" bestFit="1" customWidth="1"/>
    <col min="101" max="16384" width="9.33203125" style="8"/>
  </cols>
  <sheetData>
    <row r="1" spans="1:96" s="218" customFormat="1" ht="15.75" x14ac:dyDescent="0.25">
      <c r="A1" s="351" t="s">
        <v>195</v>
      </c>
      <c r="B1" s="352"/>
      <c r="C1" s="353"/>
      <c r="K1" s="354" t="b">
        <f>AND(K14:BD14)</f>
        <v>1</v>
      </c>
      <c r="W1" s="352"/>
      <c r="X1" s="352"/>
      <c r="Y1" s="352"/>
    </row>
    <row r="2" spans="1:96" x14ac:dyDescent="0.2">
      <c r="A2" s="355"/>
      <c r="C2" s="356"/>
    </row>
    <row r="3" spans="1:96" x14ac:dyDescent="0.2">
      <c r="A3" s="233"/>
      <c r="B3" s="728" t="str">
        <f>Fiscal_Year</f>
        <v>Fiscal Year</v>
      </c>
      <c r="C3" s="312"/>
      <c r="D3" s="312">
        <f t="shared" ref="D3:BO3" si="0">Fiscal_Year</f>
        <v>0</v>
      </c>
      <c r="E3" s="312">
        <f t="shared" si="0"/>
        <v>0</v>
      </c>
      <c r="F3" s="312">
        <f t="shared" si="0"/>
        <v>36707</v>
      </c>
      <c r="G3" s="312">
        <f t="shared" si="0"/>
        <v>37072</v>
      </c>
      <c r="H3" s="312">
        <f t="shared" si="0"/>
        <v>37437</v>
      </c>
      <c r="I3" s="312">
        <f t="shared" si="0"/>
        <v>37802</v>
      </c>
      <c r="J3" s="312">
        <f t="shared" si="0"/>
        <v>38168</v>
      </c>
      <c r="K3" s="312">
        <f t="shared" si="0"/>
        <v>38533</v>
      </c>
      <c r="L3" s="312">
        <f t="shared" si="0"/>
        <v>38898</v>
      </c>
      <c r="M3" s="312">
        <f t="shared" si="0"/>
        <v>39263</v>
      </c>
      <c r="N3" s="312">
        <f t="shared" si="0"/>
        <v>39629</v>
      </c>
      <c r="O3" s="312">
        <f t="shared" si="0"/>
        <v>39994</v>
      </c>
      <c r="P3" s="312">
        <f t="shared" si="0"/>
        <v>40359</v>
      </c>
      <c r="Q3" s="312">
        <f t="shared" si="0"/>
        <v>40724</v>
      </c>
      <c r="R3" s="312">
        <f t="shared" si="0"/>
        <v>41090</v>
      </c>
      <c r="S3" s="312">
        <f t="shared" si="0"/>
        <v>41455</v>
      </c>
      <c r="T3" s="312">
        <f t="shared" si="0"/>
        <v>41820</v>
      </c>
      <c r="U3" s="312">
        <f t="shared" si="0"/>
        <v>42185</v>
      </c>
      <c r="V3" s="312">
        <f t="shared" si="0"/>
        <v>42551</v>
      </c>
      <c r="W3" s="312">
        <f t="shared" si="0"/>
        <v>42916</v>
      </c>
      <c r="X3" s="312">
        <f t="shared" si="0"/>
        <v>43281</v>
      </c>
      <c r="Y3" s="312">
        <f t="shared" si="0"/>
        <v>43646</v>
      </c>
      <c r="Z3" s="312">
        <f t="shared" si="0"/>
        <v>44012</v>
      </c>
      <c r="AA3" s="312">
        <f t="shared" si="0"/>
        <v>44377</v>
      </c>
      <c r="AB3" s="312">
        <f t="shared" si="0"/>
        <v>44742</v>
      </c>
      <c r="AC3" s="312">
        <f t="shared" si="0"/>
        <v>45107</v>
      </c>
      <c r="AD3" s="312">
        <f t="shared" si="0"/>
        <v>45473</v>
      </c>
      <c r="AE3" s="312">
        <f t="shared" si="0"/>
        <v>45838</v>
      </c>
      <c r="AF3" s="312">
        <f t="shared" si="0"/>
        <v>46203</v>
      </c>
      <c r="AG3" s="312">
        <f t="shared" si="0"/>
        <v>46568</v>
      </c>
      <c r="AH3" s="312">
        <f t="shared" si="0"/>
        <v>46934</v>
      </c>
      <c r="AI3" s="312">
        <f t="shared" si="0"/>
        <v>47299</v>
      </c>
      <c r="AJ3" s="312">
        <f t="shared" si="0"/>
        <v>47664</v>
      </c>
      <c r="AK3" s="312">
        <f t="shared" si="0"/>
        <v>48029</v>
      </c>
      <c r="AL3" s="312">
        <f t="shared" si="0"/>
        <v>48395</v>
      </c>
      <c r="AM3" s="312">
        <f t="shared" si="0"/>
        <v>48760</v>
      </c>
      <c r="AN3" s="312">
        <f t="shared" si="0"/>
        <v>49125</v>
      </c>
      <c r="AO3" s="312">
        <f t="shared" si="0"/>
        <v>49490</v>
      </c>
      <c r="AP3" s="312">
        <f t="shared" si="0"/>
        <v>49856</v>
      </c>
      <c r="AQ3" s="312">
        <f t="shared" si="0"/>
        <v>50221</v>
      </c>
      <c r="AR3" s="312">
        <f t="shared" si="0"/>
        <v>50586</v>
      </c>
      <c r="AS3" s="312">
        <f t="shared" si="0"/>
        <v>50951</v>
      </c>
      <c r="AT3" s="312">
        <f t="shared" si="0"/>
        <v>51317</v>
      </c>
      <c r="AU3" s="312">
        <f t="shared" si="0"/>
        <v>51682</v>
      </c>
      <c r="AV3" s="312">
        <f t="shared" si="0"/>
        <v>52047</v>
      </c>
      <c r="AW3" s="312">
        <f t="shared" si="0"/>
        <v>52412</v>
      </c>
      <c r="AX3" s="312">
        <f t="shared" si="0"/>
        <v>52778</v>
      </c>
      <c r="AY3" s="312">
        <f t="shared" si="0"/>
        <v>53143</v>
      </c>
      <c r="AZ3" s="312">
        <f t="shared" si="0"/>
        <v>53508</v>
      </c>
      <c r="BA3" s="312">
        <f t="shared" si="0"/>
        <v>53873</v>
      </c>
      <c r="BB3" s="312">
        <f t="shared" si="0"/>
        <v>54239</v>
      </c>
      <c r="BC3" s="312">
        <f t="shared" si="0"/>
        <v>54604</v>
      </c>
      <c r="BD3" s="312">
        <f t="shared" si="0"/>
        <v>54969</v>
      </c>
      <c r="BE3" s="312">
        <f t="shared" si="0"/>
        <v>55334</v>
      </c>
      <c r="BF3" s="312">
        <f t="shared" si="0"/>
        <v>55700</v>
      </c>
      <c r="BG3" s="312">
        <f t="shared" si="0"/>
        <v>56065</v>
      </c>
      <c r="BH3" s="312">
        <f t="shared" si="0"/>
        <v>56430</v>
      </c>
      <c r="BI3" s="312">
        <f t="shared" si="0"/>
        <v>56795</v>
      </c>
      <c r="BJ3" s="312">
        <f t="shared" si="0"/>
        <v>57161</v>
      </c>
      <c r="BK3" s="312">
        <f t="shared" si="0"/>
        <v>57526</v>
      </c>
      <c r="BL3" s="312">
        <f t="shared" si="0"/>
        <v>57891</v>
      </c>
      <c r="BM3" s="312">
        <f t="shared" si="0"/>
        <v>58256</v>
      </c>
      <c r="BN3" s="312">
        <f t="shared" si="0"/>
        <v>58622</v>
      </c>
      <c r="BO3" s="312">
        <f t="shared" si="0"/>
        <v>58987</v>
      </c>
      <c r="BP3" s="312">
        <f t="shared" ref="BP3:CP3" si="1">Fiscal_Year</f>
        <v>59352</v>
      </c>
      <c r="BQ3" s="312">
        <f t="shared" si="1"/>
        <v>59717</v>
      </c>
      <c r="BR3" s="312">
        <f t="shared" si="1"/>
        <v>60083</v>
      </c>
      <c r="BS3" s="312">
        <f t="shared" si="1"/>
        <v>60448</v>
      </c>
      <c r="BT3" s="312">
        <f t="shared" si="1"/>
        <v>60813</v>
      </c>
      <c r="BU3" s="312">
        <f t="shared" si="1"/>
        <v>61178</v>
      </c>
      <c r="BV3" s="312">
        <f t="shared" si="1"/>
        <v>61544</v>
      </c>
      <c r="BW3" s="312">
        <f t="shared" si="1"/>
        <v>61909</v>
      </c>
      <c r="BX3" s="312">
        <f t="shared" si="1"/>
        <v>62274</v>
      </c>
      <c r="BY3" s="312">
        <f t="shared" si="1"/>
        <v>62639</v>
      </c>
      <c r="BZ3" s="312">
        <f t="shared" si="1"/>
        <v>63005</v>
      </c>
      <c r="CA3" s="312">
        <f t="shared" si="1"/>
        <v>63370</v>
      </c>
      <c r="CB3" s="312">
        <f t="shared" si="1"/>
        <v>63735</v>
      </c>
      <c r="CC3" s="312">
        <f t="shared" si="1"/>
        <v>64100</v>
      </c>
      <c r="CD3" s="312">
        <f t="shared" si="1"/>
        <v>64466</v>
      </c>
      <c r="CE3" s="312">
        <f t="shared" si="1"/>
        <v>64831</v>
      </c>
      <c r="CF3" s="312">
        <f t="shared" si="1"/>
        <v>65196</v>
      </c>
      <c r="CG3" s="312">
        <f t="shared" si="1"/>
        <v>65561</v>
      </c>
      <c r="CH3" s="312">
        <f t="shared" si="1"/>
        <v>65927</v>
      </c>
      <c r="CI3" s="312">
        <f t="shared" si="1"/>
        <v>66292</v>
      </c>
      <c r="CJ3" s="312">
        <f t="shared" si="1"/>
        <v>66657</v>
      </c>
      <c r="CK3" s="312">
        <f t="shared" si="1"/>
        <v>67022</v>
      </c>
      <c r="CL3" s="312">
        <f t="shared" si="1"/>
        <v>67388</v>
      </c>
      <c r="CM3" s="312">
        <f t="shared" si="1"/>
        <v>67753</v>
      </c>
      <c r="CN3" s="312">
        <f t="shared" si="1"/>
        <v>68118</v>
      </c>
      <c r="CO3" s="312">
        <f t="shared" si="1"/>
        <v>68483</v>
      </c>
      <c r="CP3" s="312">
        <f t="shared" si="1"/>
        <v>68849</v>
      </c>
      <c r="CQ3" s="23" t="s">
        <v>77</v>
      </c>
      <c r="CR3" s="233"/>
    </row>
    <row r="4" spans="1:96" x14ac:dyDescent="0.2">
      <c r="A4" s="98"/>
      <c r="B4" s="98" t="s">
        <v>11</v>
      </c>
      <c r="C4" s="25"/>
      <c r="D4" s="118" t="str">
        <f t="shared" ref="D4:BD4" si="2">"FY"&amp;RIGHT(YEAR(D3),2)</f>
        <v>FY00</v>
      </c>
      <c r="E4" s="118" t="str">
        <f t="shared" si="2"/>
        <v>FY00</v>
      </c>
      <c r="F4" s="118" t="str">
        <f t="shared" si="2"/>
        <v>FY00</v>
      </c>
      <c r="G4" s="118" t="str">
        <f t="shared" si="2"/>
        <v>FY01</v>
      </c>
      <c r="H4" s="118" t="str">
        <f t="shared" si="2"/>
        <v>FY02</v>
      </c>
      <c r="I4" s="118" t="str">
        <f>"FY"&amp;RIGHT(YEAR(I3),2)</f>
        <v>FY03</v>
      </c>
      <c r="J4" s="118" t="str">
        <f>"FY"&amp;RIGHT(YEAR(J3),2)</f>
        <v>FY04</v>
      </c>
      <c r="K4" s="118" t="str">
        <f t="shared" si="2"/>
        <v>FY05</v>
      </c>
      <c r="L4" s="118" t="str">
        <f t="shared" si="2"/>
        <v>FY06</v>
      </c>
      <c r="M4" s="118" t="str">
        <f t="shared" si="2"/>
        <v>FY07</v>
      </c>
      <c r="N4" s="118" t="str">
        <f t="shared" si="2"/>
        <v>FY08</v>
      </c>
      <c r="O4" s="118" t="str">
        <f t="shared" si="2"/>
        <v>FY09</v>
      </c>
      <c r="P4" s="118" t="str">
        <f t="shared" si="2"/>
        <v>FY10</v>
      </c>
      <c r="Q4" s="118" t="str">
        <f t="shared" si="2"/>
        <v>FY11</v>
      </c>
      <c r="R4" s="118" t="str">
        <f t="shared" si="2"/>
        <v>FY12</v>
      </c>
      <c r="S4" s="118" t="str">
        <f t="shared" si="2"/>
        <v>FY13</v>
      </c>
      <c r="T4" s="118" t="str">
        <f t="shared" si="2"/>
        <v>FY14</v>
      </c>
      <c r="U4" s="118" t="str">
        <f t="shared" si="2"/>
        <v>FY15</v>
      </c>
      <c r="V4" s="118" t="str">
        <f t="shared" si="2"/>
        <v>FY16</v>
      </c>
      <c r="W4" s="118" t="str">
        <f t="shared" si="2"/>
        <v>FY17</v>
      </c>
      <c r="X4" s="118" t="str">
        <f t="shared" si="2"/>
        <v>FY18</v>
      </c>
      <c r="Y4" s="118" t="str">
        <f t="shared" si="2"/>
        <v>FY19</v>
      </c>
      <c r="Z4" s="118" t="str">
        <f t="shared" si="2"/>
        <v>FY20</v>
      </c>
      <c r="AA4" s="118" t="str">
        <f t="shared" si="2"/>
        <v>FY21</v>
      </c>
      <c r="AB4" s="118" t="str">
        <f t="shared" si="2"/>
        <v>FY22</v>
      </c>
      <c r="AC4" s="118" t="str">
        <f t="shared" si="2"/>
        <v>FY23</v>
      </c>
      <c r="AD4" s="118" t="str">
        <f t="shared" si="2"/>
        <v>FY24</v>
      </c>
      <c r="AE4" s="118" t="str">
        <f t="shared" si="2"/>
        <v>FY25</v>
      </c>
      <c r="AF4" s="118" t="str">
        <f t="shared" si="2"/>
        <v>FY26</v>
      </c>
      <c r="AG4" s="118" t="str">
        <f t="shared" si="2"/>
        <v>FY27</v>
      </c>
      <c r="AH4" s="118" t="str">
        <f t="shared" si="2"/>
        <v>FY28</v>
      </c>
      <c r="AI4" s="118" t="str">
        <f t="shared" si="2"/>
        <v>FY29</v>
      </c>
      <c r="AJ4" s="118" t="str">
        <f t="shared" si="2"/>
        <v>FY30</v>
      </c>
      <c r="AK4" s="118" t="str">
        <f t="shared" si="2"/>
        <v>FY31</v>
      </c>
      <c r="AL4" s="118" t="str">
        <f t="shared" si="2"/>
        <v>FY32</v>
      </c>
      <c r="AM4" s="118" t="str">
        <f t="shared" si="2"/>
        <v>FY33</v>
      </c>
      <c r="AN4" s="118" t="str">
        <f t="shared" si="2"/>
        <v>FY34</v>
      </c>
      <c r="AO4" s="118" t="str">
        <f t="shared" si="2"/>
        <v>FY35</v>
      </c>
      <c r="AP4" s="118" t="str">
        <f t="shared" si="2"/>
        <v>FY36</v>
      </c>
      <c r="AQ4" s="118" t="str">
        <f t="shared" si="2"/>
        <v>FY37</v>
      </c>
      <c r="AR4" s="118" t="str">
        <f t="shared" si="2"/>
        <v>FY38</v>
      </c>
      <c r="AS4" s="118" t="str">
        <f t="shared" si="2"/>
        <v>FY39</v>
      </c>
      <c r="AT4" s="118" t="str">
        <f t="shared" si="2"/>
        <v>FY40</v>
      </c>
      <c r="AU4" s="118" t="str">
        <f t="shared" si="2"/>
        <v>FY41</v>
      </c>
      <c r="AV4" s="118" t="str">
        <f t="shared" si="2"/>
        <v>FY42</v>
      </c>
      <c r="AW4" s="118" t="str">
        <f t="shared" si="2"/>
        <v>FY43</v>
      </c>
      <c r="AX4" s="118" t="str">
        <f t="shared" si="2"/>
        <v>FY44</v>
      </c>
      <c r="AY4" s="118" t="str">
        <f t="shared" si="2"/>
        <v>FY45</v>
      </c>
      <c r="AZ4" s="118" t="str">
        <f t="shared" si="2"/>
        <v>FY46</v>
      </c>
      <c r="BA4" s="118" t="str">
        <f t="shared" si="2"/>
        <v>FY47</v>
      </c>
      <c r="BB4" s="118" t="str">
        <f t="shared" si="2"/>
        <v>FY48</v>
      </c>
      <c r="BC4" s="118" t="str">
        <f t="shared" si="2"/>
        <v>FY49</v>
      </c>
      <c r="BD4" s="118" t="str">
        <f t="shared" si="2"/>
        <v>FY50</v>
      </c>
      <c r="BE4" s="118" t="str">
        <f t="shared" ref="BE4:CP4" si="3">"FY"&amp;RIGHT(YEAR(BE3),2)</f>
        <v>FY51</v>
      </c>
      <c r="BF4" s="118" t="str">
        <f t="shared" si="3"/>
        <v>FY52</v>
      </c>
      <c r="BG4" s="118" t="str">
        <f t="shared" si="3"/>
        <v>FY53</v>
      </c>
      <c r="BH4" s="118" t="str">
        <f t="shared" si="3"/>
        <v>FY54</v>
      </c>
      <c r="BI4" s="118" t="str">
        <f t="shared" si="3"/>
        <v>FY55</v>
      </c>
      <c r="BJ4" s="118" t="str">
        <f t="shared" si="3"/>
        <v>FY56</v>
      </c>
      <c r="BK4" s="118" t="str">
        <f t="shared" si="3"/>
        <v>FY57</v>
      </c>
      <c r="BL4" s="118" t="str">
        <f t="shared" si="3"/>
        <v>FY58</v>
      </c>
      <c r="BM4" s="118" t="str">
        <f t="shared" si="3"/>
        <v>FY59</v>
      </c>
      <c r="BN4" s="118" t="str">
        <f t="shared" si="3"/>
        <v>FY60</v>
      </c>
      <c r="BO4" s="118" t="str">
        <f t="shared" si="3"/>
        <v>FY61</v>
      </c>
      <c r="BP4" s="118" t="str">
        <f t="shared" si="3"/>
        <v>FY62</v>
      </c>
      <c r="BQ4" s="118" t="str">
        <f t="shared" si="3"/>
        <v>FY63</v>
      </c>
      <c r="BR4" s="118" t="str">
        <f t="shared" si="3"/>
        <v>FY64</v>
      </c>
      <c r="BS4" s="118" t="str">
        <f t="shared" si="3"/>
        <v>FY65</v>
      </c>
      <c r="BT4" s="118" t="str">
        <f t="shared" si="3"/>
        <v>FY66</v>
      </c>
      <c r="BU4" s="118" t="str">
        <f t="shared" si="3"/>
        <v>FY67</v>
      </c>
      <c r="BV4" s="118" t="str">
        <f t="shared" si="3"/>
        <v>FY68</v>
      </c>
      <c r="BW4" s="118" t="str">
        <f t="shared" si="3"/>
        <v>FY69</v>
      </c>
      <c r="BX4" s="118" t="str">
        <f t="shared" si="3"/>
        <v>FY70</v>
      </c>
      <c r="BY4" s="118" t="str">
        <f t="shared" si="3"/>
        <v>FY71</v>
      </c>
      <c r="BZ4" s="118" t="str">
        <f t="shared" si="3"/>
        <v>FY72</v>
      </c>
      <c r="CA4" s="118" t="str">
        <f t="shared" si="3"/>
        <v>FY73</v>
      </c>
      <c r="CB4" s="118" t="str">
        <f t="shared" si="3"/>
        <v>FY74</v>
      </c>
      <c r="CC4" s="118" t="str">
        <f t="shared" si="3"/>
        <v>FY75</v>
      </c>
      <c r="CD4" s="118" t="str">
        <f t="shared" si="3"/>
        <v>FY76</v>
      </c>
      <c r="CE4" s="118" t="str">
        <f t="shared" si="3"/>
        <v>FY77</v>
      </c>
      <c r="CF4" s="118" t="str">
        <f t="shared" si="3"/>
        <v>FY78</v>
      </c>
      <c r="CG4" s="118" t="str">
        <f t="shared" si="3"/>
        <v>FY79</v>
      </c>
      <c r="CH4" s="118" t="str">
        <f t="shared" si="3"/>
        <v>FY80</v>
      </c>
      <c r="CI4" s="118" t="str">
        <f t="shared" si="3"/>
        <v>FY81</v>
      </c>
      <c r="CJ4" s="118" t="str">
        <f t="shared" si="3"/>
        <v>FY82</v>
      </c>
      <c r="CK4" s="118" t="str">
        <f t="shared" si="3"/>
        <v>FY83</v>
      </c>
      <c r="CL4" s="118" t="str">
        <f t="shared" si="3"/>
        <v>FY84</v>
      </c>
      <c r="CM4" s="118" t="str">
        <f t="shared" si="3"/>
        <v>FY85</v>
      </c>
      <c r="CN4" s="118" t="str">
        <f t="shared" si="3"/>
        <v>FY86</v>
      </c>
      <c r="CO4" s="118" t="str">
        <f t="shared" si="3"/>
        <v>FY87</v>
      </c>
      <c r="CP4" s="118" t="str">
        <f t="shared" si="3"/>
        <v>FY88</v>
      </c>
      <c r="CQ4" s="23" t="s">
        <v>77</v>
      </c>
    </row>
    <row r="5" spans="1:96" ht="5.0999999999999996" customHeight="1" x14ac:dyDescent="0.2">
      <c r="A5" s="355"/>
      <c r="C5" s="356"/>
      <c r="CQ5" s="23" t="s">
        <v>77</v>
      </c>
    </row>
    <row r="6" spans="1:96" x14ac:dyDescent="0.2">
      <c r="B6" s="728" t="s">
        <v>200</v>
      </c>
      <c r="C6" s="312"/>
      <c r="D6" s="312">
        <f t="shared" ref="D6:BO6" si="4">Fiscal_Year</f>
        <v>0</v>
      </c>
      <c r="E6" s="312">
        <f t="shared" si="4"/>
        <v>0</v>
      </c>
      <c r="F6" s="312">
        <f t="shared" si="4"/>
        <v>36707</v>
      </c>
      <c r="G6" s="312">
        <f t="shared" si="4"/>
        <v>37072</v>
      </c>
      <c r="H6" s="312">
        <f t="shared" si="4"/>
        <v>37437</v>
      </c>
      <c r="I6" s="312">
        <f t="shared" si="4"/>
        <v>37802</v>
      </c>
      <c r="J6" s="312">
        <f t="shared" si="4"/>
        <v>38168</v>
      </c>
      <c r="K6" s="312">
        <f t="shared" si="4"/>
        <v>38533</v>
      </c>
      <c r="L6" s="312">
        <f t="shared" si="4"/>
        <v>38898</v>
      </c>
      <c r="M6" s="312">
        <f t="shared" si="4"/>
        <v>39263</v>
      </c>
      <c r="N6" s="312">
        <f t="shared" si="4"/>
        <v>39629</v>
      </c>
      <c r="O6" s="312">
        <f t="shared" si="4"/>
        <v>39994</v>
      </c>
      <c r="P6" s="312">
        <f t="shared" si="4"/>
        <v>40359</v>
      </c>
      <c r="Q6" s="312">
        <f t="shared" si="4"/>
        <v>40724</v>
      </c>
      <c r="R6" s="312">
        <f t="shared" si="4"/>
        <v>41090</v>
      </c>
      <c r="S6" s="312">
        <f t="shared" si="4"/>
        <v>41455</v>
      </c>
      <c r="T6" s="312">
        <f t="shared" si="4"/>
        <v>41820</v>
      </c>
      <c r="U6" s="312">
        <f t="shared" si="4"/>
        <v>42185</v>
      </c>
      <c r="V6" s="312">
        <f t="shared" si="4"/>
        <v>42551</v>
      </c>
      <c r="W6" s="312">
        <f t="shared" si="4"/>
        <v>42916</v>
      </c>
      <c r="X6" s="312">
        <f t="shared" si="4"/>
        <v>43281</v>
      </c>
      <c r="Y6" s="312">
        <f t="shared" si="4"/>
        <v>43646</v>
      </c>
      <c r="Z6" s="312">
        <f t="shared" si="4"/>
        <v>44012</v>
      </c>
      <c r="AA6" s="312">
        <f t="shared" si="4"/>
        <v>44377</v>
      </c>
      <c r="AB6" s="312">
        <f t="shared" si="4"/>
        <v>44742</v>
      </c>
      <c r="AC6" s="312">
        <f t="shared" si="4"/>
        <v>45107</v>
      </c>
      <c r="AD6" s="312">
        <f t="shared" si="4"/>
        <v>45473</v>
      </c>
      <c r="AE6" s="312">
        <f t="shared" si="4"/>
        <v>45838</v>
      </c>
      <c r="AF6" s="312">
        <f t="shared" si="4"/>
        <v>46203</v>
      </c>
      <c r="AG6" s="312">
        <f t="shared" si="4"/>
        <v>46568</v>
      </c>
      <c r="AH6" s="312">
        <f t="shared" si="4"/>
        <v>46934</v>
      </c>
      <c r="AI6" s="312">
        <f t="shared" si="4"/>
        <v>47299</v>
      </c>
      <c r="AJ6" s="312">
        <f t="shared" si="4"/>
        <v>47664</v>
      </c>
      <c r="AK6" s="312">
        <f t="shared" si="4"/>
        <v>48029</v>
      </c>
      <c r="AL6" s="312">
        <f t="shared" si="4"/>
        <v>48395</v>
      </c>
      <c r="AM6" s="312">
        <f t="shared" si="4"/>
        <v>48760</v>
      </c>
      <c r="AN6" s="312">
        <f t="shared" si="4"/>
        <v>49125</v>
      </c>
      <c r="AO6" s="312">
        <f t="shared" si="4"/>
        <v>49490</v>
      </c>
      <c r="AP6" s="312">
        <f t="shared" si="4"/>
        <v>49856</v>
      </c>
      <c r="AQ6" s="312">
        <f t="shared" si="4"/>
        <v>50221</v>
      </c>
      <c r="AR6" s="312">
        <f t="shared" si="4"/>
        <v>50586</v>
      </c>
      <c r="AS6" s="312">
        <f t="shared" si="4"/>
        <v>50951</v>
      </c>
      <c r="AT6" s="312">
        <f t="shared" si="4"/>
        <v>51317</v>
      </c>
      <c r="AU6" s="312">
        <f t="shared" si="4"/>
        <v>51682</v>
      </c>
      <c r="AV6" s="312">
        <f t="shared" si="4"/>
        <v>52047</v>
      </c>
      <c r="AW6" s="312">
        <f t="shared" si="4"/>
        <v>52412</v>
      </c>
      <c r="AX6" s="312">
        <f t="shared" si="4"/>
        <v>52778</v>
      </c>
      <c r="AY6" s="312">
        <f t="shared" si="4"/>
        <v>53143</v>
      </c>
      <c r="AZ6" s="312">
        <f t="shared" si="4"/>
        <v>53508</v>
      </c>
      <c r="BA6" s="312">
        <f t="shared" si="4"/>
        <v>53873</v>
      </c>
      <c r="BB6" s="312">
        <f t="shared" si="4"/>
        <v>54239</v>
      </c>
      <c r="BC6" s="312">
        <f t="shared" si="4"/>
        <v>54604</v>
      </c>
      <c r="BD6" s="312">
        <f t="shared" si="4"/>
        <v>54969</v>
      </c>
      <c r="BE6" s="312">
        <f t="shared" si="4"/>
        <v>55334</v>
      </c>
      <c r="BF6" s="312">
        <f t="shared" si="4"/>
        <v>55700</v>
      </c>
      <c r="BG6" s="312">
        <f t="shared" si="4"/>
        <v>56065</v>
      </c>
      <c r="BH6" s="312">
        <f t="shared" si="4"/>
        <v>56430</v>
      </c>
      <c r="BI6" s="312">
        <f t="shared" si="4"/>
        <v>56795</v>
      </c>
      <c r="BJ6" s="312">
        <f t="shared" si="4"/>
        <v>57161</v>
      </c>
      <c r="BK6" s="312">
        <f t="shared" si="4"/>
        <v>57526</v>
      </c>
      <c r="BL6" s="312">
        <f t="shared" si="4"/>
        <v>57891</v>
      </c>
      <c r="BM6" s="312">
        <f t="shared" si="4"/>
        <v>58256</v>
      </c>
      <c r="BN6" s="312">
        <f t="shared" si="4"/>
        <v>58622</v>
      </c>
      <c r="BO6" s="312">
        <f t="shared" si="4"/>
        <v>58987</v>
      </c>
      <c r="BP6" s="312">
        <f t="shared" ref="BP6:CP6" si="5">Fiscal_Year</f>
        <v>59352</v>
      </c>
      <c r="BQ6" s="312">
        <f t="shared" si="5"/>
        <v>59717</v>
      </c>
      <c r="BR6" s="312">
        <f t="shared" si="5"/>
        <v>60083</v>
      </c>
      <c r="BS6" s="312">
        <f t="shared" si="5"/>
        <v>60448</v>
      </c>
      <c r="BT6" s="312">
        <f t="shared" si="5"/>
        <v>60813</v>
      </c>
      <c r="BU6" s="312">
        <f t="shared" si="5"/>
        <v>61178</v>
      </c>
      <c r="BV6" s="312">
        <f t="shared" si="5"/>
        <v>61544</v>
      </c>
      <c r="BW6" s="312">
        <f t="shared" si="5"/>
        <v>61909</v>
      </c>
      <c r="BX6" s="312">
        <f t="shared" si="5"/>
        <v>62274</v>
      </c>
      <c r="BY6" s="312">
        <f t="shared" si="5"/>
        <v>62639</v>
      </c>
      <c r="BZ6" s="312">
        <f t="shared" si="5"/>
        <v>63005</v>
      </c>
      <c r="CA6" s="312">
        <f t="shared" si="5"/>
        <v>63370</v>
      </c>
      <c r="CB6" s="312">
        <f t="shared" si="5"/>
        <v>63735</v>
      </c>
      <c r="CC6" s="312">
        <f t="shared" si="5"/>
        <v>64100</v>
      </c>
      <c r="CD6" s="312">
        <f t="shared" si="5"/>
        <v>64466</v>
      </c>
      <c r="CE6" s="312">
        <f t="shared" si="5"/>
        <v>64831</v>
      </c>
      <c r="CF6" s="312">
        <f t="shared" si="5"/>
        <v>65196</v>
      </c>
      <c r="CG6" s="312">
        <f t="shared" si="5"/>
        <v>65561</v>
      </c>
      <c r="CH6" s="312">
        <f t="shared" si="5"/>
        <v>65927</v>
      </c>
      <c r="CI6" s="312">
        <f t="shared" si="5"/>
        <v>66292</v>
      </c>
      <c r="CJ6" s="312">
        <f t="shared" si="5"/>
        <v>66657</v>
      </c>
      <c r="CK6" s="312">
        <f t="shared" si="5"/>
        <v>67022</v>
      </c>
      <c r="CL6" s="312">
        <f t="shared" si="5"/>
        <v>67388</v>
      </c>
      <c r="CM6" s="312">
        <f t="shared" si="5"/>
        <v>67753</v>
      </c>
      <c r="CN6" s="312">
        <f t="shared" si="5"/>
        <v>68118</v>
      </c>
      <c r="CO6" s="312">
        <f t="shared" si="5"/>
        <v>68483</v>
      </c>
      <c r="CP6" s="312">
        <f t="shared" si="5"/>
        <v>68849</v>
      </c>
      <c r="CQ6" s="23" t="s">
        <v>77</v>
      </c>
    </row>
    <row r="7" spans="1:96" ht="5.0999999999999996" customHeight="1" x14ac:dyDescent="0.2">
      <c r="B7" s="107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08"/>
      <c r="AM7" s="108"/>
      <c r="AN7" s="108"/>
      <c r="AO7" s="108"/>
      <c r="AP7" s="108"/>
      <c r="AQ7" s="108"/>
      <c r="AR7" s="108"/>
      <c r="AS7" s="108"/>
      <c r="AT7" s="108"/>
      <c r="AU7" s="108"/>
      <c r="AV7" s="108"/>
      <c r="AW7" s="108"/>
      <c r="AX7" s="108"/>
      <c r="AY7" s="108"/>
      <c r="AZ7" s="108"/>
      <c r="BA7" s="108"/>
      <c r="BB7" s="108"/>
      <c r="BC7" s="108"/>
      <c r="BD7" s="108"/>
      <c r="BE7" s="108"/>
      <c r="BF7" s="108"/>
      <c r="BG7" s="108"/>
      <c r="BH7" s="108"/>
      <c r="BI7" s="108"/>
      <c r="BJ7" s="108"/>
      <c r="BK7" s="108"/>
      <c r="BL7" s="108"/>
      <c r="BM7" s="108"/>
      <c r="BN7" s="108"/>
      <c r="BO7" s="108"/>
      <c r="BP7" s="108"/>
      <c r="BQ7" s="108"/>
      <c r="BR7" s="108"/>
      <c r="BS7" s="108"/>
      <c r="BT7" s="108"/>
      <c r="BU7" s="108"/>
      <c r="BV7" s="108"/>
      <c r="BW7" s="108"/>
      <c r="BX7" s="108"/>
      <c r="BY7" s="108"/>
      <c r="BZ7" s="108"/>
      <c r="CA7" s="108"/>
      <c r="CB7" s="108"/>
      <c r="CC7" s="108"/>
      <c r="CD7" s="108"/>
      <c r="CE7" s="108"/>
      <c r="CF7" s="108"/>
      <c r="CG7" s="108"/>
      <c r="CH7" s="108"/>
      <c r="CI7" s="108"/>
      <c r="CJ7" s="108"/>
      <c r="CK7" s="108"/>
      <c r="CL7" s="108"/>
      <c r="CM7" s="108"/>
      <c r="CN7" s="108"/>
      <c r="CO7" s="108"/>
      <c r="CP7" s="108"/>
      <c r="CQ7" s="23" t="s">
        <v>77</v>
      </c>
    </row>
    <row r="8" spans="1:96" s="233" customFormat="1" outlineLevel="1" x14ac:dyDescent="0.2">
      <c r="A8" s="357"/>
      <c r="B8" s="358" t="s">
        <v>231</v>
      </c>
      <c r="C8" s="359"/>
      <c r="D8" s="358"/>
      <c r="E8" s="358"/>
      <c r="F8" s="358"/>
      <c r="G8" s="358"/>
      <c r="H8" s="358"/>
      <c r="I8" s="358"/>
      <c r="J8" s="358"/>
      <c r="K8" s="358"/>
      <c r="L8" s="358"/>
      <c r="M8" s="358"/>
      <c r="N8" s="358"/>
      <c r="O8" s="358"/>
      <c r="P8" s="358"/>
      <c r="Q8" s="358"/>
      <c r="R8" s="358"/>
      <c r="S8" s="358"/>
      <c r="T8" s="358"/>
      <c r="U8" s="358"/>
      <c r="V8" s="358"/>
      <c r="W8" s="358"/>
      <c r="X8" s="358"/>
      <c r="Y8" s="358"/>
      <c r="Z8" s="358"/>
      <c r="AA8" s="358"/>
      <c r="AB8" s="358"/>
      <c r="AC8" s="358"/>
      <c r="AD8" s="358"/>
      <c r="AE8" s="358"/>
      <c r="AF8" s="358"/>
      <c r="AG8" s="358"/>
      <c r="AH8" s="358"/>
      <c r="AI8" s="358"/>
      <c r="AJ8" s="358"/>
      <c r="AK8" s="358"/>
      <c r="AL8" s="358"/>
      <c r="AM8" s="358"/>
      <c r="AN8" s="358"/>
      <c r="AO8" s="358"/>
      <c r="AP8" s="358"/>
      <c r="AQ8" s="358"/>
      <c r="AR8" s="358"/>
      <c r="AS8" s="358"/>
      <c r="AT8" s="358"/>
      <c r="AU8" s="358"/>
      <c r="AV8" s="358"/>
      <c r="AW8" s="358"/>
      <c r="AX8" s="358"/>
      <c r="AY8" s="358"/>
      <c r="AZ8" s="358"/>
      <c r="BA8" s="358"/>
      <c r="BB8" s="358"/>
      <c r="BC8" s="358"/>
      <c r="BD8" s="358"/>
      <c r="BE8" s="358"/>
      <c r="BF8" s="358"/>
      <c r="BG8" s="358"/>
      <c r="BH8" s="358"/>
      <c r="BI8" s="358"/>
      <c r="BJ8" s="358"/>
      <c r="BK8" s="358"/>
      <c r="BL8" s="358"/>
      <c r="BM8" s="358"/>
      <c r="BN8" s="358"/>
      <c r="BO8" s="358"/>
      <c r="BP8" s="358"/>
      <c r="BQ8" s="358"/>
      <c r="BR8" s="358"/>
      <c r="BS8" s="358"/>
      <c r="BT8" s="358"/>
      <c r="BU8" s="358"/>
      <c r="BV8" s="358"/>
      <c r="BW8" s="358"/>
      <c r="BX8" s="358"/>
      <c r="BY8" s="358"/>
      <c r="BZ8" s="358"/>
      <c r="CA8" s="358"/>
      <c r="CB8" s="358"/>
      <c r="CC8" s="358"/>
      <c r="CD8" s="358"/>
      <c r="CE8" s="358"/>
      <c r="CF8" s="358"/>
      <c r="CG8" s="358"/>
      <c r="CH8" s="358"/>
      <c r="CI8" s="358"/>
      <c r="CJ8" s="358"/>
      <c r="CK8" s="358"/>
      <c r="CL8" s="358"/>
      <c r="CM8" s="358"/>
      <c r="CN8" s="358"/>
      <c r="CO8" s="358"/>
      <c r="CP8" s="358"/>
      <c r="CQ8" s="23" t="s">
        <v>77</v>
      </c>
    </row>
    <row r="9" spans="1:96" outlineLevel="1" x14ac:dyDescent="0.2">
      <c r="B9" s="7" t="s">
        <v>197</v>
      </c>
      <c r="D9" s="9"/>
      <c r="E9" s="9"/>
      <c r="F9" s="9"/>
      <c r="G9" s="9"/>
      <c r="H9" s="9"/>
      <c r="I9" s="9"/>
      <c r="J9" s="9"/>
      <c r="K9" s="627">
        <f>+APA!K272</f>
        <v>0.188</v>
      </c>
      <c r="L9" s="627">
        <f>+APA!L272</f>
        <v>158.542</v>
      </c>
      <c r="M9" s="627">
        <f>+APA!M272</f>
        <v>4.4939999999999998</v>
      </c>
      <c r="N9" s="627">
        <f>+APA!N272</f>
        <v>450.15</v>
      </c>
      <c r="O9" s="627">
        <f>+APA!O272</f>
        <v>900.21900000000005</v>
      </c>
      <c r="P9" s="627">
        <f>+APA!P272</f>
        <v>103.883</v>
      </c>
      <c r="Q9" s="627">
        <f>+APA!Q272</f>
        <v>900</v>
      </c>
      <c r="R9" s="627">
        <f>+APA!R272</f>
        <v>0</v>
      </c>
      <c r="S9" s="627">
        <f>+APA!S272</f>
        <v>80.91</v>
      </c>
      <c r="T9" s="628">
        <f>+APA!T272</f>
        <v>0</v>
      </c>
      <c r="U9" s="628">
        <f>+APA!U272</f>
        <v>164.35300000000001</v>
      </c>
      <c r="V9" s="628">
        <f>+APA!V272</f>
        <v>409.82900000000001</v>
      </c>
      <c r="W9" s="628">
        <f>+APA!W272</f>
        <v>126.858</v>
      </c>
      <c r="X9" s="628">
        <f>+APA!X272</f>
        <v>126.858</v>
      </c>
      <c r="Y9" s="628">
        <f>+APA!Y272</f>
        <v>126.858</v>
      </c>
      <c r="Z9" s="628">
        <f>+APA!Z272</f>
        <v>126.858</v>
      </c>
      <c r="AA9" s="628">
        <f>+APA!AA272</f>
        <v>126.858</v>
      </c>
      <c r="AB9" s="628">
        <f>+APA!AB272</f>
        <v>126.858</v>
      </c>
      <c r="AC9" s="628">
        <f>+APA!AC272</f>
        <v>126.858</v>
      </c>
      <c r="AD9" s="628">
        <f>+APA!AD272</f>
        <v>126.858</v>
      </c>
      <c r="AE9" s="628">
        <f>+APA!AE272</f>
        <v>126.858</v>
      </c>
      <c r="AF9" s="628">
        <f>+APA!AF272</f>
        <v>126.858</v>
      </c>
      <c r="AG9" s="628">
        <f>+APA!AG272</f>
        <v>126.858</v>
      </c>
      <c r="AH9" s="628">
        <f>+APA!AH272</f>
        <v>126.858</v>
      </c>
      <c r="AI9" s="628">
        <f>+APA!AI272</f>
        <v>126.858</v>
      </c>
      <c r="AJ9" s="628">
        <f>+APA!AJ272</f>
        <v>126.858</v>
      </c>
      <c r="AK9" s="628">
        <f>+APA!AK272</f>
        <v>126.858</v>
      </c>
      <c r="AL9" s="628">
        <f>+APA!AL272</f>
        <v>126.858</v>
      </c>
      <c r="AM9" s="628">
        <f>+APA!AM272</f>
        <v>126.858</v>
      </c>
      <c r="AN9" s="628">
        <f>+APA!AN272</f>
        <v>126.858</v>
      </c>
      <c r="AO9" s="628">
        <f>+APA!AO272</f>
        <v>126.858</v>
      </c>
      <c r="AP9" s="628">
        <f>+APA!AP272</f>
        <v>126.858</v>
      </c>
      <c r="AQ9" s="628">
        <f>+APA!AQ272</f>
        <v>126.858</v>
      </c>
      <c r="AR9" s="628">
        <f>+APA!AR272</f>
        <v>126.858</v>
      </c>
      <c r="AS9" s="628">
        <f>+APA!AS272</f>
        <v>126.858</v>
      </c>
      <c r="AT9" s="628">
        <f>+APA!AT272</f>
        <v>126.858</v>
      </c>
      <c r="AU9" s="628">
        <f>+APA!AU272</f>
        <v>126.858</v>
      </c>
      <c r="AV9" s="628">
        <f>+APA!AV272</f>
        <v>126.858</v>
      </c>
      <c r="AW9" s="628">
        <f>+APA!AW272</f>
        <v>126.858</v>
      </c>
      <c r="AX9" s="628">
        <f>+APA!AX272</f>
        <v>126.858</v>
      </c>
      <c r="AY9" s="628">
        <f>+APA!AY272</f>
        <v>126.858</v>
      </c>
      <c r="AZ9" s="628">
        <f>+APA!AZ272</f>
        <v>126.858</v>
      </c>
      <c r="BA9" s="628">
        <f>+APA!BA272</f>
        <v>126.858</v>
      </c>
      <c r="BB9" s="628">
        <f>+APA!BB272</f>
        <v>126.858</v>
      </c>
      <c r="BC9" s="628">
        <f>+APA!BC272</f>
        <v>126.858</v>
      </c>
      <c r="BD9" s="628">
        <f>+APA!BD272</f>
        <v>126.858</v>
      </c>
      <c r="BE9" s="628">
        <f>+APA!BE272</f>
        <v>126.858</v>
      </c>
      <c r="BF9" s="628">
        <f>+APA!BF272</f>
        <v>126.858</v>
      </c>
      <c r="BG9" s="628">
        <f>+APA!BG272</f>
        <v>126.858</v>
      </c>
      <c r="BH9" s="628">
        <f>+APA!BH272</f>
        <v>126.858</v>
      </c>
      <c r="BI9" s="628">
        <f>+APA!BI272</f>
        <v>126.858</v>
      </c>
      <c r="BJ9" s="628">
        <f>+APA!BJ272</f>
        <v>126.858</v>
      </c>
      <c r="BK9" s="628">
        <f>+APA!BK272</f>
        <v>126.858</v>
      </c>
      <c r="BL9" s="628">
        <f>+APA!BL272</f>
        <v>126.858</v>
      </c>
      <c r="BM9" s="628">
        <f>+APA!BM272</f>
        <v>126.858</v>
      </c>
      <c r="BN9" s="628">
        <f>+APA!BN272</f>
        <v>126.858</v>
      </c>
      <c r="BO9" s="628">
        <f>+APA!BO272</f>
        <v>126.858</v>
      </c>
      <c r="BP9" s="628">
        <f>+APA!BP272</f>
        <v>126.858</v>
      </c>
      <c r="BQ9" s="628">
        <f>+APA!BQ272</f>
        <v>126.858</v>
      </c>
      <c r="BR9" s="628">
        <f>+APA!BR272</f>
        <v>126.858</v>
      </c>
      <c r="BS9" s="628">
        <f>+APA!BS272</f>
        <v>126.858</v>
      </c>
      <c r="BT9" s="628">
        <f>+APA!BT272</f>
        <v>126.858</v>
      </c>
      <c r="BU9" s="628">
        <f>+APA!BU272</f>
        <v>126.858</v>
      </c>
      <c r="BV9" s="628">
        <f>+APA!BV272</f>
        <v>126.858</v>
      </c>
      <c r="BW9" s="628">
        <f>+APA!BW272</f>
        <v>126.858</v>
      </c>
      <c r="BX9" s="628">
        <f>+APA!BX272</f>
        <v>126.858</v>
      </c>
      <c r="BY9" s="628">
        <f>+APA!BY272</f>
        <v>126.858</v>
      </c>
      <c r="BZ9" s="628">
        <f>+APA!BZ272</f>
        <v>126.858</v>
      </c>
      <c r="CA9" s="628">
        <f>+APA!CA272</f>
        <v>126.858</v>
      </c>
      <c r="CB9" s="628">
        <f>+APA!CB272</f>
        <v>126.858</v>
      </c>
      <c r="CC9" s="628">
        <f>+APA!CC272</f>
        <v>126.858</v>
      </c>
      <c r="CD9" s="628">
        <f>+APA!CD272</f>
        <v>126.858</v>
      </c>
      <c r="CE9" s="628">
        <f>+APA!CE272</f>
        <v>126.858</v>
      </c>
      <c r="CF9" s="628">
        <f>+APA!CF272</f>
        <v>126.858</v>
      </c>
      <c r="CG9" s="628">
        <f>+APA!CG272</f>
        <v>126.858</v>
      </c>
      <c r="CH9" s="628">
        <f>+APA!CH272</f>
        <v>126.858</v>
      </c>
      <c r="CI9" s="628">
        <f>+APA!CI272</f>
        <v>126.858</v>
      </c>
      <c r="CJ9" s="628">
        <f>+APA!CJ272</f>
        <v>126.858</v>
      </c>
      <c r="CK9" s="628">
        <f>+APA!CK272</f>
        <v>126.858</v>
      </c>
      <c r="CL9" s="628">
        <f>+APA!CL272</f>
        <v>126.858</v>
      </c>
      <c r="CM9" s="628">
        <f>+APA!CM272</f>
        <v>126.858</v>
      </c>
      <c r="CN9" s="628">
        <f>+APA!CN272</f>
        <v>126.858</v>
      </c>
      <c r="CO9" s="628">
        <f>+APA!CO272</f>
        <v>126.858</v>
      </c>
      <c r="CP9" s="628">
        <f>+APA!CP272</f>
        <v>126.858</v>
      </c>
      <c r="CQ9" s="23" t="s">
        <v>77</v>
      </c>
    </row>
    <row r="10" spans="1:96" outlineLevel="1" x14ac:dyDescent="0.2">
      <c r="B10" s="7" t="s">
        <v>198</v>
      </c>
      <c r="D10" s="9"/>
      <c r="E10" s="9"/>
      <c r="F10" s="9"/>
      <c r="G10" s="9"/>
      <c r="H10" s="9"/>
      <c r="I10" s="9"/>
      <c r="J10" s="9"/>
      <c r="K10" s="627">
        <f>+APA!K279</f>
        <v>1007.78</v>
      </c>
      <c r="L10" s="627">
        <f>+APA!L279</f>
        <v>1055.7080000000001</v>
      </c>
      <c r="M10" s="627">
        <f>+APA!M279</f>
        <v>2593.1579999999999</v>
      </c>
      <c r="N10" s="627">
        <f>+APA!N279</f>
        <v>2660.973</v>
      </c>
      <c r="O10" s="627">
        <f>+APA!O279</f>
        <v>2057.875</v>
      </c>
      <c r="P10" s="627">
        <f>+APA!P279</f>
        <v>2891.8910000000001</v>
      </c>
      <c r="Q10" s="627">
        <f>+APA!Q279</f>
        <v>1990.4459999999999</v>
      </c>
      <c r="R10" s="627">
        <f>+APA!R279</f>
        <v>2905.9459999999999</v>
      </c>
      <c r="S10" s="627">
        <f>+APA!S279</f>
        <v>4233.2420000000002</v>
      </c>
      <c r="T10" s="628">
        <f>+APA!T279</f>
        <v>4708.2830000000004</v>
      </c>
      <c r="U10" s="628">
        <f>+APA!U279</f>
        <v>9141.4969999999994</v>
      </c>
      <c r="V10" s="628">
        <f>+APA!V279</f>
        <v>9314.3729999999996</v>
      </c>
      <c r="W10" s="628">
        <f>+APA!W279</f>
        <v>9573.9069999999992</v>
      </c>
      <c r="X10" s="628">
        <f>+APA!X279</f>
        <v>9773.9069999999992</v>
      </c>
      <c r="Y10" s="628">
        <f>+APA!Y279</f>
        <v>9873.9069999999992</v>
      </c>
      <c r="Z10" s="628">
        <f>+APA!Z279</f>
        <v>9973.9069999999992</v>
      </c>
      <c r="AA10" s="628">
        <f>+APA!AA279</f>
        <v>9823.9069999999992</v>
      </c>
      <c r="AB10" s="628">
        <f>+APA!AB279</f>
        <v>9673.9069999999992</v>
      </c>
      <c r="AC10" s="628">
        <f>+APA!AC279</f>
        <v>9523.9069999999992</v>
      </c>
      <c r="AD10" s="628">
        <f>+APA!AD279</f>
        <v>9373.9069999999992</v>
      </c>
      <c r="AE10" s="628">
        <f>+APA!AE279</f>
        <v>9223.9069999999992</v>
      </c>
      <c r="AF10" s="628">
        <f>+APA!AF279</f>
        <v>9073.9069999999992</v>
      </c>
      <c r="AG10" s="628">
        <f>+APA!AG279</f>
        <v>8923.9069999999992</v>
      </c>
      <c r="AH10" s="628">
        <f>+APA!AH279</f>
        <v>9023.9069999999992</v>
      </c>
      <c r="AI10" s="628">
        <f>+APA!AI279</f>
        <v>8873.9069999999992</v>
      </c>
      <c r="AJ10" s="628">
        <f>+APA!AJ279</f>
        <v>8723.9069999999992</v>
      </c>
      <c r="AK10" s="628">
        <f>+APA!AK279</f>
        <v>8823.9069999999992</v>
      </c>
      <c r="AL10" s="628">
        <f>+APA!AL279</f>
        <v>8823.9069999999992</v>
      </c>
      <c r="AM10" s="628">
        <f>+APA!AM279</f>
        <v>8823.9069999999992</v>
      </c>
      <c r="AN10" s="628">
        <f>+APA!AN279</f>
        <v>8823.9069999999992</v>
      </c>
      <c r="AO10" s="628">
        <f>+APA!AO279</f>
        <v>8573.9069999999992</v>
      </c>
      <c r="AP10" s="628">
        <f>+APA!AP279</f>
        <v>8373.9069999999992</v>
      </c>
      <c r="AQ10" s="628">
        <f>+APA!AQ279</f>
        <v>8173.9069999999992</v>
      </c>
      <c r="AR10" s="628">
        <f>+APA!AR279</f>
        <v>7973.9069999999992</v>
      </c>
      <c r="AS10" s="628">
        <f>+APA!AS279</f>
        <v>7823.9069999999992</v>
      </c>
      <c r="AT10" s="628">
        <f>+APA!AT279</f>
        <v>7673.9069999999992</v>
      </c>
      <c r="AU10" s="628">
        <f>+APA!AU279</f>
        <v>7523.9069999999992</v>
      </c>
      <c r="AV10" s="628">
        <f>+APA!AV279</f>
        <v>7586.6914892078157</v>
      </c>
      <c r="AW10" s="628">
        <f>+APA!AW279</f>
        <v>7649.4944702717285</v>
      </c>
      <c r="AX10" s="628">
        <f>+APA!AX279</f>
        <v>7712.3159699388943</v>
      </c>
      <c r="AY10" s="628">
        <f>+APA!AY279</f>
        <v>7775.1560149951583</v>
      </c>
      <c r="AZ10" s="628">
        <f>+APA!AZ279</f>
        <v>7838.0146322651099</v>
      </c>
      <c r="BA10" s="628">
        <f>+APA!BA279</f>
        <v>7900.8918486121374</v>
      </c>
      <c r="BB10" s="628">
        <f>+APA!BB279</f>
        <v>7963.787690938485</v>
      </c>
      <c r="BC10" s="628">
        <f>+APA!BC279</f>
        <v>8026.70218618531</v>
      </c>
      <c r="BD10" s="628">
        <f>+APA!BD279</f>
        <v>8089.6353613327383</v>
      </c>
      <c r="BE10" s="628">
        <f>+APA!BE279</f>
        <v>8152.5872433999193</v>
      </c>
      <c r="BF10" s="628">
        <f>+APA!BF279</f>
        <v>8215.5578594450853</v>
      </c>
      <c r="BG10" s="628">
        <f>+APA!BG279</f>
        <v>8278.5472365656042</v>
      </c>
      <c r="BH10" s="628">
        <f>+APA!BH279</f>
        <v>8341.555401898042</v>
      </c>
      <c r="BI10" s="628">
        <f>+APA!BI279</f>
        <v>8404.5823826182113</v>
      </c>
      <c r="BJ10" s="628">
        <f>+APA!BJ279</f>
        <v>8467.6282059412351</v>
      </c>
      <c r="BK10" s="628">
        <f>+APA!BK279</f>
        <v>8530.6928991216009</v>
      </c>
      <c r="BL10" s="628">
        <f>+APA!BL279</f>
        <v>8593.7764894532193</v>
      </c>
      <c r="BM10" s="628">
        <f>+APA!BM279</f>
        <v>8656.8790042694764</v>
      </c>
      <c r="BN10" s="628">
        <f>+APA!BN279</f>
        <v>8720.000470943296</v>
      </c>
      <c r="BO10" s="628">
        <f>+APA!BO279</f>
        <v>8783.140916887196</v>
      </c>
      <c r="BP10" s="628">
        <f>+APA!BP279</f>
        <v>8846.3003695533425</v>
      </c>
      <c r="BQ10" s="628">
        <f>+APA!BQ279</f>
        <v>8909.4788564336104</v>
      </c>
      <c r="BR10" s="628">
        <f>+APA!BR279</f>
        <v>8972.6764050596375</v>
      </c>
      <c r="BS10" s="628">
        <f>+APA!BS279</f>
        <v>9035.8930430028868</v>
      </c>
      <c r="BT10" s="628">
        <f>+APA!BT279</f>
        <v>9099.1287978747023</v>
      </c>
      <c r="BU10" s="628">
        <f>+APA!BU279</f>
        <v>9162.3836973263624</v>
      </c>
      <c r="BV10" s="628">
        <f>+APA!BV279</f>
        <v>9225.6577690491431</v>
      </c>
      <c r="BW10" s="628">
        <f>+APA!BW279</f>
        <v>9288.9510407743728</v>
      </c>
      <c r="BX10" s="628">
        <f>+APA!BX279</f>
        <v>9352.2635402734923</v>
      </c>
      <c r="BY10" s="628">
        <f>+APA!BY279</f>
        <v>9415.5952953581127</v>
      </c>
      <c r="BZ10" s="628">
        <f>+APA!BZ279</f>
        <v>9478.9463338800706</v>
      </c>
      <c r="CA10" s="628">
        <f>+APA!CA279</f>
        <v>9542.3166837314893</v>
      </c>
      <c r="CB10" s="628">
        <f>+APA!CB279</f>
        <v>9605.7063728448375</v>
      </c>
      <c r="CC10" s="628">
        <f>+APA!CC279</f>
        <v>9669.1154291929834</v>
      </c>
      <c r="CD10" s="628">
        <f>+APA!CD279</f>
        <v>9732.5438807892569</v>
      </c>
      <c r="CE10" s="628">
        <f>+APA!CE279</f>
        <v>9795.991755687508</v>
      </c>
      <c r="CF10" s="628">
        <f>+APA!CF279</f>
        <v>9859.4590819821642</v>
      </c>
      <c r="CG10" s="628">
        <f>+APA!CG279</f>
        <v>9922.9458878082896</v>
      </c>
      <c r="CH10" s="628">
        <f>+APA!CH279</f>
        <v>9986.4522013416445</v>
      </c>
      <c r="CI10" s="628">
        <f>+APA!CI279</f>
        <v>10049.978050798742</v>
      </c>
      <c r="CJ10" s="628">
        <f>+APA!CJ279</f>
        <v>10113.523464436908</v>
      </c>
      <c r="CK10" s="628">
        <f>+APA!CK279</f>
        <v>10177.088470554343</v>
      </c>
      <c r="CL10" s="628">
        <f>+APA!CL279</f>
        <v>10240.673097490177</v>
      </c>
      <c r="CM10" s="628">
        <f>+APA!CM279</f>
        <v>10304.277373624531</v>
      </c>
      <c r="CN10" s="628">
        <f>+APA!CN279</f>
        <v>10367.901327378575</v>
      </c>
      <c r="CO10" s="628">
        <f>+APA!CO279</f>
        <v>10431.544987214589</v>
      </c>
      <c r="CP10" s="628">
        <f>+APA!CP279</f>
        <v>10495.208381636023</v>
      </c>
      <c r="CQ10" s="23" t="s">
        <v>77</v>
      </c>
    </row>
    <row r="11" spans="1:96" outlineLevel="1" x14ac:dyDescent="0.2">
      <c r="B11" s="1" t="s">
        <v>199</v>
      </c>
      <c r="D11" s="3"/>
      <c r="E11" s="3"/>
      <c r="F11" s="3"/>
      <c r="G11" s="3"/>
      <c r="H11" s="3"/>
      <c r="I11" s="3"/>
      <c r="J11" s="3"/>
      <c r="K11" s="21">
        <f>SUM(K9:K10)</f>
        <v>1007.968</v>
      </c>
      <c r="L11" s="21">
        <f t="shared" ref="L11:BD11" si="6">SUM(L9:L10)</f>
        <v>1214.25</v>
      </c>
      <c r="M11" s="21">
        <f t="shared" si="6"/>
        <v>2597.652</v>
      </c>
      <c r="N11" s="21">
        <f t="shared" si="6"/>
        <v>3111.123</v>
      </c>
      <c r="O11" s="21">
        <f t="shared" si="6"/>
        <v>2958.0940000000001</v>
      </c>
      <c r="P11" s="21">
        <f t="shared" si="6"/>
        <v>2995.7739999999999</v>
      </c>
      <c r="Q11" s="21">
        <f t="shared" si="6"/>
        <v>2890.4459999999999</v>
      </c>
      <c r="R11" s="21">
        <f t="shared" si="6"/>
        <v>2905.9459999999999</v>
      </c>
      <c r="S11" s="21">
        <f t="shared" si="6"/>
        <v>4314.152</v>
      </c>
      <c r="T11" s="48">
        <f t="shared" si="6"/>
        <v>4708.2830000000004</v>
      </c>
      <c r="U11" s="48">
        <f t="shared" si="6"/>
        <v>9305.8499999999985</v>
      </c>
      <c r="V11" s="48">
        <f t="shared" si="6"/>
        <v>9724.2019999999993</v>
      </c>
      <c r="W11" s="48">
        <f t="shared" si="6"/>
        <v>9700.7649999999994</v>
      </c>
      <c r="X11" s="48">
        <f t="shared" si="6"/>
        <v>9900.7649999999994</v>
      </c>
      <c r="Y11" s="48">
        <f t="shared" si="6"/>
        <v>10000.764999999999</v>
      </c>
      <c r="Z11" s="48">
        <f t="shared" si="6"/>
        <v>10100.764999999999</v>
      </c>
      <c r="AA11" s="48">
        <f t="shared" si="6"/>
        <v>9950.7649999999994</v>
      </c>
      <c r="AB11" s="48">
        <f t="shared" si="6"/>
        <v>9800.7649999999994</v>
      </c>
      <c r="AC11" s="48">
        <f t="shared" si="6"/>
        <v>9650.7649999999994</v>
      </c>
      <c r="AD11" s="48">
        <f t="shared" si="6"/>
        <v>9500.7649999999994</v>
      </c>
      <c r="AE11" s="48">
        <f t="shared" si="6"/>
        <v>9350.7649999999994</v>
      </c>
      <c r="AF11" s="48">
        <f t="shared" si="6"/>
        <v>9200.7649999999994</v>
      </c>
      <c r="AG11" s="48">
        <f t="shared" si="6"/>
        <v>9050.7649999999994</v>
      </c>
      <c r="AH11" s="48">
        <f t="shared" si="6"/>
        <v>9150.7649999999994</v>
      </c>
      <c r="AI11" s="48">
        <f t="shared" si="6"/>
        <v>9000.7649999999994</v>
      </c>
      <c r="AJ11" s="48">
        <f t="shared" si="6"/>
        <v>8850.7649999999994</v>
      </c>
      <c r="AK11" s="48">
        <f t="shared" si="6"/>
        <v>8950.7649999999994</v>
      </c>
      <c r="AL11" s="48">
        <f t="shared" si="6"/>
        <v>8950.7649999999994</v>
      </c>
      <c r="AM11" s="48">
        <f t="shared" si="6"/>
        <v>8950.7649999999994</v>
      </c>
      <c r="AN11" s="48">
        <f t="shared" si="6"/>
        <v>8950.7649999999994</v>
      </c>
      <c r="AO11" s="48">
        <f t="shared" si="6"/>
        <v>8700.7649999999994</v>
      </c>
      <c r="AP11" s="48">
        <f t="shared" si="6"/>
        <v>8500.7649999999994</v>
      </c>
      <c r="AQ11" s="48">
        <f t="shared" si="6"/>
        <v>8300.7649999999994</v>
      </c>
      <c r="AR11" s="48">
        <f t="shared" si="6"/>
        <v>8100.7649999999994</v>
      </c>
      <c r="AS11" s="48">
        <f t="shared" si="6"/>
        <v>7950.7649999999994</v>
      </c>
      <c r="AT11" s="48">
        <f t="shared" si="6"/>
        <v>7800.7649999999994</v>
      </c>
      <c r="AU11" s="48">
        <f t="shared" si="6"/>
        <v>7650.7649999999994</v>
      </c>
      <c r="AV11" s="48">
        <f t="shared" si="6"/>
        <v>7713.5494892078159</v>
      </c>
      <c r="AW11" s="48">
        <f t="shared" si="6"/>
        <v>7776.3524702717286</v>
      </c>
      <c r="AX11" s="48">
        <f t="shared" si="6"/>
        <v>7839.1739699388945</v>
      </c>
      <c r="AY11" s="48">
        <f t="shared" si="6"/>
        <v>7902.0140149951585</v>
      </c>
      <c r="AZ11" s="48">
        <f t="shared" si="6"/>
        <v>7964.87263226511</v>
      </c>
      <c r="BA11" s="48">
        <f t="shared" si="6"/>
        <v>8027.7498486121376</v>
      </c>
      <c r="BB11" s="48">
        <f t="shared" si="6"/>
        <v>8090.6456909384851</v>
      </c>
      <c r="BC11" s="48">
        <f t="shared" si="6"/>
        <v>8153.5601861853102</v>
      </c>
      <c r="BD11" s="48">
        <f t="shared" si="6"/>
        <v>8216.4933613327375</v>
      </c>
      <c r="BE11" s="48">
        <f t="shared" ref="BE11:CP11" si="7">SUM(BE9:BE10)</f>
        <v>8279.4452433999195</v>
      </c>
      <c r="BF11" s="48">
        <f t="shared" si="7"/>
        <v>8342.4158594450855</v>
      </c>
      <c r="BG11" s="48">
        <f t="shared" si="7"/>
        <v>8405.4052365656044</v>
      </c>
      <c r="BH11" s="48">
        <f t="shared" si="7"/>
        <v>8468.4134018980421</v>
      </c>
      <c r="BI11" s="48">
        <f t="shared" si="7"/>
        <v>8531.4403826182115</v>
      </c>
      <c r="BJ11" s="48">
        <f t="shared" si="7"/>
        <v>8594.4862059412353</v>
      </c>
      <c r="BK11" s="48">
        <f t="shared" si="7"/>
        <v>8657.5508991216011</v>
      </c>
      <c r="BL11" s="48">
        <f t="shared" si="7"/>
        <v>8720.6344894532194</v>
      </c>
      <c r="BM11" s="48">
        <f t="shared" si="7"/>
        <v>8783.7370042694765</v>
      </c>
      <c r="BN11" s="48">
        <f t="shared" si="7"/>
        <v>8846.8584709432962</v>
      </c>
      <c r="BO11" s="48">
        <f t="shared" si="7"/>
        <v>8909.9989168871962</v>
      </c>
      <c r="BP11" s="48">
        <f t="shared" si="7"/>
        <v>8973.1583695533427</v>
      </c>
      <c r="BQ11" s="48">
        <f t="shared" si="7"/>
        <v>9036.3368564336106</v>
      </c>
      <c r="BR11" s="48">
        <f t="shared" si="7"/>
        <v>9099.5344050596377</v>
      </c>
      <c r="BS11" s="48">
        <f t="shared" si="7"/>
        <v>9162.7510430028869</v>
      </c>
      <c r="BT11" s="48">
        <f t="shared" si="7"/>
        <v>9225.9867978747025</v>
      </c>
      <c r="BU11" s="48">
        <f t="shared" si="7"/>
        <v>9289.2416973263626</v>
      </c>
      <c r="BV11" s="48">
        <f t="shared" si="7"/>
        <v>9352.5157690491433</v>
      </c>
      <c r="BW11" s="48">
        <f t="shared" si="7"/>
        <v>9415.809040774373</v>
      </c>
      <c r="BX11" s="48">
        <f t="shared" si="7"/>
        <v>9479.1215402734924</v>
      </c>
      <c r="BY11" s="48">
        <f t="shared" si="7"/>
        <v>9542.4532953581129</v>
      </c>
      <c r="BZ11" s="48">
        <f t="shared" si="7"/>
        <v>9605.8043338800708</v>
      </c>
      <c r="CA11" s="48">
        <f t="shared" si="7"/>
        <v>9669.1746837314895</v>
      </c>
      <c r="CB11" s="48">
        <f t="shared" si="7"/>
        <v>9732.5643728448376</v>
      </c>
      <c r="CC11" s="48">
        <f t="shared" si="7"/>
        <v>9795.9734291929835</v>
      </c>
      <c r="CD11" s="48">
        <f t="shared" si="7"/>
        <v>9859.4018807892571</v>
      </c>
      <c r="CE11" s="48">
        <f t="shared" si="7"/>
        <v>9922.8497556875082</v>
      </c>
      <c r="CF11" s="48">
        <f t="shared" si="7"/>
        <v>9986.3170819821644</v>
      </c>
      <c r="CG11" s="48">
        <f t="shared" si="7"/>
        <v>10049.80388780829</v>
      </c>
      <c r="CH11" s="48">
        <f t="shared" si="7"/>
        <v>10113.310201341645</v>
      </c>
      <c r="CI11" s="48">
        <f t="shared" si="7"/>
        <v>10176.836050798742</v>
      </c>
      <c r="CJ11" s="48">
        <f t="shared" si="7"/>
        <v>10240.381464436909</v>
      </c>
      <c r="CK11" s="48">
        <f t="shared" si="7"/>
        <v>10303.946470554343</v>
      </c>
      <c r="CL11" s="48">
        <f t="shared" si="7"/>
        <v>10367.531097490177</v>
      </c>
      <c r="CM11" s="48">
        <f t="shared" si="7"/>
        <v>10431.135373624531</v>
      </c>
      <c r="CN11" s="48">
        <f t="shared" si="7"/>
        <v>10494.759327378575</v>
      </c>
      <c r="CO11" s="48">
        <f t="shared" si="7"/>
        <v>10558.402987214589</v>
      </c>
      <c r="CP11" s="48">
        <f t="shared" si="7"/>
        <v>10622.066381636023</v>
      </c>
      <c r="CQ11" s="23" t="s">
        <v>77</v>
      </c>
    </row>
    <row r="12" spans="1:96" outlineLevel="1" x14ac:dyDescent="0.2">
      <c r="B12" s="7" t="s">
        <v>196</v>
      </c>
      <c r="D12" s="9"/>
      <c r="E12" s="9"/>
      <c r="F12" s="9"/>
      <c r="G12" s="9"/>
      <c r="H12" s="9"/>
      <c r="I12" s="9"/>
      <c r="J12" s="9"/>
      <c r="K12" s="627">
        <f>-APA!K255</f>
        <v>-22.373000000000001</v>
      </c>
      <c r="L12" s="627">
        <f>-APA!L255</f>
        <v>-12.628</v>
      </c>
      <c r="M12" s="627">
        <f>-APA!M255</f>
        <v>-60.078000000000003</v>
      </c>
      <c r="N12" s="627">
        <f>-APA!N255</f>
        <v>-105.455</v>
      </c>
      <c r="O12" s="627">
        <f>-APA!O255</f>
        <v>-108.815</v>
      </c>
      <c r="P12" s="627">
        <f>-APA!P255</f>
        <v>-80.94</v>
      </c>
      <c r="Q12" s="627">
        <f>-APA!Q255</f>
        <v>-95.367999999999995</v>
      </c>
      <c r="R12" s="627">
        <f>-APA!R255</f>
        <v>-329.93400000000003</v>
      </c>
      <c r="S12" s="627">
        <f>-APA!S255</f>
        <v>-80.954999999999998</v>
      </c>
      <c r="T12" s="628">
        <f>-APA!T255</f>
        <v>-7.0090000000000856</v>
      </c>
      <c r="U12" s="628">
        <f>-APA!U255</f>
        <v>-411.92100000000096</v>
      </c>
      <c r="V12" s="628">
        <f>-APA!V255</f>
        <v>-84.506000000001023</v>
      </c>
      <c r="W12" s="628">
        <f>-APA!W255</f>
        <v>-394.50100000000111</v>
      </c>
      <c r="X12" s="628">
        <f>-APA!X255</f>
        <v>-743.02275439849473</v>
      </c>
      <c r="Y12" s="628">
        <f>-APA!Y255</f>
        <v>-733.77410562176908</v>
      </c>
      <c r="Z12" s="628">
        <f>-APA!Z255</f>
        <v>-1125.9547272227244</v>
      </c>
      <c r="AA12" s="628">
        <f>-APA!AA255</f>
        <v>-1210.557694857994</v>
      </c>
      <c r="AB12" s="628">
        <f>-APA!AB255</f>
        <v>-1255.6185315920898</v>
      </c>
      <c r="AC12" s="628">
        <f>-APA!AC255</f>
        <v>-1307.3770859815622</v>
      </c>
      <c r="AD12" s="628">
        <f>-APA!AD255</f>
        <v>-1417.0319966801708</v>
      </c>
      <c r="AE12" s="628">
        <f>-APA!AE255</f>
        <v>-1545.6443565108048</v>
      </c>
      <c r="AF12" s="628">
        <f>-APA!AF255</f>
        <v>-1677.1118190250113</v>
      </c>
      <c r="AG12" s="628">
        <f>-APA!AG255</f>
        <v>-1802.6809578922034</v>
      </c>
      <c r="AH12" s="628">
        <f>-APA!AH255</f>
        <v>-2195.7079191419489</v>
      </c>
      <c r="AI12" s="628">
        <f>-APA!AI255</f>
        <v>-2248.2555551249993</v>
      </c>
      <c r="AJ12" s="628">
        <f>-APA!AJ255</f>
        <v>-2243.6856410341838</v>
      </c>
      <c r="AK12" s="628">
        <f>-APA!AK255</f>
        <v>-2476.1738094459715</v>
      </c>
      <c r="AL12" s="628">
        <f>-APA!AL255</f>
        <v>-2626.2953693285099</v>
      </c>
      <c r="AM12" s="628">
        <f>-APA!AM255</f>
        <v>-2794.8922860198859</v>
      </c>
      <c r="AN12" s="628">
        <f>-APA!AN255</f>
        <v>-2972.7540880895667</v>
      </c>
      <c r="AO12" s="628">
        <f>-APA!AO255</f>
        <v>-2886.5487017575078</v>
      </c>
      <c r="AP12" s="628">
        <f>-APA!AP255</f>
        <v>-2446.8191099046317</v>
      </c>
      <c r="AQ12" s="628">
        <f>-APA!AQ255</f>
        <v>-2031.6270849201492</v>
      </c>
      <c r="AR12" s="628">
        <f>-APA!AR255</f>
        <v>-1553.0612276692605</v>
      </c>
      <c r="AS12" s="628">
        <f>-APA!AS255</f>
        <v>-1040.0124761560269</v>
      </c>
      <c r="AT12" s="628">
        <f>-APA!AT255</f>
        <v>-521.23248760817842</v>
      </c>
      <c r="AU12" s="628">
        <f>-APA!AU255</f>
        <v>-23.322778201992605</v>
      </c>
      <c r="AV12" s="628">
        <f>-APA!AV255</f>
        <v>250.69450410979414</v>
      </c>
      <c r="AW12" s="628">
        <f>-APA!AW255</f>
        <v>549.13328732741923</v>
      </c>
      <c r="AX12" s="628">
        <f>-APA!AX255</f>
        <v>837.10736900025904</v>
      </c>
      <c r="AY12" s="628">
        <f>-APA!AY255</f>
        <v>1114.267557024094</v>
      </c>
      <c r="AZ12" s="628">
        <f>-APA!AZ255</f>
        <v>1380.2616261615308</v>
      </c>
      <c r="BA12" s="628">
        <f>-APA!BA255</f>
        <v>1791.0632157680807</v>
      </c>
      <c r="BB12" s="628">
        <f>-APA!BB255</f>
        <v>2190.4747426111107</v>
      </c>
      <c r="BC12" s="628">
        <f>-APA!BC255</f>
        <v>2578.1428239342749</v>
      </c>
      <c r="BD12" s="628">
        <f>-APA!BD255</f>
        <v>2953.7054842099296</v>
      </c>
      <c r="BE12" s="628">
        <f>-APA!BE255</f>
        <v>3316.7920108194976</v>
      </c>
      <c r="BF12" s="628">
        <f>-APA!BF255</f>
        <v>3667.0258065563817</v>
      </c>
      <c r="BG12" s="628">
        <f>-APA!BG255</f>
        <v>4004.0188601609211</v>
      </c>
      <c r="BH12" s="628">
        <f>-APA!BH255</f>
        <v>4327.3784370741196</v>
      </c>
      <c r="BI12" s="628">
        <f>-APA!BI255</f>
        <v>4636.6992720719227</v>
      </c>
      <c r="BJ12" s="628">
        <f>-APA!BJ255</f>
        <v>4931.5705903981761</v>
      </c>
      <c r="BK12" s="628">
        <f>-APA!BK255</f>
        <v>5211.5698302911915</v>
      </c>
      <c r="BL12" s="628">
        <f>-APA!BL255</f>
        <v>5476.2662470132136</v>
      </c>
      <c r="BM12" s="628">
        <f>-APA!BM255</f>
        <v>5725.2195426097478</v>
      </c>
      <c r="BN12" s="628">
        <f>-APA!BN255</f>
        <v>5957.980067701772</v>
      </c>
      <c r="BO12" s="628">
        <f>-APA!BO255</f>
        <v>6174.0878111668717</v>
      </c>
      <c r="BP12" s="628">
        <f>-APA!BP255</f>
        <v>6373.0725693740378</v>
      </c>
      <c r="BQ12" s="628">
        <f>-APA!BQ255</f>
        <v>6580.419832998311</v>
      </c>
      <c r="BR12" s="628">
        <f>-APA!BR255</f>
        <v>6773.3368523267418</v>
      </c>
      <c r="BS12" s="628">
        <f>-APA!BS255</f>
        <v>6983.2607260637124</v>
      </c>
      <c r="BT12" s="628">
        <f>-APA!BT255</f>
        <v>7206.8283146316026</v>
      </c>
      <c r="BU12" s="628">
        <f>-APA!BU255</f>
        <v>7416.0373547731006</v>
      </c>
      <c r="BV12" s="628">
        <f>-APA!BV255</f>
        <v>7610.5204138006138</v>
      </c>
      <c r="BW12" s="628">
        <f>-APA!BW255</f>
        <v>7789.9037795018139</v>
      </c>
      <c r="BX12" s="628">
        <f>-APA!BX255</f>
        <v>7953.8063489549977</v>
      </c>
      <c r="BY12" s="628">
        <f>-APA!BY255</f>
        <v>8101.8418244501754</v>
      </c>
      <c r="BZ12" s="628">
        <f>-APA!BZ255</f>
        <v>8233.6145849144214</v>
      </c>
      <c r="CA12" s="628">
        <f>-APA!CA255</f>
        <v>8348.7227815910428</v>
      </c>
      <c r="CB12" s="628">
        <f>-APA!CB255</f>
        <v>8446.755409920559</v>
      </c>
      <c r="CC12" s="628">
        <f>-APA!CC255</f>
        <v>8530.9852994683788</v>
      </c>
      <c r="CD12" s="628">
        <f>-APA!CD255</f>
        <v>8641.6355994852856</v>
      </c>
      <c r="CE12" s="628">
        <f>-APA!CE255</f>
        <v>8734.8978106426894</v>
      </c>
      <c r="CF12" s="628">
        <f>-APA!CF255</f>
        <v>8810.3526855979653</v>
      </c>
      <c r="CG12" s="628">
        <f>-APA!CG255</f>
        <v>8867.5720926007871</v>
      </c>
      <c r="CH12" s="628">
        <f>-APA!CH255</f>
        <v>9357.7238039609383</v>
      </c>
      <c r="CI12" s="628">
        <f>-APA!CI255</f>
        <v>9835.5935317761832</v>
      </c>
      <c r="CJ12" s="628">
        <f>-APA!CJ255</f>
        <v>10300.822041252331</v>
      </c>
      <c r="CK12" s="628">
        <f>-APA!CK255</f>
        <v>10753.043573508337</v>
      </c>
      <c r="CL12" s="628">
        <f>-APA!CL255</f>
        <v>11191.885271454583</v>
      </c>
      <c r="CM12" s="628">
        <f>-APA!CM255</f>
        <v>11616.965516844342</v>
      </c>
      <c r="CN12" s="628">
        <f>-APA!CN255</f>
        <v>12027.89411808252</v>
      </c>
      <c r="CO12" s="628">
        <f>-APA!CO255</f>
        <v>12424.271747878594</v>
      </c>
      <c r="CP12" s="628">
        <f>-APA!CP255</f>
        <v>12836.468103932584</v>
      </c>
      <c r="CQ12" s="23" t="s">
        <v>77</v>
      </c>
    </row>
    <row r="13" spans="1:96" outlineLevel="1" x14ac:dyDescent="0.2">
      <c r="B13" s="1" t="s">
        <v>125</v>
      </c>
      <c r="D13" s="3"/>
      <c r="E13" s="3"/>
      <c r="F13" s="3"/>
      <c r="G13" s="3"/>
      <c r="H13" s="3"/>
      <c r="I13" s="3"/>
      <c r="J13" s="3"/>
      <c r="K13" s="21">
        <f>+K11+K12</f>
        <v>985.59499999999991</v>
      </c>
      <c r="L13" s="21">
        <f t="shared" ref="L13:BD13" si="8">+L11+L12</f>
        <v>1201.6220000000001</v>
      </c>
      <c r="M13" s="21">
        <f t="shared" si="8"/>
        <v>2537.5740000000001</v>
      </c>
      <c r="N13" s="21">
        <f t="shared" si="8"/>
        <v>3005.6680000000001</v>
      </c>
      <c r="O13" s="21">
        <f t="shared" si="8"/>
        <v>2849.279</v>
      </c>
      <c r="P13" s="21">
        <f t="shared" si="8"/>
        <v>2914.8339999999998</v>
      </c>
      <c r="Q13" s="21">
        <f t="shared" si="8"/>
        <v>2795.078</v>
      </c>
      <c r="R13" s="21">
        <f t="shared" si="8"/>
        <v>2576.0119999999997</v>
      </c>
      <c r="S13" s="21">
        <f t="shared" si="8"/>
        <v>4233.1970000000001</v>
      </c>
      <c r="T13" s="48">
        <f t="shared" si="8"/>
        <v>4701.2740000000003</v>
      </c>
      <c r="U13" s="48">
        <f t="shared" si="8"/>
        <v>8893.9289999999983</v>
      </c>
      <c r="V13" s="48">
        <f t="shared" si="8"/>
        <v>9639.6959999999981</v>
      </c>
      <c r="W13" s="48">
        <f t="shared" si="8"/>
        <v>9306.2639999999992</v>
      </c>
      <c r="X13" s="48">
        <f t="shared" si="8"/>
        <v>9157.7422456015047</v>
      </c>
      <c r="Y13" s="48">
        <f t="shared" si="8"/>
        <v>9266.9908943782302</v>
      </c>
      <c r="Z13" s="48">
        <f t="shared" si="8"/>
        <v>8974.8102727772748</v>
      </c>
      <c r="AA13" s="48">
        <f t="shared" si="8"/>
        <v>8740.2073051420048</v>
      </c>
      <c r="AB13" s="48">
        <f t="shared" si="8"/>
        <v>8545.1464684079092</v>
      </c>
      <c r="AC13" s="48">
        <f t="shared" si="8"/>
        <v>8343.3879140184363</v>
      </c>
      <c r="AD13" s="48">
        <f t="shared" si="8"/>
        <v>8083.7330033198286</v>
      </c>
      <c r="AE13" s="48">
        <f t="shared" si="8"/>
        <v>7805.1206434891947</v>
      </c>
      <c r="AF13" s="48">
        <f t="shared" si="8"/>
        <v>7523.6531809749886</v>
      </c>
      <c r="AG13" s="48">
        <f t="shared" si="8"/>
        <v>7248.0840421077955</v>
      </c>
      <c r="AH13" s="48">
        <f t="shared" si="8"/>
        <v>6955.0570808580505</v>
      </c>
      <c r="AI13" s="48">
        <f t="shared" si="8"/>
        <v>6752.5094448750006</v>
      </c>
      <c r="AJ13" s="48">
        <f t="shared" si="8"/>
        <v>6607.0793589658151</v>
      </c>
      <c r="AK13" s="48">
        <f t="shared" si="8"/>
        <v>6474.5911905540279</v>
      </c>
      <c r="AL13" s="48">
        <f t="shared" si="8"/>
        <v>6324.4696306714895</v>
      </c>
      <c r="AM13" s="48">
        <f t="shared" si="8"/>
        <v>6155.872713980114</v>
      </c>
      <c r="AN13" s="48">
        <f t="shared" si="8"/>
        <v>5978.0109119104327</v>
      </c>
      <c r="AO13" s="48">
        <f t="shared" si="8"/>
        <v>5814.2162982424916</v>
      </c>
      <c r="AP13" s="48">
        <f t="shared" si="8"/>
        <v>6053.9458900953678</v>
      </c>
      <c r="AQ13" s="48">
        <f t="shared" si="8"/>
        <v>6269.1379150798502</v>
      </c>
      <c r="AR13" s="48">
        <f t="shared" si="8"/>
        <v>6547.7037723307385</v>
      </c>
      <c r="AS13" s="48">
        <f t="shared" si="8"/>
        <v>6910.7525238439721</v>
      </c>
      <c r="AT13" s="48">
        <f t="shared" si="8"/>
        <v>7279.532512391821</v>
      </c>
      <c r="AU13" s="48">
        <f t="shared" si="8"/>
        <v>7627.4422217980064</v>
      </c>
      <c r="AV13" s="48">
        <f t="shared" si="8"/>
        <v>7964.2439933176101</v>
      </c>
      <c r="AW13" s="48">
        <f t="shared" si="8"/>
        <v>8325.4857575991482</v>
      </c>
      <c r="AX13" s="48">
        <f t="shared" si="8"/>
        <v>8676.281338939154</v>
      </c>
      <c r="AY13" s="48">
        <f t="shared" si="8"/>
        <v>9016.2815720192521</v>
      </c>
      <c r="AZ13" s="48">
        <f t="shared" si="8"/>
        <v>9345.1342584266404</v>
      </c>
      <c r="BA13" s="48">
        <f t="shared" si="8"/>
        <v>9818.8130643802178</v>
      </c>
      <c r="BB13" s="48">
        <f t="shared" si="8"/>
        <v>10281.120433549597</v>
      </c>
      <c r="BC13" s="48">
        <f t="shared" si="8"/>
        <v>10731.703010119585</v>
      </c>
      <c r="BD13" s="48">
        <f t="shared" si="8"/>
        <v>11170.198845542667</v>
      </c>
      <c r="BE13" s="48">
        <f t="shared" ref="BE13:CP13" si="9">+BE11+BE12</f>
        <v>11596.237254219417</v>
      </c>
      <c r="BF13" s="48">
        <f t="shared" si="9"/>
        <v>12009.441666001467</v>
      </c>
      <c r="BG13" s="48">
        <f t="shared" si="9"/>
        <v>12409.424096726525</v>
      </c>
      <c r="BH13" s="48">
        <f t="shared" si="9"/>
        <v>12795.791838972162</v>
      </c>
      <c r="BI13" s="48">
        <f t="shared" si="9"/>
        <v>13168.139654690134</v>
      </c>
      <c r="BJ13" s="48">
        <f t="shared" si="9"/>
        <v>13526.056796339411</v>
      </c>
      <c r="BK13" s="48">
        <f t="shared" si="9"/>
        <v>13869.120729412793</v>
      </c>
      <c r="BL13" s="48">
        <f t="shared" si="9"/>
        <v>14196.900736466432</v>
      </c>
      <c r="BM13" s="48">
        <f t="shared" si="9"/>
        <v>14508.956546879224</v>
      </c>
      <c r="BN13" s="48">
        <f t="shared" si="9"/>
        <v>14804.838538645068</v>
      </c>
      <c r="BO13" s="48">
        <f t="shared" si="9"/>
        <v>15084.086728054068</v>
      </c>
      <c r="BP13" s="48">
        <f t="shared" si="9"/>
        <v>15346.23093892738</v>
      </c>
      <c r="BQ13" s="48">
        <f t="shared" si="9"/>
        <v>15616.756689431921</v>
      </c>
      <c r="BR13" s="48">
        <f t="shared" si="9"/>
        <v>15872.87125738638</v>
      </c>
      <c r="BS13" s="48">
        <f t="shared" si="9"/>
        <v>16146.011769066599</v>
      </c>
      <c r="BT13" s="48">
        <f t="shared" si="9"/>
        <v>16432.815112506305</v>
      </c>
      <c r="BU13" s="48">
        <f t="shared" si="9"/>
        <v>16705.279052099464</v>
      </c>
      <c r="BV13" s="48">
        <f t="shared" si="9"/>
        <v>16963.036182849755</v>
      </c>
      <c r="BW13" s="48">
        <f t="shared" si="9"/>
        <v>17205.712820276189</v>
      </c>
      <c r="BX13" s="48">
        <f t="shared" si="9"/>
        <v>17432.927889228489</v>
      </c>
      <c r="BY13" s="48">
        <f t="shared" si="9"/>
        <v>17644.295119808288</v>
      </c>
      <c r="BZ13" s="48">
        <f t="shared" si="9"/>
        <v>17839.418918794494</v>
      </c>
      <c r="CA13" s="48">
        <f t="shared" si="9"/>
        <v>18017.89746532253</v>
      </c>
      <c r="CB13" s="48">
        <f t="shared" si="9"/>
        <v>18179.319782765397</v>
      </c>
      <c r="CC13" s="48">
        <f t="shared" si="9"/>
        <v>18326.958728661361</v>
      </c>
      <c r="CD13" s="48">
        <f t="shared" si="9"/>
        <v>18501.037480274543</v>
      </c>
      <c r="CE13" s="48">
        <f t="shared" si="9"/>
        <v>18657.747566330196</v>
      </c>
      <c r="CF13" s="48">
        <f t="shared" si="9"/>
        <v>18796.66976758013</v>
      </c>
      <c r="CG13" s="48">
        <f t="shared" si="9"/>
        <v>18917.375980409077</v>
      </c>
      <c r="CH13" s="48">
        <f t="shared" si="9"/>
        <v>19471.034005302583</v>
      </c>
      <c r="CI13" s="48">
        <f t="shared" si="9"/>
        <v>20012.429582574925</v>
      </c>
      <c r="CJ13" s="48">
        <f t="shared" si="9"/>
        <v>20541.203505689242</v>
      </c>
      <c r="CK13" s="48">
        <f t="shared" si="9"/>
        <v>21056.990044062681</v>
      </c>
      <c r="CL13" s="48">
        <f t="shared" si="9"/>
        <v>21559.41636894476</v>
      </c>
      <c r="CM13" s="48">
        <f t="shared" si="9"/>
        <v>22048.100890468872</v>
      </c>
      <c r="CN13" s="48">
        <f t="shared" si="9"/>
        <v>22522.653445461096</v>
      </c>
      <c r="CO13" s="48">
        <f t="shared" si="9"/>
        <v>22982.674735093184</v>
      </c>
      <c r="CP13" s="48">
        <f t="shared" si="9"/>
        <v>23458.534485568605</v>
      </c>
      <c r="CQ13" s="23" t="s">
        <v>77</v>
      </c>
    </row>
    <row r="14" spans="1:96" outlineLevel="1" x14ac:dyDescent="0.2">
      <c r="A14" s="355"/>
      <c r="B14" s="360" t="s">
        <v>46</v>
      </c>
      <c r="C14" s="356"/>
      <c r="K14" s="361" t="b">
        <f>K13=APA!K296</f>
        <v>1</v>
      </c>
      <c r="L14" s="361" t="b">
        <f>L13=APA!L296</f>
        <v>1</v>
      </c>
      <c r="M14" s="361" t="b">
        <f>M13=APA!M296</f>
        <v>1</v>
      </c>
      <c r="N14" s="361" t="b">
        <f>N13=APA!N296</f>
        <v>1</v>
      </c>
      <c r="O14" s="361" t="b">
        <f>O13=APA!O296</f>
        <v>1</v>
      </c>
      <c r="P14" s="361" t="b">
        <f>P13=APA!P296</f>
        <v>1</v>
      </c>
      <c r="Q14" s="361" t="b">
        <f>Q13=APA!Q296</f>
        <v>1</v>
      </c>
      <c r="R14" s="361" t="b">
        <f>R13=APA!R296</f>
        <v>1</v>
      </c>
      <c r="S14" s="361" t="b">
        <f>S13=APA!S296</f>
        <v>1</v>
      </c>
      <c r="T14" s="361" t="b">
        <f>T13=APA!T296</f>
        <v>1</v>
      </c>
      <c r="U14" s="361" t="b">
        <f>U13=APA!U296</f>
        <v>1</v>
      </c>
      <c r="V14" s="361" t="b">
        <f>V13=APA!V296</f>
        <v>1</v>
      </c>
      <c r="W14" s="361" t="b">
        <f>W13=APA!W296</f>
        <v>1</v>
      </c>
      <c r="X14" s="361" t="b">
        <f>X13=APA!X296</f>
        <v>1</v>
      </c>
      <c r="Y14" s="361" t="b">
        <f>Y13=APA!Y296</f>
        <v>1</v>
      </c>
      <c r="Z14" s="361" t="b">
        <f>Z13=APA!Z296</f>
        <v>1</v>
      </c>
      <c r="AA14" s="361" t="b">
        <f>AA13=APA!AA296</f>
        <v>1</v>
      </c>
      <c r="AB14" s="361" t="b">
        <f>AB13=APA!AB296</f>
        <v>1</v>
      </c>
      <c r="AC14" s="361" t="b">
        <f>AC13=APA!AC296</f>
        <v>1</v>
      </c>
      <c r="AD14" s="361" t="b">
        <f>AD13=APA!AD296</f>
        <v>1</v>
      </c>
      <c r="AE14" s="361" t="b">
        <f>AE13=APA!AE296</f>
        <v>1</v>
      </c>
      <c r="AF14" s="361" t="b">
        <f>AF13=APA!AF296</f>
        <v>1</v>
      </c>
      <c r="AG14" s="361" t="b">
        <f>AG13=APA!AG296</f>
        <v>1</v>
      </c>
      <c r="AH14" s="361" t="b">
        <f>AH13=APA!AH296</f>
        <v>1</v>
      </c>
      <c r="AI14" s="361" t="b">
        <f>AI13=APA!AI296</f>
        <v>1</v>
      </c>
      <c r="AJ14" s="361" t="b">
        <f>AJ13=APA!AJ296</f>
        <v>1</v>
      </c>
      <c r="AK14" s="361" t="b">
        <f>AK13=APA!AK296</f>
        <v>1</v>
      </c>
      <c r="AL14" s="361" t="b">
        <f>AL13=APA!AL296</f>
        <v>1</v>
      </c>
      <c r="AM14" s="361" t="b">
        <f>AM13=APA!AM296</f>
        <v>1</v>
      </c>
      <c r="AN14" s="361" t="b">
        <f>AN13=APA!AN296</f>
        <v>1</v>
      </c>
      <c r="AO14" s="361" t="b">
        <f>AO13=APA!AO296</f>
        <v>1</v>
      </c>
      <c r="AP14" s="361" t="b">
        <f>AP13=APA!AP296</f>
        <v>1</v>
      </c>
      <c r="AQ14" s="361" t="b">
        <f>AQ13=APA!AQ296</f>
        <v>1</v>
      </c>
      <c r="AR14" s="361" t="b">
        <f>AR13=APA!AR296</f>
        <v>1</v>
      </c>
      <c r="AS14" s="361" t="b">
        <f>AS13=APA!AS296</f>
        <v>1</v>
      </c>
      <c r="AT14" s="361" t="b">
        <f>AT13=APA!AT296</f>
        <v>1</v>
      </c>
      <c r="AU14" s="361" t="b">
        <f>AU13=APA!AU296</f>
        <v>1</v>
      </c>
      <c r="AV14" s="361" t="b">
        <f>AV13=APA!AV296</f>
        <v>1</v>
      </c>
      <c r="AW14" s="361" t="b">
        <f>AW13=APA!AW296</f>
        <v>1</v>
      </c>
      <c r="AX14" s="361" t="b">
        <f>AX13=APA!AX296</f>
        <v>1</v>
      </c>
      <c r="AY14" s="361" t="b">
        <f>AY13=APA!AY296</f>
        <v>1</v>
      </c>
      <c r="AZ14" s="361" t="b">
        <f>AZ13=APA!AZ296</f>
        <v>1</v>
      </c>
      <c r="BA14" s="361" t="b">
        <f>BA13=APA!BA296</f>
        <v>1</v>
      </c>
      <c r="BB14" s="361" t="b">
        <f>BB13=APA!BB296</f>
        <v>1</v>
      </c>
      <c r="BC14" s="361" t="b">
        <f>BC13=APA!BC296</f>
        <v>1</v>
      </c>
      <c r="BD14" s="361" t="b">
        <f>BD13=APA!BD296</f>
        <v>1</v>
      </c>
      <c r="BE14" s="361" t="b">
        <f>BE13=APA!BE296</f>
        <v>1</v>
      </c>
      <c r="BF14" s="361" t="b">
        <f>BF13=APA!BF296</f>
        <v>1</v>
      </c>
      <c r="BG14" s="361" t="b">
        <f>BG13=APA!BG296</f>
        <v>1</v>
      </c>
      <c r="BH14" s="361" t="b">
        <f>BH13=APA!BH296</f>
        <v>1</v>
      </c>
      <c r="BI14" s="361" t="b">
        <f>BI13=APA!BI296</f>
        <v>1</v>
      </c>
      <c r="BJ14" s="361" t="b">
        <f>BJ13=APA!BJ296</f>
        <v>1</v>
      </c>
      <c r="BK14" s="361" t="b">
        <f>BK13=APA!BK296</f>
        <v>1</v>
      </c>
      <c r="BL14" s="361" t="b">
        <f>BL13=APA!BL296</f>
        <v>1</v>
      </c>
      <c r="BM14" s="361" t="b">
        <f>BM13=APA!BM296</f>
        <v>1</v>
      </c>
      <c r="BN14" s="361" t="b">
        <f>BN13=APA!BN296</f>
        <v>1</v>
      </c>
      <c r="BO14" s="361" t="b">
        <f>BO13=APA!BO296</f>
        <v>1</v>
      </c>
      <c r="BP14" s="361" t="b">
        <f>BP13=APA!BP296</f>
        <v>1</v>
      </c>
      <c r="BQ14" s="361" t="b">
        <f>BQ13=APA!BQ296</f>
        <v>1</v>
      </c>
      <c r="BR14" s="361" t="b">
        <f>BR13=APA!BR296</f>
        <v>1</v>
      </c>
      <c r="BS14" s="361" t="b">
        <f>BS13=APA!BS296</f>
        <v>1</v>
      </c>
      <c r="BT14" s="361" t="b">
        <f>BT13=APA!BT296</f>
        <v>1</v>
      </c>
      <c r="BU14" s="361" t="b">
        <f>BU13=APA!BU296</f>
        <v>1</v>
      </c>
      <c r="BV14" s="361" t="b">
        <f>BV13=APA!BV296</f>
        <v>1</v>
      </c>
      <c r="BW14" s="361" t="b">
        <f>BW13=APA!BW296</f>
        <v>1</v>
      </c>
      <c r="BX14" s="361" t="b">
        <f>BX13=APA!BX296</f>
        <v>1</v>
      </c>
      <c r="BY14" s="361" t="b">
        <f>BY13=APA!BY296</f>
        <v>1</v>
      </c>
      <c r="BZ14" s="361" t="b">
        <f>BZ13=APA!BZ296</f>
        <v>1</v>
      </c>
      <c r="CA14" s="361" t="b">
        <f>CA13=APA!CA296</f>
        <v>1</v>
      </c>
      <c r="CB14" s="361" t="b">
        <f>CB13=APA!CB296</f>
        <v>1</v>
      </c>
      <c r="CC14" s="361" t="b">
        <f>CC13=APA!CC296</f>
        <v>1</v>
      </c>
      <c r="CD14" s="361" t="b">
        <f>CD13=APA!CD296</f>
        <v>1</v>
      </c>
      <c r="CE14" s="361" t="b">
        <f>CE13=APA!CE296</f>
        <v>1</v>
      </c>
      <c r="CF14" s="361" t="b">
        <f>CF13=APA!CF296</f>
        <v>1</v>
      </c>
      <c r="CG14" s="361" t="b">
        <f>CG13=APA!CG296</f>
        <v>1</v>
      </c>
      <c r="CH14" s="361" t="b">
        <f>CH13=APA!CH296</f>
        <v>1</v>
      </c>
      <c r="CI14" s="361" t="b">
        <f>CI13=APA!CI296</f>
        <v>1</v>
      </c>
      <c r="CJ14" s="361" t="b">
        <f>CJ13=APA!CJ296</f>
        <v>1</v>
      </c>
      <c r="CK14" s="361" t="b">
        <f>CK13=APA!CK296</f>
        <v>1</v>
      </c>
      <c r="CL14" s="361" t="b">
        <f>CL13=APA!CL296</f>
        <v>1</v>
      </c>
      <c r="CM14" s="361" t="b">
        <f>CM13=APA!CM296</f>
        <v>1</v>
      </c>
      <c r="CN14" s="361" t="b">
        <f>CN13=APA!CN296</f>
        <v>1</v>
      </c>
      <c r="CO14" s="361" t="b">
        <f>CO13=APA!CO296</f>
        <v>1</v>
      </c>
      <c r="CP14" s="361" t="b">
        <f>CP13=APA!CP296</f>
        <v>1</v>
      </c>
      <c r="CQ14" s="23" t="s">
        <v>77</v>
      </c>
    </row>
    <row r="15" spans="1:96" outlineLevel="1" x14ac:dyDescent="0.2">
      <c r="A15" s="355"/>
      <c r="B15" s="360"/>
      <c r="C15" s="356"/>
      <c r="K15" s="361"/>
      <c r="L15" s="361"/>
      <c r="M15" s="361"/>
      <c r="N15" s="361"/>
      <c r="O15" s="361"/>
      <c r="P15" s="361"/>
      <c r="Q15" s="361"/>
      <c r="R15" s="361"/>
      <c r="S15" s="361"/>
      <c r="T15" s="361"/>
      <c r="U15" s="361"/>
      <c r="V15" s="361"/>
      <c r="W15" s="361"/>
      <c r="X15" s="361"/>
      <c r="Y15" s="361"/>
      <c r="Z15" s="361"/>
      <c r="AA15" s="361"/>
      <c r="AB15" s="361"/>
      <c r="AC15" s="361"/>
      <c r="AD15" s="361"/>
      <c r="AE15" s="361"/>
      <c r="AF15" s="361"/>
      <c r="AG15" s="361"/>
      <c r="AH15" s="361"/>
      <c r="AI15" s="361"/>
      <c r="AJ15" s="361"/>
      <c r="AK15" s="361"/>
      <c r="AL15" s="361"/>
      <c r="AM15" s="361"/>
      <c r="AN15" s="361"/>
      <c r="AO15" s="361"/>
      <c r="AP15" s="361"/>
      <c r="AQ15" s="361"/>
      <c r="AR15" s="361"/>
      <c r="AS15" s="361"/>
      <c r="AT15" s="361"/>
      <c r="AU15" s="361"/>
      <c r="AV15" s="361"/>
      <c r="AW15" s="361"/>
      <c r="AX15" s="361"/>
      <c r="AY15" s="361"/>
      <c r="AZ15" s="361"/>
      <c r="BA15" s="361"/>
      <c r="BB15" s="361"/>
      <c r="BC15" s="361"/>
      <c r="BD15" s="361"/>
      <c r="BE15" s="361"/>
      <c r="BF15" s="361"/>
      <c r="BG15" s="361"/>
      <c r="BH15" s="361"/>
      <c r="BI15" s="361"/>
      <c r="BJ15" s="361"/>
      <c r="BK15" s="361"/>
      <c r="BL15" s="361"/>
      <c r="BM15" s="361"/>
      <c r="BN15" s="361"/>
      <c r="BO15" s="361"/>
      <c r="BP15" s="361"/>
      <c r="BQ15" s="361"/>
      <c r="BR15" s="361"/>
      <c r="BS15" s="361"/>
      <c r="BT15" s="361"/>
      <c r="BU15" s="361"/>
      <c r="BV15" s="361"/>
      <c r="BW15" s="361"/>
      <c r="BX15" s="361"/>
      <c r="BY15" s="361"/>
      <c r="BZ15" s="361"/>
      <c r="CA15" s="361"/>
      <c r="CB15" s="361"/>
      <c r="CC15" s="361"/>
      <c r="CD15" s="361"/>
      <c r="CE15" s="361"/>
      <c r="CF15" s="361"/>
      <c r="CG15" s="361"/>
      <c r="CH15" s="361"/>
      <c r="CI15" s="361"/>
      <c r="CJ15" s="361"/>
      <c r="CK15" s="361"/>
      <c r="CL15" s="361"/>
      <c r="CM15" s="361"/>
      <c r="CN15" s="361"/>
      <c r="CO15" s="361"/>
      <c r="CP15" s="361"/>
      <c r="CQ15" s="23" t="s">
        <v>77</v>
      </c>
    </row>
    <row r="16" spans="1:96" s="12" customFormat="1" outlineLevel="1" x14ac:dyDescent="0.2">
      <c r="A16" s="102"/>
      <c r="B16" s="11" t="s">
        <v>491</v>
      </c>
      <c r="C16" s="141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302">
        <f>U11-U17</f>
        <v>5522.9552631578936</v>
      </c>
      <c r="V16" s="302">
        <f t="shared" ref="V16:AL16" si="10">V11-V17</f>
        <v>5941.3072631578943</v>
      </c>
      <c r="W16" s="302">
        <f>W11-W17</f>
        <v>5917.8702631578944</v>
      </c>
      <c r="X16" s="302">
        <f t="shared" si="10"/>
        <v>6117.8702631578944</v>
      </c>
      <c r="Y16" s="302">
        <f t="shared" si="10"/>
        <v>6217.8702631578944</v>
      </c>
      <c r="Z16" s="302">
        <f t="shared" si="10"/>
        <v>6317.8702631578944</v>
      </c>
      <c r="AA16" s="302">
        <f t="shared" si="10"/>
        <v>6167.8702631578944</v>
      </c>
      <c r="AB16" s="302">
        <f t="shared" si="10"/>
        <v>6017.8702631578944</v>
      </c>
      <c r="AC16" s="302">
        <f t="shared" si="10"/>
        <v>5903.8978320801998</v>
      </c>
      <c r="AD16" s="302">
        <f t="shared" si="10"/>
        <v>5825.9529699248114</v>
      </c>
      <c r="AE16" s="302">
        <f t="shared" si="10"/>
        <v>5784.0356766917284</v>
      </c>
      <c r="AF16" s="302">
        <f t="shared" si="10"/>
        <v>5778.1459523809517</v>
      </c>
      <c r="AG16" s="302">
        <f t="shared" si="10"/>
        <v>5808.2837969924803</v>
      </c>
      <c r="AH16" s="302">
        <f t="shared" si="10"/>
        <v>6124.4492105263153</v>
      </c>
      <c r="AI16" s="302">
        <f t="shared" si="10"/>
        <v>6226.6421929824555</v>
      </c>
      <c r="AJ16" s="302">
        <f t="shared" si="10"/>
        <v>6364.8627443609021</v>
      </c>
      <c r="AK16" s="302">
        <f t="shared" si="10"/>
        <v>6789.110864661654</v>
      </c>
      <c r="AL16" s="302">
        <f t="shared" si="10"/>
        <v>7149.3865538847112</v>
      </c>
      <c r="AM16" s="302">
        <f t="shared" ref="AM16:BD16" si="11">AM11-AM17</f>
        <v>7545.6898120300748</v>
      </c>
      <c r="AN16" s="302">
        <f t="shared" si="11"/>
        <v>7978.0206390977437</v>
      </c>
      <c r="AO16" s="302">
        <f t="shared" si="11"/>
        <v>8196.3790350877189</v>
      </c>
      <c r="AP16" s="302">
        <f t="shared" si="11"/>
        <v>8500.7649999999994</v>
      </c>
      <c r="AQ16" s="302">
        <f t="shared" si="11"/>
        <v>8300.7649999999994</v>
      </c>
      <c r="AR16" s="302">
        <f t="shared" si="11"/>
        <v>8100.7649999999994</v>
      </c>
      <c r="AS16" s="302">
        <f t="shared" si="11"/>
        <v>7950.7649999999994</v>
      </c>
      <c r="AT16" s="302">
        <f t="shared" si="11"/>
        <v>7800.7649999999994</v>
      </c>
      <c r="AU16" s="302">
        <f t="shared" si="11"/>
        <v>7650.7649999999994</v>
      </c>
      <c r="AV16" s="302">
        <f t="shared" si="11"/>
        <v>7713.5494892078159</v>
      </c>
      <c r="AW16" s="302">
        <f t="shared" si="11"/>
        <v>7776.3524702717286</v>
      </c>
      <c r="AX16" s="302">
        <f t="shared" si="11"/>
        <v>7839.1739699388945</v>
      </c>
      <c r="AY16" s="302">
        <f t="shared" si="11"/>
        <v>7902.0140149951585</v>
      </c>
      <c r="AZ16" s="302">
        <f t="shared" si="11"/>
        <v>7964.87263226511</v>
      </c>
      <c r="BA16" s="302">
        <f t="shared" si="11"/>
        <v>8027.7498486121376</v>
      </c>
      <c r="BB16" s="302">
        <f t="shared" si="11"/>
        <v>8090.6456909384851</v>
      </c>
      <c r="BC16" s="302">
        <f t="shared" si="11"/>
        <v>8153.5601861853102</v>
      </c>
      <c r="BD16" s="302">
        <f t="shared" si="11"/>
        <v>8216.4933613327375</v>
      </c>
      <c r="BE16" s="302">
        <f t="shared" ref="BE16:CP16" si="12">BE11-BE17</f>
        <v>8279.4452433999195</v>
      </c>
      <c r="BF16" s="302">
        <f t="shared" si="12"/>
        <v>8342.4158594450855</v>
      </c>
      <c r="BG16" s="302">
        <f t="shared" si="12"/>
        <v>8405.4052365656044</v>
      </c>
      <c r="BH16" s="302">
        <f t="shared" si="12"/>
        <v>8468.4134018980421</v>
      </c>
      <c r="BI16" s="302">
        <f t="shared" si="12"/>
        <v>8531.4403826182115</v>
      </c>
      <c r="BJ16" s="302">
        <f t="shared" si="12"/>
        <v>8594.4862059412353</v>
      </c>
      <c r="BK16" s="302">
        <f t="shared" si="12"/>
        <v>8657.5508991216011</v>
      </c>
      <c r="BL16" s="302">
        <f t="shared" si="12"/>
        <v>8720.6344894532194</v>
      </c>
      <c r="BM16" s="302">
        <f t="shared" si="12"/>
        <v>8783.7370042694765</v>
      </c>
      <c r="BN16" s="302">
        <f t="shared" si="12"/>
        <v>8846.8584709432962</v>
      </c>
      <c r="BO16" s="302">
        <f t="shared" si="12"/>
        <v>8909.9989168871962</v>
      </c>
      <c r="BP16" s="302">
        <f t="shared" si="12"/>
        <v>8973.1583695533427</v>
      </c>
      <c r="BQ16" s="302">
        <f t="shared" si="12"/>
        <v>9036.3368564336106</v>
      </c>
      <c r="BR16" s="302">
        <f t="shared" si="12"/>
        <v>9099.5344050596377</v>
      </c>
      <c r="BS16" s="302">
        <f t="shared" si="12"/>
        <v>9162.7510430028869</v>
      </c>
      <c r="BT16" s="302">
        <f t="shared" si="12"/>
        <v>9225.9867978747025</v>
      </c>
      <c r="BU16" s="302">
        <f t="shared" si="12"/>
        <v>9289.2416973263626</v>
      </c>
      <c r="BV16" s="302">
        <f t="shared" si="12"/>
        <v>9352.5157690491433</v>
      </c>
      <c r="BW16" s="302">
        <f t="shared" si="12"/>
        <v>9415.809040774373</v>
      </c>
      <c r="BX16" s="302">
        <f t="shared" si="12"/>
        <v>9479.1215402734924</v>
      </c>
      <c r="BY16" s="302">
        <f t="shared" si="12"/>
        <v>9542.4532953581129</v>
      </c>
      <c r="BZ16" s="302">
        <f t="shared" si="12"/>
        <v>9605.8043338800708</v>
      </c>
      <c r="CA16" s="302">
        <f t="shared" si="12"/>
        <v>9669.1746837314895</v>
      </c>
      <c r="CB16" s="302">
        <f t="shared" si="12"/>
        <v>9732.5643728448376</v>
      </c>
      <c r="CC16" s="302">
        <f t="shared" si="12"/>
        <v>9795.9734291929835</v>
      </c>
      <c r="CD16" s="302">
        <f t="shared" si="12"/>
        <v>9859.4018807892571</v>
      </c>
      <c r="CE16" s="302">
        <f t="shared" si="12"/>
        <v>9922.8497556875082</v>
      </c>
      <c r="CF16" s="302">
        <f t="shared" si="12"/>
        <v>9986.3170819821644</v>
      </c>
      <c r="CG16" s="302">
        <f t="shared" si="12"/>
        <v>10049.80388780829</v>
      </c>
      <c r="CH16" s="302">
        <f t="shared" si="12"/>
        <v>10113.310201341645</v>
      </c>
      <c r="CI16" s="302">
        <f t="shared" si="12"/>
        <v>10176.836050798742</v>
      </c>
      <c r="CJ16" s="302">
        <f t="shared" si="12"/>
        <v>10240.381464436909</v>
      </c>
      <c r="CK16" s="302">
        <f t="shared" si="12"/>
        <v>10303.946470554343</v>
      </c>
      <c r="CL16" s="302">
        <f t="shared" si="12"/>
        <v>10367.531097490177</v>
      </c>
      <c r="CM16" s="302">
        <f t="shared" si="12"/>
        <v>10431.135373624531</v>
      </c>
      <c r="CN16" s="302">
        <f t="shared" si="12"/>
        <v>10494.759327378575</v>
      </c>
      <c r="CO16" s="302">
        <f t="shared" si="12"/>
        <v>10558.402987214589</v>
      </c>
      <c r="CP16" s="302">
        <f t="shared" si="12"/>
        <v>10622.066381636023</v>
      </c>
      <c r="CQ16" s="362" t="s">
        <v>77</v>
      </c>
    </row>
    <row r="17" spans="1:95" s="12" customFormat="1" outlineLevel="1" x14ac:dyDescent="0.2">
      <c r="A17" s="102"/>
      <c r="B17" s="11" t="s">
        <v>492</v>
      </c>
      <c r="C17" s="141"/>
      <c r="K17" s="23"/>
      <c r="L17" s="23"/>
      <c r="M17" s="23"/>
      <c r="N17" s="67"/>
      <c r="O17" s="23"/>
      <c r="P17" s="23"/>
      <c r="Q17" s="23"/>
      <c r="R17" s="23"/>
      <c r="S17" s="23"/>
      <c r="U17" s="302">
        <f>N77</f>
        <v>3782.8947368421054</v>
      </c>
      <c r="V17" s="302">
        <f t="shared" ref="V17:AC17" si="13">U17+V18</f>
        <v>3782.8947368421054</v>
      </c>
      <c r="W17" s="302">
        <f t="shared" si="13"/>
        <v>3782.8947368421054</v>
      </c>
      <c r="X17" s="302">
        <f t="shared" si="13"/>
        <v>3782.8947368421054</v>
      </c>
      <c r="Y17" s="302">
        <f t="shared" si="13"/>
        <v>3782.8947368421054</v>
      </c>
      <c r="Z17" s="302">
        <f t="shared" si="13"/>
        <v>3782.8947368421054</v>
      </c>
      <c r="AA17" s="302">
        <f t="shared" si="13"/>
        <v>3782.8947368421054</v>
      </c>
      <c r="AB17" s="302">
        <f t="shared" si="13"/>
        <v>3782.8947368421054</v>
      </c>
      <c r="AC17" s="302">
        <f t="shared" si="13"/>
        <v>3746.8671679197996</v>
      </c>
      <c r="AD17" s="302">
        <f t="shared" ref="AD17:BB17" si="14">AC17+AD18</f>
        <v>3674.812030075188</v>
      </c>
      <c r="AE17" s="302">
        <f t="shared" si="14"/>
        <v>3566.7293233082705</v>
      </c>
      <c r="AF17" s="302">
        <f t="shared" si="14"/>
        <v>3422.6190476190473</v>
      </c>
      <c r="AG17" s="302">
        <f t="shared" si="14"/>
        <v>3242.4812030075186</v>
      </c>
      <c r="AH17" s="302">
        <f t="shared" si="14"/>
        <v>3026.3157894736842</v>
      </c>
      <c r="AI17" s="302">
        <f t="shared" si="14"/>
        <v>2774.1228070175439</v>
      </c>
      <c r="AJ17" s="302">
        <f t="shared" si="14"/>
        <v>2485.9022556390978</v>
      </c>
      <c r="AK17" s="302">
        <f t="shared" si="14"/>
        <v>2161.6541353383459</v>
      </c>
      <c r="AL17" s="302">
        <f t="shared" si="14"/>
        <v>1801.3784461152882</v>
      </c>
      <c r="AM17" s="302">
        <f t="shared" si="14"/>
        <v>1405.0751879699246</v>
      </c>
      <c r="AN17" s="302">
        <f t="shared" si="14"/>
        <v>972.74436090225549</v>
      </c>
      <c r="AO17" s="302">
        <f t="shared" si="14"/>
        <v>504.38596491228049</v>
      </c>
      <c r="AP17" s="302">
        <f t="shared" si="14"/>
        <v>0</v>
      </c>
      <c r="AQ17" s="302">
        <f t="shared" si="14"/>
        <v>0</v>
      </c>
      <c r="AR17" s="302">
        <f t="shared" si="14"/>
        <v>0</v>
      </c>
      <c r="AS17" s="302">
        <f t="shared" si="14"/>
        <v>0</v>
      </c>
      <c r="AT17" s="302">
        <f t="shared" si="14"/>
        <v>0</v>
      </c>
      <c r="AU17" s="302">
        <f t="shared" si="14"/>
        <v>0</v>
      </c>
      <c r="AV17" s="302">
        <f t="shared" si="14"/>
        <v>0</v>
      </c>
      <c r="AW17" s="302">
        <f t="shared" si="14"/>
        <v>0</v>
      </c>
      <c r="AX17" s="302">
        <f t="shared" si="14"/>
        <v>0</v>
      </c>
      <c r="AY17" s="302">
        <f t="shared" si="14"/>
        <v>0</v>
      </c>
      <c r="AZ17" s="302">
        <f t="shared" si="14"/>
        <v>0</v>
      </c>
      <c r="BA17" s="302">
        <f t="shared" si="14"/>
        <v>0</v>
      </c>
      <c r="BB17" s="302">
        <f t="shared" si="14"/>
        <v>0</v>
      </c>
      <c r="BC17" s="302">
        <f>BB17+BC18</f>
        <v>0</v>
      </c>
      <c r="BD17" s="302">
        <f>BC17+BD18</f>
        <v>0</v>
      </c>
      <c r="BE17" s="302">
        <f t="shared" ref="BE17:CP17" si="15">BD17+BE18</f>
        <v>0</v>
      </c>
      <c r="BF17" s="302">
        <f t="shared" si="15"/>
        <v>0</v>
      </c>
      <c r="BG17" s="302">
        <f t="shared" si="15"/>
        <v>0</v>
      </c>
      <c r="BH17" s="302">
        <f t="shared" si="15"/>
        <v>0</v>
      </c>
      <c r="BI17" s="302">
        <f t="shared" si="15"/>
        <v>0</v>
      </c>
      <c r="BJ17" s="302">
        <f t="shared" si="15"/>
        <v>0</v>
      </c>
      <c r="BK17" s="302">
        <f t="shared" si="15"/>
        <v>0</v>
      </c>
      <c r="BL17" s="302">
        <f t="shared" si="15"/>
        <v>0</v>
      </c>
      <c r="BM17" s="302">
        <f t="shared" si="15"/>
        <v>0</v>
      </c>
      <c r="BN17" s="302">
        <f t="shared" si="15"/>
        <v>0</v>
      </c>
      <c r="BO17" s="302">
        <f t="shared" si="15"/>
        <v>0</v>
      </c>
      <c r="BP17" s="302">
        <f t="shared" si="15"/>
        <v>0</v>
      </c>
      <c r="BQ17" s="302">
        <f t="shared" si="15"/>
        <v>0</v>
      </c>
      <c r="BR17" s="302">
        <f t="shared" si="15"/>
        <v>0</v>
      </c>
      <c r="BS17" s="302">
        <f t="shared" si="15"/>
        <v>0</v>
      </c>
      <c r="BT17" s="302">
        <f t="shared" si="15"/>
        <v>0</v>
      </c>
      <c r="BU17" s="302">
        <f t="shared" si="15"/>
        <v>0</v>
      </c>
      <c r="BV17" s="302">
        <f t="shared" si="15"/>
        <v>0</v>
      </c>
      <c r="BW17" s="302">
        <f t="shared" si="15"/>
        <v>0</v>
      </c>
      <c r="BX17" s="302">
        <f t="shared" si="15"/>
        <v>0</v>
      </c>
      <c r="BY17" s="302">
        <f t="shared" si="15"/>
        <v>0</v>
      </c>
      <c r="BZ17" s="302">
        <f t="shared" si="15"/>
        <v>0</v>
      </c>
      <c r="CA17" s="302">
        <f t="shared" si="15"/>
        <v>0</v>
      </c>
      <c r="CB17" s="302">
        <f t="shared" si="15"/>
        <v>0</v>
      </c>
      <c r="CC17" s="302">
        <f t="shared" si="15"/>
        <v>0</v>
      </c>
      <c r="CD17" s="302">
        <f t="shared" si="15"/>
        <v>0</v>
      </c>
      <c r="CE17" s="302">
        <f t="shared" si="15"/>
        <v>0</v>
      </c>
      <c r="CF17" s="302">
        <f t="shared" si="15"/>
        <v>0</v>
      </c>
      <c r="CG17" s="302">
        <f t="shared" si="15"/>
        <v>0</v>
      </c>
      <c r="CH17" s="302">
        <f t="shared" si="15"/>
        <v>0</v>
      </c>
      <c r="CI17" s="302">
        <f t="shared" si="15"/>
        <v>0</v>
      </c>
      <c r="CJ17" s="302">
        <f t="shared" si="15"/>
        <v>0</v>
      </c>
      <c r="CK17" s="302">
        <f t="shared" si="15"/>
        <v>0</v>
      </c>
      <c r="CL17" s="302">
        <f t="shared" si="15"/>
        <v>0</v>
      </c>
      <c r="CM17" s="302">
        <f t="shared" si="15"/>
        <v>0</v>
      </c>
      <c r="CN17" s="302">
        <f t="shared" si="15"/>
        <v>0</v>
      </c>
      <c r="CO17" s="302">
        <f t="shared" si="15"/>
        <v>0</v>
      </c>
      <c r="CP17" s="302">
        <f t="shared" si="15"/>
        <v>0</v>
      </c>
      <c r="CQ17" s="362" t="s">
        <v>77</v>
      </c>
    </row>
    <row r="18" spans="1:95" s="12" customFormat="1" outlineLevel="1" x14ac:dyDescent="0.2">
      <c r="A18" s="102"/>
      <c r="B18" s="11" t="s">
        <v>493</v>
      </c>
      <c r="C18" s="141"/>
      <c r="K18" s="23"/>
      <c r="L18" s="23"/>
      <c r="M18" s="23"/>
      <c r="N18" s="23"/>
      <c r="O18" s="23"/>
      <c r="P18" s="23"/>
      <c r="Q18" s="23"/>
      <c r="R18" s="23"/>
      <c r="S18" s="23"/>
      <c r="U18" s="180"/>
      <c r="V18" s="180">
        <v>0</v>
      </c>
      <c r="W18" s="180">
        <v>0</v>
      </c>
      <c r="X18" s="180">
        <v>0</v>
      </c>
      <c r="Y18" s="180">
        <v>0</v>
      </c>
      <c r="Z18" s="180">
        <v>0</v>
      </c>
      <c r="AA18" s="180">
        <v>0</v>
      </c>
      <c r="AB18" s="180">
        <v>0</v>
      </c>
      <c r="AC18" s="180">
        <f>-$U$17*1/((14*15)/2)</f>
        <v>-36.027568922305768</v>
      </c>
      <c r="AD18" s="180">
        <f>-$U$17*2/((14*15)/2)</f>
        <v>-72.055137844611536</v>
      </c>
      <c r="AE18" s="180">
        <f>-$U$17*3/((14*15)/2)</f>
        <v>-108.0827067669173</v>
      </c>
      <c r="AF18" s="180">
        <f>-$U$17*4/((14*15)/2)</f>
        <v>-144.11027568922307</v>
      </c>
      <c r="AG18" s="180">
        <f>-$U$17*5/((14*15)/2)</f>
        <v>-180.13784461152883</v>
      </c>
      <c r="AH18" s="180">
        <f>-$U$17*6/((14*15)/2)</f>
        <v>-216.1654135338346</v>
      </c>
      <c r="AI18" s="180">
        <f>-$U$17*7/((14*15)/2)</f>
        <v>-252.19298245614036</v>
      </c>
      <c r="AJ18" s="180">
        <f>-$U$17*8/((14*15)/2)</f>
        <v>-288.22055137844615</v>
      </c>
      <c r="AK18" s="180">
        <f>-$U$17*9/((14*15)/2)</f>
        <v>-324.24812030075185</v>
      </c>
      <c r="AL18" s="180">
        <f>-$U$17*10/((14*15)/2)</f>
        <v>-360.27568922305767</v>
      </c>
      <c r="AM18" s="180">
        <f>-$U$17*11/((14*15)/2)</f>
        <v>-396.30325814536343</v>
      </c>
      <c r="AN18" s="180">
        <f>-$U$17*12/((14*15)/2)</f>
        <v>-432.33082706766919</v>
      </c>
      <c r="AO18" s="180">
        <f>-$U$17*13/((14*15)/2)</f>
        <v>-468.35839598997501</v>
      </c>
      <c r="AP18" s="180">
        <f>-$U$17*14/((14*15)/2)</f>
        <v>-504.38596491228071</v>
      </c>
      <c r="AQ18" s="180">
        <v>0</v>
      </c>
      <c r="AR18" s="180">
        <v>0</v>
      </c>
      <c r="AS18" s="180">
        <v>0</v>
      </c>
      <c r="AT18" s="180">
        <v>0</v>
      </c>
      <c r="AU18" s="180">
        <v>0</v>
      </c>
      <c r="AV18" s="180">
        <v>0</v>
      </c>
      <c r="AW18" s="180">
        <v>0</v>
      </c>
      <c r="AX18" s="180">
        <v>0</v>
      </c>
      <c r="AY18" s="180">
        <v>0</v>
      </c>
      <c r="AZ18" s="180">
        <v>0</v>
      </c>
      <c r="BA18" s="180">
        <v>0</v>
      </c>
      <c r="BB18" s="180">
        <v>0</v>
      </c>
      <c r="BC18" s="180">
        <v>0</v>
      </c>
      <c r="BD18" s="180">
        <v>0</v>
      </c>
      <c r="BE18" s="180">
        <v>0</v>
      </c>
      <c r="BF18" s="180">
        <v>0</v>
      </c>
      <c r="BG18" s="180">
        <v>0</v>
      </c>
      <c r="BH18" s="180">
        <v>0</v>
      </c>
      <c r="BI18" s="180">
        <v>0</v>
      </c>
      <c r="BJ18" s="180">
        <v>0</v>
      </c>
      <c r="BK18" s="180">
        <v>0</v>
      </c>
      <c r="BL18" s="180">
        <v>0</v>
      </c>
      <c r="BM18" s="180">
        <v>0</v>
      </c>
      <c r="BN18" s="180">
        <v>0</v>
      </c>
      <c r="BO18" s="180">
        <v>0</v>
      </c>
      <c r="BP18" s="180">
        <v>0</v>
      </c>
      <c r="BQ18" s="180">
        <v>0</v>
      </c>
      <c r="BR18" s="180">
        <v>0</v>
      </c>
      <c r="BS18" s="180">
        <v>0</v>
      </c>
      <c r="BT18" s="180">
        <v>0</v>
      </c>
      <c r="BU18" s="180">
        <v>0</v>
      </c>
      <c r="BV18" s="180">
        <v>0</v>
      </c>
      <c r="BW18" s="180">
        <v>0</v>
      </c>
      <c r="BX18" s="180">
        <v>0</v>
      </c>
      <c r="BY18" s="180">
        <v>0</v>
      </c>
      <c r="BZ18" s="180">
        <v>0</v>
      </c>
      <c r="CA18" s="180">
        <v>0</v>
      </c>
      <c r="CB18" s="180">
        <v>0</v>
      </c>
      <c r="CC18" s="180">
        <v>0</v>
      </c>
      <c r="CD18" s="180">
        <v>0</v>
      </c>
      <c r="CE18" s="180">
        <v>0</v>
      </c>
      <c r="CF18" s="180">
        <v>0</v>
      </c>
      <c r="CG18" s="180">
        <v>0</v>
      </c>
      <c r="CH18" s="180">
        <v>0</v>
      </c>
      <c r="CI18" s="180">
        <v>0</v>
      </c>
      <c r="CJ18" s="180">
        <v>0</v>
      </c>
      <c r="CK18" s="180">
        <v>0</v>
      </c>
      <c r="CL18" s="180">
        <v>0</v>
      </c>
      <c r="CM18" s="180">
        <v>0</v>
      </c>
      <c r="CN18" s="180">
        <v>0</v>
      </c>
      <c r="CO18" s="180">
        <v>0</v>
      </c>
      <c r="CP18" s="180">
        <v>0</v>
      </c>
      <c r="CQ18" s="23" t="s">
        <v>77</v>
      </c>
    </row>
    <row r="19" spans="1:95" s="12" customFormat="1" outlineLevel="1" x14ac:dyDescent="0.2">
      <c r="A19" s="102"/>
      <c r="B19" s="11" t="s">
        <v>494</v>
      </c>
      <c r="C19" s="141"/>
      <c r="K19" s="23"/>
      <c r="L19" s="23"/>
      <c r="M19" s="23"/>
      <c r="N19" s="23"/>
      <c r="O19" s="23"/>
      <c r="P19" s="23"/>
      <c r="Q19" s="23"/>
      <c r="R19" s="23"/>
      <c r="S19" s="23"/>
      <c r="U19" s="139">
        <f>U17/U11</f>
        <v>0.40650716880694465</v>
      </c>
      <c r="V19" s="139">
        <f t="shared" ref="V19:BD19" si="16">V17/V11</f>
        <v>0.38901852685105737</v>
      </c>
      <c r="W19" s="139">
        <f t="shared" si="16"/>
        <v>0.38995839367741675</v>
      </c>
      <c r="X19" s="139">
        <f t="shared" si="16"/>
        <v>0.38208105503383888</v>
      </c>
      <c r="Y19" s="139">
        <f t="shared" si="16"/>
        <v>0.37826053675314897</v>
      </c>
      <c r="Z19" s="139">
        <f t="shared" si="16"/>
        <v>0.37451566657001778</v>
      </c>
      <c r="AA19" s="139">
        <f t="shared" si="16"/>
        <v>0.38016119733931064</v>
      </c>
      <c r="AB19" s="139">
        <f t="shared" si="16"/>
        <v>0.38597953698941928</v>
      </c>
      <c r="AC19" s="139">
        <f t="shared" si="16"/>
        <v>0.38824561243795697</v>
      </c>
      <c r="AD19" s="139">
        <f t="shared" si="16"/>
        <v>0.38679117208721492</v>
      </c>
      <c r="AE19" s="139">
        <f t="shared" si="16"/>
        <v>0.38143716832882346</v>
      </c>
      <c r="AF19" s="139">
        <f t="shared" si="16"/>
        <v>0.37199287750736459</v>
      </c>
      <c r="AG19" s="139">
        <f t="shared" si="16"/>
        <v>0.35825493237395056</v>
      </c>
      <c r="AH19" s="139">
        <f t="shared" si="16"/>
        <v>0.33071724489413556</v>
      </c>
      <c r="AI19" s="139">
        <f t="shared" si="16"/>
        <v>0.30820966962447571</v>
      </c>
      <c r="AJ19" s="139">
        <f t="shared" si="16"/>
        <v>0.28086863176675664</v>
      </c>
      <c r="AK19" s="139">
        <f t="shared" si="16"/>
        <v>0.2415049591111314</v>
      </c>
      <c r="AL19" s="139">
        <f t="shared" si="16"/>
        <v>0.20125413259260949</v>
      </c>
      <c r="AM19" s="139">
        <f t="shared" si="16"/>
        <v>0.15697822342223539</v>
      </c>
      <c r="AN19" s="139">
        <f t="shared" si="16"/>
        <v>0.10867723160000911</v>
      </c>
      <c r="AO19" s="139">
        <f t="shared" si="16"/>
        <v>5.7970300877253959E-2</v>
      </c>
      <c r="AP19" s="139">
        <f t="shared" si="16"/>
        <v>0</v>
      </c>
      <c r="AQ19" s="139">
        <f t="shared" si="16"/>
        <v>0</v>
      </c>
      <c r="AR19" s="139">
        <f t="shared" si="16"/>
        <v>0</v>
      </c>
      <c r="AS19" s="139">
        <f t="shared" si="16"/>
        <v>0</v>
      </c>
      <c r="AT19" s="139">
        <f t="shared" si="16"/>
        <v>0</v>
      </c>
      <c r="AU19" s="139">
        <f t="shared" si="16"/>
        <v>0</v>
      </c>
      <c r="AV19" s="139">
        <f t="shared" si="16"/>
        <v>0</v>
      </c>
      <c r="AW19" s="139">
        <f t="shared" si="16"/>
        <v>0</v>
      </c>
      <c r="AX19" s="139">
        <f t="shared" si="16"/>
        <v>0</v>
      </c>
      <c r="AY19" s="139">
        <f t="shared" si="16"/>
        <v>0</v>
      </c>
      <c r="AZ19" s="139">
        <f t="shared" si="16"/>
        <v>0</v>
      </c>
      <c r="BA19" s="139">
        <f t="shared" si="16"/>
        <v>0</v>
      </c>
      <c r="BB19" s="139">
        <f t="shared" si="16"/>
        <v>0</v>
      </c>
      <c r="BC19" s="139">
        <f t="shared" si="16"/>
        <v>0</v>
      </c>
      <c r="BD19" s="139">
        <f t="shared" si="16"/>
        <v>0</v>
      </c>
      <c r="BE19" s="139">
        <f t="shared" ref="BE19:CP19" si="17">BE17/BE11</f>
        <v>0</v>
      </c>
      <c r="BF19" s="139">
        <f t="shared" si="17"/>
        <v>0</v>
      </c>
      <c r="BG19" s="139">
        <f t="shared" si="17"/>
        <v>0</v>
      </c>
      <c r="BH19" s="139">
        <f t="shared" si="17"/>
        <v>0</v>
      </c>
      <c r="BI19" s="139">
        <f t="shared" si="17"/>
        <v>0</v>
      </c>
      <c r="BJ19" s="139">
        <f t="shared" si="17"/>
        <v>0</v>
      </c>
      <c r="BK19" s="139">
        <f t="shared" si="17"/>
        <v>0</v>
      </c>
      <c r="BL19" s="139">
        <f t="shared" si="17"/>
        <v>0</v>
      </c>
      <c r="BM19" s="139">
        <f t="shared" si="17"/>
        <v>0</v>
      </c>
      <c r="BN19" s="139">
        <f t="shared" si="17"/>
        <v>0</v>
      </c>
      <c r="BO19" s="139">
        <f t="shared" si="17"/>
        <v>0</v>
      </c>
      <c r="BP19" s="139">
        <f t="shared" si="17"/>
        <v>0</v>
      </c>
      <c r="BQ19" s="139">
        <f t="shared" si="17"/>
        <v>0</v>
      </c>
      <c r="BR19" s="139">
        <f t="shared" si="17"/>
        <v>0</v>
      </c>
      <c r="BS19" s="139">
        <f t="shared" si="17"/>
        <v>0</v>
      </c>
      <c r="BT19" s="139">
        <f t="shared" si="17"/>
        <v>0</v>
      </c>
      <c r="BU19" s="139">
        <f t="shared" si="17"/>
        <v>0</v>
      </c>
      <c r="BV19" s="139">
        <f t="shared" si="17"/>
        <v>0</v>
      </c>
      <c r="BW19" s="139">
        <f t="shared" si="17"/>
        <v>0</v>
      </c>
      <c r="BX19" s="139">
        <f t="shared" si="17"/>
        <v>0</v>
      </c>
      <c r="BY19" s="139">
        <f t="shared" si="17"/>
        <v>0</v>
      </c>
      <c r="BZ19" s="139">
        <f t="shared" si="17"/>
        <v>0</v>
      </c>
      <c r="CA19" s="139">
        <f t="shared" si="17"/>
        <v>0</v>
      </c>
      <c r="CB19" s="139">
        <f t="shared" si="17"/>
        <v>0</v>
      </c>
      <c r="CC19" s="139">
        <f t="shared" si="17"/>
        <v>0</v>
      </c>
      <c r="CD19" s="139">
        <f t="shared" si="17"/>
        <v>0</v>
      </c>
      <c r="CE19" s="139">
        <f t="shared" si="17"/>
        <v>0</v>
      </c>
      <c r="CF19" s="139">
        <f t="shared" si="17"/>
        <v>0</v>
      </c>
      <c r="CG19" s="139">
        <f t="shared" si="17"/>
        <v>0</v>
      </c>
      <c r="CH19" s="139">
        <f t="shared" si="17"/>
        <v>0</v>
      </c>
      <c r="CI19" s="139">
        <f t="shared" si="17"/>
        <v>0</v>
      </c>
      <c r="CJ19" s="139">
        <f t="shared" si="17"/>
        <v>0</v>
      </c>
      <c r="CK19" s="139">
        <f t="shared" si="17"/>
        <v>0</v>
      </c>
      <c r="CL19" s="139">
        <f t="shared" si="17"/>
        <v>0</v>
      </c>
      <c r="CM19" s="139">
        <f t="shared" si="17"/>
        <v>0</v>
      </c>
      <c r="CN19" s="139">
        <f t="shared" si="17"/>
        <v>0</v>
      </c>
      <c r="CO19" s="139">
        <f t="shared" si="17"/>
        <v>0</v>
      </c>
      <c r="CP19" s="139">
        <f t="shared" si="17"/>
        <v>0</v>
      </c>
      <c r="CQ19" s="23"/>
    </row>
    <row r="20" spans="1:95" s="12" customFormat="1" outlineLevel="1" x14ac:dyDescent="0.2">
      <c r="A20" s="102"/>
      <c r="B20" s="11" t="s">
        <v>512</v>
      </c>
      <c r="C20" s="141"/>
      <c r="K20" s="23"/>
      <c r="L20" s="23"/>
      <c r="M20" s="23"/>
      <c r="N20" s="23"/>
      <c r="O20" s="23"/>
      <c r="P20" s="23"/>
      <c r="Q20" s="23"/>
      <c r="R20" s="23"/>
      <c r="S20" s="23"/>
      <c r="U20" s="620">
        <f>Qld!U17</f>
        <v>0.71</v>
      </c>
      <c r="V20" s="620">
        <f>Qld!V17</f>
        <v>0.75770000000000004</v>
      </c>
      <c r="W20" s="620">
        <f>Qld!W17</f>
        <v>0.73809999999999998</v>
      </c>
      <c r="X20" s="620">
        <f>Qld!X17</f>
        <v>0.72819999999999996</v>
      </c>
      <c r="Y20" s="620">
        <f>Qld!Y17</f>
        <v>0.7238</v>
      </c>
      <c r="Z20" s="620">
        <f>Qld!Z17</f>
        <v>0.74</v>
      </c>
      <c r="AA20" s="620">
        <f>Qld!AA17</f>
        <v>0.77600000000000002</v>
      </c>
      <c r="AB20" s="620">
        <f>Qld!AB17</f>
        <v>0.77600000000000002</v>
      </c>
      <c r="AC20" s="620">
        <f>Qld!AC17</f>
        <v>0.77600000000000002</v>
      </c>
      <c r="AD20" s="620">
        <f>Qld!AD17</f>
        <v>0.77600000000000002</v>
      </c>
      <c r="AE20" s="620">
        <f>Qld!AE17</f>
        <v>0.77600000000000002</v>
      </c>
      <c r="AF20" s="620">
        <f>Qld!AF17</f>
        <v>0.77600000000000002</v>
      </c>
      <c r="AG20" s="620">
        <f>Qld!AG17</f>
        <v>0.77600000000000002</v>
      </c>
      <c r="AH20" s="620">
        <f>Qld!AH17</f>
        <v>0.77600000000000002</v>
      </c>
      <c r="AI20" s="620">
        <f>Qld!AI17</f>
        <v>0.77600000000000002</v>
      </c>
      <c r="AJ20" s="620">
        <f>Qld!AJ17</f>
        <v>0.77600000000000002</v>
      </c>
      <c r="AK20" s="620">
        <f>Qld!AK17</f>
        <v>0.77600000000000002</v>
      </c>
      <c r="AL20" s="620">
        <f>Qld!AL17</f>
        <v>0.77600000000000002</v>
      </c>
      <c r="AM20" s="620">
        <f>Qld!AM17</f>
        <v>0.77600000000000002</v>
      </c>
      <c r="AN20" s="620">
        <f>Qld!AN17</f>
        <v>0.77600000000000002</v>
      </c>
      <c r="AO20" s="620">
        <f>Qld!AO17</f>
        <v>0.77600000000000002</v>
      </c>
      <c r="AP20" s="620">
        <f>Qld!AP17</f>
        <v>0.77600000000000002</v>
      </c>
      <c r="AQ20" s="620">
        <f>Qld!AQ17</f>
        <v>0.77600000000000002</v>
      </c>
      <c r="AR20" s="620">
        <f>Qld!AR17</f>
        <v>0.77600000000000002</v>
      </c>
      <c r="AS20" s="620">
        <f>Qld!AS17</f>
        <v>0.77600000000000002</v>
      </c>
      <c r="AT20" s="620">
        <f>Qld!AT17</f>
        <v>0.77600000000000002</v>
      </c>
      <c r="AU20" s="620">
        <f>Qld!AU17</f>
        <v>0.77600000000000002</v>
      </c>
      <c r="AV20" s="620">
        <f>Qld!AV17</f>
        <v>0.77600000000000002</v>
      </c>
      <c r="AW20" s="620">
        <f>Qld!AW17</f>
        <v>0.77600000000000002</v>
      </c>
      <c r="AX20" s="620">
        <f>Qld!AX17</f>
        <v>0.77600000000000002</v>
      </c>
      <c r="AY20" s="620">
        <f>Qld!AY17</f>
        <v>0.77600000000000002</v>
      </c>
      <c r="AZ20" s="620">
        <f>Qld!AZ17</f>
        <v>0.77600000000000002</v>
      </c>
      <c r="BA20" s="620">
        <f>Qld!BA17</f>
        <v>0.77600000000000002</v>
      </c>
      <c r="BB20" s="620">
        <f>Qld!BB17</f>
        <v>0.77600000000000002</v>
      </c>
      <c r="BC20" s="620">
        <f>Qld!BC17</f>
        <v>0.77600000000000002</v>
      </c>
      <c r="BD20" s="620">
        <f>Qld!BD17</f>
        <v>0.77600000000000002</v>
      </c>
      <c r="BE20" s="620">
        <f>Qld!BE17</f>
        <v>0.77600000000000002</v>
      </c>
      <c r="BF20" s="620">
        <f>Qld!BF17</f>
        <v>0.77600000000000002</v>
      </c>
      <c r="BG20" s="620">
        <f>Qld!BG17</f>
        <v>0.77600000000000002</v>
      </c>
      <c r="BH20" s="620">
        <f>Qld!BH17</f>
        <v>0.77600000000000002</v>
      </c>
      <c r="BI20" s="620">
        <f>Qld!BI17</f>
        <v>0.77600000000000002</v>
      </c>
      <c r="BJ20" s="620">
        <f>Qld!BJ17</f>
        <v>0.77600000000000002</v>
      </c>
      <c r="BK20" s="620">
        <f>Qld!BK17</f>
        <v>0.77600000000000002</v>
      </c>
      <c r="BL20" s="620">
        <f>Qld!BL17</f>
        <v>0.77600000000000002</v>
      </c>
      <c r="BM20" s="620">
        <f>Qld!BM17</f>
        <v>0.77600000000000002</v>
      </c>
      <c r="BN20" s="620">
        <f>Qld!BN17</f>
        <v>0.77600000000000002</v>
      </c>
      <c r="BO20" s="620">
        <f>Qld!BO17</f>
        <v>0.77600000000000002</v>
      </c>
      <c r="BP20" s="620">
        <f>Qld!BP17</f>
        <v>0.77600000000000002</v>
      </c>
      <c r="BQ20" s="620">
        <f>Qld!BQ17</f>
        <v>0.77600000000000002</v>
      </c>
      <c r="BR20" s="620">
        <f>Qld!BR17</f>
        <v>0.77600000000000002</v>
      </c>
      <c r="BS20" s="620">
        <f>Qld!BS17</f>
        <v>0.77600000000000002</v>
      </c>
      <c r="BT20" s="620">
        <f>Qld!BT17</f>
        <v>0.77600000000000002</v>
      </c>
      <c r="BU20" s="620">
        <f>Qld!BU17</f>
        <v>0.77600000000000002</v>
      </c>
      <c r="BV20" s="620">
        <f>Qld!BV17</f>
        <v>0.77600000000000002</v>
      </c>
      <c r="BW20" s="620">
        <f>Qld!BW17</f>
        <v>0.77600000000000002</v>
      </c>
      <c r="BX20" s="620">
        <f>Qld!BX17</f>
        <v>0.77600000000000002</v>
      </c>
      <c r="BY20" s="620">
        <f>Qld!BY17</f>
        <v>0.77600000000000002</v>
      </c>
      <c r="BZ20" s="620">
        <f>Qld!BZ17</f>
        <v>0.77600000000000002</v>
      </c>
      <c r="CA20" s="620">
        <f>Qld!CA17</f>
        <v>0.77600000000000002</v>
      </c>
      <c r="CB20" s="620">
        <f>Qld!CB17</f>
        <v>0.77600000000000002</v>
      </c>
      <c r="CC20" s="620">
        <f>Qld!CC17</f>
        <v>0.77600000000000002</v>
      </c>
      <c r="CD20" s="620">
        <f>Qld!CD17</f>
        <v>0.77600000000000002</v>
      </c>
      <c r="CE20" s="620">
        <f>Qld!CE17</f>
        <v>0.77600000000000002</v>
      </c>
      <c r="CF20" s="620">
        <f>Qld!CF17</f>
        <v>0.77600000000000002</v>
      </c>
      <c r="CG20" s="620">
        <f>Qld!CG17</f>
        <v>0.77600000000000002</v>
      </c>
      <c r="CH20" s="620">
        <f>Qld!CH17</f>
        <v>0.77600000000000002</v>
      </c>
      <c r="CI20" s="620">
        <f>Qld!CI17</f>
        <v>0.77600000000000002</v>
      </c>
      <c r="CJ20" s="620">
        <f>Qld!CJ17</f>
        <v>0.77600000000000002</v>
      </c>
      <c r="CK20" s="620">
        <f>Qld!CK17</f>
        <v>0.77600000000000002</v>
      </c>
      <c r="CL20" s="620">
        <f>Qld!CL17</f>
        <v>0.77600000000000002</v>
      </c>
      <c r="CM20" s="620">
        <f>Qld!CM17</f>
        <v>0.77600000000000002</v>
      </c>
      <c r="CN20" s="620">
        <f>Qld!CN17</f>
        <v>0.77600000000000002</v>
      </c>
      <c r="CO20" s="620">
        <f>Qld!CO17</f>
        <v>0.77600000000000002</v>
      </c>
      <c r="CP20" s="620">
        <f>Qld!CP17</f>
        <v>0.77600000000000002</v>
      </c>
      <c r="CQ20" s="23"/>
    </row>
    <row r="21" spans="1:95" x14ac:dyDescent="0.2">
      <c r="A21" s="355"/>
      <c r="C21" s="356"/>
      <c r="V21" s="363"/>
      <c r="CQ21" s="23" t="s">
        <v>77</v>
      </c>
    </row>
    <row r="22" spans="1:95" x14ac:dyDescent="0.2">
      <c r="B22" s="728" t="s">
        <v>201</v>
      </c>
      <c r="C22" s="312"/>
      <c r="D22" s="312">
        <f t="shared" ref="D22:BO22" si="18">Fiscal_Year</f>
        <v>0</v>
      </c>
      <c r="E22" s="312">
        <f t="shared" si="18"/>
        <v>0</v>
      </c>
      <c r="F22" s="312">
        <f t="shared" si="18"/>
        <v>36707</v>
      </c>
      <c r="G22" s="312">
        <f t="shared" si="18"/>
        <v>37072</v>
      </c>
      <c r="H22" s="312">
        <f t="shared" si="18"/>
        <v>37437</v>
      </c>
      <c r="I22" s="312"/>
      <c r="J22" s="312"/>
      <c r="K22" s="312">
        <f t="shared" si="18"/>
        <v>38533</v>
      </c>
      <c r="L22" s="312">
        <f t="shared" si="18"/>
        <v>38898</v>
      </c>
      <c r="M22" s="312">
        <f t="shared" si="18"/>
        <v>39263</v>
      </c>
      <c r="N22" s="312">
        <f t="shared" si="18"/>
        <v>39629</v>
      </c>
      <c r="O22" s="312">
        <f t="shared" si="18"/>
        <v>39994</v>
      </c>
      <c r="P22" s="312">
        <f t="shared" si="18"/>
        <v>40359</v>
      </c>
      <c r="Q22" s="312">
        <f t="shared" si="18"/>
        <v>40724</v>
      </c>
      <c r="R22" s="312">
        <f t="shared" si="18"/>
        <v>41090</v>
      </c>
      <c r="S22" s="312">
        <f t="shared" si="18"/>
        <v>41455</v>
      </c>
      <c r="T22" s="312">
        <f t="shared" si="18"/>
        <v>41820</v>
      </c>
      <c r="U22" s="312">
        <f t="shared" si="18"/>
        <v>42185</v>
      </c>
      <c r="V22" s="312">
        <f t="shared" si="18"/>
        <v>42551</v>
      </c>
      <c r="W22" s="312">
        <f t="shared" si="18"/>
        <v>42916</v>
      </c>
      <c r="X22" s="312">
        <f t="shared" si="18"/>
        <v>43281</v>
      </c>
      <c r="Y22" s="312">
        <f t="shared" si="18"/>
        <v>43646</v>
      </c>
      <c r="Z22" s="312">
        <f t="shared" si="18"/>
        <v>44012</v>
      </c>
      <c r="AA22" s="312">
        <f t="shared" si="18"/>
        <v>44377</v>
      </c>
      <c r="AB22" s="312">
        <f t="shared" si="18"/>
        <v>44742</v>
      </c>
      <c r="AC22" s="312">
        <f t="shared" si="18"/>
        <v>45107</v>
      </c>
      <c r="AD22" s="312">
        <f t="shared" si="18"/>
        <v>45473</v>
      </c>
      <c r="AE22" s="312">
        <f t="shared" si="18"/>
        <v>45838</v>
      </c>
      <c r="AF22" s="312">
        <f t="shared" si="18"/>
        <v>46203</v>
      </c>
      <c r="AG22" s="312">
        <f t="shared" si="18"/>
        <v>46568</v>
      </c>
      <c r="AH22" s="312">
        <f t="shared" si="18"/>
        <v>46934</v>
      </c>
      <c r="AI22" s="312">
        <f t="shared" si="18"/>
        <v>47299</v>
      </c>
      <c r="AJ22" s="312">
        <f t="shared" si="18"/>
        <v>47664</v>
      </c>
      <c r="AK22" s="312">
        <f t="shared" si="18"/>
        <v>48029</v>
      </c>
      <c r="AL22" s="312">
        <f t="shared" si="18"/>
        <v>48395</v>
      </c>
      <c r="AM22" s="312">
        <f t="shared" si="18"/>
        <v>48760</v>
      </c>
      <c r="AN22" s="312">
        <f t="shared" si="18"/>
        <v>49125</v>
      </c>
      <c r="AO22" s="312">
        <f t="shared" si="18"/>
        <v>49490</v>
      </c>
      <c r="AP22" s="312">
        <f t="shared" si="18"/>
        <v>49856</v>
      </c>
      <c r="AQ22" s="312">
        <f t="shared" si="18"/>
        <v>50221</v>
      </c>
      <c r="AR22" s="312">
        <f t="shared" si="18"/>
        <v>50586</v>
      </c>
      <c r="AS22" s="312">
        <f t="shared" si="18"/>
        <v>50951</v>
      </c>
      <c r="AT22" s="312">
        <f t="shared" si="18"/>
        <v>51317</v>
      </c>
      <c r="AU22" s="312">
        <f t="shared" si="18"/>
        <v>51682</v>
      </c>
      <c r="AV22" s="312">
        <f t="shared" si="18"/>
        <v>52047</v>
      </c>
      <c r="AW22" s="312">
        <f t="shared" si="18"/>
        <v>52412</v>
      </c>
      <c r="AX22" s="312">
        <f t="shared" si="18"/>
        <v>52778</v>
      </c>
      <c r="AY22" s="312">
        <f t="shared" si="18"/>
        <v>53143</v>
      </c>
      <c r="AZ22" s="312">
        <f t="shared" si="18"/>
        <v>53508</v>
      </c>
      <c r="BA22" s="312">
        <f t="shared" si="18"/>
        <v>53873</v>
      </c>
      <c r="BB22" s="312">
        <f t="shared" si="18"/>
        <v>54239</v>
      </c>
      <c r="BC22" s="312">
        <f t="shared" si="18"/>
        <v>54604</v>
      </c>
      <c r="BD22" s="312">
        <f t="shared" si="18"/>
        <v>54969</v>
      </c>
      <c r="BE22" s="312">
        <f t="shared" si="18"/>
        <v>55334</v>
      </c>
      <c r="BF22" s="312">
        <f t="shared" si="18"/>
        <v>55700</v>
      </c>
      <c r="BG22" s="312">
        <f t="shared" si="18"/>
        <v>56065</v>
      </c>
      <c r="BH22" s="312">
        <f t="shared" si="18"/>
        <v>56430</v>
      </c>
      <c r="BI22" s="312">
        <f t="shared" si="18"/>
        <v>56795</v>
      </c>
      <c r="BJ22" s="312">
        <f t="shared" si="18"/>
        <v>57161</v>
      </c>
      <c r="BK22" s="312">
        <f t="shared" si="18"/>
        <v>57526</v>
      </c>
      <c r="BL22" s="312">
        <f t="shared" si="18"/>
        <v>57891</v>
      </c>
      <c r="BM22" s="312">
        <f t="shared" si="18"/>
        <v>58256</v>
      </c>
      <c r="BN22" s="312">
        <f t="shared" si="18"/>
        <v>58622</v>
      </c>
      <c r="BO22" s="312">
        <f t="shared" si="18"/>
        <v>58987</v>
      </c>
      <c r="BP22" s="312">
        <f t="shared" ref="BP22:CP22" si="19">Fiscal_Year</f>
        <v>59352</v>
      </c>
      <c r="BQ22" s="312">
        <f t="shared" si="19"/>
        <v>59717</v>
      </c>
      <c r="BR22" s="312">
        <f t="shared" si="19"/>
        <v>60083</v>
      </c>
      <c r="BS22" s="312">
        <f t="shared" si="19"/>
        <v>60448</v>
      </c>
      <c r="BT22" s="312">
        <f t="shared" si="19"/>
        <v>60813</v>
      </c>
      <c r="BU22" s="312">
        <f t="shared" si="19"/>
        <v>61178</v>
      </c>
      <c r="BV22" s="312">
        <f t="shared" si="19"/>
        <v>61544</v>
      </c>
      <c r="BW22" s="312">
        <f t="shared" si="19"/>
        <v>61909</v>
      </c>
      <c r="BX22" s="312">
        <f t="shared" si="19"/>
        <v>62274</v>
      </c>
      <c r="BY22" s="312">
        <f t="shared" si="19"/>
        <v>62639</v>
      </c>
      <c r="BZ22" s="312">
        <f t="shared" si="19"/>
        <v>63005</v>
      </c>
      <c r="CA22" s="312">
        <f t="shared" si="19"/>
        <v>63370</v>
      </c>
      <c r="CB22" s="312">
        <f t="shared" si="19"/>
        <v>63735</v>
      </c>
      <c r="CC22" s="312">
        <f t="shared" si="19"/>
        <v>64100</v>
      </c>
      <c r="CD22" s="312">
        <f t="shared" si="19"/>
        <v>64466</v>
      </c>
      <c r="CE22" s="312">
        <f t="shared" si="19"/>
        <v>64831</v>
      </c>
      <c r="CF22" s="312">
        <f t="shared" si="19"/>
        <v>65196</v>
      </c>
      <c r="CG22" s="312">
        <f t="shared" si="19"/>
        <v>65561</v>
      </c>
      <c r="CH22" s="312">
        <f t="shared" si="19"/>
        <v>65927</v>
      </c>
      <c r="CI22" s="312">
        <f t="shared" si="19"/>
        <v>66292</v>
      </c>
      <c r="CJ22" s="312">
        <f t="shared" si="19"/>
        <v>66657</v>
      </c>
      <c r="CK22" s="312">
        <f t="shared" si="19"/>
        <v>67022</v>
      </c>
      <c r="CL22" s="312">
        <f t="shared" si="19"/>
        <v>67388</v>
      </c>
      <c r="CM22" s="312">
        <f t="shared" si="19"/>
        <v>67753</v>
      </c>
      <c r="CN22" s="312">
        <f t="shared" si="19"/>
        <v>68118</v>
      </c>
      <c r="CO22" s="312">
        <f t="shared" si="19"/>
        <v>68483</v>
      </c>
      <c r="CP22" s="312">
        <f t="shared" si="19"/>
        <v>68849</v>
      </c>
      <c r="CQ22" s="23" t="s">
        <v>77</v>
      </c>
    </row>
    <row r="23" spans="1:95" ht="5.0999999999999996" customHeight="1" x14ac:dyDescent="0.2">
      <c r="B23" s="107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108"/>
      <c r="CN23" s="108"/>
      <c r="CO23" s="108"/>
      <c r="CP23" s="108"/>
      <c r="CQ23" s="23" t="s">
        <v>77</v>
      </c>
    </row>
    <row r="24" spans="1:95" s="233" customFormat="1" outlineLevel="1" x14ac:dyDescent="0.2">
      <c r="A24" s="357"/>
      <c r="B24" s="358" t="s">
        <v>232</v>
      </c>
      <c r="C24" s="359"/>
      <c r="D24" s="358"/>
      <c r="E24" s="358"/>
      <c r="F24" s="358"/>
      <c r="G24" s="358"/>
      <c r="H24" s="358"/>
      <c r="I24" s="358"/>
      <c r="J24" s="358"/>
      <c r="K24" s="358"/>
      <c r="L24" s="358"/>
      <c r="M24" s="358"/>
      <c r="N24" s="358"/>
      <c r="O24" s="358"/>
      <c r="P24" s="358"/>
      <c r="Q24" s="358"/>
      <c r="R24" s="358"/>
      <c r="S24" s="358"/>
      <c r="T24" s="358"/>
      <c r="U24" s="358"/>
      <c r="V24" s="358"/>
      <c r="W24" s="358"/>
      <c r="X24" s="358"/>
      <c r="Y24" s="358"/>
      <c r="Z24" s="358"/>
      <c r="AA24" s="358"/>
      <c r="AB24" s="358"/>
      <c r="AC24" s="358"/>
      <c r="AD24" s="358"/>
      <c r="AE24" s="358"/>
      <c r="AF24" s="358"/>
      <c r="AG24" s="358"/>
      <c r="AH24" s="358"/>
      <c r="AI24" s="358"/>
      <c r="AJ24" s="358"/>
      <c r="AK24" s="358"/>
      <c r="AL24" s="358"/>
      <c r="AM24" s="358"/>
      <c r="AN24" s="358"/>
      <c r="AO24" s="358"/>
      <c r="AP24" s="358"/>
      <c r="AQ24" s="358"/>
      <c r="AR24" s="358"/>
      <c r="AS24" s="358"/>
      <c r="AT24" s="358"/>
      <c r="AU24" s="358"/>
      <c r="AV24" s="358"/>
      <c r="AW24" s="358"/>
      <c r="AX24" s="358"/>
      <c r="AY24" s="358"/>
      <c r="AZ24" s="358"/>
      <c r="BA24" s="358"/>
      <c r="BB24" s="358"/>
      <c r="BC24" s="358"/>
      <c r="BD24" s="358"/>
      <c r="BE24" s="358"/>
      <c r="BF24" s="358"/>
      <c r="BG24" s="358"/>
      <c r="BH24" s="358"/>
      <c r="BI24" s="358"/>
      <c r="BJ24" s="358"/>
      <c r="BK24" s="358"/>
      <c r="BL24" s="358"/>
      <c r="BM24" s="358"/>
      <c r="BN24" s="358"/>
      <c r="BO24" s="358"/>
      <c r="BP24" s="358"/>
      <c r="BQ24" s="358"/>
      <c r="BR24" s="358"/>
      <c r="BS24" s="358"/>
      <c r="BT24" s="358"/>
      <c r="BU24" s="358"/>
      <c r="BV24" s="358"/>
      <c r="BW24" s="358"/>
      <c r="BX24" s="358"/>
      <c r="BY24" s="358"/>
      <c r="BZ24" s="358"/>
      <c r="CA24" s="358"/>
      <c r="CB24" s="358"/>
      <c r="CC24" s="358"/>
      <c r="CD24" s="358"/>
      <c r="CE24" s="358"/>
      <c r="CF24" s="358"/>
      <c r="CG24" s="358"/>
      <c r="CH24" s="358"/>
      <c r="CI24" s="358"/>
      <c r="CJ24" s="358"/>
      <c r="CK24" s="358"/>
      <c r="CL24" s="358"/>
      <c r="CM24" s="358"/>
      <c r="CN24" s="358"/>
      <c r="CO24" s="358"/>
      <c r="CP24" s="358"/>
      <c r="CQ24" s="23" t="s">
        <v>77</v>
      </c>
    </row>
    <row r="25" spans="1:95" outlineLevel="1" x14ac:dyDescent="0.2">
      <c r="B25" s="7" t="s">
        <v>18</v>
      </c>
      <c r="D25" s="9"/>
      <c r="E25" s="9"/>
      <c r="F25" s="9"/>
      <c r="G25" s="9"/>
      <c r="H25" s="9"/>
      <c r="I25" s="9"/>
      <c r="J25" s="9"/>
      <c r="K25" s="627">
        <f>+APA!K97</f>
        <v>178.876</v>
      </c>
      <c r="L25" s="627">
        <f>+APA!L97</f>
        <v>200.40199999999999</v>
      </c>
      <c r="M25" s="627">
        <f>+APA!M97</f>
        <v>296.84199999999998</v>
      </c>
      <c r="N25" s="627">
        <f>+APA!N97</f>
        <v>430.53499999999997</v>
      </c>
      <c r="O25" s="627">
        <f>+APA!O97</f>
        <v>423.24200000000008</v>
      </c>
      <c r="P25" s="627">
        <f>+APA!P97</f>
        <v>459.97500000000002</v>
      </c>
      <c r="Q25" s="627">
        <f>+APA!Q97</f>
        <v>454.47500000000002</v>
      </c>
      <c r="R25" s="627">
        <f>+APA!R97</f>
        <v>515.33299999999997</v>
      </c>
      <c r="S25" s="627">
        <f>+APA!S97</f>
        <v>646.50500000000011</v>
      </c>
      <c r="T25" s="628">
        <f>+APA!T97</f>
        <v>697.221</v>
      </c>
      <c r="U25" s="628">
        <f>+APA!U97</f>
        <v>821.25900000000001</v>
      </c>
      <c r="V25" s="628">
        <f>+APA!V97</f>
        <v>1330.5239999999999</v>
      </c>
      <c r="W25" s="628">
        <f>+APA!W97</f>
        <v>1470.1219999999996</v>
      </c>
      <c r="X25" s="628">
        <f>+APA!X97</f>
        <v>1485.0839326218895</v>
      </c>
      <c r="Y25" s="628">
        <f>+APA!Y97</f>
        <v>1553.6840226773406</v>
      </c>
      <c r="Z25" s="628">
        <f>+APA!Z97</f>
        <v>1620.0453242958517</v>
      </c>
      <c r="AA25" s="628">
        <f>+APA!AA97</f>
        <v>1578.6426092790687</v>
      </c>
      <c r="AB25" s="628">
        <f>+APA!AB97</f>
        <v>1609.52085369918</v>
      </c>
      <c r="AC25" s="628">
        <f>+APA!AC97</f>
        <v>1642.0028360563829</v>
      </c>
      <c r="AD25" s="628">
        <f>+APA!AD97</f>
        <v>1675.0805825732421</v>
      </c>
      <c r="AE25" s="628">
        <f>+APA!AE97</f>
        <v>1695.880589685326</v>
      </c>
      <c r="AF25" s="628">
        <f>+APA!AF97</f>
        <v>1696.1048642026351</v>
      </c>
      <c r="AG25" s="628">
        <f>+APA!AG97</f>
        <v>1685.2892255631889</v>
      </c>
      <c r="AH25" s="628">
        <f>+APA!AH97</f>
        <v>1719.0505866419901</v>
      </c>
      <c r="AI25" s="628">
        <f>+APA!AI97</f>
        <v>1602.291369542542</v>
      </c>
      <c r="AJ25" s="628">
        <f>+APA!AJ97</f>
        <v>1526.4531424686459</v>
      </c>
      <c r="AK25" s="628">
        <f>+APA!AK97</f>
        <v>1521.3601547795251</v>
      </c>
      <c r="AL25" s="628">
        <f>+APA!AL97</f>
        <v>1549.9754956129416</v>
      </c>
      <c r="AM25" s="628">
        <f>+APA!AM97</f>
        <v>1579.3938340493312</v>
      </c>
      <c r="AN25" s="628">
        <f>+APA!AN97</f>
        <v>1597.2978949890553</v>
      </c>
      <c r="AO25" s="628">
        <f>+APA!AO97</f>
        <v>1570.7805226278924</v>
      </c>
      <c r="AP25" s="628">
        <f>+APA!AP97</f>
        <v>1053.3073565634118</v>
      </c>
      <c r="AQ25" s="628">
        <f>+APA!AQ97</f>
        <v>1073.5327907288965</v>
      </c>
      <c r="AR25" s="628">
        <f>+APA!AR97</f>
        <v>982.47702193906559</v>
      </c>
      <c r="AS25" s="628">
        <f>+APA!AS97</f>
        <v>867.35365710100416</v>
      </c>
      <c r="AT25" s="628">
        <f>+APA!AT97</f>
        <v>851.68790877391143</v>
      </c>
      <c r="AU25" s="628">
        <f>+APA!AU97</f>
        <v>869.58545277490578</v>
      </c>
      <c r="AV25" s="628">
        <f>+APA!AV97</f>
        <v>887.89293474404894</v>
      </c>
      <c r="AW25" s="628">
        <f>+APA!AW97</f>
        <v>862.0174764376809</v>
      </c>
      <c r="AX25" s="628">
        <f>+APA!AX97</f>
        <v>880.12946297243002</v>
      </c>
      <c r="AY25" s="628">
        <f>+APA!AY97</f>
        <v>898.6535200972977</v>
      </c>
      <c r="AZ25" s="628">
        <f>+APA!AZ97</f>
        <v>917.59799903988528</v>
      </c>
      <c r="BA25" s="628">
        <f>+APA!BA97</f>
        <v>763.33702235912574</v>
      </c>
      <c r="BB25" s="628">
        <f>+APA!BB97</f>
        <v>779.12615032909673</v>
      </c>
      <c r="BC25" s="628">
        <f>+APA!BC97</f>
        <v>795.27078587070991</v>
      </c>
      <c r="BD25" s="628">
        <f>+APA!BD97</f>
        <v>811.77952485394837</v>
      </c>
      <c r="BE25" s="628">
        <f>+APA!BE97</f>
        <v>828.66110747292066</v>
      </c>
      <c r="BF25" s="628">
        <f>+APA!BF97</f>
        <v>845.92142142331602</v>
      </c>
      <c r="BG25" s="628">
        <f>+APA!BG97</f>
        <v>863.57188387036922</v>
      </c>
      <c r="BH25" s="628">
        <f>+APA!BH97</f>
        <v>881.61722123009372</v>
      </c>
      <c r="BI25" s="628">
        <f>+APA!BI97</f>
        <v>900.06996728874105</v>
      </c>
      <c r="BJ25" s="628">
        <f>+APA!BJ97</f>
        <v>918.9356347041246</v>
      </c>
      <c r="BK25" s="628">
        <f>+APA!BK97</f>
        <v>938.22601361201976</v>
      </c>
      <c r="BL25" s="628">
        <f>+APA!BL97</f>
        <v>957.94929012326952</v>
      </c>
      <c r="BM25" s="628">
        <f>+APA!BM97</f>
        <v>978.11502059392751</v>
      </c>
      <c r="BN25" s="628">
        <f>+APA!BN97</f>
        <v>998.73255959238656</v>
      </c>
      <c r="BO25" s="628">
        <f>+APA!BO97</f>
        <v>1019.8122720104545</v>
      </c>
      <c r="BP25" s="628">
        <f>+APA!BP97</f>
        <v>1041.3643535097035</v>
      </c>
      <c r="BQ25" s="628">
        <f>+APA!BQ97</f>
        <v>1063.3992277801251</v>
      </c>
      <c r="BR25" s="628">
        <f>+APA!BR97</f>
        <v>1085.9267900098723</v>
      </c>
      <c r="BS25" s="628">
        <f>+APA!BS97</f>
        <v>1068.6891164573028</v>
      </c>
      <c r="BT25" s="628">
        <f>+APA!BT97</f>
        <v>1055.6131069273245</v>
      </c>
      <c r="BU25" s="628">
        <f>+APA!BU97</f>
        <v>1077.90219574867</v>
      </c>
      <c r="BV25" s="628">
        <f>+APA!BV97</f>
        <v>1100.6884463287852</v>
      </c>
      <c r="BW25" s="628">
        <f>+APA!BW97</f>
        <v>1123.9824285790146</v>
      </c>
      <c r="BX25" s="628">
        <f>+APA!BX97</f>
        <v>1147.7960952306412</v>
      </c>
      <c r="BY25" s="628">
        <f>+APA!BY97</f>
        <v>1172.1386021199014</v>
      </c>
      <c r="BZ25" s="628">
        <f>+APA!BZ97</f>
        <v>1197.0243070996821</v>
      </c>
      <c r="CA25" s="628">
        <f>+APA!CA97</f>
        <v>1222.4636437696258</v>
      </c>
      <c r="CB25" s="628">
        <f>+APA!CB97</f>
        <v>1248.4707360066436</v>
      </c>
      <c r="CC25" s="628">
        <f>+APA!CC97</f>
        <v>1270.3850341023813</v>
      </c>
      <c r="CD25" s="628">
        <f>+APA!CD97</f>
        <v>1241.4217866145787</v>
      </c>
      <c r="CE25" s="628">
        <f>+APA!CE97</f>
        <v>1267.7906044858398</v>
      </c>
      <c r="CF25" s="628">
        <f>+APA!CF97</f>
        <v>1294.7438478471772</v>
      </c>
      <c r="CG25" s="628">
        <f>+APA!CG97</f>
        <v>1322.2951858611975</v>
      </c>
      <c r="CH25" s="628">
        <f>+APA!CH97</f>
        <v>830.29504654147138</v>
      </c>
      <c r="CI25" s="628">
        <f>+APA!CI97</f>
        <v>847.04787506031528</v>
      </c>
      <c r="CJ25" s="628">
        <f>+APA!CJ97</f>
        <v>864.16216785095594</v>
      </c>
      <c r="CK25" s="628">
        <f>+APA!CK97</f>
        <v>881.64445225053066</v>
      </c>
      <c r="CL25" s="628">
        <f>+APA!CL97</f>
        <v>899.50182972260382</v>
      </c>
      <c r="CM25" s="628">
        <f>+APA!CM97</f>
        <v>917.74306468398709</v>
      </c>
      <c r="CN25" s="628">
        <f>+APA!CN97</f>
        <v>936.37673374747465</v>
      </c>
      <c r="CO25" s="628">
        <f>+APA!CO97</f>
        <v>955.41197587764862</v>
      </c>
      <c r="CP25" s="628">
        <f>+APA!CP97</f>
        <v>944.07976935785462</v>
      </c>
      <c r="CQ25" s="23" t="s">
        <v>77</v>
      </c>
    </row>
    <row r="26" spans="1:95" outlineLevel="1" x14ac:dyDescent="0.2">
      <c r="B26" s="364" t="s">
        <v>423</v>
      </c>
      <c r="D26" s="9"/>
      <c r="E26" s="9"/>
      <c r="F26" s="9"/>
      <c r="G26" s="9"/>
      <c r="H26" s="9"/>
      <c r="I26" s="9"/>
      <c r="J26" s="9"/>
      <c r="K26" s="365">
        <v>-71.634</v>
      </c>
      <c r="L26" s="365">
        <v>-79.028999999999996</v>
      </c>
      <c r="M26" s="365">
        <v>-149.31800000000001</v>
      </c>
      <c r="N26" s="365">
        <v>-240.40799999999999</v>
      </c>
      <c r="O26" s="365">
        <v>-235.30500000000001</v>
      </c>
      <c r="P26" s="365">
        <v>-223.22300000000001</v>
      </c>
      <c r="Q26" s="365">
        <v>-241.619</v>
      </c>
      <c r="R26" s="365">
        <v>-225.517</v>
      </c>
      <c r="S26" s="365">
        <v>-316.43799999999999</v>
      </c>
      <c r="T26" s="628">
        <f>+APA!T112</f>
        <v>-326.226</v>
      </c>
      <c r="U26" s="628">
        <f>+APA!U112</f>
        <v>-348.48399999999998</v>
      </c>
      <c r="V26" s="628">
        <f>+APA!V112</f>
        <v>-511.35500000000002</v>
      </c>
      <c r="W26" s="628">
        <f>+APA!W112</f>
        <v>-518.24900000000002</v>
      </c>
      <c r="X26" s="628">
        <f>+APA!X112</f>
        <v>-517.49812264339607</v>
      </c>
      <c r="Y26" s="628">
        <f>+APA!Y112</f>
        <v>-523.69025890406624</v>
      </c>
      <c r="Z26" s="628">
        <f>+APA!Z112</f>
        <v>-523.67755413584632</v>
      </c>
      <c r="AA26" s="628">
        <f>+APA!AA112</f>
        <v>-506.32344270618557</v>
      </c>
      <c r="AB26" s="628">
        <f>+APA!AB112</f>
        <v>-568.25395073250138</v>
      </c>
      <c r="AC26" s="628">
        <f>+APA!AC112</f>
        <v>-559.44244548742984</v>
      </c>
      <c r="AD26" s="628">
        <f>+APA!AD112</f>
        <v>-550.81943499728698</v>
      </c>
      <c r="AE26" s="628">
        <f>+APA!AE112</f>
        <v>-542.38491926207269</v>
      </c>
      <c r="AF26" s="628">
        <f>+APA!AF112</f>
        <v>-534.13889828178685</v>
      </c>
      <c r="AG26" s="628">
        <f>+APA!AG112</f>
        <v>-526.0813720564297</v>
      </c>
      <c r="AH26" s="628">
        <f>+APA!AH112</f>
        <v>-533.21234058600112</v>
      </c>
      <c r="AI26" s="628">
        <f>+APA!AI112</f>
        <v>-525.53180387050088</v>
      </c>
      <c r="AJ26" s="628">
        <f>+APA!AJ112</f>
        <v>-518.03976190992944</v>
      </c>
      <c r="AK26" s="628">
        <f>+APA!AK112</f>
        <v>-525.73621470428645</v>
      </c>
      <c r="AL26" s="628">
        <f>+APA!AL112</f>
        <v>-527.62116225357204</v>
      </c>
      <c r="AM26" s="628">
        <f>+APA!AM112</f>
        <v>-529.69460455778619</v>
      </c>
      <c r="AN26" s="628">
        <f>+APA!AN112</f>
        <v>-531.9565416169288</v>
      </c>
      <c r="AO26" s="628">
        <f>+APA!AO112</f>
        <v>-519.4069734310001</v>
      </c>
      <c r="AP26" s="628">
        <f>+APA!AP112</f>
        <v>-510.04589999999996</v>
      </c>
      <c r="AQ26" s="628">
        <f>+APA!AQ112</f>
        <v>-498.04589999999996</v>
      </c>
      <c r="AR26" s="628">
        <f>+APA!AR112</f>
        <v>-486.04589999999996</v>
      </c>
      <c r="AS26" s="628">
        <f>+APA!AS112</f>
        <v>-477.04589999999996</v>
      </c>
      <c r="AT26" s="628">
        <f>+APA!AT112</f>
        <v>-468.04589999999996</v>
      </c>
      <c r="AU26" s="628">
        <f>+APA!AU112</f>
        <v>-459.04589999999996</v>
      </c>
      <c r="AV26" s="628">
        <f>+APA!AV112</f>
        <v>-462.81296935246894</v>
      </c>
      <c r="AW26" s="628">
        <f>+APA!AW112</f>
        <v>-466.58114821630369</v>
      </c>
      <c r="AX26" s="628">
        <f>+APA!AX112</f>
        <v>-470.35043819633364</v>
      </c>
      <c r="AY26" s="628">
        <f>+APA!AY112</f>
        <v>-474.12084089970949</v>
      </c>
      <c r="AZ26" s="628">
        <f>+APA!AZ112</f>
        <v>-477.8923579359066</v>
      </c>
      <c r="BA26" s="628">
        <f>+APA!BA112</f>
        <v>-481.66499091672824</v>
      </c>
      <c r="BB26" s="628">
        <f>+APA!BB112</f>
        <v>-485.43874145630912</v>
      </c>
      <c r="BC26" s="628">
        <f>+APA!BC112</f>
        <v>-489.2136111711186</v>
      </c>
      <c r="BD26" s="628">
        <f>+APA!BD112</f>
        <v>-492.98960167996421</v>
      </c>
      <c r="BE26" s="628">
        <f>+APA!BE112</f>
        <v>-496.76671460399513</v>
      </c>
      <c r="BF26" s="628">
        <f>+APA!BF112</f>
        <v>-500.54495156670509</v>
      </c>
      <c r="BG26" s="628">
        <f>+APA!BG112</f>
        <v>-504.32431419393623</v>
      </c>
      <c r="BH26" s="628">
        <f>+APA!BH112</f>
        <v>-508.10480411388249</v>
      </c>
      <c r="BI26" s="628">
        <f>+APA!BI112</f>
        <v>-511.88642295709269</v>
      </c>
      <c r="BJ26" s="628">
        <f>+APA!BJ112</f>
        <v>-515.66917235647406</v>
      </c>
      <c r="BK26" s="628">
        <f>+APA!BK112</f>
        <v>-519.4530539472961</v>
      </c>
      <c r="BL26" s="628">
        <f>+APA!BL112</f>
        <v>-523.23806936719313</v>
      </c>
      <c r="BM26" s="628">
        <f>+APA!BM112</f>
        <v>-527.02422025616852</v>
      </c>
      <c r="BN26" s="628">
        <f>+APA!BN112</f>
        <v>-530.81150825659779</v>
      </c>
      <c r="BO26" s="628">
        <f>+APA!BO112</f>
        <v>-534.59993501323174</v>
      </c>
      <c r="BP26" s="628">
        <f>+APA!BP112</f>
        <v>-538.38950217320053</v>
      </c>
      <c r="BQ26" s="628">
        <f>+APA!BQ112</f>
        <v>-542.18021138601659</v>
      </c>
      <c r="BR26" s="628">
        <f>+APA!BR112</f>
        <v>-545.97206430357824</v>
      </c>
      <c r="BS26" s="628">
        <f>+APA!BS112</f>
        <v>-549.76506258017321</v>
      </c>
      <c r="BT26" s="628">
        <f>+APA!BT112</f>
        <v>-553.55920787248215</v>
      </c>
      <c r="BU26" s="628">
        <f>+APA!BU112</f>
        <v>-557.35450183958176</v>
      </c>
      <c r="BV26" s="628">
        <f>+APA!BV112</f>
        <v>-561.15094614294856</v>
      </c>
      <c r="BW26" s="628">
        <f>+APA!BW112</f>
        <v>-564.9485424464624</v>
      </c>
      <c r="BX26" s="628">
        <f>+APA!BX112</f>
        <v>-568.74729241640955</v>
      </c>
      <c r="BY26" s="628">
        <f>+APA!BY112</f>
        <v>-572.54719772148678</v>
      </c>
      <c r="BZ26" s="628">
        <f>+APA!BZ112</f>
        <v>-576.34826003280421</v>
      </c>
      <c r="CA26" s="628">
        <f>+APA!CA112</f>
        <v>-580.15048102388937</v>
      </c>
      <c r="CB26" s="628">
        <f>+APA!CB112</f>
        <v>-583.95386237069022</v>
      </c>
      <c r="CC26" s="628">
        <f>+APA!CC112</f>
        <v>-587.75840575157895</v>
      </c>
      <c r="CD26" s="628">
        <f>+APA!CD112</f>
        <v>-591.56411284735543</v>
      </c>
      <c r="CE26" s="628">
        <f>+APA!CE112</f>
        <v>-595.3709853412505</v>
      </c>
      <c r="CF26" s="628">
        <f>+APA!CF112</f>
        <v>-599.17902491892983</v>
      </c>
      <c r="CG26" s="628">
        <f>+APA!CG112</f>
        <v>-602.98823326849731</v>
      </c>
      <c r="CH26" s="628">
        <f>+APA!CH112</f>
        <v>-606.79861208049863</v>
      </c>
      <c r="CI26" s="628">
        <f>+APA!CI112</f>
        <v>-610.61016304792452</v>
      </c>
      <c r="CJ26" s="628">
        <f>+APA!CJ112</f>
        <v>-614.42288786621452</v>
      </c>
      <c r="CK26" s="628">
        <f>+APA!CK112</f>
        <v>-618.23678823326054</v>
      </c>
      <c r="CL26" s="628">
        <f>+APA!CL112</f>
        <v>-622.05186584941055</v>
      </c>
      <c r="CM26" s="628">
        <f>+APA!CM112</f>
        <v>-625.8681224174718</v>
      </c>
      <c r="CN26" s="628">
        <f>+APA!CN112</f>
        <v>-629.68555964271445</v>
      </c>
      <c r="CO26" s="628">
        <f>+APA!CO112</f>
        <v>-633.50417923287534</v>
      </c>
      <c r="CP26" s="628">
        <f>+APA!CP112</f>
        <v>-637.32398289816138</v>
      </c>
      <c r="CQ26" s="23" t="s">
        <v>77</v>
      </c>
    </row>
    <row r="27" spans="1:95" outlineLevel="1" x14ac:dyDescent="0.2">
      <c r="B27" s="1" t="s">
        <v>202</v>
      </c>
      <c r="D27" s="3"/>
      <c r="E27" s="3"/>
      <c r="F27" s="3"/>
      <c r="G27" s="3"/>
      <c r="H27" s="3"/>
      <c r="I27" s="3"/>
      <c r="J27" s="3"/>
      <c r="K27" s="21">
        <f t="shared" ref="K27:T27" si="20">SUM(K25:K26)</f>
        <v>107.242</v>
      </c>
      <c r="L27" s="21">
        <f t="shared" si="20"/>
        <v>121.37299999999999</v>
      </c>
      <c r="M27" s="21">
        <f t="shared" si="20"/>
        <v>147.52399999999997</v>
      </c>
      <c r="N27" s="21">
        <f t="shared" si="20"/>
        <v>190.12699999999998</v>
      </c>
      <c r="O27" s="21">
        <f t="shared" si="20"/>
        <v>187.93700000000007</v>
      </c>
      <c r="P27" s="21">
        <f t="shared" si="20"/>
        <v>236.75200000000001</v>
      </c>
      <c r="Q27" s="21">
        <f t="shared" si="20"/>
        <v>212.85600000000002</v>
      </c>
      <c r="R27" s="21">
        <f t="shared" si="20"/>
        <v>289.81599999999997</v>
      </c>
      <c r="S27" s="21">
        <f t="shared" si="20"/>
        <v>330.06700000000012</v>
      </c>
      <c r="T27" s="48">
        <f t="shared" si="20"/>
        <v>370.995</v>
      </c>
      <c r="U27" s="48">
        <f t="shared" ref="U27:BD27" si="21">SUM(U25:U26)</f>
        <v>472.77500000000003</v>
      </c>
      <c r="V27" s="48">
        <f t="shared" si="21"/>
        <v>819.16899999999987</v>
      </c>
      <c r="W27" s="48">
        <f t="shared" si="21"/>
        <v>951.87299999999959</v>
      </c>
      <c r="X27" s="48">
        <f t="shared" si="21"/>
        <v>967.58580997849344</v>
      </c>
      <c r="Y27" s="48">
        <f t="shared" si="21"/>
        <v>1029.9937637732744</v>
      </c>
      <c r="Z27" s="48">
        <f t="shared" si="21"/>
        <v>1096.3677701600054</v>
      </c>
      <c r="AA27" s="48">
        <f t="shared" si="21"/>
        <v>1072.3191665728832</v>
      </c>
      <c r="AB27" s="48">
        <f t="shared" si="21"/>
        <v>1041.2669029666786</v>
      </c>
      <c r="AC27" s="48">
        <f t="shared" si="21"/>
        <v>1082.5603905689532</v>
      </c>
      <c r="AD27" s="48">
        <f t="shared" si="21"/>
        <v>1124.261147575955</v>
      </c>
      <c r="AE27" s="48">
        <f t="shared" si="21"/>
        <v>1153.4956704232532</v>
      </c>
      <c r="AF27" s="48">
        <f t="shared" si="21"/>
        <v>1161.9659659208482</v>
      </c>
      <c r="AG27" s="48">
        <f t="shared" si="21"/>
        <v>1159.2078535067592</v>
      </c>
      <c r="AH27" s="48">
        <f t="shared" si="21"/>
        <v>1185.838246055989</v>
      </c>
      <c r="AI27" s="48">
        <f t="shared" si="21"/>
        <v>1076.7595656720412</v>
      </c>
      <c r="AJ27" s="48">
        <f t="shared" si="21"/>
        <v>1008.4133805587164</v>
      </c>
      <c r="AK27" s="48">
        <f t="shared" si="21"/>
        <v>995.62394007523869</v>
      </c>
      <c r="AL27" s="48">
        <f t="shared" si="21"/>
        <v>1022.3543333593695</v>
      </c>
      <c r="AM27" s="48">
        <f t="shared" si="21"/>
        <v>1049.6992294915449</v>
      </c>
      <c r="AN27" s="48">
        <f t="shared" si="21"/>
        <v>1065.3413533721264</v>
      </c>
      <c r="AO27" s="48">
        <f t="shared" si="21"/>
        <v>1051.3735491968923</v>
      </c>
      <c r="AP27" s="48">
        <f t="shared" si="21"/>
        <v>543.2614565634118</v>
      </c>
      <c r="AQ27" s="48">
        <f t="shared" si="21"/>
        <v>575.48689072889658</v>
      </c>
      <c r="AR27" s="48">
        <f t="shared" si="21"/>
        <v>496.43112193906563</v>
      </c>
      <c r="AS27" s="48">
        <f t="shared" si="21"/>
        <v>390.3077571010042</v>
      </c>
      <c r="AT27" s="48">
        <f t="shared" si="21"/>
        <v>383.64200877391147</v>
      </c>
      <c r="AU27" s="48">
        <f t="shared" si="21"/>
        <v>410.53955277490581</v>
      </c>
      <c r="AV27" s="48">
        <f t="shared" si="21"/>
        <v>425.07996539158</v>
      </c>
      <c r="AW27" s="48">
        <f t="shared" si="21"/>
        <v>395.43632822137721</v>
      </c>
      <c r="AX27" s="48">
        <f t="shared" si="21"/>
        <v>409.77902477609638</v>
      </c>
      <c r="AY27" s="48">
        <f t="shared" si="21"/>
        <v>424.53267919758821</v>
      </c>
      <c r="AZ27" s="48">
        <f t="shared" si="21"/>
        <v>439.70564110397868</v>
      </c>
      <c r="BA27" s="48">
        <f t="shared" si="21"/>
        <v>281.6720314423975</v>
      </c>
      <c r="BB27" s="48">
        <f t="shared" si="21"/>
        <v>293.68740887278761</v>
      </c>
      <c r="BC27" s="48">
        <f t="shared" si="21"/>
        <v>306.05717469959131</v>
      </c>
      <c r="BD27" s="48">
        <f t="shared" si="21"/>
        <v>318.78992317398416</v>
      </c>
      <c r="BE27" s="48">
        <f t="shared" ref="BE27:CP27" si="22">SUM(BE25:BE26)</f>
        <v>331.89439286892554</v>
      </c>
      <c r="BF27" s="48">
        <f t="shared" si="22"/>
        <v>345.37646985661092</v>
      </c>
      <c r="BG27" s="48">
        <f t="shared" si="22"/>
        <v>359.24756967643299</v>
      </c>
      <c r="BH27" s="48">
        <f t="shared" si="22"/>
        <v>373.51241711621122</v>
      </c>
      <c r="BI27" s="48">
        <f t="shared" si="22"/>
        <v>388.18354433164836</v>
      </c>
      <c r="BJ27" s="48">
        <f t="shared" si="22"/>
        <v>403.26646234765053</v>
      </c>
      <c r="BK27" s="48">
        <f t="shared" si="22"/>
        <v>418.77295966472366</v>
      </c>
      <c r="BL27" s="48">
        <f t="shared" si="22"/>
        <v>434.71122075607639</v>
      </c>
      <c r="BM27" s="48">
        <f t="shared" si="22"/>
        <v>451.09080033775899</v>
      </c>
      <c r="BN27" s="48">
        <f t="shared" si="22"/>
        <v>467.92105133578877</v>
      </c>
      <c r="BO27" s="48">
        <f t="shared" si="22"/>
        <v>485.21233699722279</v>
      </c>
      <c r="BP27" s="48">
        <f t="shared" si="22"/>
        <v>502.97485133650298</v>
      </c>
      <c r="BQ27" s="48">
        <f t="shared" si="22"/>
        <v>521.21901639410851</v>
      </c>
      <c r="BR27" s="48">
        <f t="shared" si="22"/>
        <v>539.95472570629408</v>
      </c>
      <c r="BS27" s="48">
        <f t="shared" si="22"/>
        <v>518.92405387712961</v>
      </c>
      <c r="BT27" s="48">
        <f t="shared" si="22"/>
        <v>502.0538990548423</v>
      </c>
      <c r="BU27" s="48">
        <f t="shared" si="22"/>
        <v>520.54769390908825</v>
      </c>
      <c r="BV27" s="48">
        <f t="shared" si="22"/>
        <v>539.53750018583662</v>
      </c>
      <c r="BW27" s="48">
        <f t="shared" si="22"/>
        <v>559.0338861325522</v>
      </c>
      <c r="BX27" s="48">
        <f t="shared" si="22"/>
        <v>579.04880281423164</v>
      </c>
      <c r="BY27" s="48">
        <f t="shared" si="22"/>
        <v>599.59140439841462</v>
      </c>
      <c r="BZ27" s="48">
        <f t="shared" si="22"/>
        <v>620.67604706687791</v>
      </c>
      <c r="CA27" s="48">
        <f t="shared" si="22"/>
        <v>642.31316274573646</v>
      </c>
      <c r="CB27" s="48">
        <f t="shared" si="22"/>
        <v>664.5168736359534</v>
      </c>
      <c r="CC27" s="48">
        <f t="shared" si="22"/>
        <v>682.62662835080232</v>
      </c>
      <c r="CD27" s="48">
        <f t="shared" si="22"/>
        <v>649.85767376722322</v>
      </c>
      <c r="CE27" s="48">
        <f t="shared" si="22"/>
        <v>672.41961914458932</v>
      </c>
      <c r="CF27" s="48">
        <f t="shared" si="22"/>
        <v>695.56482292824739</v>
      </c>
      <c r="CG27" s="48">
        <f t="shared" si="22"/>
        <v>719.30695259270021</v>
      </c>
      <c r="CH27" s="48">
        <f t="shared" si="22"/>
        <v>223.49643446097275</v>
      </c>
      <c r="CI27" s="48">
        <f t="shared" si="22"/>
        <v>236.43771201239076</v>
      </c>
      <c r="CJ27" s="48">
        <f t="shared" si="22"/>
        <v>249.73927998474142</v>
      </c>
      <c r="CK27" s="48">
        <f t="shared" si="22"/>
        <v>263.40766401727012</v>
      </c>
      <c r="CL27" s="48">
        <f t="shared" si="22"/>
        <v>277.44996387319327</v>
      </c>
      <c r="CM27" s="48">
        <f t="shared" si="22"/>
        <v>291.87494226651529</v>
      </c>
      <c r="CN27" s="48">
        <f t="shared" si="22"/>
        <v>306.69117410476019</v>
      </c>
      <c r="CO27" s="48">
        <f t="shared" si="22"/>
        <v>321.90779664477327</v>
      </c>
      <c r="CP27" s="48">
        <f t="shared" si="22"/>
        <v>306.75578645969324</v>
      </c>
      <c r="CQ27" s="23" t="s">
        <v>77</v>
      </c>
    </row>
    <row r="28" spans="1:95" x14ac:dyDescent="0.2">
      <c r="A28" s="355"/>
      <c r="C28" s="356"/>
      <c r="CQ28" s="23" t="s">
        <v>77</v>
      </c>
    </row>
    <row r="29" spans="1:95" x14ac:dyDescent="0.2">
      <c r="B29" s="728" t="s">
        <v>203</v>
      </c>
      <c r="C29" s="312"/>
      <c r="D29" s="312">
        <f t="shared" ref="D29:BO29" si="23">Fiscal_Year</f>
        <v>0</v>
      </c>
      <c r="E29" s="312">
        <f t="shared" si="23"/>
        <v>0</v>
      </c>
      <c r="F29" s="312">
        <f t="shared" si="23"/>
        <v>36707</v>
      </c>
      <c r="G29" s="312">
        <f t="shared" si="23"/>
        <v>37072</v>
      </c>
      <c r="H29" s="312">
        <f t="shared" si="23"/>
        <v>37437</v>
      </c>
      <c r="I29" s="312"/>
      <c r="J29" s="312"/>
      <c r="K29" s="312">
        <f t="shared" si="23"/>
        <v>38533</v>
      </c>
      <c r="L29" s="312">
        <f t="shared" si="23"/>
        <v>38898</v>
      </c>
      <c r="M29" s="312">
        <f t="shared" si="23"/>
        <v>39263</v>
      </c>
      <c r="N29" s="312">
        <f t="shared" si="23"/>
        <v>39629</v>
      </c>
      <c r="O29" s="312">
        <f t="shared" si="23"/>
        <v>39994</v>
      </c>
      <c r="P29" s="312">
        <f t="shared" si="23"/>
        <v>40359</v>
      </c>
      <c r="Q29" s="312">
        <f t="shared" si="23"/>
        <v>40724</v>
      </c>
      <c r="R29" s="312">
        <f t="shared" si="23"/>
        <v>41090</v>
      </c>
      <c r="S29" s="312">
        <f t="shared" si="23"/>
        <v>41455</v>
      </c>
      <c r="T29" s="312">
        <f t="shared" si="23"/>
        <v>41820</v>
      </c>
      <c r="U29" s="312">
        <f t="shared" si="23"/>
        <v>42185</v>
      </c>
      <c r="V29" s="312">
        <f t="shared" si="23"/>
        <v>42551</v>
      </c>
      <c r="W29" s="312">
        <f t="shared" si="23"/>
        <v>42916</v>
      </c>
      <c r="X29" s="312">
        <f t="shared" si="23"/>
        <v>43281</v>
      </c>
      <c r="Y29" s="312">
        <f t="shared" si="23"/>
        <v>43646</v>
      </c>
      <c r="Z29" s="312">
        <f t="shared" si="23"/>
        <v>44012</v>
      </c>
      <c r="AA29" s="312">
        <f t="shared" si="23"/>
        <v>44377</v>
      </c>
      <c r="AB29" s="312">
        <f t="shared" si="23"/>
        <v>44742</v>
      </c>
      <c r="AC29" s="312">
        <f t="shared" si="23"/>
        <v>45107</v>
      </c>
      <c r="AD29" s="312">
        <f t="shared" si="23"/>
        <v>45473</v>
      </c>
      <c r="AE29" s="312">
        <f t="shared" si="23"/>
        <v>45838</v>
      </c>
      <c r="AF29" s="312">
        <f t="shared" si="23"/>
        <v>46203</v>
      </c>
      <c r="AG29" s="312">
        <f t="shared" si="23"/>
        <v>46568</v>
      </c>
      <c r="AH29" s="312">
        <f t="shared" si="23"/>
        <v>46934</v>
      </c>
      <c r="AI29" s="312">
        <f t="shared" si="23"/>
        <v>47299</v>
      </c>
      <c r="AJ29" s="312">
        <f t="shared" si="23"/>
        <v>47664</v>
      </c>
      <c r="AK29" s="312">
        <f t="shared" si="23"/>
        <v>48029</v>
      </c>
      <c r="AL29" s="312">
        <f t="shared" si="23"/>
        <v>48395</v>
      </c>
      <c r="AM29" s="312">
        <f t="shared" si="23"/>
        <v>48760</v>
      </c>
      <c r="AN29" s="312">
        <f t="shared" si="23"/>
        <v>49125</v>
      </c>
      <c r="AO29" s="312">
        <f t="shared" si="23"/>
        <v>49490</v>
      </c>
      <c r="AP29" s="312">
        <f t="shared" si="23"/>
        <v>49856</v>
      </c>
      <c r="AQ29" s="312">
        <f t="shared" si="23"/>
        <v>50221</v>
      </c>
      <c r="AR29" s="312">
        <f t="shared" si="23"/>
        <v>50586</v>
      </c>
      <c r="AS29" s="312">
        <f t="shared" si="23"/>
        <v>50951</v>
      </c>
      <c r="AT29" s="312">
        <f t="shared" si="23"/>
        <v>51317</v>
      </c>
      <c r="AU29" s="312">
        <f t="shared" si="23"/>
        <v>51682</v>
      </c>
      <c r="AV29" s="312">
        <f t="shared" si="23"/>
        <v>52047</v>
      </c>
      <c r="AW29" s="312">
        <f t="shared" si="23"/>
        <v>52412</v>
      </c>
      <c r="AX29" s="312">
        <f t="shared" si="23"/>
        <v>52778</v>
      </c>
      <c r="AY29" s="312">
        <f t="shared" si="23"/>
        <v>53143</v>
      </c>
      <c r="AZ29" s="312">
        <f t="shared" si="23"/>
        <v>53508</v>
      </c>
      <c r="BA29" s="312">
        <f t="shared" si="23"/>
        <v>53873</v>
      </c>
      <c r="BB29" s="312">
        <f t="shared" si="23"/>
        <v>54239</v>
      </c>
      <c r="BC29" s="312">
        <f t="shared" si="23"/>
        <v>54604</v>
      </c>
      <c r="BD29" s="312">
        <f t="shared" si="23"/>
        <v>54969</v>
      </c>
      <c r="BE29" s="312">
        <f t="shared" si="23"/>
        <v>55334</v>
      </c>
      <c r="BF29" s="312">
        <f t="shared" si="23"/>
        <v>55700</v>
      </c>
      <c r="BG29" s="312">
        <f t="shared" si="23"/>
        <v>56065</v>
      </c>
      <c r="BH29" s="312">
        <f t="shared" si="23"/>
        <v>56430</v>
      </c>
      <c r="BI29" s="312">
        <f t="shared" si="23"/>
        <v>56795</v>
      </c>
      <c r="BJ29" s="312">
        <f t="shared" si="23"/>
        <v>57161</v>
      </c>
      <c r="BK29" s="312">
        <f t="shared" si="23"/>
        <v>57526</v>
      </c>
      <c r="BL29" s="312">
        <f t="shared" si="23"/>
        <v>57891</v>
      </c>
      <c r="BM29" s="312">
        <f t="shared" si="23"/>
        <v>58256</v>
      </c>
      <c r="BN29" s="312">
        <f t="shared" si="23"/>
        <v>58622</v>
      </c>
      <c r="BO29" s="312">
        <f t="shared" si="23"/>
        <v>58987</v>
      </c>
      <c r="BP29" s="312">
        <f t="shared" ref="BP29:CP29" si="24">Fiscal_Year</f>
        <v>59352</v>
      </c>
      <c r="BQ29" s="312">
        <f t="shared" si="24"/>
        <v>59717</v>
      </c>
      <c r="BR29" s="312">
        <f t="shared" si="24"/>
        <v>60083</v>
      </c>
      <c r="BS29" s="312">
        <f t="shared" si="24"/>
        <v>60448</v>
      </c>
      <c r="BT29" s="312">
        <f t="shared" si="24"/>
        <v>60813</v>
      </c>
      <c r="BU29" s="312">
        <f t="shared" si="24"/>
        <v>61178</v>
      </c>
      <c r="BV29" s="312">
        <f t="shared" si="24"/>
        <v>61544</v>
      </c>
      <c r="BW29" s="312">
        <f t="shared" si="24"/>
        <v>61909</v>
      </c>
      <c r="BX29" s="312">
        <f t="shared" si="24"/>
        <v>62274</v>
      </c>
      <c r="BY29" s="312">
        <f t="shared" si="24"/>
        <v>62639</v>
      </c>
      <c r="BZ29" s="312">
        <f t="shared" si="24"/>
        <v>63005</v>
      </c>
      <c r="CA29" s="312">
        <f t="shared" si="24"/>
        <v>63370</v>
      </c>
      <c r="CB29" s="312">
        <f t="shared" si="24"/>
        <v>63735</v>
      </c>
      <c r="CC29" s="312">
        <f t="shared" si="24"/>
        <v>64100</v>
      </c>
      <c r="CD29" s="312">
        <f t="shared" si="24"/>
        <v>64466</v>
      </c>
      <c r="CE29" s="312">
        <f t="shared" si="24"/>
        <v>64831</v>
      </c>
      <c r="CF29" s="312">
        <f t="shared" si="24"/>
        <v>65196</v>
      </c>
      <c r="CG29" s="312">
        <f t="shared" si="24"/>
        <v>65561</v>
      </c>
      <c r="CH29" s="312">
        <f t="shared" si="24"/>
        <v>65927</v>
      </c>
      <c r="CI29" s="312">
        <f t="shared" si="24"/>
        <v>66292</v>
      </c>
      <c r="CJ29" s="312">
        <f t="shared" si="24"/>
        <v>66657</v>
      </c>
      <c r="CK29" s="312">
        <f t="shared" si="24"/>
        <v>67022</v>
      </c>
      <c r="CL29" s="312">
        <f t="shared" si="24"/>
        <v>67388</v>
      </c>
      <c r="CM29" s="312">
        <f t="shared" si="24"/>
        <v>67753</v>
      </c>
      <c r="CN29" s="312">
        <f t="shared" si="24"/>
        <v>68118</v>
      </c>
      <c r="CO29" s="312">
        <f t="shared" si="24"/>
        <v>68483</v>
      </c>
      <c r="CP29" s="312">
        <f t="shared" si="24"/>
        <v>68849</v>
      </c>
      <c r="CQ29" s="23" t="s">
        <v>77</v>
      </c>
    </row>
    <row r="30" spans="1:95" ht="5.0999999999999996" customHeight="1" x14ac:dyDescent="0.2">
      <c r="B30" s="107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  <c r="AZ30" s="108"/>
      <c r="BA30" s="108"/>
      <c r="BB30" s="108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108"/>
      <c r="CP30" s="108"/>
      <c r="CQ30" s="23" t="s">
        <v>77</v>
      </c>
    </row>
    <row r="31" spans="1:95" s="233" customFormat="1" outlineLevel="1" x14ac:dyDescent="0.2">
      <c r="A31" s="357"/>
      <c r="B31" s="358" t="s">
        <v>232</v>
      </c>
      <c r="C31" s="359"/>
      <c r="D31" s="358"/>
      <c r="E31" s="358"/>
      <c r="F31" s="358"/>
      <c r="G31" s="358"/>
      <c r="H31" s="358"/>
      <c r="I31" s="358"/>
      <c r="J31" s="358"/>
      <c r="K31" s="358"/>
      <c r="L31" s="358"/>
      <c r="M31" s="358"/>
      <c r="N31" s="358"/>
      <c r="O31" s="358"/>
      <c r="P31" s="358"/>
      <c r="Q31" s="358"/>
      <c r="R31" s="358"/>
      <c r="S31" s="358"/>
      <c r="T31" s="358"/>
      <c r="U31" s="358"/>
      <c r="V31" s="358"/>
      <c r="W31" s="358"/>
      <c r="X31" s="358"/>
      <c r="Y31" s="358"/>
      <c r="Z31" s="358"/>
      <c r="AA31" s="358"/>
      <c r="AB31" s="358"/>
      <c r="AC31" s="358"/>
      <c r="AD31" s="358"/>
      <c r="AE31" s="358"/>
      <c r="AF31" s="358"/>
      <c r="AG31" s="358"/>
      <c r="AH31" s="358"/>
      <c r="AI31" s="358"/>
      <c r="AJ31" s="358"/>
      <c r="AK31" s="358"/>
      <c r="AL31" s="358"/>
      <c r="AM31" s="358"/>
      <c r="AN31" s="358"/>
      <c r="AO31" s="358"/>
      <c r="AP31" s="358"/>
      <c r="AQ31" s="358"/>
      <c r="AR31" s="358"/>
      <c r="AS31" s="358"/>
      <c r="AT31" s="358"/>
      <c r="AU31" s="358"/>
      <c r="AV31" s="358"/>
      <c r="AW31" s="358"/>
      <c r="AX31" s="358"/>
      <c r="AY31" s="358"/>
      <c r="AZ31" s="358"/>
      <c r="BA31" s="358"/>
      <c r="BB31" s="358"/>
      <c r="BC31" s="358"/>
      <c r="BD31" s="358"/>
      <c r="BE31" s="358"/>
      <c r="BF31" s="358"/>
      <c r="BG31" s="358"/>
      <c r="BH31" s="358"/>
      <c r="BI31" s="358"/>
      <c r="BJ31" s="358"/>
      <c r="BK31" s="358"/>
      <c r="BL31" s="358"/>
      <c r="BM31" s="358"/>
      <c r="BN31" s="358"/>
      <c r="BO31" s="358"/>
      <c r="BP31" s="358"/>
      <c r="BQ31" s="358"/>
      <c r="BR31" s="358"/>
      <c r="BS31" s="358"/>
      <c r="BT31" s="358"/>
      <c r="BU31" s="358"/>
      <c r="BV31" s="358"/>
      <c r="BW31" s="358"/>
      <c r="BX31" s="358"/>
      <c r="BY31" s="358"/>
      <c r="BZ31" s="358"/>
      <c r="CA31" s="358"/>
      <c r="CB31" s="358"/>
      <c r="CC31" s="358"/>
      <c r="CD31" s="358"/>
      <c r="CE31" s="358"/>
      <c r="CF31" s="358"/>
      <c r="CG31" s="358"/>
      <c r="CH31" s="358"/>
      <c r="CI31" s="358"/>
      <c r="CJ31" s="358"/>
      <c r="CK31" s="358"/>
      <c r="CL31" s="358"/>
      <c r="CM31" s="358"/>
      <c r="CN31" s="358"/>
      <c r="CO31" s="358"/>
      <c r="CP31" s="358"/>
      <c r="CQ31" s="23" t="s">
        <v>77</v>
      </c>
    </row>
    <row r="32" spans="1:95" outlineLevel="1" x14ac:dyDescent="0.2">
      <c r="B32" s="7" t="s">
        <v>17</v>
      </c>
      <c r="D32" s="9"/>
      <c r="E32" s="9"/>
      <c r="F32" s="9"/>
      <c r="G32" s="9"/>
      <c r="H32" s="9"/>
      <c r="I32" s="9"/>
      <c r="J32" s="9"/>
      <c r="K32" s="627">
        <f>+APA!K107</f>
        <v>142.50299999999999</v>
      </c>
      <c r="L32" s="627">
        <f>+APA!L107</f>
        <v>161.55399999999997</v>
      </c>
      <c r="M32" s="627">
        <f>+APA!M107</f>
        <v>227.05899999999997</v>
      </c>
      <c r="N32" s="627">
        <f>+APA!N107</f>
        <v>336.07599999999996</v>
      </c>
      <c r="O32" s="627">
        <f>+APA!O107</f>
        <v>327.60200000000009</v>
      </c>
      <c r="P32" s="627">
        <f>+APA!P107</f>
        <v>368.54900000000004</v>
      </c>
      <c r="Q32" s="627">
        <f>+APA!Q107</f>
        <v>354.125</v>
      </c>
      <c r="R32" s="627">
        <f>+APA!R107</f>
        <v>405.28399999999999</v>
      </c>
      <c r="S32" s="627">
        <f>+APA!S107</f>
        <v>516.0440000000001</v>
      </c>
      <c r="T32" s="628">
        <f>+APA!T107</f>
        <v>540.99299999999994</v>
      </c>
      <c r="U32" s="628">
        <f>+APA!U107</f>
        <v>613.05899999999997</v>
      </c>
      <c r="V32" s="628">
        <f>+APA!V107</f>
        <v>809.6339999999999</v>
      </c>
      <c r="W32" s="628">
        <f>+APA!W107</f>
        <v>900.10099999999966</v>
      </c>
      <c r="X32" s="628">
        <f>+APA!X107</f>
        <v>915.06293262188956</v>
      </c>
      <c r="Y32" s="628">
        <f>+APA!Y107</f>
        <v>958.76570193394423</v>
      </c>
      <c r="Z32" s="628">
        <f>+APA!Z107</f>
        <v>1015.6874367890252</v>
      </c>
      <c r="AA32" s="628">
        <f>+APA!AA107</f>
        <v>988.20810854925389</v>
      </c>
      <c r="AB32" s="628">
        <f>+APA!AB107</f>
        <v>1031.7459013114005</v>
      </c>
      <c r="AC32" s="628">
        <f>+APA!AC107</f>
        <v>1075.8229244099036</v>
      </c>
      <c r="AD32" s="628">
        <f>+APA!AD107</f>
        <v>1121.7369239570307</v>
      </c>
      <c r="AE32" s="628">
        <f>+APA!AE107</f>
        <v>1156.5626338229204</v>
      </c>
      <c r="AF32" s="628">
        <f>+APA!AF107</f>
        <v>1170.1664231867699</v>
      </c>
      <c r="AG32" s="628">
        <f>+APA!AG107</f>
        <v>1172.1254936286027</v>
      </c>
      <c r="AH32" s="628">
        <f>+APA!AH107</f>
        <v>1218.0822848465918</v>
      </c>
      <c r="AI32" s="628">
        <f>+APA!AI107</f>
        <v>1112.9636656455855</v>
      </c>
      <c r="AJ32" s="628">
        <f>+APA!AJ107</f>
        <v>1048.234616508315</v>
      </c>
      <c r="AK32" s="628">
        <f>+APA!AK107</f>
        <v>1053.7418084164042</v>
      </c>
      <c r="AL32" s="628">
        <f>+APA!AL107</f>
        <v>1092.4698033876546</v>
      </c>
      <c r="AM32" s="628">
        <f>+APA!AM107</f>
        <v>1131.5338347809748</v>
      </c>
      <c r="AN32" s="628">
        <f>+APA!AN107</f>
        <v>1158.6363216160844</v>
      </c>
      <c r="AO32" s="628">
        <f>+APA!AO107</f>
        <v>1140.8889688649745</v>
      </c>
      <c r="AP32" s="628">
        <f>+APA!AP107</f>
        <v>631.77547881657642</v>
      </c>
      <c r="AQ32" s="628">
        <f>+APA!AQ107</f>
        <v>659.96754377721902</v>
      </c>
      <c r="AR32" s="628">
        <f>+APA!AR107</f>
        <v>576.50192695423164</v>
      </c>
      <c r="AS32" s="628">
        <f>+APA!AS107</f>
        <v>468.60810063655475</v>
      </c>
      <c r="AT32" s="628">
        <f>+APA!AT107</f>
        <v>459.82647141385064</v>
      </c>
      <c r="AU32" s="628">
        <f>+APA!AU107</f>
        <v>484.27726618679549</v>
      </c>
      <c r="AV32" s="628">
        <f>+APA!AV107</f>
        <v>508.82106593480751</v>
      </c>
      <c r="AW32" s="628">
        <f>+APA!AW107</f>
        <v>488.87833806114878</v>
      </c>
      <c r="AX32" s="628">
        <f>+APA!AX107</f>
        <v>512.63224858646288</v>
      </c>
      <c r="AY32" s="628">
        <f>+APA!AY107</f>
        <v>536.51966331478047</v>
      </c>
      <c r="AZ32" s="628">
        <f>+APA!AZ107</f>
        <v>560.56065556272597</v>
      </c>
      <c r="BA32" s="628">
        <f>+APA!BA107</f>
        <v>411.14057392705615</v>
      </c>
      <c r="BB32" s="628">
        <f>+APA!BB107</f>
        <v>431.52572965607601</v>
      </c>
      <c r="BC32" s="628">
        <f>+APA!BC107</f>
        <v>452.03182168095003</v>
      </c>
      <c r="BD32" s="628">
        <f>+APA!BD107</f>
        <v>472.67730616715619</v>
      </c>
      <c r="BE32" s="628">
        <f>+APA!BE107</f>
        <v>493.48036632432826</v>
      </c>
      <c r="BF32" s="628">
        <f>+APA!BF107</f>
        <v>514.45593323853086</v>
      </c>
      <c r="BG32" s="628">
        <f>+APA!BG107</f>
        <v>535.62408474807444</v>
      </c>
      <c r="BH32" s="628">
        <f>+APA!BH107</f>
        <v>556.99784141723467</v>
      </c>
      <c r="BI32" s="628">
        <f>+APA!BI107</f>
        <v>578.59768016309886</v>
      </c>
      <c r="BJ32" s="628">
        <f>+APA!BJ107</f>
        <v>600.43672060816584</v>
      </c>
      <c r="BK32" s="628">
        <f>+APA!BK107</f>
        <v>622.53403790966945</v>
      </c>
      <c r="BL32" s="628">
        <f>+APA!BL107</f>
        <v>644.90479487784171</v>
      </c>
      <c r="BM32" s="628">
        <f>+APA!BM107</f>
        <v>667.56522929090613</v>
      </c>
      <c r="BN32" s="628">
        <f>+APA!BN107</f>
        <v>690.53109435513443</v>
      </c>
      <c r="BO32" s="628">
        <f>+APA!BO107</f>
        <v>713.81888278027873</v>
      </c>
      <c r="BP32" s="628">
        <f>+APA!BP107</f>
        <v>737.44465868407065</v>
      </c>
      <c r="BQ32" s="628">
        <f>+APA!BQ107</f>
        <v>761.4244658242352</v>
      </c>
      <c r="BR32" s="628">
        <f>+APA!BR107</f>
        <v>785.77358157731237</v>
      </c>
      <c r="BS32" s="628">
        <f>+APA!BS107</f>
        <v>770.23923657514592</v>
      </c>
      <c r="BT32" s="628">
        <f>+APA!BT107</f>
        <v>758.75326681985018</v>
      </c>
      <c r="BU32" s="628">
        <f>+APA!BU107</f>
        <v>782.52383389189993</v>
      </c>
      <c r="BV32" s="628">
        <f>+APA!BV107</f>
        <v>806.68752834528141</v>
      </c>
      <c r="BW32" s="628">
        <f>+APA!BW107</f>
        <v>831.25925559891198</v>
      </c>
      <c r="BX32" s="628">
        <f>+APA!BX107</f>
        <v>856.25512036071132</v>
      </c>
      <c r="BY32" s="628">
        <f>+APA!BY107</f>
        <v>881.68825467759848</v>
      </c>
      <c r="BZ32" s="628">
        <f>+APA!BZ107</f>
        <v>907.57682428363921</v>
      </c>
      <c r="CA32" s="628">
        <f>+APA!CA107</f>
        <v>933.9349094519664</v>
      </c>
      <c r="CB32" s="628">
        <f>+APA!CB107</f>
        <v>960.78012634578749</v>
      </c>
      <c r="CC32" s="628">
        <f>+APA!CC107</f>
        <v>983.45526968777222</v>
      </c>
      <c r="CD32" s="628">
        <f>+APA!CD107</f>
        <v>955.17879086696985</v>
      </c>
      <c r="CE32" s="628">
        <f>+APA!CE107</f>
        <v>982.16336804846719</v>
      </c>
      <c r="CF32" s="628">
        <f>+APA!CF107</f>
        <v>1009.6642987143487</v>
      </c>
      <c r="CG32" s="628">
        <f>+APA!CG107</f>
        <v>1037.6980650015487</v>
      </c>
      <c r="CH32" s="628">
        <f>+APA!CH107</f>
        <v>546.11778878341147</v>
      </c>
      <c r="CI32" s="628">
        <f>+APA!CI107</f>
        <v>563.23049501702144</v>
      </c>
      <c r="CJ32" s="628">
        <f>+APA!CJ107</f>
        <v>580.64715067169413</v>
      </c>
      <c r="CK32" s="628">
        <f>+APA!CK107</f>
        <v>598.37664899410288</v>
      </c>
      <c r="CL32" s="628">
        <f>+APA!CL107</f>
        <v>616.4283571573618</v>
      </c>
      <c r="CM32" s="628">
        <f>+APA!CM107</f>
        <v>634.81320932712492</v>
      </c>
      <c r="CN32" s="628">
        <f>+APA!CN107</f>
        <v>653.54185996423826</v>
      </c>
      <c r="CO32" s="628">
        <f>+APA!CO107</f>
        <v>672.62543786868821</v>
      </c>
      <c r="CP32" s="628">
        <f>+APA!CP107</f>
        <v>661.29682687021455</v>
      </c>
      <c r="CQ32" s="625" t="s">
        <v>77</v>
      </c>
    </row>
    <row r="33" spans="2:95" outlineLevel="1" x14ac:dyDescent="0.2">
      <c r="B33" s="7" t="s">
        <v>18</v>
      </c>
      <c r="D33" s="9"/>
      <c r="E33" s="9"/>
      <c r="F33" s="9"/>
      <c r="G33" s="9"/>
      <c r="H33" s="9"/>
      <c r="I33" s="9"/>
      <c r="J33" s="9"/>
      <c r="K33" s="627">
        <f>APA!K97</f>
        <v>178.876</v>
      </c>
      <c r="L33" s="627">
        <f>APA!L97</f>
        <v>200.40199999999999</v>
      </c>
      <c r="M33" s="627">
        <f>APA!M97</f>
        <v>296.84199999999998</v>
      </c>
      <c r="N33" s="627">
        <f>APA!N97</f>
        <v>430.53499999999997</v>
      </c>
      <c r="O33" s="627">
        <f>APA!O97</f>
        <v>423.24200000000008</v>
      </c>
      <c r="P33" s="627">
        <f>APA!P97</f>
        <v>459.97500000000002</v>
      </c>
      <c r="Q33" s="627">
        <f>APA!Q97</f>
        <v>454.47500000000002</v>
      </c>
      <c r="R33" s="627">
        <f>APA!R97</f>
        <v>515.33299999999997</v>
      </c>
      <c r="S33" s="627">
        <f>APA!S97</f>
        <v>646.50500000000011</v>
      </c>
      <c r="T33" s="628">
        <f>APA!T97</f>
        <v>697.221</v>
      </c>
      <c r="U33" s="628">
        <f>APA!U97</f>
        <v>821.25900000000001</v>
      </c>
      <c r="V33" s="628">
        <f>APA!V97</f>
        <v>1330.5239999999999</v>
      </c>
      <c r="W33" s="628">
        <f>APA!W97</f>
        <v>1470.1219999999996</v>
      </c>
      <c r="X33" s="628">
        <f>APA!X97</f>
        <v>1485.0839326218895</v>
      </c>
      <c r="Y33" s="628">
        <f>APA!Y97</f>
        <v>1553.6840226773406</v>
      </c>
      <c r="Z33" s="628">
        <f>APA!Z97</f>
        <v>1620.0453242958517</v>
      </c>
      <c r="AA33" s="628">
        <f>APA!AA97</f>
        <v>1578.6426092790687</v>
      </c>
      <c r="AB33" s="628">
        <f>APA!AB97</f>
        <v>1609.52085369918</v>
      </c>
      <c r="AC33" s="628">
        <f>APA!AC97</f>
        <v>1642.0028360563829</v>
      </c>
      <c r="AD33" s="628">
        <f>APA!AD97</f>
        <v>1675.0805825732421</v>
      </c>
      <c r="AE33" s="628">
        <f>APA!AE97</f>
        <v>1695.880589685326</v>
      </c>
      <c r="AF33" s="628">
        <f>APA!AF97</f>
        <v>1696.1048642026351</v>
      </c>
      <c r="AG33" s="628">
        <f>APA!AG97</f>
        <v>1685.2892255631889</v>
      </c>
      <c r="AH33" s="628">
        <f>APA!AH97</f>
        <v>1719.0505866419901</v>
      </c>
      <c r="AI33" s="628">
        <f>APA!AI97</f>
        <v>1602.291369542542</v>
      </c>
      <c r="AJ33" s="628">
        <f>APA!AJ97</f>
        <v>1526.4531424686459</v>
      </c>
      <c r="AK33" s="628">
        <f>APA!AK97</f>
        <v>1521.3601547795251</v>
      </c>
      <c r="AL33" s="628">
        <f>APA!AL97</f>
        <v>1549.9754956129416</v>
      </c>
      <c r="AM33" s="628">
        <f>APA!AM97</f>
        <v>1579.3938340493312</v>
      </c>
      <c r="AN33" s="628">
        <f>APA!AN97</f>
        <v>1597.2978949890553</v>
      </c>
      <c r="AO33" s="628">
        <f>APA!AO97</f>
        <v>1570.7805226278924</v>
      </c>
      <c r="AP33" s="628">
        <f>APA!AP97</f>
        <v>1053.3073565634118</v>
      </c>
      <c r="AQ33" s="628">
        <f>APA!AQ97</f>
        <v>1073.5327907288965</v>
      </c>
      <c r="AR33" s="628">
        <f>APA!AR97</f>
        <v>982.47702193906559</v>
      </c>
      <c r="AS33" s="628">
        <f>APA!AS97</f>
        <v>867.35365710100416</v>
      </c>
      <c r="AT33" s="628">
        <f>APA!AT97</f>
        <v>851.68790877391143</v>
      </c>
      <c r="AU33" s="628">
        <f>APA!AU97</f>
        <v>869.58545277490578</v>
      </c>
      <c r="AV33" s="628">
        <f>APA!AV97</f>
        <v>887.89293474404894</v>
      </c>
      <c r="AW33" s="628">
        <f>APA!AW97</f>
        <v>862.0174764376809</v>
      </c>
      <c r="AX33" s="628">
        <f>APA!AX97</f>
        <v>880.12946297243002</v>
      </c>
      <c r="AY33" s="628">
        <f>APA!AY97</f>
        <v>898.6535200972977</v>
      </c>
      <c r="AZ33" s="628">
        <f>APA!AZ97</f>
        <v>917.59799903988528</v>
      </c>
      <c r="BA33" s="628">
        <f>APA!BA97</f>
        <v>763.33702235912574</v>
      </c>
      <c r="BB33" s="628">
        <f>APA!BB97</f>
        <v>779.12615032909673</v>
      </c>
      <c r="BC33" s="628">
        <f>APA!BC97</f>
        <v>795.27078587070991</v>
      </c>
      <c r="BD33" s="628">
        <f>APA!BD97</f>
        <v>811.77952485394837</v>
      </c>
      <c r="BE33" s="628">
        <f>APA!BE97</f>
        <v>828.66110747292066</v>
      </c>
      <c r="BF33" s="628">
        <f>APA!BF97</f>
        <v>845.92142142331602</v>
      </c>
      <c r="BG33" s="628">
        <f>APA!BG97</f>
        <v>863.57188387036922</v>
      </c>
      <c r="BH33" s="628">
        <f>APA!BH97</f>
        <v>881.61722123009372</v>
      </c>
      <c r="BI33" s="628">
        <f>APA!BI97</f>
        <v>900.06996728874105</v>
      </c>
      <c r="BJ33" s="628">
        <f>APA!BJ97</f>
        <v>918.9356347041246</v>
      </c>
      <c r="BK33" s="628">
        <f>APA!BK97</f>
        <v>938.22601361201976</v>
      </c>
      <c r="BL33" s="628">
        <f>APA!BL97</f>
        <v>957.94929012326952</v>
      </c>
      <c r="BM33" s="628">
        <f>APA!BM97</f>
        <v>978.11502059392751</v>
      </c>
      <c r="BN33" s="628">
        <f>APA!BN97</f>
        <v>998.73255959238656</v>
      </c>
      <c r="BO33" s="628">
        <f>APA!BO97</f>
        <v>1019.8122720104545</v>
      </c>
      <c r="BP33" s="628">
        <f>APA!BP97</f>
        <v>1041.3643535097035</v>
      </c>
      <c r="BQ33" s="628">
        <f>APA!BQ97</f>
        <v>1063.3992277801251</v>
      </c>
      <c r="BR33" s="628">
        <f>APA!BR97</f>
        <v>1085.9267900098723</v>
      </c>
      <c r="BS33" s="628">
        <f>APA!BS97</f>
        <v>1068.6891164573028</v>
      </c>
      <c r="BT33" s="628">
        <f>APA!BT97</f>
        <v>1055.6131069273245</v>
      </c>
      <c r="BU33" s="628">
        <f>APA!BU97</f>
        <v>1077.90219574867</v>
      </c>
      <c r="BV33" s="628">
        <f>APA!BV97</f>
        <v>1100.6884463287852</v>
      </c>
      <c r="BW33" s="628">
        <f>APA!BW97</f>
        <v>1123.9824285790146</v>
      </c>
      <c r="BX33" s="628">
        <f>APA!BX97</f>
        <v>1147.7960952306412</v>
      </c>
      <c r="BY33" s="628">
        <f>APA!BY97</f>
        <v>1172.1386021199014</v>
      </c>
      <c r="BZ33" s="628">
        <f>APA!BZ97</f>
        <v>1197.0243070996821</v>
      </c>
      <c r="CA33" s="628">
        <f>APA!CA97</f>
        <v>1222.4636437696258</v>
      </c>
      <c r="CB33" s="628">
        <f>APA!CB97</f>
        <v>1248.4707360066436</v>
      </c>
      <c r="CC33" s="628">
        <f>APA!CC97</f>
        <v>1270.3850341023813</v>
      </c>
      <c r="CD33" s="628">
        <f>APA!CD97</f>
        <v>1241.4217866145787</v>
      </c>
      <c r="CE33" s="628">
        <f>APA!CE97</f>
        <v>1267.7906044858398</v>
      </c>
      <c r="CF33" s="628">
        <f>APA!CF97</f>
        <v>1294.7438478471772</v>
      </c>
      <c r="CG33" s="628">
        <f>APA!CG97</f>
        <v>1322.2951858611975</v>
      </c>
      <c r="CH33" s="628">
        <f>APA!CH97</f>
        <v>830.29504654147138</v>
      </c>
      <c r="CI33" s="628">
        <f>APA!CI97</f>
        <v>847.04787506031528</v>
      </c>
      <c r="CJ33" s="628">
        <f>APA!CJ97</f>
        <v>864.16216785095594</v>
      </c>
      <c r="CK33" s="628">
        <f>APA!CK97</f>
        <v>881.64445225053066</v>
      </c>
      <c r="CL33" s="628">
        <f>APA!CL97</f>
        <v>899.50182972260382</v>
      </c>
      <c r="CM33" s="628">
        <f>APA!CM97</f>
        <v>917.74306468398709</v>
      </c>
      <c r="CN33" s="628">
        <f>APA!CN97</f>
        <v>936.37673374747465</v>
      </c>
      <c r="CO33" s="628">
        <f>APA!CO97</f>
        <v>955.41197587764862</v>
      </c>
      <c r="CP33" s="628">
        <f>APA!CP97</f>
        <v>944.07976935785462</v>
      </c>
      <c r="CQ33" s="625" t="s">
        <v>77</v>
      </c>
    </row>
    <row r="34" spans="2:95" outlineLevel="1" x14ac:dyDescent="0.2">
      <c r="B34" s="7" t="s">
        <v>204</v>
      </c>
      <c r="D34" s="9"/>
      <c r="E34" s="9"/>
      <c r="F34" s="9"/>
      <c r="G34" s="9"/>
      <c r="H34" s="9"/>
      <c r="I34" s="9"/>
      <c r="J34" s="9"/>
      <c r="K34" s="627">
        <f>+APA!K113</f>
        <v>-64.460999999999984</v>
      </c>
      <c r="L34" s="627">
        <f>+APA!L113</f>
        <v>-79.896999999999991</v>
      </c>
      <c r="M34" s="627">
        <f>+APA!M113</f>
        <v>-152.22499999999999</v>
      </c>
      <c r="N34" s="627">
        <f>+APA!N113</f>
        <v>-244.44699999999997</v>
      </c>
      <c r="O34" s="627">
        <f>+APA!O113</f>
        <v>-238.96600000000001</v>
      </c>
      <c r="P34" s="627">
        <f>+APA!P113</f>
        <v>-245.30600000000001</v>
      </c>
      <c r="Q34" s="627">
        <f>+APA!Q113</f>
        <v>-263.59500000000003</v>
      </c>
      <c r="R34" s="627">
        <f>+APA!R113</f>
        <v>-250.59100000000001</v>
      </c>
      <c r="S34" s="627">
        <f>+APA!S113</f>
        <v>-290.916</v>
      </c>
      <c r="T34" s="628">
        <f>+APA!T113</f>
        <v>-325.084</v>
      </c>
      <c r="U34" s="628">
        <f>+APA!U113</f>
        <v>-324.16199999999998</v>
      </c>
      <c r="V34" s="628">
        <f>+APA!V113</f>
        <v>-507.65800000000002</v>
      </c>
      <c r="W34" s="628">
        <f>+APA!W113</f>
        <v>-513.76700000000005</v>
      </c>
      <c r="X34" s="628">
        <f>+APA!X113</f>
        <v>-511.58060764339604</v>
      </c>
      <c r="Y34" s="628">
        <f>+APA!Y113</f>
        <v>-512.54491758808877</v>
      </c>
      <c r="Z34" s="628">
        <f>+APA!Z113</f>
        <v>-512.67094255151983</v>
      </c>
      <c r="AA34" s="628">
        <f>+APA!AA113</f>
        <v>-489.43412179784468</v>
      </c>
      <c r="AB34" s="628">
        <f>+APA!AB113</f>
        <v>-550.09558530963147</v>
      </c>
      <c r="AC34" s="628">
        <f>+APA!AC113</f>
        <v>-540.60816751354844</v>
      </c>
      <c r="AD34" s="628">
        <f>+APA!AD113</f>
        <v>-531.20877870756351</v>
      </c>
      <c r="AE34" s="628">
        <f>+APA!AE113</f>
        <v>-521.1294393118701</v>
      </c>
      <c r="AF34" s="628">
        <f>+APA!AF113</f>
        <v>-510.95423293412478</v>
      </c>
      <c r="AG34" s="628">
        <f>+APA!AG113</f>
        <v>-500.92469477105453</v>
      </c>
      <c r="AH34" s="628">
        <f>+APA!AH113</f>
        <v>-506.17212621761809</v>
      </c>
      <c r="AI34" s="628">
        <f>+APA!AI113</f>
        <v>-492.59618508337167</v>
      </c>
      <c r="AJ34" s="628">
        <f>+APA!AJ113</f>
        <v>-484.31592858305447</v>
      </c>
      <c r="AK34" s="628">
        <f>+APA!AK113</f>
        <v>-492.0809300887737</v>
      </c>
      <c r="AL34" s="628">
        <f>+APA!AL113</f>
        <v>-490.47855511188249</v>
      </c>
      <c r="AM34" s="628">
        <f>+APA!AM113</f>
        <v>-490.30017401785852</v>
      </c>
      <c r="AN34" s="628">
        <f>+APA!AN113</f>
        <v>-490.03315732663054</v>
      </c>
      <c r="AO34" s="628">
        <f>+APA!AO113</f>
        <v>-474.81566210965661</v>
      </c>
      <c r="AP34" s="628">
        <f>+APA!AP113</f>
        <v>-466.74766947363736</v>
      </c>
      <c r="AQ34" s="628">
        <f>+APA!AQ113</f>
        <v>-461.34361335143046</v>
      </c>
      <c r="AR34" s="628">
        <f>+APA!AR113</f>
        <v>-455.57149372619773</v>
      </c>
      <c r="AS34" s="628">
        <f>+APA!AS113</f>
        <v>-453.74998158496106</v>
      </c>
      <c r="AT34" s="628">
        <f>+APA!AT113</f>
        <v>-452.44571285765954</v>
      </c>
      <c r="AU34" s="628">
        <f>+APA!AU113</f>
        <v>-451.22741268587731</v>
      </c>
      <c r="AV34" s="628">
        <f>+APA!AV113</f>
        <v>-462.46312767943903</v>
      </c>
      <c r="AW34" s="628">
        <f>+APA!AW113</f>
        <v>-470.34156577795062</v>
      </c>
      <c r="AX34" s="628">
        <f>+APA!AX113</f>
        <v>-478.58743750624495</v>
      </c>
      <c r="AY34" s="628">
        <f>+APA!AY113</f>
        <v>-486.67745143471336</v>
      </c>
      <c r="AZ34" s="628">
        <f>+APA!AZ113</f>
        <v>-494.60637129126803</v>
      </c>
      <c r="BA34" s="628">
        <f>+APA!BA113</f>
        <v>-502.36891530915119</v>
      </c>
      <c r="BB34" s="628">
        <f>+APA!BB113</f>
        <v>-512.30468969283038</v>
      </c>
      <c r="BC34" s="628">
        <f>+APA!BC113</f>
        <v>-522.07073231028528</v>
      </c>
      <c r="BD34" s="628">
        <f>+APA!BD113</f>
        <v>-531.66174403897833</v>
      </c>
      <c r="BE34" s="628">
        <f>+APA!BE113</f>
        <v>-541.07229686714402</v>
      </c>
      <c r="BF34" s="628">
        <f>+APA!BF113</f>
        <v>-550.29683172899752</v>
      </c>
      <c r="BG34" s="628">
        <f>+APA!BG113</f>
        <v>-559.32970129228192</v>
      </c>
      <c r="BH34" s="628">
        <f>+APA!BH113</f>
        <v>-568.1650870162963</v>
      </c>
      <c r="BI34" s="628">
        <f>+APA!BI113</f>
        <v>-576.79709951320444</v>
      </c>
      <c r="BJ34" s="628">
        <f>+APA!BJ113</f>
        <v>-585.21966143755287</v>
      </c>
      <c r="BK34" s="628">
        <f>+APA!BK113</f>
        <v>-593.42661280326877</v>
      </c>
      <c r="BL34" s="628">
        <f>+APA!BL113</f>
        <v>-601.41161682156098</v>
      </c>
      <c r="BM34" s="628">
        <f>+APA!BM113</f>
        <v>-609.16821396136675</v>
      </c>
      <c r="BN34" s="628">
        <f>+APA!BN113</f>
        <v>-616.68980139574398</v>
      </c>
      <c r="BO34" s="628">
        <f>+APA!BO113</f>
        <v>-623.96963602875826</v>
      </c>
      <c r="BP34" s="628">
        <f>+APA!BP113</f>
        <v>-631.00081934070363</v>
      </c>
      <c r="BQ34" s="628">
        <f>+APA!BQ113</f>
        <v>-637.77629992662719</v>
      </c>
      <c r="BR34" s="628">
        <f>+APA!BR113</f>
        <v>-644.67836179855294</v>
      </c>
      <c r="BS34" s="628">
        <f>+APA!BS113</f>
        <v>-651.3651153650743</v>
      </c>
      <c r="BT34" s="628">
        <f>+APA!BT113</f>
        <v>-658.30811876343785</v>
      </c>
      <c r="BU34" s="628">
        <f>+APA!BU113</f>
        <v>-665.45692655905577</v>
      </c>
      <c r="BV34" s="628">
        <f>+APA!BV113</f>
        <v>-672.39150646454505</v>
      </c>
      <c r="BW34" s="628">
        <f>+APA!BW113</f>
        <v>-679.10634865347163</v>
      </c>
      <c r="BX34" s="628">
        <f>+APA!BX113</f>
        <v>-685.59584910893682</v>
      </c>
      <c r="BY34" s="628">
        <f>+APA!BY113</f>
        <v>-691.85429295581173</v>
      </c>
      <c r="BZ34" s="628">
        <f>+APA!BZ113</f>
        <v>-697.87588739955686</v>
      </c>
      <c r="CA34" s="628">
        <f>+APA!CA113</f>
        <v>-703.65469979760564</v>
      </c>
      <c r="CB34" s="628">
        <f>+APA!CB113</f>
        <v>-709.18470409455585</v>
      </c>
      <c r="CC34" s="628">
        <f>+APA!CC113</f>
        <v>-714.45973690038727</v>
      </c>
      <c r="CD34" s="628">
        <f>+APA!CD113</f>
        <v>-719.52889233938117</v>
      </c>
      <c r="CE34" s="628">
        <f>+APA!CE113</f>
        <v>-724.99551933352973</v>
      </c>
      <c r="CF34" s="628">
        <f>+APA!CF113</f>
        <v>-730.20249207857023</v>
      </c>
      <c r="CG34" s="628">
        <f>+APA!CG113</f>
        <v>-735.14352355246683</v>
      </c>
      <c r="CH34" s="628">
        <f>+APA!CH113</f>
        <v>-739.81219346951048</v>
      </c>
      <c r="CI34" s="628">
        <f>+APA!CI113</f>
        <v>-750.97602010733863</v>
      </c>
      <c r="CJ34" s="628">
        <f>+APA!CJ113</f>
        <v>-761.95679084285723</v>
      </c>
      <c r="CK34" s="628">
        <f>+APA!CK113</f>
        <v>-772.74911885204551</v>
      </c>
      <c r="CL34" s="628">
        <f>+APA!CL113</f>
        <v>-783.34751945203561</v>
      </c>
      <c r="CM34" s="628">
        <f>+APA!CM113</f>
        <v>-793.74640148929052</v>
      </c>
      <c r="CN34" s="628">
        <f>+APA!CN113</f>
        <v>-803.94004239537958</v>
      </c>
      <c r="CO34" s="628">
        <f>+APA!CO113</f>
        <v>-813.9225910041132</v>
      </c>
      <c r="CP34" s="628">
        <f>+APA!CP113</f>
        <v>-823.68805911634036</v>
      </c>
      <c r="CQ34" s="625" t="s">
        <v>77</v>
      </c>
    </row>
    <row r="35" spans="2:95" outlineLevel="1" x14ac:dyDescent="0.2">
      <c r="B35" s="7" t="s">
        <v>364</v>
      </c>
      <c r="D35" s="9"/>
      <c r="E35" s="9"/>
      <c r="F35" s="9"/>
      <c r="G35" s="9"/>
      <c r="H35" s="9"/>
      <c r="I35" s="9"/>
      <c r="J35" s="9"/>
      <c r="K35" s="627">
        <f>+APA!K292</f>
        <v>613.76900000000001</v>
      </c>
      <c r="L35" s="627">
        <f>+APA!L292</f>
        <v>591.46</v>
      </c>
      <c r="M35" s="627">
        <f>+APA!M292</f>
        <v>1160.7670000000001</v>
      </c>
      <c r="N35" s="627">
        <f>+APA!N292</f>
        <v>1250.2079999999999</v>
      </c>
      <c r="O35" s="627">
        <f>+APA!O292</f>
        <v>1278.4549999999997</v>
      </c>
      <c r="P35" s="627">
        <f>+APA!P292</f>
        <v>1395.145</v>
      </c>
      <c r="Q35" s="627">
        <f>+APA!Q292</f>
        <v>1667.8449999999998</v>
      </c>
      <c r="R35" s="627">
        <f>+APA!R292</f>
        <v>1614.0419999999999</v>
      </c>
      <c r="S35" s="627">
        <f>+APA!S292</f>
        <v>2512.3110000000006</v>
      </c>
      <c r="T35" s="628">
        <f>+APA!T292</f>
        <v>2496.489</v>
      </c>
      <c r="U35" s="628">
        <f>+APA!U292</f>
        <v>4382.6499999999996</v>
      </c>
      <c r="V35" s="628">
        <f>+APA!V292</f>
        <v>4029.1109999999999</v>
      </c>
      <c r="W35" s="628">
        <f>+APA!W292</f>
        <v>3978.183</v>
      </c>
      <c r="X35" s="628">
        <f>+APA!X292</f>
        <v>4279.6295719049449</v>
      </c>
      <c r="Y35" s="628">
        <f>+APA!Y292</f>
        <v>4045.3182083970437</v>
      </c>
      <c r="Z35" s="628">
        <f>+APA!Z292</f>
        <v>3825.2003252582977</v>
      </c>
      <c r="AA35" s="628">
        <f>+APA!AA292</f>
        <v>3584.4148694842843</v>
      </c>
      <c r="AB35" s="628">
        <f>+APA!AB292</f>
        <v>3331.6428441855223</v>
      </c>
      <c r="AC35" s="628">
        <f>+APA!AC292</f>
        <v>3116.3659275129712</v>
      </c>
      <c r="AD35" s="628">
        <f>+APA!AD292</f>
        <v>2939.8083826875982</v>
      </c>
      <c r="AE35" s="628">
        <f>+APA!AE292</f>
        <v>2794.6843723453335</v>
      </c>
      <c r="AF35" s="628">
        <f>+APA!AF292</f>
        <v>2666.205659022185</v>
      </c>
      <c r="AG35" s="628">
        <f>+APA!AG292</f>
        <v>2546.1189717224688</v>
      </c>
      <c r="AH35" s="628">
        <f>+APA!AH292</f>
        <v>2454.5288362627502</v>
      </c>
      <c r="AI35" s="628">
        <f>+APA!AI292</f>
        <v>2298.8588261563</v>
      </c>
      <c r="AJ35" s="628">
        <f>+APA!AJ292</f>
        <v>2103.6746612039824</v>
      </c>
      <c r="AK35" s="628">
        <f>+APA!AK292</f>
        <v>1906.910029533324</v>
      </c>
      <c r="AL35" s="628">
        <f>+APA!AL292</f>
        <v>1738.3766568263643</v>
      </c>
      <c r="AM35" s="628">
        <f>+APA!AM292</f>
        <v>1597.3129728605456</v>
      </c>
      <c r="AN35" s="628">
        <f>+APA!AN292</f>
        <v>1475.4079413631632</v>
      </c>
      <c r="AO35" s="628">
        <f>+APA!AO292</f>
        <v>1351.7320095918856</v>
      </c>
      <c r="AP35" s="628">
        <f>+APA!AP292</f>
        <v>877.32422963194279</v>
      </c>
      <c r="AQ35" s="628">
        <f>+APA!AQ292</f>
        <v>426.43373442999484</v>
      </c>
      <c r="AR35" s="628">
        <f>+APA!AR292</f>
        <v>-78.842208810381521</v>
      </c>
      <c r="AS35" s="628">
        <f>+APA!AS292</f>
        <v>-658.36877197426645</v>
      </c>
      <c r="AT35" s="628">
        <f>+APA!AT292</f>
        <v>-1243.1294874849325</v>
      </c>
      <c r="AU35" s="628">
        <f>+APA!AU292</f>
        <v>-1809.9218365342902</v>
      </c>
      <c r="AV35" s="628">
        <f>+APA!AV292</f>
        <v>-2367.3985262555325</v>
      </c>
      <c r="AW35" s="628">
        <f>+APA!AW292</f>
        <v>-2944.3500321572938</v>
      </c>
      <c r="AX35" s="628">
        <f>+APA!AX292</f>
        <v>-3510.4459109011414</v>
      </c>
      <c r="AY35" s="628">
        <f>+APA!AY292</f>
        <v>-4065.483609085094</v>
      </c>
      <c r="AZ35" s="628">
        <f>+APA!AZ292</f>
        <v>-4609.2428565950731</v>
      </c>
      <c r="BA35" s="628">
        <f>+APA!BA292</f>
        <v>-5263.0299420625388</v>
      </c>
      <c r="BB35" s="628">
        <f>+APA!BB292</f>
        <v>-5909.5024605882654</v>
      </c>
      <c r="BC35" s="628">
        <f>+APA!BC292</f>
        <v>-6548.4569445287989</v>
      </c>
      <c r="BD35" s="628">
        <f>+APA!BD292</f>
        <v>-7179.6732975390742</v>
      </c>
      <c r="BE35" s="628">
        <f>+APA!BE292</f>
        <v>-7802.914895419045</v>
      </c>
      <c r="BF35" s="628">
        <f>+APA!BF292</f>
        <v>-8417.930770862371</v>
      </c>
      <c r="BG35" s="628">
        <f>+APA!BG292</f>
        <v>-9024.4519489433151</v>
      </c>
      <c r="BH35" s="628">
        <f>+APA!BH292</f>
        <v>-9622.1962673626585</v>
      </c>
      <c r="BI35" s="628">
        <f>+APA!BI292</f>
        <v>-10210.863107407731</v>
      </c>
      <c r="BJ35" s="628">
        <f>+APA!BJ292</f>
        <v>-10790.138412488301</v>
      </c>
      <c r="BK35" s="628">
        <f>+APA!BK292</f>
        <v>-11359.690461413822</v>
      </c>
      <c r="BL35" s="628">
        <f>+APA!BL292</f>
        <v>-11919.172483274426</v>
      </c>
      <c r="BM35" s="628">
        <f>+APA!BM292</f>
        <v>-12468.221819043745</v>
      </c>
      <c r="BN35" s="628">
        <f>+APA!BN292</f>
        <v>-13006.460160472172</v>
      </c>
      <c r="BO35" s="628">
        <f>+APA!BO292</f>
        <v>-13533.492934246107</v>
      </c>
      <c r="BP35" s="628">
        <f>+APA!BP292</f>
        <v>-14048.909493205749</v>
      </c>
      <c r="BQ35" s="628">
        <f>+APA!BQ292</f>
        <v>-14552.283023577424</v>
      </c>
      <c r="BR35" s="628">
        <f>+APA!BR292</f>
        <v>-15043.443616232293</v>
      </c>
      <c r="BS35" s="628">
        <f>+APA!BS292</f>
        <v>-15550.158977885243</v>
      </c>
      <c r="BT35" s="628">
        <f>+APA!BT292</f>
        <v>-16069.774620745753</v>
      </c>
      <c r="BU35" s="628">
        <f>+APA!BU292</f>
        <v>-16577.75503211276</v>
      </c>
      <c r="BV35" s="628">
        <f>+APA!BV292</f>
        <v>-17073.675063296243</v>
      </c>
      <c r="BW35" s="628">
        <f>+APA!BW292</f>
        <v>-17557.095274934436</v>
      </c>
      <c r="BX35" s="628">
        <f>+APA!BX292</f>
        <v>-18027.561031558194</v>
      </c>
      <c r="BY35" s="628">
        <f>+APA!BY292</f>
        <v>-18484.604504852941</v>
      </c>
      <c r="BZ35" s="628">
        <f>+APA!BZ292</f>
        <v>-18927.741095534082</v>
      </c>
      <c r="CA35" s="628">
        <f>+APA!CA292</f>
        <v>-19356.47219527603</v>
      </c>
      <c r="CB35" s="628">
        <f>+APA!CB292</f>
        <v>-19770.282646200169</v>
      </c>
      <c r="CC35" s="628">
        <f>+APA!CC292</f>
        <v>-20171.913019748998</v>
      </c>
      <c r="CD35" s="628">
        <f>+APA!CD292</f>
        <v>-20596.885337279684</v>
      </c>
      <c r="CE35" s="628">
        <f>+APA!CE292</f>
        <v>-21006.795089679228</v>
      </c>
      <c r="CF35" s="628">
        <f>+APA!CF292</f>
        <v>-21401.099071534183</v>
      </c>
      <c r="CG35" s="628">
        <f>+APA!CG292</f>
        <v>-21779.238139019824</v>
      </c>
      <c r="CH35" s="628">
        <f>+APA!CH292</f>
        <v>-22504.751468800092</v>
      </c>
      <c r="CI35" s="628">
        <f>+APA!CI292</f>
        <v>-23226.100582863313</v>
      </c>
      <c r="CJ35" s="628">
        <f>+APA!CJ292</f>
        <v>-23942.944577483126</v>
      </c>
      <c r="CK35" s="628">
        <f>+APA!CK292</f>
        <v>-24654.932552883685</v>
      </c>
      <c r="CL35" s="628">
        <f>+APA!CL292</f>
        <v>-25361.703212989956</v>
      </c>
      <c r="CM35" s="628">
        <f>+APA!CM292</f>
        <v>-26062.883694003471</v>
      </c>
      <c r="CN35" s="628">
        <f>+APA!CN292</f>
        <v>-26758.08966820527</v>
      </c>
      <c r="CO35" s="628">
        <f>+APA!CO292</f>
        <v>-27446.924921900067</v>
      </c>
      <c r="CP35" s="628">
        <f>+APA!CP292</f>
        <v>-28150.526030972353</v>
      </c>
      <c r="CQ35" s="625" t="s">
        <v>77</v>
      </c>
    </row>
    <row r="36" spans="2:95" x14ac:dyDescent="0.2">
      <c r="CQ36" s="23" t="s">
        <v>77</v>
      </c>
    </row>
    <row r="37" spans="2:95" x14ac:dyDescent="0.2">
      <c r="B37" s="884" t="s">
        <v>610</v>
      </c>
      <c r="C37" s="885"/>
      <c r="D37" s="885">
        <f t="shared" ref="D37:BO37" si="25">Fiscal_Year</f>
        <v>0</v>
      </c>
      <c r="E37" s="885">
        <f t="shared" si="25"/>
        <v>0</v>
      </c>
      <c r="F37" s="885">
        <f t="shared" si="25"/>
        <v>36707</v>
      </c>
      <c r="G37" s="885">
        <f t="shared" si="25"/>
        <v>37072</v>
      </c>
      <c r="H37" s="885">
        <f t="shared" si="25"/>
        <v>37437</v>
      </c>
      <c r="I37" s="885"/>
      <c r="J37" s="885"/>
      <c r="K37" s="885">
        <f>Fiscal_Year</f>
        <v>38533</v>
      </c>
      <c r="L37" s="885">
        <f t="shared" si="25"/>
        <v>38898</v>
      </c>
      <c r="M37" s="885">
        <f t="shared" si="25"/>
        <v>39263</v>
      </c>
      <c r="N37" s="885">
        <f t="shared" si="25"/>
        <v>39629</v>
      </c>
      <c r="O37" s="885">
        <f t="shared" si="25"/>
        <v>39994</v>
      </c>
      <c r="P37" s="885">
        <f t="shared" si="25"/>
        <v>40359</v>
      </c>
      <c r="Q37" s="885">
        <f t="shared" si="25"/>
        <v>40724</v>
      </c>
      <c r="R37" s="885">
        <f t="shared" si="25"/>
        <v>41090</v>
      </c>
      <c r="S37" s="885">
        <f t="shared" si="25"/>
        <v>41455</v>
      </c>
      <c r="T37" s="885">
        <f t="shared" si="25"/>
        <v>41820</v>
      </c>
      <c r="U37" s="885">
        <f t="shared" si="25"/>
        <v>42185</v>
      </c>
      <c r="V37" s="885">
        <f t="shared" si="25"/>
        <v>42551</v>
      </c>
      <c r="W37" s="885">
        <f t="shared" si="25"/>
        <v>42916</v>
      </c>
      <c r="X37" s="897">
        <f t="shared" si="25"/>
        <v>43281</v>
      </c>
      <c r="Y37" s="897">
        <f t="shared" si="25"/>
        <v>43646</v>
      </c>
      <c r="Z37" s="897">
        <f t="shared" si="25"/>
        <v>44012</v>
      </c>
      <c r="AA37" s="312">
        <f t="shared" si="25"/>
        <v>44377</v>
      </c>
      <c r="AB37" s="312">
        <f t="shared" si="25"/>
        <v>44742</v>
      </c>
      <c r="AC37" s="312">
        <f t="shared" si="25"/>
        <v>45107</v>
      </c>
      <c r="AD37" s="312">
        <f t="shared" si="25"/>
        <v>45473</v>
      </c>
      <c r="AE37" s="312">
        <f t="shared" si="25"/>
        <v>45838</v>
      </c>
      <c r="AF37" s="312">
        <f t="shared" si="25"/>
        <v>46203</v>
      </c>
      <c r="AG37" s="312">
        <f t="shared" si="25"/>
        <v>46568</v>
      </c>
      <c r="AH37" s="312">
        <f t="shared" si="25"/>
        <v>46934</v>
      </c>
      <c r="AI37" s="312">
        <f t="shared" si="25"/>
        <v>47299</v>
      </c>
      <c r="AJ37" s="312">
        <f t="shared" si="25"/>
        <v>47664</v>
      </c>
      <c r="AK37" s="312">
        <f t="shared" si="25"/>
        <v>48029</v>
      </c>
      <c r="AL37" s="312">
        <f t="shared" si="25"/>
        <v>48395</v>
      </c>
      <c r="AM37" s="312">
        <f t="shared" si="25"/>
        <v>48760</v>
      </c>
      <c r="AN37" s="312">
        <f t="shared" si="25"/>
        <v>49125</v>
      </c>
      <c r="AO37" s="312">
        <f t="shared" si="25"/>
        <v>49490</v>
      </c>
      <c r="AP37" s="312">
        <f t="shared" si="25"/>
        <v>49856</v>
      </c>
      <c r="AQ37" s="312">
        <f t="shared" si="25"/>
        <v>50221</v>
      </c>
      <c r="AR37" s="312">
        <f t="shared" si="25"/>
        <v>50586</v>
      </c>
      <c r="AS37" s="312">
        <f t="shared" si="25"/>
        <v>50951</v>
      </c>
      <c r="AT37" s="312">
        <f t="shared" si="25"/>
        <v>51317</v>
      </c>
      <c r="AU37" s="312">
        <f t="shared" si="25"/>
        <v>51682</v>
      </c>
      <c r="AV37" s="312">
        <f t="shared" si="25"/>
        <v>52047</v>
      </c>
      <c r="AW37" s="312">
        <f t="shared" si="25"/>
        <v>52412</v>
      </c>
      <c r="AX37" s="312">
        <f t="shared" si="25"/>
        <v>52778</v>
      </c>
      <c r="AY37" s="312">
        <f t="shared" si="25"/>
        <v>53143</v>
      </c>
      <c r="AZ37" s="312">
        <f t="shared" si="25"/>
        <v>53508</v>
      </c>
      <c r="BA37" s="312">
        <f t="shared" si="25"/>
        <v>53873</v>
      </c>
      <c r="BB37" s="312">
        <f t="shared" si="25"/>
        <v>54239</v>
      </c>
      <c r="BC37" s="312">
        <f t="shared" si="25"/>
        <v>54604</v>
      </c>
      <c r="BD37" s="312">
        <f t="shared" si="25"/>
        <v>54969</v>
      </c>
      <c r="BE37" s="312">
        <f t="shared" si="25"/>
        <v>55334</v>
      </c>
      <c r="BF37" s="312">
        <f t="shared" si="25"/>
        <v>55700</v>
      </c>
      <c r="BG37" s="312">
        <f t="shared" si="25"/>
        <v>56065</v>
      </c>
      <c r="BH37" s="312">
        <f t="shared" si="25"/>
        <v>56430</v>
      </c>
      <c r="BI37" s="312">
        <f t="shared" si="25"/>
        <v>56795</v>
      </c>
      <c r="BJ37" s="312">
        <f t="shared" si="25"/>
        <v>57161</v>
      </c>
      <c r="BK37" s="312">
        <f t="shared" si="25"/>
        <v>57526</v>
      </c>
      <c r="BL37" s="312">
        <f t="shared" si="25"/>
        <v>57891</v>
      </c>
      <c r="BM37" s="312">
        <f t="shared" si="25"/>
        <v>58256</v>
      </c>
      <c r="BN37" s="312">
        <f t="shared" si="25"/>
        <v>58622</v>
      </c>
      <c r="BO37" s="312">
        <f t="shared" si="25"/>
        <v>58987</v>
      </c>
      <c r="BP37" s="312">
        <f t="shared" ref="BP37:CP37" si="26">Fiscal_Year</f>
        <v>59352</v>
      </c>
      <c r="BQ37" s="312">
        <f t="shared" si="26"/>
        <v>59717</v>
      </c>
      <c r="BR37" s="312">
        <f t="shared" si="26"/>
        <v>60083</v>
      </c>
      <c r="BS37" s="312">
        <f t="shared" si="26"/>
        <v>60448</v>
      </c>
      <c r="BT37" s="312">
        <f t="shared" si="26"/>
        <v>60813</v>
      </c>
      <c r="BU37" s="312">
        <f t="shared" si="26"/>
        <v>61178</v>
      </c>
      <c r="BV37" s="312">
        <f t="shared" si="26"/>
        <v>61544</v>
      </c>
      <c r="BW37" s="312">
        <f t="shared" si="26"/>
        <v>61909</v>
      </c>
      <c r="BX37" s="312">
        <f t="shared" si="26"/>
        <v>62274</v>
      </c>
      <c r="BY37" s="312">
        <f t="shared" si="26"/>
        <v>62639</v>
      </c>
      <c r="BZ37" s="312">
        <f t="shared" si="26"/>
        <v>63005</v>
      </c>
      <c r="CA37" s="312">
        <f t="shared" si="26"/>
        <v>63370</v>
      </c>
      <c r="CB37" s="312">
        <f t="shared" si="26"/>
        <v>63735</v>
      </c>
      <c r="CC37" s="312">
        <f t="shared" si="26"/>
        <v>64100</v>
      </c>
      <c r="CD37" s="312">
        <f t="shared" si="26"/>
        <v>64466</v>
      </c>
      <c r="CE37" s="312">
        <f t="shared" si="26"/>
        <v>64831</v>
      </c>
      <c r="CF37" s="312">
        <f t="shared" si="26"/>
        <v>65196</v>
      </c>
      <c r="CG37" s="312">
        <f t="shared" si="26"/>
        <v>65561</v>
      </c>
      <c r="CH37" s="312">
        <f t="shared" si="26"/>
        <v>65927</v>
      </c>
      <c r="CI37" s="312">
        <f t="shared" si="26"/>
        <v>66292</v>
      </c>
      <c r="CJ37" s="312">
        <f t="shared" si="26"/>
        <v>66657</v>
      </c>
      <c r="CK37" s="312">
        <f t="shared" si="26"/>
        <v>67022</v>
      </c>
      <c r="CL37" s="312">
        <f t="shared" si="26"/>
        <v>67388</v>
      </c>
      <c r="CM37" s="312">
        <f t="shared" si="26"/>
        <v>67753</v>
      </c>
      <c r="CN37" s="312">
        <f t="shared" si="26"/>
        <v>68118</v>
      </c>
      <c r="CO37" s="312">
        <f t="shared" si="26"/>
        <v>68483</v>
      </c>
      <c r="CP37" s="312">
        <f t="shared" si="26"/>
        <v>68849</v>
      </c>
      <c r="CQ37" s="23" t="s">
        <v>77</v>
      </c>
    </row>
    <row r="38" spans="2:95" ht="5.0999999999999996" customHeight="1" x14ac:dyDescent="0.2">
      <c r="B38" s="886"/>
      <c r="C38" s="397"/>
      <c r="D38" s="887"/>
      <c r="E38" s="887"/>
      <c r="F38" s="887"/>
      <c r="G38" s="887"/>
      <c r="H38" s="887"/>
      <c r="I38" s="887"/>
      <c r="J38" s="887"/>
      <c r="K38" s="887"/>
      <c r="L38" s="887"/>
      <c r="M38" s="887"/>
      <c r="N38" s="887"/>
      <c r="O38" s="887"/>
      <c r="P38" s="887"/>
      <c r="Q38" s="887"/>
      <c r="R38" s="887"/>
      <c r="S38" s="887"/>
      <c r="T38" s="887"/>
      <c r="U38" s="887"/>
      <c r="V38" s="887"/>
      <c r="W38" s="887"/>
      <c r="X38" s="887"/>
      <c r="Y38" s="887"/>
      <c r="Z38" s="887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108"/>
      <c r="AU38" s="108"/>
      <c r="AV38" s="108"/>
      <c r="AW38" s="108"/>
      <c r="AX38" s="108"/>
      <c r="AY38" s="108"/>
      <c r="AZ38" s="108"/>
      <c r="BA38" s="108"/>
      <c r="BB38" s="108"/>
      <c r="BC38" s="108"/>
      <c r="BD38" s="108"/>
      <c r="BE38" s="108"/>
      <c r="BF38" s="108"/>
      <c r="BG38" s="108"/>
      <c r="BH38" s="108"/>
      <c r="BI38" s="108"/>
      <c r="BJ38" s="108"/>
      <c r="BK38" s="108"/>
      <c r="BL38" s="108"/>
      <c r="BM38" s="108"/>
      <c r="BN38" s="108"/>
      <c r="BO38" s="108"/>
      <c r="BP38" s="108"/>
      <c r="BQ38" s="108"/>
      <c r="BR38" s="108"/>
      <c r="BS38" s="108"/>
      <c r="BT38" s="108"/>
      <c r="BU38" s="108"/>
      <c r="BV38" s="108"/>
      <c r="BW38" s="108"/>
      <c r="BX38" s="108"/>
      <c r="BY38" s="108"/>
      <c r="BZ38" s="108"/>
      <c r="CA38" s="108"/>
      <c r="CB38" s="108"/>
      <c r="CC38" s="108"/>
      <c r="CD38" s="108"/>
      <c r="CE38" s="108"/>
      <c r="CF38" s="108"/>
      <c r="CG38" s="108"/>
      <c r="CH38" s="108"/>
      <c r="CI38" s="108"/>
      <c r="CJ38" s="108"/>
      <c r="CK38" s="108"/>
      <c r="CL38" s="108"/>
      <c r="CM38" s="108"/>
      <c r="CN38" s="108"/>
      <c r="CO38" s="108"/>
      <c r="CP38" s="108"/>
      <c r="CQ38" s="23" t="s">
        <v>77</v>
      </c>
    </row>
    <row r="39" spans="2:95" ht="15" customHeight="1" outlineLevel="1" x14ac:dyDescent="0.2">
      <c r="B39" s="888" t="s">
        <v>520</v>
      </c>
      <c r="C39" s="397"/>
      <c r="D39" s="747"/>
      <c r="E39" s="747"/>
      <c r="F39" s="747"/>
      <c r="G39" s="747"/>
      <c r="H39" s="747"/>
      <c r="I39" s="747"/>
      <c r="J39" s="747"/>
      <c r="K39" s="889">
        <f t="shared" ref="K39:AP39" si="27">+K27/K11</f>
        <v>0.10639425061113052</v>
      </c>
      <c r="L39" s="889">
        <f t="shared" si="27"/>
        <v>9.9957175211035615E-2</v>
      </c>
      <c r="M39" s="889">
        <f t="shared" si="27"/>
        <v>5.6791286900631788E-2</v>
      </c>
      <c r="N39" s="889">
        <f t="shared" si="27"/>
        <v>6.1112016464794215E-2</v>
      </c>
      <c r="O39" s="889">
        <f t="shared" si="27"/>
        <v>6.3533139920502885E-2</v>
      </c>
      <c r="P39" s="889">
        <f t="shared" si="27"/>
        <v>7.9028658370090668E-2</v>
      </c>
      <c r="Q39" s="889">
        <f t="shared" si="27"/>
        <v>7.3641230453708545E-2</v>
      </c>
      <c r="R39" s="889">
        <f t="shared" si="27"/>
        <v>9.9732066597245775E-2</v>
      </c>
      <c r="S39" s="889">
        <f t="shared" si="27"/>
        <v>7.6507967266800078E-2</v>
      </c>
      <c r="T39" s="890">
        <f t="shared" si="27"/>
        <v>7.8796240582819671E-2</v>
      </c>
      <c r="U39" s="890">
        <f t="shared" si="27"/>
        <v>5.0804064110210254E-2</v>
      </c>
      <c r="V39" s="890">
        <f t="shared" si="27"/>
        <v>8.4240228658351596E-2</v>
      </c>
      <c r="W39" s="890">
        <f t="shared" si="27"/>
        <v>9.8123498507591889E-2</v>
      </c>
      <c r="X39" s="891">
        <f t="shared" si="27"/>
        <v>9.7728388662744095E-2</v>
      </c>
      <c r="Y39" s="891">
        <f t="shared" si="27"/>
        <v>0.10299149752776657</v>
      </c>
      <c r="Z39" s="891">
        <f t="shared" si="27"/>
        <v>0.10854304304277998</v>
      </c>
      <c r="AA39" s="726">
        <f t="shared" si="27"/>
        <v>0.10776248525343361</v>
      </c>
      <c r="AB39" s="726">
        <f t="shared" si="27"/>
        <v>0.10624343130017694</v>
      </c>
      <c r="AC39" s="726">
        <f t="shared" si="27"/>
        <v>0.11217353138004638</v>
      </c>
      <c r="AD39" s="726">
        <f t="shared" si="27"/>
        <v>0.11833374971130799</v>
      </c>
      <c r="AE39" s="726">
        <f t="shared" si="27"/>
        <v>0.12335842793859682</v>
      </c>
      <c r="AF39" s="726">
        <f t="shared" si="27"/>
        <v>0.1262901471693765</v>
      </c>
      <c r="AG39" s="726">
        <f t="shared" si="27"/>
        <v>0.12807843906087046</v>
      </c>
      <c r="AH39" s="726">
        <f t="shared" si="27"/>
        <v>0.12958897382415449</v>
      </c>
      <c r="AI39" s="266">
        <f t="shared" si="27"/>
        <v>0.11962978320976508</v>
      </c>
      <c r="AJ39" s="266">
        <f t="shared" si="27"/>
        <v>0.1139351661193938</v>
      </c>
      <c r="AK39" s="266">
        <f t="shared" si="27"/>
        <v>0.11123339067389645</v>
      </c>
      <c r="AL39" s="266">
        <f t="shared" si="27"/>
        <v>0.11421977153454142</v>
      </c>
      <c r="AM39" s="266">
        <f t="shared" si="27"/>
        <v>0.11727480606311806</v>
      </c>
      <c r="AN39" s="266">
        <f t="shared" si="27"/>
        <v>0.11902238002808994</v>
      </c>
      <c r="AO39" s="266">
        <f t="shared" si="27"/>
        <v>0.12083690907602865</v>
      </c>
      <c r="AP39" s="266">
        <f t="shared" si="27"/>
        <v>6.390736087439329E-2</v>
      </c>
      <c r="AQ39" s="266">
        <f t="shared" ref="AQ39:BV39" si="28">+AQ27/AQ11</f>
        <v>6.9329379970267391E-2</v>
      </c>
      <c r="AR39" s="266">
        <f t="shared" si="28"/>
        <v>6.1282005087058528E-2</v>
      </c>
      <c r="AS39" s="266">
        <f t="shared" si="28"/>
        <v>4.9090591546977459E-2</v>
      </c>
      <c r="AT39" s="266">
        <f t="shared" si="28"/>
        <v>4.9180049491801318E-2</v>
      </c>
      <c r="AU39" s="266">
        <f t="shared" si="28"/>
        <v>5.3659935022825282E-2</v>
      </c>
      <c r="AV39" s="266">
        <f t="shared" si="28"/>
        <v>5.5108217816754533E-2</v>
      </c>
      <c r="AW39" s="266">
        <f t="shared" si="28"/>
        <v>5.0851132292818964E-2</v>
      </c>
      <c r="AX39" s="266">
        <f t="shared" si="28"/>
        <v>5.2273240311732812E-2</v>
      </c>
      <c r="AY39" s="266">
        <f t="shared" si="28"/>
        <v>5.3724617343373353E-2</v>
      </c>
      <c r="AZ39" s="266">
        <f t="shared" si="28"/>
        <v>5.52056086022975E-2</v>
      </c>
      <c r="BA39" s="266">
        <f t="shared" si="28"/>
        <v>3.5087295537876512E-2</v>
      </c>
      <c r="BB39" s="266">
        <f t="shared" si="28"/>
        <v>3.6299625529482425E-2</v>
      </c>
      <c r="BC39" s="266">
        <f t="shared" si="28"/>
        <v>3.7536630344392162E-2</v>
      </c>
      <c r="BD39" s="266">
        <f t="shared" si="28"/>
        <v>3.8798780593461778E-2</v>
      </c>
      <c r="BE39" s="266">
        <f t="shared" si="28"/>
        <v>4.0086549655425283E-2</v>
      </c>
      <c r="BF39" s="266">
        <f t="shared" si="28"/>
        <v>4.1400054333851494E-2</v>
      </c>
      <c r="BG39" s="266">
        <f t="shared" si="28"/>
        <v>4.2740065418097474E-2</v>
      </c>
      <c r="BH39" s="266">
        <f t="shared" si="28"/>
        <v>4.4106540315154569E-2</v>
      </c>
      <c r="BI39" s="266">
        <f t="shared" si="28"/>
        <v>4.5500352451917248E-2</v>
      </c>
      <c r="BJ39" s="266">
        <f t="shared" si="28"/>
        <v>4.6921532327188875E-2</v>
      </c>
      <c r="BK39" s="266">
        <f t="shared" si="28"/>
        <v>4.837083426297991E-2</v>
      </c>
      <c r="BL39" s="266">
        <f t="shared" si="28"/>
        <v>4.9848577105463872E-2</v>
      </c>
      <c r="BM39" s="266">
        <f t="shared" si="28"/>
        <v>5.1355226154710581E-2</v>
      </c>
      <c r="BN39" s="266">
        <f t="shared" si="28"/>
        <v>5.2891210238372524E-2</v>
      </c>
      <c r="BO39" s="266">
        <f t="shared" si="28"/>
        <v>5.4457059032588177E-2</v>
      </c>
      <c r="BP39" s="266">
        <f t="shared" si="28"/>
        <v>5.6053268049200786E-2</v>
      </c>
      <c r="BQ39" s="266">
        <f t="shared" si="28"/>
        <v>5.7680343780346748E-2</v>
      </c>
      <c r="BR39" s="266">
        <f t="shared" si="28"/>
        <v>5.9338720166392432E-2</v>
      </c>
      <c r="BS39" s="266">
        <f t="shared" si="28"/>
        <v>5.6634088544117403E-2</v>
      </c>
      <c r="BT39" s="266">
        <f t="shared" si="28"/>
        <v>5.4417365866000954E-2</v>
      </c>
      <c r="BU39" s="266">
        <f t="shared" si="28"/>
        <v>5.6037695096136077E-2</v>
      </c>
      <c r="BV39" s="266">
        <f t="shared" si="28"/>
        <v>5.768902330764962E-2</v>
      </c>
      <c r="BW39" s="266">
        <f t="shared" ref="BW39:CP39" si="29">+BW27/BW11</f>
        <v>5.9371837694637046E-2</v>
      </c>
      <c r="BX39" s="266">
        <f t="shared" si="29"/>
        <v>6.1086757918869861E-2</v>
      </c>
      <c r="BY39" s="266">
        <f t="shared" si="29"/>
        <v>6.2834093690569429E-2</v>
      </c>
      <c r="BZ39" s="266">
        <f t="shared" si="29"/>
        <v>6.4614687692287023E-2</v>
      </c>
      <c r="CA39" s="266">
        <f t="shared" si="29"/>
        <v>6.6428954254641459E-2</v>
      </c>
      <c r="CB39" s="266">
        <f t="shared" si="29"/>
        <v>6.8277675664806775E-2</v>
      </c>
      <c r="CC39" s="266">
        <f t="shared" si="29"/>
        <v>6.9684409955268603E-2</v>
      </c>
      <c r="CD39" s="266">
        <f t="shared" si="29"/>
        <v>6.5912484512214778E-2</v>
      </c>
      <c r="CE39" s="266">
        <f t="shared" si="29"/>
        <v>6.7764768761028216E-2</v>
      </c>
      <c r="CF39" s="266">
        <f t="shared" si="29"/>
        <v>6.9651786260945175E-2</v>
      </c>
      <c r="CG39" s="266">
        <f t="shared" si="29"/>
        <v>7.1574227778246749E-2</v>
      </c>
      <c r="CH39" s="266">
        <f t="shared" si="29"/>
        <v>2.2099236551779398E-2</v>
      </c>
      <c r="CI39" s="266">
        <f t="shared" si="29"/>
        <v>2.3232929255437268E-2</v>
      </c>
      <c r="CJ39" s="266">
        <f t="shared" si="29"/>
        <v>2.4387693061244171E-2</v>
      </c>
      <c r="CK39" s="266">
        <f t="shared" si="29"/>
        <v>2.5563764793422789E-2</v>
      </c>
      <c r="CL39" s="266">
        <f t="shared" si="29"/>
        <v>2.6761430591740375E-2</v>
      </c>
      <c r="CM39" s="266">
        <f t="shared" si="29"/>
        <v>2.798112878532194E-2</v>
      </c>
      <c r="CN39" s="266">
        <f t="shared" si="29"/>
        <v>2.9223268922867886E-2</v>
      </c>
      <c r="CO39" s="266">
        <f t="shared" si="29"/>
        <v>3.0488303679503306E-2</v>
      </c>
      <c r="CP39" s="266">
        <f t="shared" si="29"/>
        <v>2.8879106516414593E-2</v>
      </c>
      <c r="CQ39" s="23" t="s">
        <v>77</v>
      </c>
    </row>
    <row r="40" spans="2:95" ht="15" customHeight="1" outlineLevel="1" x14ac:dyDescent="0.2">
      <c r="B40" s="888" t="s">
        <v>611</v>
      </c>
      <c r="C40" s="397"/>
      <c r="D40" s="747"/>
      <c r="E40" s="747"/>
      <c r="F40" s="747"/>
      <c r="G40" s="747"/>
      <c r="H40" s="747"/>
      <c r="I40" s="747"/>
      <c r="J40" s="747"/>
      <c r="K40" s="892">
        <f t="shared" ref="K40:AP40" si="30">-K27/K34</f>
        <v>1.6636726082437447</v>
      </c>
      <c r="L40" s="892">
        <f t="shared" si="30"/>
        <v>1.5191183648948021</v>
      </c>
      <c r="M40" s="892">
        <f t="shared" si="30"/>
        <v>0.96911808178682857</v>
      </c>
      <c r="N40" s="892">
        <f t="shared" si="30"/>
        <v>0.7777841413476132</v>
      </c>
      <c r="O40" s="892">
        <f t="shared" si="30"/>
        <v>0.78645916155436368</v>
      </c>
      <c r="P40" s="892">
        <f t="shared" si="30"/>
        <v>0.96512926711943448</v>
      </c>
      <c r="Q40" s="892">
        <f t="shared" si="30"/>
        <v>0.80751152335969956</v>
      </c>
      <c r="R40" s="892">
        <f t="shared" si="30"/>
        <v>1.1565299631670729</v>
      </c>
      <c r="S40" s="892">
        <f t="shared" si="30"/>
        <v>1.1345783662638016</v>
      </c>
      <c r="T40" s="892">
        <f t="shared" si="30"/>
        <v>1.1412281133491651</v>
      </c>
      <c r="U40" s="892">
        <f t="shared" si="30"/>
        <v>1.4584528723292676</v>
      </c>
      <c r="V40" s="892">
        <f t="shared" si="30"/>
        <v>1.6136237388162895</v>
      </c>
      <c r="W40" s="893">
        <f t="shared" si="30"/>
        <v>1.852732853608736</v>
      </c>
      <c r="X40" s="894">
        <f t="shared" si="30"/>
        <v>1.8913653010337754</v>
      </c>
      <c r="Y40" s="894">
        <f t="shared" si="30"/>
        <v>2.0095678026038644</v>
      </c>
      <c r="Z40" s="894">
        <f t="shared" si="30"/>
        <v>2.1385408829754931</v>
      </c>
      <c r="AA40" s="727">
        <f t="shared" si="30"/>
        <v>2.1909366732215552</v>
      </c>
      <c r="AB40" s="727">
        <f t="shared" si="30"/>
        <v>1.8928835838240408</v>
      </c>
      <c r="AC40" s="727">
        <f t="shared" si="30"/>
        <v>2.0024861917052381</v>
      </c>
      <c r="AD40" s="727">
        <f t="shared" si="30"/>
        <v>2.1164204972502412</v>
      </c>
      <c r="AE40" s="727">
        <f t="shared" si="30"/>
        <v>2.2134532870497519</v>
      </c>
      <c r="AF40" s="727">
        <f t="shared" si="30"/>
        <v>2.2741096775895695</v>
      </c>
      <c r="AG40" s="727">
        <f t="shared" si="30"/>
        <v>2.3141359681549942</v>
      </c>
      <c r="AH40" s="727">
        <f t="shared" si="30"/>
        <v>2.3427569094276097</v>
      </c>
      <c r="AI40" s="367">
        <f t="shared" si="30"/>
        <v>2.1858869359489663</v>
      </c>
      <c r="AJ40" s="367">
        <f t="shared" si="30"/>
        <v>2.0821396139272044</v>
      </c>
      <c r="AK40" s="367">
        <f t="shared" si="30"/>
        <v>2.0232930788348646</v>
      </c>
      <c r="AL40" s="367">
        <f t="shared" si="30"/>
        <v>2.0844016985129175</v>
      </c>
      <c r="AM40" s="367">
        <f t="shared" si="30"/>
        <v>2.1409317905999989</v>
      </c>
      <c r="AN40" s="367">
        <f t="shared" si="30"/>
        <v>2.1740189157486447</v>
      </c>
      <c r="AO40" s="367">
        <f t="shared" si="30"/>
        <v>2.2142773145382937</v>
      </c>
      <c r="AP40" s="367">
        <f t="shared" si="30"/>
        <v>1.1639296607009542</v>
      </c>
      <c r="AQ40" s="367">
        <f t="shared" ref="AQ40:BV40" si="31">-AQ27/AQ34</f>
        <v>1.2474148857253542</v>
      </c>
      <c r="AR40" s="367">
        <f t="shared" si="31"/>
        <v>1.0896887289383934</v>
      </c>
      <c r="AS40" s="367">
        <f t="shared" si="31"/>
        <v>0.8601824197053376</v>
      </c>
      <c r="AT40" s="367">
        <f t="shared" si="31"/>
        <v>0.84792937113011413</v>
      </c>
      <c r="AU40" s="367">
        <f t="shared" si="31"/>
        <v>0.90982848389289595</v>
      </c>
      <c r="AV40" s="367">
        <f t="shared" si="31"/>
        <v>0.91916509652252421</v>
      </c>
      <c r="AW40" s="367">
        <f t="shared" si="31"/>
        <v>0.84074289196048568</v>
      </c>
      <c r="AX40" s="367">
        <f t="shared" si="31"/>
        <v>0.85622603658657315</v>
      </c>
      <c r="AY40" s="367">
        <f t="shared" si="31"/>
        <v>0.87230809224071537</v>
      </c>
      <c r="AZ40" s="367">
        <f t="shared" si="31"/>
        <v>0.88900116663689532</v>
      </c>
      <c r="BA40" s="367">
        <f t="shared" si="31"/>
        <v>0.56068761991187344</v>
      </c>
      <c r="BB40" s="367">
        <f t="shared" si="31"/>
        <v>0.57326707090828666</v>
      </c>
      <c r="BC40" s="367">
        <f t="shared" si="31"/>
        <v>0.58623699004389052</v>
      </c>
      <c r="BD40" s="367">
        <f t="shared" si="31"/>
        <v>0.59961042288311106</v>
      </c>
      <c r="BE40" s="367">
        <f t="shared" si="31"/>
        <v>0.61340119387117609</v>
      </c>
      <c r="BF40" s="367">
        <f t="shared" si="31"/>
        <v>0.62761849595146701</v>
      </c>
      <c r="BG40" s="367">
        <f t="shared" si="31"/>
        <v>0.64228230477734893</v>
      </c>
      <c r="BH40" s="367">
        <f t="shared" si="31"/>
        <v>0.65740121252029349</v>
      </c>
      <c r="BI40" s="367">
        <f t="shared" si="31"/>
        <v>0.67299843334729148</v>
      </c>
      <c r="BJ40" s="367">
        <f t="shared" si="31"/>
        <v>0.68908563556640168</v>
      </c>
      <c r="BK40" s="367">
        <f t="shared" si="31"/>
        <v>0.70568618027846042</v>
      </c>
      <c r="BL40" s="367">
        <f t="shared" si="31"/>
        <v>0.72281813087267877</v>
      </c>
      <c r="BM40" s="367">
        <f t="shared" si="31"/>
        <v>0.74050285290553097</v>
      </c>
      <c r="BN40" s="367">
        <f t="shared" si="31"/>
        <v>0.75876242849606179</v>
      </c>
      <c r="BO40" s="367">
        <f t="shared" si="31"/>
        <v>0.77762171262907376</v>
      </c>
      <c r="BP40" s="367">
        <f t="shared" si="31"/>
        <v>0.79710649482520868</v>
      </c>
      <c r="BQ40" s="367">
        <f t="shared" si="31"/>
        <v>0.8172442539085758</v>
      </c>
      <c r="BR40" s="367">
        <f t="shared" si="31"/>
        <v>0.83755676892877851</v>
      </c>
      <c r="BS40" s="367">
        <f t="shared" si="31"/>
        <v>0.79667154662755513</v>
      </c>
      <c r="BT40" s="367">
        <f t="shared" si="31"/>
        <v>0.76264272723523052</v>
      </c>
      <c r="BU40" s="367">
        <f t="shared" si="31"/>
        <v>0.78224100333696411</v>
      </c>
      <c r="BV40" s="367">
        <f t="shared" si="31"/>
        <v>0.8024156982927122</v>
      </c>
      <c r="BW40" s="367">
        <f t="shared" ref="BW40:CP40" si="32">-BW27/BW34</f>
        <v>0.82319048738242773</v>
      </c>
      <c r="BX40" s="367">
        <f t="shared" si="32"/>
        <v>0.84459204875119431</v>
      </c>
      <c r="BY40" s="367">
        <f t="shared" si="32"/>
        <v>0.86664404702437847</v>
      </c>
      <c r="BZ40" s="367">
        <f t="shared" si="32"/>
        <v>0.889378839810123</v>
      </c>
      <c r="CA40" s="367">
        <f t="shared" si="32"/>
        <v>0.91282437668715488</v>
      </c>
      <c r="CB40" s="367">
        <f t="shared" si="32"/>
        <v>0.93701523707334944</v>
      </c>
      <c r="CC40" s="367">
        <f t="shared" si="32"/>
        <v>0.95544450316026241</v>
      </c>
      <c r="CD40" s="367">
        <f t="shared" si="32"/>
        <v>0.90317106190741259</v>
      </c>
      <c r="CE40" s="367">
        <f t="shared" si="32"/>
        <v>0.92748106879712566</v>
      </c>
      <c r="CF40" s="367">
        <f t="shared" si="32"/>
        <v>0.95256429616978655</v>
      </c>
      <c r="CG40" s="367">
        <f t="shared" si="32"/>
        <v>0.97845785149104103</v>
      </c>
      <c r="CH40" s="367">
        <f t="shared" si="32"/>
        <v>0.30209887919370121</v>
      </c>
      <c r="CI40" s="367">
        <f t="shared" si="32"/>
        <v>0.31484056172472219</v>
      </c>
      <c r="CJ40" s="367">
        <f t="shared" si="32"/>
        <v>0.32776042288236079</v>
      </c>
      <c r="CK40" s="367">
        <f t="shared" si="32"/>
        <v>0.34087086945964346</v>
      </c>
      <c r="CL40" s="367">
        <f t="shared" si="32"/>
        <v>0.35418502897318682</v>
      </c>
      <c r="CM40" s="367">
        <f t="shared" si="32"/>
        <v>0.36771812976899948</v>
      </c>
      <c r="CN40" s="367">
        <f t="shared" si="32"/>
        <v>0.3814851331337577</v>
      </c>
      <c r="CO40" s="367">
        <f t="shared" si="32"/>
        <v>0.39550173468909955</v>
      </c>
      <c r="CP40" s="367">
        <f t="shared" si="32"/>
        <v>0.37241742558315521</v>
      </c>
      <c r="CQ40" s="23" t="s">
        <v>77</v>
      </c>
    </row>
    <row r="41" spans="2:95" ht="15" customHeight="1" outlineLevel="1" x14ac:dyDescent="0.2">
      <c r="B41" s="888" t="s">
        <v>612</v>
      </c>
      <c r="C41" s="397"/>
      <c r="D41" s="747"/>
      <c r="E41" s="747"/>
      <c r="F41" s="747"/>
      <c r="G41" s="747"/>
      <c r="H41" s="747"/>
      <c r="I41" s="747"/>
      <c r="J41" s="747"/>
      <c r="K41" s="892">
        <f t="shared" ref="K41:AP41" si="33">K33/-K34</f>
        <v>2.7749491940863473</v>
      </c>
      <c r="L41" s="892">
        <f t="shared" si="33"/>
        <v>2.5082543775110455</v>
      </c>
      <c r="M41" s="892">
        <f t="shared" si="33"/>
        <v>1.9500213499753654</v>
      </c>
      <c r="N41" s="892">
        <f t="shared" si="33"/>
        <v>1.7612611322699809</v>
      </c>
      <c r="O41" s="892">
        <f t="shared" si="33"/>
        <v>1.7711389904840023</v>
      </c>
      <c r="P41" s="892">
        <f t="shared" si="33"/>
        <v>1.8751070092048299</v>
      </c>
      <c r="Q41" s="892">
        <f t="shared" si="33"/>
        <v>1.7241412014643676</v>
      </c>
      <c r="R41" s="892">
        <f t="shared" si="33"/>
        <v>2.0564705037291842</v>
      </c>
      <c r="S41" s="892">
        <f t="shared" si="33"/>
        <v>2.2223081576812556</v>
      </c>
      <c r="T41" s="892">
        <f t="shared" si="33"/>
        <v>2.1447410515436012</v>
      </c>
      <c r="U41" s="892">
        <f t="shared" si="33"/>
        <v>2.5334832583708149</v>
      </c>
      <c r="V41" s="892">
        <f t="shared" si="33"/>
        <v>2.6209062006311332</v>
      </c>
      <c r="W41" s="893">
        <f t="shared" si="33"/>
        <v>2.8614566525292582</v>
      </c>
      <c r="X41" s="894">
        <f t="shared" si="33"/>
        <v>2.9029324224445325</v>
      </c>
      <c r="Y41" s="894">
        <f t="shared" si="33"/>
        <v>3.0313129042203721</v>
      </c>
      <c r="Z41" s="894">
        <f t="shared" si="33"/>
        <v>3.1600100373019453</v>
      </c>
      <c r="AA41" s="727">
        <f t="shared" si="33"/>
        <v>3.225444526589647</v>
      </c>
      <c r="AB41" s="727">
        <f t="shared" si="33"/>
        <v>2.9258930569188832</v>
      </c>
      <c r="AC41" s="727">
        <f t="shared" si="33"/>
        <v>3.0373252472461618</v>
      </c>
      <c r="AD41" s="727">
        <f t="shared" si="33"/>
        <v>3.153337538300347</v>
      </c>
      <c r="AE41" s="727">
        <f t="shared" si="33"/>
        <v>3.2542406199977232</v>
      </c>
      <c r="AF41" s="727">
        <f t="shared" si="33"/>
        <v>3.3194849066282361</v>
      </c>
      <c r="AG41" s="727">
        <f t="shared" si="33"/>
        <v>3.3643564455001425</v>
      </c>
      <c r="AH41" s="727">
        <f t="shared" si="33"/>
        <v>3.3961778960205335</v>
      </c>
      <c r="AI41" s="367">
        <f t="shared" si="33"/>
        <v>3.2527482308279652</v>
      </c>
      <c r="AJ41" s="367">
        <f t="shared" si="33"/>
        <v>3.1517715036433644</v>
      </c>
      <c r="AK41" s="367">
        <f t="shared" si="33"/>
        <v>3.0916868786300347</v>
      </c>
      <c r="AL41" s="367">
        <f t="shared" si="33"/>
        <v>3.1601289790526694</v>
      </c>
      <c r="AM41" s="367">
        <f t="shared" si="33"/>
        <v>3.221279366692217</v>
      </c>
      <c r="AN41" s="367">
        <f t="shared" si="33"/>
        <v>3.2595710537284721</v>
      </c>
      <c r="AO41" s="367">
        <f t="shared" si="33"/>
        <v>3.3081902051182284</v>
      </c>
      <c r="AP41" s="367">
        <f t="shared" si="33"/>
        <v>2.2566954812034776</v>
      </c>
      <c r="AQ41" s="367">
        <f t="shared" ref="AQ41:BV41" si="34">AQ33/-AQ34</f>
        <v>2.3269700927042605</v>
      </c>
      <c r="AR41" s="367">
        <f t="shared" si="34"/>
        <v>2.1565814267772043</v>
      </c>
      <c r="AS41" s="367">
        <f t="shared" si="34"/>
        <v>1.9115232888193499</v>
      </c>
      <c r="AT41" s="367">
        <f t="shared" si="34"/>
        <v>1.882409059408757</v>
      </c>
      <c r="AU41" s="367">
        <f t="shared" si="34"/>
        <v>1.9271556388801871</v>
      </c>
      <c r="AV41" s="367">
        <f t="shared" si="34"/>
        <v>1.9199215712598408</v>
      </c>
      <c r="AW41" s="367">
        <f t="shared" si="34"/>
        <v>1.8327478138401261</v>
      </c>
      <c r="AX41" s="367">
        <f t="shared" si="34"/>
        <v>1.8390149719735287</v>
      </c>
      <c r="AY41" s="367">
        <f t="shared" si="34"/>
        <v>1.8465074094723084</v>
      </c>
      <c r="AZ41" s="367">
        <f t="shared" si="34"/>
        <v>1.8552086109289569</v>
      </c>
      <c r="BA41" s="367">
        <f t="shared" si="34"/>
        <v>1.5194750294002133</v>
      </c>
      <c r="BB41" s="367">
        <f t="shared" si="34"/>
        <v>1.5208257234503322</v>
      </c>
      <c r="BC41" s="367">
        <f t="shared" si="34"/>
        <v>1.523300841538177</v>
      </c>
      <c r="BD41" s="367">
        <f t="shared" si="34"/>
        <v>1.5268721775746825</v>
      </c>
      <c r="BE41" s="367">
        <f t="shared" si="34"/>
        <v>1.5315164207647316</v>
      </c>
      <c r="BF41" s="367">
        <f t="shared" si="34"/>
        <v>1.537209325311732</v>
      </c>
      <c r="BG41" s="367">
        <f t="shared" si="34"/>
        <v>1.5439406880685267</v>
      </c>
      <c r="BH41" s="367">
        <f t="shared" si="34"/>
        <v>1.5516920018086344</v>
      </c>
      <c r="BI41" s="367">
        <f t="shared" si="34"/>
        <v>1.5604620204372854</v>
      </c>
      <c r="BJ41" s="367">
        <f t="shared" si="34"/>
        <v>1.5702405357448532</v>
      </c>
      <c r="BK41" s="367">
        <f t="shared" si="34"/>
        <v>1.581031240206711</v>
      </c>
      <c r="BL41" s="367">
        <f t="shared" si="34"/>
        <v>1.5928346964529843</v>
      </c>
      <c r="BM41" s="367">
        <f t="shared" si="34"/>
        <v>1.6056566941228474</v>
      </c>
      <c r="BN41" s="367">
        <f t="shared" si="34"/>
        <v>1.6195055558434264</v>
      </c>
      <c r="BO41" s="367">
        <f t="shared" si="34"/>
        <v>1.6343940684374139</v>
      </c>
      <c r="BP41" s="367">
        <f t="shared" si="34"/>
        <v>1.6503375615229234</v>
      </c>
      <c r="BQ41" s="367">
        <f t="shared" si="34"/>
        <v>1.6673545691529517</v>
      </c>
      <c r="BR41" s="367">
        <f t="shared" si="34"/>
        <v>1.6844473994447471</v>
      </c>
      <c r="BS41" s="367">
        <f t="shared" si="34"/>
        <v>1.6406913591900429</v>
      </c>
      <c r="BT41" s="367">
        <f t="shared" si="34"/>
        <v>1.6035243631966472</v>
      </c>
      <c r="BU41" s="367">
        <f t="shared" si="34"/>
        <v>1.6197925857084183</v>
      </c>
      <c r="BV41" s="367">
        <f t="shared" si="34"/>
        <v>1.6369755354529067</v>
      </c>
      <c r="BW41" s="367">
        <f t="shared" ref="BW41:CP41" si="35">BW33/-BW34</f>
        <v>1.6550904446816626</v>
      </c>
      <c r="BX41" s="367">
        <f t="shared" si="35"/>
        <v>1.6741584662777964</v>
      </c>
      <c r="BY41" s="367">
        <f t="shared" si="35"/>
        <v>1.6941986398785924</v>
      </c>
      <c r="BZ41" s="367">
        <f t="shared" si="35"/>
        <v>1.715239527131486</v>
      </c>
      <c r="CA41" s="367">
        <f t="shared" si="35"/>
        <v>1.7373061590027705</v>
      </c>
      <c r="CB41" s="367">
        <f t="shared" si="35"/>
        <v>1.7604309974516661</v>
      </c>
      <c r="CC41" s="367">
        <f t="shared" si="35"/>
        <v>1.7781058448637299</v>
      </c>
      <c r="CD41" s="367">
        <f t="shared" si="35"/>
        <v>1.7253258344892641</v>
      </c>
      <c r="CE41" s="367">
        <f t="shared" si="35"/>
        <v>1.7486875031328304</v>
      </c>
      <c r="CF41" s="367">
        <f t="shared" si="35"/>
        <v>1.7731298672531264</v>
      </c>
      <c r="CG41" s="367">
        <f t="shared" si="35"/>
        <v>1.7986898387833326</v>
      </c>
      <c r="CH41" s="367">
        <f t="shared" si="35"/>
        <v>1.1223051659200449</v>
      </c>
      <c r="CI41" s="367">
        <f t="shared" si="35"/>
        <v>1.1279293244799546</v>
      </c>
      <c r="CJ41" s="367">
        <f t="shared" si="35"/>
        <v>1.1341353974876209</v>
      </c>
      <c r="CK41" s="367">
        <f t="shared" si="35"/>
        <v>1.1409193886370963</v>
      </c>
      <c r="CL41" s="367">
        <f t="shared" si="35"/>
        <v>1.1482794128866587</v>
      </c>
      <c r="CM41" s="367">
        <f t="shared" si="35"/>
        <v>1.156216976810281</v>
      </c>
      <c r="CN41" s="367">
        <f t="shared" si="35"/>
        <v>1.1647345378611735</v>
      </c>
      <c r="CO41" s="367">
        <f t="shared" si="35"/>
        <v>1.1738364144666189</v>
      </c>
      <c r="CP41" s="367">
        <f t="shared" si="35"/>
        <v>1.1461617767904413</v>
      </c>
      <c r="CQ41" s="23"/>
    </row>
    <row r="42" spans="2:95" ht="15" customHeight="1" outlineLevel="1" x14ac:dyDescent="0.2">
      <c r="B42" s="888" t="s">
        <v>519</v>
      </c>
      <c r="C42" s="397"/>
      <c r="D42" s="747"/>
      <c r="E42" s="747"/>
      <c r="F42" s="747"/>
      <c r="G42" s="747"/>
      <c r="H42" s="747"/>
      <c r="I42" s="747"/>
      <c r="J42" s="747"/>
      <c r="K42" s="892">
        <f t="shared" ref="K42:AP42" si="36">+K13/K33</f>
        <v>5.5099342561327393</v>
      </c>
      <c r="L42" s="892">
        <f t="shared" si="36"/>
        <v>5.996057923573618</v>
      </c>
      <c r="M42" s="892">
        <f t="shared" si="36"/>
        <v>8.5485679250240878</v>
      </c>
      <c r="N42" s="892">
        <f t="shared" si="36"/>
        <v>6.9812396204722038</v>
      </c>
      <c r="O42" s="892">
        <f t="shared" si="36"/>
        <v>6.7320327377717701</v>
      </c>
      <c r="P42" s="892">
        <f t="shared" si="36"/>
        <v>6.3369400510897327</v>
      </c>
      <c r="Q42" s="892">
        <f t="shared" si="36"/>
        <v>6.1501248693547499</v>
      </c>
      <c r="R42" s="892">
        <f t="shared" si="36"/>
        <v>4.9987328581713184</v>
      </c>
      <c r="S42" s="892">
        <f t="shared" si="36"/>
        <v>6.547817882305627</v>
      </c>
      <c r="T42" s="892">
        <f t="shared" si="36"/>
        <v>6.7428749277488782</v>
      </c>
      <c r="U42" s="892">
        <f t="shared" si="36"/>
        <v>10.829627437872825</v>
      </c>
      <c r="V42" s="892">
        <f t="shared" si="36"/>
        <v>7.2450372935775675</v>
      </c>
      <c r="W42" s="893">
        <f t="shared" si="36"/>
        <v>6.3302664676809144</v>
      </c>
      <c r="X42" s="894">
        <f t="shared" si="36"/>
        <v>6.1664812637449202</v>
      </c>
      <c r="Y42" s="894">
        <f t="shared" si="36"/>
        <v>5.9645273808049843</v>
      </c>
      <c r="Z42" s="894">
        <f t="shared" si="36"/>
        <v>5.5398513474789057</v>
      </c>
      <c r="AA42" s="727">
        <f t="shared" si="36"/>
        <v>5.5365332557021665</v>
      </c>
      <c r="AB42" s="727">
        <f t="shared" si="36"/>
        <v>5.3091244197106873</v>
      </c>
      <c r="AC42" s="727">
        <f t="shared" si="36"/>
        <v>5.0812262505324579</v>
      </c>
      <c r="AD42" s="727">
        <f t="shared" si="36"/>
        <v>4.825877087597588</v>
      </c>
      <c r="AE42" s="727">
        <f t="shared" si="36"/>
        <v>4.6023998923989398</v>
      </c>
      <c r="AF42" s="727">
        <f t="shared" si="36"/>
        <v>4.4358419928899702</v>
      </c>
      <c r="AG42" s="727">
        <f t="shared" si="36"/>
        <v>4.3007953365901548</v>
      </c>
      <c r="AH42" s="727">
        <f t="shared" si="36"/>
        <v>4.0458710958844586</v>
      </c>
      <c r="AI42" s="367">
        <f t="shared" si="36"/>
        <v>4.2142831030805947</v>
      </c>
      <c r="AJ42" s="367">
        <f t="shared" si="36"/>
        <v>4.3283866206862802</v>
      </c>
      <c r="AK42" s="367">
        <f t="shared" si="36"/>
        <v>4.2557912209106874</v>
      </c>
      <c r="AL42" s="367">
        <f t="shared" si="36"/>
        <v>4.0803674952102789</v>
      </c>
      <c r="AM42" s="367">
        <f t="shared" si="36"/>
        <v>3.8976172891579366</v>
      </c>
      <c r="AN42" s="367">
        <f t="shared" si="36"/>
        <v>3.7425773430643594</v>
      </c>
      <c r="AO42" s="367">
        <f t="shared" si="36"/>
        <v>3.7014822978040205</v>
      </c>
      <c r="AP42" s="367">
        <f t="shared" si="36"/>
        <v>5.7475587276323221</v>
      </c>
      <c r="AQ42" s="367">
        <f t="shared" ref="AQ42:BV42" si="37">+AQ13/AQ33</f>
        <v>5.8397265264932372</v>
      </c>
      <c r="AR42" s="367">
        <f t="shared" si="37"/>
        <v>6.6644854038498167</v>
      </c>
      <c r="AS42" s="367">
        <f t="shared" si="37"/>
        <v>7.9676294292020362</v>
      </c>
      <c r="AT42" s="367">
        <f t="shared" si="37"/>
        <v>8.5471831141426264</v>
      </c>
      <c r="AU42" s="367">
        <f t="shared" si="37"/>
        <v>8.7713544395876504</v>
      </c>
      <c r="AV42" s="367">
        <f t="shared" si="37"/>
        <v>8.9698247183523829</v>
      </c>
      <c r="AW42" s="367">
        <f t="shared" si="37"/>
        <v>9.6581403337720317</v>
      </c>
      <c r="AX42" s="367">
        <f t="shared" si="37"/>
        <v>9.8579603387404582</v>
      </c>
      <c r="AY42" s="367">
        <f t="shared" si="37"/>
        <v>10.033101045487536</v>
      </c>
      <c r="AZ42" s="367">
        <f t="shared" si="37"/>
        <v>10.184344634801709</v>
      </c>
      <c r="BA42" s="367">
        <f t="shared" si="37"/>
        <v>12.863011719298974</v>
      </c>
      <c r="BB42" s="367">
        <f t="shared" si="37"/>
        <v>13.195707048475953</v>
      </c>
      <c r="BC42" s="367">
        <f t="shared" si="37"/>
        <v>13.494401153400695</v>
      </c>
      <c r="BD42" s="367">
        <f t="shared" si="37"/>
        <v>13.760138687351542</v>
      </c>
      <c r="BE42" s="367">
        <f t="shared" si="37"/>
        <v>13.993944146338935</v>
      </c>
      <c r="BF42" s="367">
        <f t="shared" si="37"/>
        <v>14.19687616586754</v>
      </c>
      <c r="BG42" s="367">
        <f t="shared" si="37"/>
        <v>14.369879715293399</v>
      </c>
      <c r="BH42" s="367">
        <f t="shared" si="37"/>
        <v>14.513999421561415</v>
      </c>
      <c r="BI42" s="367">
        <f t="shared" si="37"/>
        <v>14.630128915817735</v>
      </c>
      <c r="BJ42" s="367">
        <f t="shared" si="37"/>
        <v>14.719264642179732</v>
      </c>
      <c r="BK42" s="367">
        <f t="shared" si="37"/>
        <v>14.782281164875082</v>
      </c>
      <c r="BL42" s="367">
        <f t="shared" si="37"/>
        <v>14.820096306600494</v>
      </c>
      <c r="BM42" s="367">
        <f t="shared" si="37"/>
        <v>14.833589344195071</v>
      </c>
      <c r="BN42" s="367">
        <f t="shared" si="37"/>
        <v>14.823626601987801</v>
      </c>
      <c r="BO42" s="367">
        <f t="shared" si="37"/>
        <v>14.791042569351857</v>
      </c>
      <c r="BP42" s="367">
        <f t="shared" si="37"/>
        <v>14.736658583718635</v>
      </c>
      <c r="BQ42" s="367">
        <f t="shared" si="37"/>
        <v>14.685694968983874</v>
      </c>
      <c r="BR42" s="367">
        <f t="shared" si="37"/>
        <v>14.616888913148626</v>
      </c>
      <c r="BS42" s="367">
        <f t="shared" si="37"/>
        <v>15.108240105027475</v>
      </c>
      <c r="BT42" s="367">
        <f t="shared" si="37"/>
        <v>15.56708135269265</v>
      </c>
      <c r="BU42" s="367">
        <f t="shared" si="37"/>
        <v>15.497954376553254</v>
      </c>
      <c r="BV42" s="367">
        <f t="shared" si="37"/>
        <v>15.411296665671323</v>
      </c>
      <c r="BW42" s="367">
        <f t="shared" ref="BW42:CP42" si="38">+BW13/BW33</f>
        <v>15.307812989593057</v>
      </c>
      <c r="BX42" s="367">
        <f t="shared" si="38"/>
        <v>15.188174939491731</v>
      </c>
      <c r="BY42" s="367">
        <f t="shared" si="38"/>
        <v>15.053079122125357</v>
      </c>
      <c r="BZ42" s="367">
        <f t="shared" si="38"/>
        <v>14.903138401607176</v>
      </c>
      <c r="CA42" s="367">
        <f t="shared" si="38"/>
        <v>14.739004760715826</v>
      </c>
      <c r="CB42" s="367">
        <f t="shared" si="38"/>
        <v>14.561270247241628</v>
      </c>
      <c r="CC42" s="367">
        <f t="shared" si="38"/>
        <v>14.426302449013562</v>
      </c>
      <c r="CD42" s="367">
        <f t="shared" si="38"/>
        <v>14.903103586354664</v>
      </c>
      <c r="CE42" s="367">
        <f t="shared" si="38"/>
        <v>14.716742260364802</v>
      </c>
      <c r="CF42" s="367">
        <f t="shared" si="38"/>
        <v>14.517674518271788</v>
      </c>
      <c r="CG42" s="367">
        <f t="shared" si="38"/>
        <v>14.306469676881097</v>
      </c>
      <c r="CH42" s="367">
        <f t="shared" si="38"/>
        <v>23.450740897958674</v>
      </c>
      <c r="CI42" s="367">
        <f t="shared" si="38"/>
        <v>23.626090297611466</v>
      </c>
      <c r="CJ42" s="367">
        <f t="shared" si="38"/>
        <v>23.770079586765746</v>
      </c>
      <c r="CK42" s="367">
        <f t="shared" si="38"/>
        <v>23.883766285050093</v>
      </c>
      <c r="CL42" s="367">
        <f t="shared" si="38"/>
        <v>23.968174000928315</v>
      </c>
      <c r="CM42" s="367">
        <f t="shared" si="38"/>
        <v>24.024263150450338</v>
      </c>
      <c r="CN42" s="367">
        <f t="shared" si="38"/>
        <v>24.052982772567567</v>
      </c>
      <c r="CO42" s="367">
        <f t="shared" si="38"/>
        <v>24.055250839807744</v>
      </c>
      <c r="CP42" s="367">
        <f t="shared" si="38"/>
        <v>24.848042768170597</v>
      </c>
      <c r="CQ42" s="23" t="s">
        <v>77</v>
      </c>
    </row>
    <row r="43" spans="2:95" ht="15" customHeight="1" outlineLevel="1" x14ac:dyDescent="0.2">
      <c r="B43" s="713" t="s">
        <v>972</v>
      </c>
      <c r="C43" s="397"/>
      <c r="D43" s="747"/>
      <c r="E43" s="747"/>
      <c r="F43" s="747"/>
      <c r="G43" s="747"/>
      <c r="H43" s="747"/>
      <c r="I43" s="747"/>
      <c r="J43" s="747"/>
      <c r="K43" s="889">
        <f t="shared" ref="K43:V43" si="39">+K13/(K13+K35)</f>
        <v>0.61624183112787323</v>
      </c>
      <c r="L43" s="889">
        <f t="shared" si="39"/>
        <v>0.67014336209944669</v>
      </c>
      <c r="M43" s="889">
        <f t="shared" si="39"/>
        <v>0.68613846046105531</v>
      </c>
      <c r="N43" s="889">
        <f t="shared" si="39"/>
        <v>0.70623956149098333</v>
      </c>
      <c r="O43" s="889">
        <f t="shared" si="39"/>
        <v>0.69027679593694757</v>
      </c>
      <c r="P43" s="889">
        <f t="shared" si="39"/>
        <v>0.67629888683912387</v>
      </c>
      <c r="Q43" s="889">
        <f t="shared" si="39"/>
        <v>0.62628864535641782</v>
      </c>
      <c r="R43" s="889">
        <f t="shared" si="39"/>
        <v>0.61479207666536029</v>
      </c>
      <c r="S43" s="889">
        <f t="shared" si="39"/>
        <v>0.62755792447359038</v>
      </c>
      <c r="T43" s="890">
        <f t="shared" si="39"/>
        <v>0.6531576546768767</v>
      </c>
      <c r="U43" s="890">
        <f t="shared" si="39"/>
        <v>0.66989613815426396</v>
      </c>
      <c r="V43" s="890">
        <f t="shared" si="39"/>
        <v>0.7052331633623915</v>
      </c>
      <c r="W43" s="895">
        <f>APA!W298</f>
        <v>0.64474269085603619</v>
      </c>
      <c r="X43" s="896">
        <f>APA!X298</f>
        <v>0.63396680481018741</v>
      </c>
      <c r="Y43" s="896">
        <f>APA!Y298</f>
        <v>0.6419091143779827</v>
      </c>
      <c r="Z43" s="896">
        <f>APA!Z298</f>
        <v>0.64891970542242738</v>
      </c>
      <c r="AA43" s="883">
        <f>APA!AA298</f>
        <v>0.65146875496887369</v>
      </c>
      <c r="AB43" s="883">
        <f>APA!AB298</f>
        <v>0.6548652886527615</v>
      </c>
      <c r="AC43" s="883">
        <f>APA!AC298</f>
        <v>0.65880158935022537</v>
      </c>
      <c r="AD43" s="883">
        <f>APA!AD298</f>
        <v>0.66089701724422467</v>
      </c>
      <c r="AE43" s="883">
        <f>APA!AE298</f>
        <v>0.66140987189194023</v>
      </c>
      <c r="AF43" s="883">
        <f>APA!AF298</f>
        <v>0.6610468809650053</v>
      </c>
      <c r="AG43" s="883">
        <f>APA!AG298</f>
        <v>0.66021583757374236</v>
      </c>
      <c r="AH43" s="883">
        <f>APA!AH298</f>
        <v>0.6639996940587628</v>
      </c>
      <c r="AI43" s="266">
        <f>APA!AI298</f>
        <v>0.66517411801394755</v>
      </c>
      <c r="AJ43" s="266">
        <f>APA!AJ298</f>
        <v>0.6686377552132885</v>
      </c>
      <c r="AK43" s="266">
        <f>APA!AK298</f>
        <v>0.67856143246376133</v>
      </c>
      <c r="AL43" s="266">
        <f>APA!AL298</f>
        <v>0.68449548758117018</v>
      </c>
      <c r="AM43" s="266">
        <f>APA!AM298</f>
        <v>0.68888663104559356</v>
      </c>
      <c r="AN43" s="266">
        <f>APA!AN298</f>
        <v>0.692175186413998</v>
      </c>
      <c r="AO43" s="266">
        <f>APA!AO298</f>
        <v>0.68957213468243717</v>
      </c>
      <c r="AP43" s="266">
        <f>APA!AP298</f>
        <v>0.71088083017488635</v>
      </c>
      <c r="AQ43" s="266">
        <f>APA!AQ298</f>
        <v>0.73295557290339575</v>
      </c>
      <c r="AR43" s="266">
        <f>APA!AR298</f>
        <v>0.7620185325544373</v>
      </c>
      <c r="AS43" s="266">
        <f>APA!AS298</f>
        <v>0.80290666121040088</v>
      </c>
      <c r="AT43" s="266">
        <f>APA!AT298</f>
        <v>0.85083343625613095</v>
      </c>
      <c r="AU43" s="266">
        <f>APA!AU298</f>
        <v>0.90492731481605471</v>
      </c>
      <c r="AV43" s="266">
        <f>APA!AV298</f>
        <v>0.96854693888454813</v>
      </c>
      <c r="AW43" s="266">
        <f>APA!AW298</f>
        <v>1.0435867848121674</v>
      </c>
      <c r="AX43" s="266">
        <f>APA!AX298</f>
        <v>1.1277192482220695</v>
      </c>
      <c r="AY43" s="266">
        <f>APA!AY298</f>
        <v>1.2225330115263919</v>
      </c>
      <c r="AZ43" s="266">
        <f>APA!AZ298</f>
        <v>1.3299889353172898</v>
      </c>
      <c r="BA43" s="266">
        <f>APA!BA298</f>
        <v>1.4948148371577721</v>
      </c>
      <c r="BB43" s="266">
        <f>APA!BB298</f>
        <v>1.6987921644774553</v>
      </c>
      <c r="BC43" s="266">
        <f>APA!BC298</f>
        <v>1.9573858530262136</v>
      </c>
      <c r="BD43" s="266">
        <f>APA!BD298</f>
        <v>2.2953939458701207</v>
      </c>
      <c r="BE43" s="266">
        <f>APA!BE298</f>
        <v>2.7552325241010398</v>
      </c>
      <c r="BF43" s="266">
        <f>APA!BF298</f>
        <v>3.4159539523378437</v>
      </c>
      <c r="BG43" s="266">
        <f>APA!BG298</f>
        <v>4.4436632714171997</v>
      </c>
      <c r="BH43" s="266">
        <f>APA!BH298</f>
        <v>6.2568519954261088</v>
      </c>
      <c r="BI43" s="266">
        <f>APA!BI298</f>
        <v>10.299161320628274</v>
      </c>
      <c r="BJ43" s="266">
        <f>APA!BJ298</f>
        <v>27.137774547108368</v>
      </c>
      <c r="BK43" s="266">
        <f>APA!BK298</f>
        <v>-47.816751630731432</v>
      </c>
      <c r="BL43" s="266">
        <f>APA!BL298</f>
        <v>-13.125433737724057</v>
      </c>
      <c r="BM43" s="266">
        <f>APA!BM298</f>
        <v>-7.7537651847010407</v>
      </c>
      <c r="BN43" s="266">
        <f>APA!BN298</f>
        <v>-5.5787999940201063</v>
      </c>
      <c r="BO43" s="266">
        <f>APA!BO298</f>
        <v>-4.4049218946484459</v>
      </c>
      <c r="BP43" s="266">
        <f>APA!BP298</f>
        <v>-3.6729161440404123</v>
      </c>
      <c r="BQ43" s="266">
        <f>APA!BQ298</f>
        <v>-3.1462168878456556</v>
      </c>
      <c r="BR43" s="266">
        <f>APA!BR298</f>
        <v>-2.768009948934818</v>
      </c>
      <c r="BS43" s="266">
        <f>APA!BS298</f>
        <v>-2.4629778088883598</v>
      </c>
      <c r="BT43" s="266">
        <f>APA!BT298</f>
        <v>-2.2137770159602885</v>
      </c>
      <c r="BU43" s="266">
        <f>APA!BU298</f>
        <v>-2.0186448691908656</v>
      </c>
      <c r="BV43" s="266">
        <f>APA!BV298</f>
        <v>-1.862204827379955</v>
      </c>
      <c r="BW43" s="266">
        <f>APA!BW298</f>
        <v>-1.7344455564641359</v>
      </c>
      <c r="BX43" s="266">
        <f>APA!BX298</f>
        <v>-1.6285728857559398</v>
      </c>
      <c r="BY43" s="266">
        <f>APA!BY298</f>
        <v>-1.5398169941178168</v>
      </c>
      <c r="BZ43" s="266">
        <f>APA!BZ298</f>
        <v>-1.4647354794940395</v>
      </c>
      <c r="CA43" s="266">
        <f>APA!CA298</f>
        <v>-1.400785047400241</v>
      </c>
      <c r="CB43" s="266">
        <f>APA!CB298</f>
        <v>-1.3460505377160463</v>
      </c>
      <c r="CC43" s="266">
        <f>APA!CC298</f>
        <v>-1.2984306900216815</v>
      </c>
      <c r="CD43" s="266">
        <f>APA!CD298</f>
        <v>-1.2504303462177899</v>
      </c>
      <c r="CE43" s="266">
        <f>APA!CE298</f>
        <v>-1.20890596880266</v>
      </c>
      <c r="CF43" s="266">
        <f>APA!CF298</f>
        <v>-1.1729552898587585</v>
      </c>
      <c r="CG43" s="266">
        <f>APA!CG298</f>
        <v>-1.1418634166467503</v>
      </c>
      <c r="CH43" s="266">
        <f>APA!CH298</f>
        <v>-1.0621722672747691</v>
      </c>
      <c r="CI43" s="266">
        <f>APA!CI298</f>
        <v>-0.99426921881339481</v>
      </c>
      <c r="CJ43" s="266">
        <f>APA!CJ298</f>
        <v>-0.93577706680819361</v>
      </c>
      <c r="CK43" s="266">
        <f>APA!CK298</f>
        <v>-0.88492078424893905</v>
      </c>
      <c r="CL43" s="266">
        <f>APA!CL298</f>
        <v>-0.84034843701546103</v>
      </c>
      <c r="CM43" s="266">
        <f>APA!CM298</f>
        <v>-0.8010125087784441</v>
      </c>
      <c r="CN43" s="266">
        <f>APA!CN298</f>
        <v>-0.76608897149364175</v>
      </c>
      <c r="CO43" s="266">
        <f>APA!CO298</f>
        <v>-0.73492092549699328</v>
      </c>
      <c r="CP43" s="266">
        <f>APA!CP298</f>
        <v>-0.70553317249315839</v>
      </c>
      <c r="CQ43" s="23" t="s">
        <v>77</v>
      </c>
    </row>
    <row r="44" spans="2:95" ht="15" customHeight="1" outlineLevel="1" x14ac:dyDescent="0.2">
      <c r="B44" s="11" t="s">
        <v>453</v>
      </c>
      <c r="D44" s="9"/>
      <c r="E44" s="9"/>
      <c r="F44" s="9"/>
      <c r="G44" s="9"/>
      <c r="H44" s="9"/>
      <c r="I44" s="9"/>
      <c r="J44" s="9"/>
      <c r="K44" s="366" t="s">
        <v>78</v>
      </c>
      <c r="L44" s="366" t="s">
        <v>78</v>
      </c>
      <c r="M44" s="366" t="s">
        <v>78</v>
      </c>
      <c r="N44" s="366" t="s">
        <v>78</v>
      </c>
      <c r="O44" s="368" t="s">
        <v>531</v>
      </c>
      <c r="P44" s="368" t="s">
        <v>531</v>
      </c>
      <c r="Q44" s="368" t="s">
        <v>531</v>
      </c>
      <c r="R44" s="368" t="s">
        <v>531</v>
      </c>
      <c r="S44" s="368" t="s">
        <v>531</v>
      </c>
      <c r="T44" s="368" t="s">
        <v>531</v>
      </c>
      <c r="U44" s="368" t="s">
        <v>531</v>
      </c>
      <c r="V44" s="368" t="s">
        <v>531</v>
      </c>
      <c r="W44" s="368" t="s">
        <v>531</v>
      </c>
      <c r="X44" s="266"/>
      <c r="Y44" s="266"/>
      <c r="Z44" s="266"/>
      <c r="AA44" s="266"/>
      <c r="AB44" s="266"/>
      <c r="AC44" s="266"/>
      <c r="AD44" s="266"/>
      <c r="AE44" s="266"/>
      <c r="AF44" s="266"/>
      <c r="AG44" s="266"/>
      <c r="AH44" s="266"/>
      <c r="AI44" s="266"/>
      <c r="AJ44" s="266"/>
      <c r="AK44" s="266"/>
      <c r="AL44" s="266"/>
      <c r="AM44" s="266"/>
      <c r="AN44" s="266"/>
      <c r="AO44" s="266"/>
      <c r="AP44" s="266"/>
      <c r="AQ44" s="266"/>
      <c r="AR44" s="266"/>
      <c r="AS44" s="266"/>
      <c r="AT44" s="266"/>
      <c r="AU44" s="266"/>
      <c r="AV44" s="266"/>
      <c r="AW44" s="266"/>
      <c r="AX44" s="266"/>
      <c r="AY44" s="266"/>
      <c r="AZ44" s="266"/>
      <c r="BA44" s="266"/>
      <c r="BB44" s="266"/>
      <c r="BC44" s="266"/>
      <c r="BD44" s="266"/>
      <c r="BE44" s="266"/>
      <c r="BF44" s="266"/>
      <c r="BG44" s="266"/>
      <c r="BH44" s="266"/>
      <c r="BI44" s="266"/>
      <c r="BJ44" s="266"/>
      <c r="BK44" s="266"/>
      <c r="BL44" s="266"/>
      <c r="BM44" s="266"/>
      <c r="BN44" s="266"/>
      <c r="BO44" s="266"/>
      <c r="BP44" s="266"/>
      <c r="BQ44" s="266"/>
      <c r="BR44" s="266"/>
      <c r="BS44" s="266"/>
      <c r="BT44" s="266"/>
      <c r="BU44" s="266"/>
      <c r="BV44" s="266"/>
      <c r="BW44" s="266"/>
      <c r="BX44" s="266"/>
      <c r="BY44" s="266"/>
      <c r="BZ44" s="266"/>
      <c r="CA44" s="266"/>
      <c r="CB44" s="266"/>
      <c r="CC44" s="266"/>
      <c r="CD44" s="266"/>
      <c r="CE44" s="266"/>
      <c r="CF44" s="266"/>
      <c r="CG44" s="266"/>
      <c r="CH44" s="266"/>
      <c r="CI44" s="266"/>
      <c r="CJ44" s="266"/>
      <c r="CK44" s="266"/>
      <c r="CL44" s="266"/>
      <c r="CM44" s="266"/>
      <c r="CN44" s="266"/>
      <c r="CO44" s="266"/>
      <c r="CP44" s="266"/>
      <c r="CQ44" s="23"/>
    </row>
    <row r="45" spans="2:95" ht="15" customHeight="1" outlineLevel="1" x14ac:dyDescent="0.2">
      <c r="B45" s="11"/>
      <c r="D45" s="9"/>
      <c r="E45" s="9"/>
      <c r="F45" s="9"/>
      <c r="G45" s="9"/>
      <c r="H45" s="9"/>
      <c r="I45" s="9"/>
      <c r="J45" s="9"/>
      <c r="K45" s="366"/>
      <c r="L45" s="366"/>
      <c r="M45" s="366"/>
      <c r="N45" s="366"/>
      <c r="O45" s="368" t="s">
        <v>530</v>
      </c>
      <c r="P45" s="368" t="s">
        <v>530</v>
      </c>
      <c r="Q45" s="368" t="s">
        <v>530</v>
      </c>
      <c r="R45" s="368" t="s">
        <v>530</v>
      </c>
      <c r="S45" s="368" t="s">
        <v>530</v>
      </c>
      <c r="T45" s="368" t="s">
        <v>530</v>
      </c>
      <c r="U45" s="368" t="s">
        <v>530</v>
      </c>
      <c r="V45" s="368" t="s">
        <v>530</v>
      </c>
      <c r="W45" s="368" t="s">
        <v>530</v>
      </c>
      <c r="X45" s="266"/>
      <c r="Y45" s="266"/>
      <c r="Z45" s="266"/>
      <c r="AA45" s="266"/>
      <c r="AB45" s="266"/>
      <c r="AC45" s="266"/>
      <c r="AD45" s="266"/>
      <c r="AE45" s="266"/>
      <c r="AF45" s="266"/>
      <c r="AG45" s="266"/>
      <c r="AH45" s="266"/>
      <c r="AI45" s="266"/>
      <c r="AJ45" s="266"/>
      <c r="AK45" s="266"/>
      <c r="AL45" s="266"/>
      <c r="AM45" s="266"/>
      <c r="AN45" s="266"/>
      <c r="AO45" s="266"/>
      <c r="AP45" s="266"/>
      <c r="AQ45" s="266"/>
      <c r="AR45" s="266"/>
      <c r="AS45" s="266"/>
      <c r="AT45" s="266"/>
      <c r="AU45" s="266"/>
      <c r="AV45" s="266"/>
      <c r="AW45" s="266"/>
      <c r="AX45" s="266"/>
      <c r="AY45" s="266"/>
      <c r="AZ45" s="266"/>
      <c r="BA45" s="266"/>
      <c r="BB45" s="266"/>
      <c r="BC45" s="266"/>
      <c r="BD45" s="266"/>
      <c r="BE45" s="266"/>
      <c r="BF45" s="266"/>
      <c r="BG45" s="266"/>
      <c r="BH45" s="266"/>
      <c r="BI45" s="266"/>
      <c r="BJ45" s="266"/>
      <c r="BK45" s="266"/>
      <c r="BL45" s="266"/>
      <c r="BM45" s="266"/>
      <c r="BN45" s="266"/>
      <c r="BO45" s="266"/>
      <c r="BP45" s="266"/>
      <c r="BQ45" s="266"/>
      <c r="BR45" s="266"/>
      <c r="BS45" s="266"/>
      <c r="BT45" s="266"/>
      <c r="BU45" s="266"/>
      <c r="BV45" s="266"/>
      <c r="BW45" s="266"/>
      <c r="BX45" s="266"/>
      <c r="BY45" s="266"/>
      <c r="BZ45" s="266"/>
      <c r="CA45" s="266"/>
      <c r="CB45" s="266"/>
      <c r="CC45" s="266"/>
      <c r="CD45" s="266"/>
      <c r="CE45" s="266"/>
      <c r="CF45" s="266"/>
      <c r="CG45" s="266"/>
      <c r="CH45" s="266"/>
      <c r="CI45" s="266"/>
      <c r="CJ45" s="266"/>
      <c r="CK45" s="266"/>
      <c r="CL45" s="266"/>
      <c r="CM45" s="266"/>
      <c r="CN45" s="266"/>
      <c r="CO45" s="266"/>
      <c r="CP45" s="266"/>
      <c r="CQ45" s="23"/>
    </row>
    <row r="46" spans="2:95" ht="15" customHeight="1" outlineLevel="1" x14ac:dyDescent="0.2">
      <c r="B46" s="11" t="s">
        <v>527</v>
      </c>
      <c r="D46" s="9"/>
      <c r="E46" s="9"/>
      <c r="F46" s="9"/>
      <c r="G46" s="9"/>
      <c r="H46" s="9"/>
      <c r="I46" s="9"/>
      <c r="J46" s="9"/>
      <c r="K46" s="366" t="s">
        <v>78</v>
      </c>
      <c r="L46" s="366" t="s">
        <v>78</v>
      </c>
      <c r="M46" s="366" t="s">
        <v>78</v>
      </c>
      <c r="N46" s="366" t="s">
        <v>78</v>
      </c>
      <c r="O46" s="366" t="s">
        <v>78</v>
      </c>
      <c r="P46" s="369" t="s">
        <v>532</v>
      </c>
      <c r="Q46" s="369" t="s">
        <v>532</v>
      </c>
      <c r="R46" s="369" t="s">
        <v>532</v>
      </c>
      <c r="S46" s="369" t="s">
        <v>532</v>
      </c>
      <c r="T46" s="369" t="s">
        <v>532</v>
      </c>
      <c r="U46" s="369" t="s">
        <v>532</v>
      </c>
      <c r="V46" s="369" t="s">
        <v>571</v>
      </c>
      <c r="W46" s="369" t="s">
        <v>572</v>
      </c>
      <c r="X46" s="266"/>
      <c r="Y46" s="266"/>
      <c r="Z46" s="266"/>
      <c r="AA46" s="266"/>
      <c r="AB46" s="266"/>
      <c r="AC46" s="266"/>
      <c r="AD46" s="266"/>
      <c r="AE46" s="266"/>
      <c r="AF46" s="266"/>
      <c r="AG46" s="266"/>
      <c r="AH46" s="266"/>
      <c r="AI46" s="266"/>
      <c r="AJ46" s="266"/>
      <c r="AK46" s="266"/>
      <c r="AL46" s="266"/>
      <c r="AM46" s="266"/>
      <c r="AN46" s="266"/>
      <c r="AO46" s="266"/>
      <c r="AP46" s="266"/>
      <c r="AQ46" s="266"/>
      <c r="AR46" s="266"/>
      <c r="AS46" s="266"/>
      <c r="AT46" s="266"/>
      <c r="AU46" s="266"/>
      <c r="AV46" s="266"/>
      <c r="AW46" s="266"/>
      <c r="AX46" s="266"/>
      <c r="AY46" s="266"/>
      <c r="AZ46" s="266"/>
      <c r="BA46" s="266"/>
      <c r="BB46" s="266"/>
      <c r="BC46" s="266"/>
      <c r="BD46" s="266"/>
      <c r="BE46" s="266"/>
      <c r="BF46" s="266"/>
      <c r="BG46" s="266"/>
      <c r="BH46" s="266"/>
      <c r="BI46" s="266"/>
      <c r="BJ46" s="266"/>
      <c r="BK46" s="266"/>
      <c r="BL46" s="266"/>
      <c r="BM46" s="266"/>
      <c r="BN46" s="266"/>
      <c r="BO46" s="266"/>
      <c r="BP46" s="266"/>
      <c r="BQ46" s="266"/>
      <c r="BR46" s="266"/>
      <c r="BS46" s="266"/>
      <c r="BT46" s="266"/>
      <c r="BU46" s="266"/>
      <c r="BV46" s="266"/>
      <c r="BW46" s="266"/>
      <c r="BX46" s="266"/>
      <c r="BY46" s="266"/>
      <c r="BZ46" s="266"/>
      <c r="CA46" s="266"/>
      <c r="CB46" s="266"/>
      <c r="CC46" s="266"/>
      <c r="CD46" s="266"/>
      <c r="CE46" s="266"/>
      <c r="CF46" s="266"/>
      <c r="CG46" s="266"/>
      <c r="CH46" s="266"/>
      <c r="CI46" s="266"/>
      <c r="CJ46" s="266"/>
      <c r="CK46" s="266"/>
      <c r="CL46" s="266"/>
      <c r="CM46" s="266"/>
      <c r="CN46" s="266"/>
      <c r="CO46" s="266"/>
      <c r="CP46" s="266"/>
      <c r="CQ46" s="23"/>
    </row>
    <row r="47" spans="2:95" ht="15" customHeight="1" outlineLevel="1" x14ac:dyDescent="0.2">
      <c r="B47" s="11"/>
      <c r="D47" s="9"/>
      <c r="E47" s="9"/>
      <c r="F47" s="9"/>
      <c r="G47" s="9"/>
      <c r="H47" s="9"/>
      <c r="I47" s="9"/>
      <c r="J47" s="9"/>
      <c r="K47" s="366"/>
      <c r="L47" s="366"/>
      <c r="M47" s="366"/>
      <c r="N47" s="366"/>
      <c r="O47" s="366"/>
      <c r="P47" s="369" t="s">
        <v>530</v>
      </c>
      <c r="Q47" s="369" t="s">
        <v>530</v>
      </c>
      <c r="R47" s="369" t="s">
        <v>530</v>
      </c>
      <c r="S47" s="369" t="s">
        <v>530</v>
      </c>
      <c r="T47" s="369" t="s">
        <v>530</v>
      </c>
      <c r="U47" s="369" t="s">
        <v>530</v>
      </c>
      <c r="V47" s="369" t="s">
        <v>530</v>
      </c>
      <c r="W47" s="369" t="s">
        <v>530</v>
      </c>
      <c r="X47" s="266"/>
      <c r="Y47" s="266"/>
      <c r="Z47" s="266"/>
      <c r="AA47" s="266"/>
      <c r="AB47" s="266"/>
      <c r="AC47" s="266"/>
      <c r="AD47" s="266"/>
      <c r="AE47" s="266"/>
      <c r="AF47" s="266"/>
      <c r="AG47" s="266"/>
      <c r="AH47" s="266"/>
      <c r="AI47" s="266"/>
      <c r="AJ47" s="266"/>
      <c r="AK47" s="266"/>
      <c r="AL47" s="266"/>
      <c r="AM47" s="266"/>
      <c r="AN47" s="266"/>
      <c r="AO47" s="266"/>
      <c r="AP47" s="266"/>
      <c r="AQ47" s="266"/>
      <c r="AR47" s="266"/>
      <c r="AS47" s="266"/>
      <c r="AT47" s="266"/>
      <c r="AU47" s="266"/>
      <c r="AV47" s="266"/>
      <c r="AW47" s="266"/>
      <c r="AX47" s="266"/>
      <c r="AY47" s="266"/>
      <c r="AZ47" s="266"/>
      <c r="BA47" s="266"/>
      <c r="BB47" s="266"/>
      <c r="BC47" s="266"/>
      <c r="BD47" s="266"/>
      <c r="BE47" s="266"/>
      <c r="BF47" s="266"/>
      <c r="BG47" s="266"/>
      <c r="BH47" s="266"/>
      <c r="BI47" s="266"/>
      <c r="BJ47" s="266"/>
      <c r="BK47" s="266"/>
      <c r="BL47" s="266"/>
      <c r="BM47" s="266"/>
      <c r="BN47" s="266"/>
      <c r="BO47" s="266"/>
      <c r="BP47" s="266"/>
      <c r="BQ47" s="266"/>
      <c r="BR47" s="266"/>
      <c r="BS47" s="266"/>
      <c r="BT47" s="266"/>
      <c r="BU47" s="266"/>
      <c r="BV47" s="266"/>
      <c r="BW47" s="266"/>
      <c r="BX47" s="266"/>
      <c r="BY47" s="266"/>
      <c r="BZ47" s="266"/>
      <c r="CA47" s="266"/>
      <c r="CB47" s="266"/>
      <c r="CC47" s="266"/>
      <c r="CD47" s="266"/>
      <c r="CE47" s="266"/>
      <c r="CF47" s="266"/>
      <c r="CG47" s="266"/>
      <c r="CH47" s="266"/>
      <c r="CI47" s="266"/>
      <c r="CJ47" s="266"/>
      <c r="CK47" s="266"/>
      <c r="CL47" s="266"/>
      <c r="CM47" s="266"/>
      <c r="CN47" s="266"/>
      <c r="CO47" s="266"/>
      <c r="CP47" s="266"/>
      <c r="CQ47" s="23"/>
    </row>
    <row r="48" spans="2:95" x14ac:dyDescent="0.2">
      <c r="CQ48" s="23" t="s">
        <v>77</v>
      </c>
    </row>
    <row r="49" spans="1:100" x14ac:dyDescent="0.2">
      <c r="B49" s="728" t="s">
        <v>210</v>
      </c>
      <c r="C49" s="312"/>
      <c r="D49" s="312">
        <f>Fiscal_Year</f>
        <v>0</v>
      </c>
      <c r="E49" s="312">
        <f>Fiscal_Year</f>
        <v>0</v>
      </c>
      <c r="F49" s="312">
        <f>Fiscal_Year</f>
        <v>36707</v>
      </c>
      <c r="G49" s="312">
        <f>Fiscal_Year</f>
        <v>37072</v>
      </c>
      <c r="H49" s="312">
        <f>Fiscal_Year</f>
        <v>37437</v>
      </c>
      <c r="I49" s="312"/>
      <c r="J49" s="312"/>
      <c r="K49" s="312" t="s">
        <v>206</v>
      </c>
      <c r="L49" s="312" t="s">
        <v>207</v>
      </c>
      <c r="M49" s="312" t="s">
        <v>437</v>
      </c>
      <c r="N49" s="312" t="s">
        <v>208</v>
      </c>
      <c r="O49" s="312" t="s">
        <v>209</v>
      </c>
      <c r="P49" s="312"/>
      <c r="Q49" s="312" t="s">
        <v>448</v>
      </c>
      <c r="R49" s="312" t="s">
        <v>211</v>
      </c>
      <c r="S49" s="312"/>
      <c r="T49" s="312">
        <f t="shared" ref="T49:CE49" si="40">Fiscal_Year</f>
        <v>41820</v>
      </c>
      <c r="U49" s="312">
        <f t="shared" si="40"/>
        <v>42185</v>
      </c>
      <c r="V49" s="312">
        <f t="shared" si="40"/>
        <v>42551</v>
      </c>
      <c r="W49" s="312">
        <f t="shared" si="40"/>
        <v>42916</v>
      </c>
      <c r="X49" s="312">
        <f t="shared" si="40"/>
        <v>43281</v>
      </c>
      <c r="Y49" s="312">
        <f t="shared" si="40"/>
        <v>43646</v>
      </c>
      <c r="Z49" s="312">
        <f t="shared" si="40"/>
        <v>44012</v>
      </c>
      <c r="AA49" s="312">
        <f t="shared" si="40"/>
        <v>44377</v>
      </c>
      <c r="AB49" s="312">
        <f t="shared" si="40"/>
        <v>44742</v>
      </c>
      <c r="AC49" s="312">
        <f t="shared" si="40"/>
        <v>45107</v>
      </c>
      <c r="AD49" s="312">
        <f t="shared" si="40"/>
        <v>45473</v>
      </c>
      <c r="AE49" s="312">
        <f t="shared" si="40"/>
        <v>45838</v>
      </c>
      <c r="AF49" s="312">
        <f t="shared" si="40"/>
        <v>46203</v>
      </c>
      <c r="AG49" s="312">
        <f t="shared" si="40"/>
        <v>46568</v>
      </c>
      <c r="AH49" s="312">
        <f t="shared" si="40"/>
        <v>46934</v>
      </c>
      <c r="AI49" s="312">
        <f t="shared" si="40"/>
        <v>47299</v>
      </c>
      <c r="AJ49" s="312">
        <f t="shared" si="40"/>
        <v>47664</v>
      </c>
      <c r="AK49" s="312">
        <f t="shared" si="40"/>
        <v>48029</v>
      </c>
      <c r="AL49" s="312">
        <f t="shared" si="40"/>
        <v>48395</v>
      </c>
      <c r="AM49" s="312">
        <f t="shared" si="40"/>
        <v>48760</v>
      </c>
      <c r="AN49" s="312">
        <f t="shared" si="40"/>
        <v>49125</v>
      </c>
      <c r="AO49" s="312">
        <f t="shared" si="40"/>
        <v>49490</v>
      </c>
      <c r="AP49" s="312">
        <f t="shared" si="40"/>
        <v>49856</v>
      </c>
      <c r="AQ49" s="312">
        <f t="shared" si="40"/>
        <v>50221</v>
      </c>
      <c r="AR49" s="312">
        <f t="shared" si="40"/>
        <v>50586</v>
      </c>
      <c r="AS49" s="312">
        <f t="shared" si="40"/>
        <v>50951</v>
      </c>
      <c r="AT49" s="312">
        <f t="shared" si="40"/>
        <v>51317</v>
      </c>
      <c r="AU49" s="312">
        <f t="shared" si="40"/>
        <v>51682</v>
      </c>
      <c r="AV49" s="312">
        <f t="shared" si="40"/>
        <v>52047</v>
      </c>
      <c r="AW49" s="312">
        <f t="shared" si="40"/>
        <v>52412</v>
      </c>
      <c r="AX49" s="312">
        <f t="shared" si="40"/>
        <v>52778</v>
      </c>
      <c r="AY49" s="312">
        <f t="shared" si="40"/>
        <v>53143</v>
      </c>
      <c r="AZ49" s="312">
        <f t="shared" si="40"/>
        <v>53508</v>
      </c>
      <c r="BA49" s="312">
        <f t="shared" si="40"/>
        <v>53873</v>
      </c>
      <c r="BB49" s="312">
        <f t="shared" si="40"/>
        <v>54239</v>
      </c>
      <c r="BC49" s="312">
        <f t="shared" si="40"/>
        <v>54604</v>
      </c>
      <c r="BD49" s="312">
        <f t="shared" si="40"/>
        <v>54969</v>
      </c>
      <c r="BE49" s="312">
        <f t="shared" si="40"/>
        <v>55334</v>
      </c>
      <c r="BF49" s="312">
        <f t="shared" si="40"/>
        <v>55700</v>
      </c>
      <c r="BG49" s="312">
        <f t="shared" si="40"/>
        <v>56065</v>
      </c>
      <c r="BH49" s="312">
        <f t="shared" si="40"/>
        <v>56430</v>
      </c>
      <c r="BI49" s="312">
        <f t="shared" si="40"/>
        <v>56795</v>
      </c>
      <c r="BJ49" s="312">
        <f t="shared" si="40"/>
        <v>57161</v>
      </c>
      <c r="BK49" s="312">
        <f t="shared" si="40"/>
        <v>57526</v>
      </c>
      <c r="BL49" s="312">
        <f t="shared" si="40"/>
        <v>57891</v>
      </c>
      <c r="BM49" s="312">
        <f t="shared" si="40"/>
        <v>58256</v>
      </c>
      <c r="BN49" s="312">
        <f t="shared" si="40"/>
        <v>58622</v>
      </c>
      <c r="BO49" s="312">
        <f t="shared" si="40"/>
        <v>58987</v>
      </c>
      <c r="BP49" s="312">
        <f t="shared" si="40"/>
        <v>59352</v>
      </c>
      <c r="BQ49" s="312">
        <f t="shared" si="40"/>
        <v>59717</v>
      </c>
      <c r="BR49" s="312">
        <f t="shared" si="40"/>
        <v>60083</v>
      </c>
      <c r="BS49" s="312">
        <f t="shared" si="40"/>
        <v>60448</v>
      </c>
      <c r="BT49" s="312">
        <f t="shared" si="40"/>
        <v>60813</v>
      </c>
      <c r="BU49" s="312">
        <f t="shared" si="40"/>
        <v>61178</v>
      </c>
      <c r="BV49" s="312">
        <f t="shared" si="40"/>
        <v>61544</v>
      </c>
      <c r="BW49" s="312">
        <f t="shared" si="40"/>
        <v>61909</v>
      </c>
      <c r="BX49" s="312">
        <f t="shared" si="40"/>
        <v>62274</v>
      </c>
      <c r="BY49" s="312">
        <f t="shared" si="40"/>
        <v>62639</v>
      </c>
      <c r="BZ49" s="312">
        <f t="shared" si="40"/>
        <v>63005</v>
      </c>
      <c r="CA49" s="312">
        <f t="shared" si="40"/>
        <v>63370</v>
      </c>
      <c r="CB49" s="312">
        <f t="shared" si="40"/>
        <v>63735</v>
      </c>
      <c r="CC49" s="312">
        <f t="shared" si="40"/>
        <v>64100</v>
      </c>
      <c r="CD49" s="312">
        <f t="shared" si="40"/>
        <v>64466</v>
      </c>
      <c r="CE49" s="312">
        <f t="shared" si="40"/>
        <v>64831</v>
      </c>
      <c r="CF49" s="312">
        <f t="shared" ref="CF49:CP49" si="41">Fiscal_Year</f>
        <v>65196</v>
      </c>
      <c r="CG49" s="312">
        <f t="shared" si="41"/>
        <v>65561</v>
      </c>
      <c r="CH49" s="312">
        <f t="shared" si="41"/>
        <v>65927</v>
      </c>
      <c r="CI49" s="312">
        <f t="shared" si="41"/>
        <v>66292</v>
      </c>
      <c r="CJ49" s="312">
        <f t="shared" si="41"/>
        <v>66657</v>
      </c>
      <c r="CK49" s="312">
        <f t="shared" si="41"/>
        <v>67022</v>
      </c>
      <c r="CL49" s="312">
        <f t="shared" si="41"/>
        <v>67388</v>
      </c>
      <c r="CM49" s="312">
        <f t="shared" si="41"/>
        <v>67753</v>
      </c>
      <c r="CN49" s="312">
        <f t="shared" si="41"/>
        <v>68118</v>
      </c>
      <c r="CO49" s="312">
        <f t="shared" si="41"/>
        <v>68483</v>
      </c>
      <c r="CP49" s="312">
        <f t="shared" si="41"/>
        <v>68849</v>
      </c>
      <c r="CQ49" s="23" t="s">
        <v>77</v>
      </c>
    </row>
    <row r="50" spans="1:100" ht="5.0999999999999996" customHeight="1" x14ac:dyDescent="0.2">
      <c r="B50" s="107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  <c r="AZ50" s="108"/>
      <c r="BA50" s="108"/>
      <c r="BB50" s="108"/>
      <c r="BC50" s="108"/>
      <c r="BD50" s="108"/>
      <c r="BE50" s="108"/>
      <c r="BF50" s="108"/>
      <c r="BG50" s="108"/>
      <c r="BH50" s="108"/>
      <c r="BI50" s="108"/>
      <c r="BJ50" s="108"/>
      <c r="BK50" s="108"/>
      <c r="BL50" s="108"/>
      <c r="BM50" s="108"/>
      <c r="BN50" s="108"/>
      <c r="BO50" s="108"/>
      <c r="BP50" s="108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108"/>
      <c r="CP50" s="108"/>
      <c r="CQ50" s="23" t="s">
        <v>77</v>
      </c>
    </row>
    <row r="51" spans="1:100" s="233" customFormat="1" outlineLevel="1" x14ac:dyDescent="0.2">
      <c r="A51" s="357"/>
      <c r="B51" s="358" t="s">
        <v>363</v>
      </c>
      <c r="C51" s="359"/>
      <c r="D51" s="358"/>
      <c r="E51" s="358"/>
      <c r="F51" s="358"/>
      <c r="G51" s="358"/>
      <c r="H51" s="358"/>
      <c r="I51" s="358"/>
      <c r="J51" s="358"/>
      <c r="K51" s="370"/>
      <c r="L51" s="370"/>
      <c r="M51" s="370"/>
      <c r="N51" s="370"/>
      <c r="O51" s="358"/>
      <c r="P51" s="358"/>
      <c r="Q51" s="371">
        <v>41820</v>
      </c>
      <c r="R51" s="358"/>
      <c r="S51" s="358"/>
      <c r="T51" s="358"/>
      <c r="U51" s="358"/>
      <c r="V51" s="358"/>
      <c r="W51" s="358"/>
      <c r="X51" s="358"/>
      <c r="Y51" s="358"/>
      <c r="Z51" s="358"/>
      <c r="AA51" s="358"/>
      <c r="AB51" s="358"/>
      <c r="AC51" s="358"/>
      <c r="AD51" s="358"/>
      <c r="AE51" s="358"/>
      <c r="AF51" s="358"/>
      <c r="AG51" s="358"/>
      <c r="AH51" s="358"/>
      <c r="AI51" s="358"/>
      <c r="AJ51" s="358"/>
      <c r="AK51" s="358"/>
      <c r="AL51" s="358"/>
      <c r="AM51" s="358"/>
      <c r="AN51" s="358"/>
      <c r="AO51" s="358"/>
      <c r="AP51" s="358"/>
      <c r="AQ51" s="358"/>
      <c r="AR51" s="358"/>
      <c r="AS51" s="358"/>
      <c r="AT51" s="358"/>
      <c r="AU51" s="358"/>
      <c r="AV51" s="358"/>
      <c r="AW51" s="358"/>
      <c r="AX51" s="358"/>
      <c r="AY51" s="358"/>
      <c r="AZ51" s="358"/>
      <c r="BA51" s="358"/>
      <c r="BB51" s="358"/>
      <c r="BC51" s="358"/>
      <c r="BD51" s="358"/>
      <c r="BE51" s="358"/>
      <c r="BF51" s="358"/>
      <c r="BG51" s="358"/>
      <c r="BH51" s="358"/>
      <c r="BI51" s="358"/>
      <c r="BJ51" s="358"/>
      <c r="BK51" s="358"/>
      <c r="BL51" s="358"/>
      <c r="BM51" s="358"/>
      <c r="BN51" s="358"/>
      <c r="BO51" s="358"/>
      <c r="BP51" s="358"/>
      <c r="BQ51" s="358"/>
      <c r="BR51" s="358"/>
      <c r="BS51" s="358"/>
      <c r="BT51" s="358"/>
      <c r="BU51" s="358"/>
      <c r="BV51" s="358"/>
      <c r="BW51" s="358"/>
      <c r="BX51" s="358"/>
      <c r="BY51" s="358"/>
      <c r="BZ51" s="358"/>
      <c r="CA51" s="358"/>
      <c r="CB51" s="358"/>
      <c r="CC51" s="358"/>
      <c r="CD51" s="358"/>
      <c r="CE51" s="358"/>
      <c r="CF51" s="358"/>
      <c r="CG51" s="358"/>
      <c r="CH51" s="358"/>
      <c r="CI51" s="358"/>
      <c r="CJ51" s="358"/>
      <c r="CK51" s="358"/>
      <c r="CL51" s="358"/>
      <c r="CM51" s="358"/>
      <c r="CN51" s="358"/>
      <c r="CO51" s="358"/>
      <c r="CP51" s="358"/>
      <c r="CQ51" s="23" t="s">
        <v>77</v>
      </c>
    </row>
    <row r="52" spans="1:100" outlineLevel="1" x14ac:dyDescent="0.2">
      <c r="A52" s="355"/>
      <c r="B52" s="8" t="s">
        <v>412</v>
      </c>
      <c r="C52" s="356"/>
      <c r="K52" s="372">
        <v>4.0399999999999998E-2</v>
      </c>
      <c r="L52" s="373">
        <v>41828</v>
      </c>
      <c r="M52" s="129">
        <v>50</v>
      </c>
      <c r="N52" s="129">
        <v>0</v>
      </c>
      <c r="O52" s="374">
        <f>+N52/M52</f>
        <v>0</v>
      </c>
      <c r="Q52" s="375">
        <f>(L52-Q$51)/365</f>
        <v>2.1917808219178082E-2</v>
      </c>
      <c r="R52" s="8">
        <f t="shared" ref="R52:R61" si="42">SUM(T52:BD52)</f>
        <v>-50</v>
      </c>
      <c r="T52" s="87">
        <f t="shared" ref="T52:T76" si="43">IF(AND($L52&lt;T$49,$L52&gt;S$49),-$N52,0)</f>
        <v>0</v>
      </c>
      <c r="U52" s="87">
        <f t="shared" ref="U52:U77" si="44">IF(AND($L52&lt;U$49,$L52&gt;T$49),-$M52,0)</f>
        <v>-50</v>
      </c>
      <c r="V52" s="87">
        <f t="shared" ref="V52:BD59" si="45">IF(AND($L52&lt;V$49,$L52&gt;U$49),-$M52,0)</f>
        <v>0</v>
      </c>
      <c r="W52" s="87">
        <f t="shared" si="45"/>
        <v>0</v>
      </c>
      <c r="X52" s="87">
        <f t="shared" si="45"/>
        <v>0</v>
      </c>
      <c r="Y52" s="87">
        <f t="shared" si="45"/>
        <v>0</v>
      </c>
      <c r="Z52" s="87">
        <f t="shared" si="45"/>
        <v>0</v>
      </c>
      <c r="AA52" s="87">
        <f t="shared" si="45"/>
        <v>0</v>
      </c>
      <c r="AB52" s="87">
        <f t="shared" si="45"/>
        <v>0</v>
      </c>
      <c r="AC52" s="87">
        <f t="shared" si="45"/>
        <v>0</v>
      </c>
      <c r="AD52" s="87">
        <f t="shared" si="45"/>
        <v>0</v>
      </c>
      <c r="AE52" s="87">
        <f t="shared" si="45"/>
        <v>0</v>
      </c>
      <c r="AF52" s="87">
        <f t="shared" si="45"/>
        <v>0</v>
      </c>
      <c r="AG52" s="87">
        <f t="shared" si="45"/>
        <v>0</v>
      </c>
      <c r="AH52" s="87">
        <f t="shared" si="45"/>
        <v>0</v>
      </c>
      <c r="AI52" s="87">
        <f t="shared" si="45"/>
        <v>0</v>
      </c>
      <c r="AJ52" s="87">
        <f t="shared" si="45"/>
        <v>0</v>
      </c>
      <c r="AK52" s="87">
        <f t="shared" si="45"/>
        <v>0</v>
      </c>
      <c r="AL52" s="87">
        <f t="shared" si="45"/>
        <v>0</v>
      </c>
      <c r="AM52" s="87">
        <f t="shared" si="45"/>
        <v>0</v>
      </c>
      <c r="AN52" s="87">
        <f t="shared" si="45"/>
        <v>0</v>
      </c>
      <c r="AO52" s="87">
        <f t="shared" si="45"/>
        <v>0</v>
      </c>
      <c r="AP52" s="87">
        <f t="shared" si="45"/>
        <v>0</v>
      </c>
      <c r="AQ52" s="87">
        <f t="shared" si="45"/>
        <v>0</v>
      </c>
      <c r="AR52" s="87">
        <f t="shared" si="45"/>
        <v>0</v>
      </c>
      <c r="AS52" s="87">
        <f t="shared" si="45"/>
        <v>0</v>
      </c>
      <c r="AT52" s="87">
        <f t="shared" si="45"/>
        <v>0</v>
      </c>
      <c r="AU52" s="87">
        <f t="shared" si="45"/>
        <v>0</v>
      </c>
      <c r="AV52" s="87">
        <f t="shared" si="45"/>
        <v>0</v>
      </c>
      <c r="AW52" s="87">
        <f t="shared" si="45"/>
        <v>0</v>
      </c>
      <c r="AX52" s="87">
        <f t="shared" si="45"/>
        <v>0</v>
      </c>
      <c r="AY52" s="87">
        <f t="shared" si="45"/>
        <v>0</v>
      </c>
      <c r="AZ52" s="87">
        <f t="shared" si="45"/>
        <v>0</v>
      </c>
      <c r="BA52" s="87">
        <f t="shared" si="45"/>
        <v>0</v>
      </c>
      <c r="BB52" s="87">
        <f t="shared" si="45"/>
        <v>0</v>
      </c>
      <c r="BC52" s="87">
        <f t="shared" si="45"/>
        <v>0</v>
      </c>
      <c r="BD52" s="87">
        <f t="shared" si="45"/>
        <v>0</v>
      </c>
      <c r="BE52" s="87">
        <f t="shared" ref="BE52:BT67" si="46">IF(AND($L52&lt;BE$49,$L52&gt;BD$49),-$M52,0)</f>
        <v>0</v>
      </c>
      <c r="BF52" s="87">
        <f t="shared" si="46"/>
        <v>0</v>
      </c>
      <c r="BG52" s="87">
        <f t="shared" si="46"/>
        <v>0</v>
      </c>
      <c r="BH52" s="87">
        <f t="shared" si="46"/>
        <v>0</v>
      </c>
      <c r="BI52" s="87">
        <f t="shared" si="46"/>
        <v>0</v>
      </c>
      <c r="BJ52" s="87">
        <f t="shared" si="46"/>
        <v>0</v>
      </c>
      <c r="BK52" s="87">
        <f t="shared" si="46"/>
        <v>0</v>
      </c>
      <c r="BL52" s="87">
        <f t="shared" si="46"/>
        <v>0</v>
      </c>
      <c r="BM52" s="87">
        <f t="shared" si="46"/>
        <v>0</v>
      </c>
      <c r="BN52" s="87">
        <f t="shared" si="46"/>
        <v>0</v>
      </c>
      <c r="BO52" s="87">
        <f t="shared" si="46"/>
        <v>0</v>
      </c>
      <c r="BP52" s="87">
        <f t="shared" si="46"/>
        <v>0</v>
      </c>
      <c r="BQ52" s="87">
        <f t="shared" si="46"/>
        <v>0</v>
      </c>
      <c r="BR52" s="87">
        <f t="shared" si="46"/>
        <v>0</v>
      </c>
      <c r="BS52" s="87">
        <f t="shared" si="46"/>
        <v>0</v>
      </c>
      <c r="BT52" s="87">
        <f t="shared" si="46"/>
        <v>0</v>
      </c>
      <c r="BU52" s="87">
        <f t="shared" ref="BU52:CJ67" si="47">IF(AND($L52&lt;BU$49,$L52&gt;BT$49),-$M52,0)</f>
        <v>0</v>
      </c>
      <c r="BV52" s="87">
        <f t="shared" si="47"/>
        <v>0</v>
      </c>
      <c r="BW52" s="87">
        <f t="shared" si="47"/>
        <v>0</v>
      </c>
      <c r="BX52" s="87">
        <f t="shared" si="47"/>
        <v>0</v>
      </c>
      <c r="BY52" s="87">
        <f t="shared" si="47"/>
        <v>0</v>
      </c>
      <c r="BZ52" s="87">
        <f t="shared" si="47"/>
        <v>0</v>
      </c>
      <c r="CA52" s="87">
        <f t="shared" si="47"/>
        <v>0</v>
      </c>
      <c r="CB52" s="87">
        <f t="shared" si="47"/>
        <v>0</v>
      </c>
      <c r="CC52" s="87">
        <f t="shared" si="47"/>
        <v>0</v>
      </c>
      <c r="CD52" s="87">
        <f t="shared" si="47"/>
        <v>0</v>
      </c>
      <c r="CE52" s="87">
        <f t="shared" si="47"/>
        <v>0</v>
      </c>
      <c r="CF52" s="87">
        <f t="shared" si="47"/>
        <v>0</v>
      </c>
      <c r="CG52" s="87">
        <f t="shared" si="47"/>
        <v>0</v>
      </c>
      <c r="CH52" s="87">
        <f t="shared" si="47"/>
        <v>0</v>
      </c>
      <c r="CI52" s="87">
        <f t="shared" si="47"/>
        <v>0</v>
      </c>
      <c r="CJ52" s="87">
        <f t="shared" si="47"/>
        <v>0</v>
      </c>
      <c r="CK52" s="87">
        <f t="shared" ref="CK52:CP67" si="48">IF(AND($L52&lt;CK$49,$L52&gt;CJ$49),-$M52,0)</f>
        <v>0</v>
      </c>
      <c r="CL52" s="87">
        <f t="shared" si="48"/>
        <v>0</v>
      </c>
      <c r="CM52" s="87">
        <f t="shared" si="48"/>
        <v>0</v>
      </c>
      <c r="CN52" s="87">
        <f t="shared" si="48"/>
        <v>0</v>
      </c>
      <c r="CO52" s="87">
        <f t="shared" si="48"/>
        <v>0</v>
      </c>
      <c r="CP52" s="87">
        <f t="shared" si="48"/>
        <v>0</v>
      </c>
      <c r="CQ52" s="23" t="s">
        <v>77</v>
      </c>
    </row>
    <row r="53" spans="1:100" s="12" customFormat="1" outlineLevel="1" x14ac:dyDescent="0.2">
      <c r="A53" s="102"/>
      <c r="B53" s="12" t="s">
        <v>413</v>
      </c>
      <c r="C53" s="141"/>
      <c r="K53" s="372">
        <v>4.0399999999999998E-2</v>
      </c>
      <c r="L53" s="373">
        <v>42574</v>
      </c>
      <c r="M53" s="129">
        <v>400</v>
      </c>
      <c r="N53" s="129">
        <v>400</v>
      </c>
      <c r="O53" s="376">
        <f t="shared" ref="O53:O77" si="49">+N53/M53</f>
        <v>1</v>
      </c>
      <c r="Q53" s="375">
        <f t="shared" ref="Q53:Q77" si="50">(L53-Q$51)/365</f>
        <v>2.0657534246575344</v>
      </c>
      <c r="R53" s="12">
        <f t="shared" si="42"/>
        <v>-400</v>
      </c>
      <c r="T53" s="61">
        <f t="shared" si="43"/>
        <v>0</v>
      </c>
      <c r="U53" s="61">
        <f t="shared" si="44"/>
        <v>0</v>
      </c>
      <c r="V53" s="61">
        <f t="shared" ref="V53:AJ53" si="51">IF(AND($L53&lt;V$49,$L53&gt;U$49),-$M53,0)</f>
        <v>0</v>
      </c>
      <c r="W53" s="61">
        <f t="shared" si="51"/>
        <v>-400</v>
      </c>
      <c r="X53" s="61">
        <f t="shared" si="51"/>
        <v>0</v>
      </c>
      <c r="Y53" s="61">
        <f t="shared" si="51"/>
        <v>0</v>
      </c>
      <c r="Z53" s="61">
        <f t="shared" si="51"/>
        <v>0</v>
      </c>
      <c r="AA53" s="61">
        <f t="shared" si="51"/>
        <v>0</v>
      </c>
      <c r="AB53" s="61">
        <f t="shared" si="51"/>
        <v>0</v>
      </c>
      <c r="AC53" s="61">
        <f t="shared" si="51"/>
        <v>0</v>
      </c>
      <c r="AD53" s="61">
        <f t="shared" si="51"/>
        <v>0</v>
      </c>
      <c r="AE53" s="61">
        <f t="shared" si="51"/>
        <v>0</v>
      </c>
      <c r="AF53" s="61">
        <f t="shared" si="51"/>
        <v>0</v>
      </c>
      <c r="AG53" s="61">
        <f t="shared" si="51"/>
        <v>0</v>
      </c>
      <c r="AH53" s="61">
        <f t="shared" si="51"/>
        <v>0</v>
      </c>
      <c r="AI53" s="61">
        <f t="shared" si="51"/>
        <v>0</v>
      </c>
      <c r="AJ53" s="61">
        <f t="shared" si="51"/>
        <v>0</v>
      </c>
      <c r="AK53" s="61">
        <f t="shared" si="45"/>
        <v>0</v>
      </c>
      <c r="AL53" s="61">
        <f t="shared" si="45"/>
        <v>0</v>
      </c>
      <c r="AM53" s="61">
        <f t="shared" si="45"/>
        <v>0</v>
      </c>
      <c r="AN53" s="61">
        <f t="shared" si="45"/>
        <v>0</v>
      </c>
      <c r="AO53" s="61">
        <f t="shared" si="45"/>
        <v>0</v>
      </c>
      <c r="AP53" s="61">
        <f t="shared" si="45"/>
        <v>0</v>
      </c>
      <c r="AQ53" s="61">
        <f t="shared" si="45"/>
        <v>0</v>
      </c>
      <c r="AR53" s="61">
        <f t="shared" si="45"/>
        <v>0</v>
      </c>
      <c r="AS53" s="61">
        <f t="shared" si="45"/>
        <v>0</v>
      </c>
      <c r="AT53" s="61">
        <f t="shared" si="45"/>
        <v>0</v>
      </c>
      <c r="AU53" s="61">
        <f t="shared" si="45"/>
        <v>0</v>
      </c>
      <c r="AV53" s="61">
        <f t="shared" si="45"/>
        <v>0</v>
      </c>
      <c r="AW53" s="61">
        <f t="shared" si="45"/>
        <v>0</v>
      </c>
      <c r="AX53" s="61">
        <f t="shared" si="45"/>
        <v>0</v>
      </c>
      <c r="AY53" s="61">
        <f t="shared" si="45"/>
        <v>0</v>
      </c>
      <c r="AZ53" s="61">
        <f t="shared" si="45"/>
        <v>0</v>
      </c>
      <c r="BA53" s="61">
        <f t="shared" si="45"/>
        <v>0</v>
      </c>
      <c r="BB53" s="61">
        <f t="shared" si="45"/>
        <v>0</v>
      </c>
      <c r="BC53" s="61">
        <f t="shared" si="45"/>
        <v>0</v>
      </c>
      <c r="BD53" s="61">
        <f t="shared" si="45"/>
        <v>0</v>
      </c>
      <c r="BE53" s="61">
        <f t="shared" si="46"/>
        <v>0</v>
      </c>
      <c r="BF53" s="61">
        <f t="shared" si="46"/>
        <v>0</v>
      </c>
      <c r="BG53" s="61">
        <f t="shared" si="46"/>
        <v>0</v>
      </c>
      <c r="BH53" s="61">
        <f t="shared" si="46"/>
        <v>0</v>
      </c>
      <c r="BI53" s="61">
        <f t="shared" si="46"/>
        <v>0</v>
      </c>
      <c r="BJ53" s="61">
        <f t="shared" si="46"/>
        <v>0</v>
      </c>
      <c r="BK53" s="61">
        <f t="shared" si="46"/>
        <v>0</v>
      </c>
      <c r="BL53" s="61">
        <f t="shared" si="46"/>
        <v>0</v>
      </c>
      <c r="BM53" s="61">
        <f t="shared" si="46"/>
        <v>0</v>
      </c>
      <c r="BN53" s="61">
        <f t="shared" si="46"/>
        <v>0</v>
      </c>
      <c r="BO53" s="61">
        <f t="shared" si="46"/>
        <v>0</v>
      </c>
      <c r="BP53" s="61">
        <f t="shared" si="46"/>
        <v>0</v>
      </c>
      <c r="BQ53" s="61">
        <f t="shared" si="46"/>
        <v>0</v>
      </c>
      <c r="BR53" s="61">
        <f t="shared" si="46"/>
        <v>0</v>
      </c>
      <c r="BS53" s="61">
        <f t="shared" si="46"/>
        <v>0</v>
      </c>
      <c r="BT53" s="61">
        <f t="shared" si="46"/>
        <v>0</v>
      </c>
      <c r="BU53" s="61">
        <f t="shared" si="47"/>
        <v>0</v>
      </c>
      <c r="BV53" s="61">
        <f t="shared" si="47"/>
        <v>0</v>
      </c>
      <c r="BW53" s="61">
        <f t="shared" si="47"/>
        <v>0</v>
      </c>
      <c r="BX53" s="61">
        <f t="shared" si="47"/>
        <v>0</v>
      </c>
      <c r="BY53" s="61">
        <f t="shared" si="47"/>
        <v>0</v>
      </c>
      <c r="BZ53" s="61">
        <f t="shared" si="47"/>
        <v>0</v>
      </c>
      <c r="CA53" s="61">
        <f t="shared" si="47"/>
        <v>0</v>
      </c>
      <c r="CB53" s="61">
        <f t="shared" si="47"/>
        <v>0</v>
      </c>
      <c r="CC53" s="61">
        <f t="shared" si="47"/>
        <v>0</v>
      </c>
      <c r="CD53" s="61">
        <f t="shared" si="47"/>
        <v>0</v>
      </c>
      <c r="CE53" s="61">
        <f t="shared" si="47"/>
        <v>0</v>
      </c>
      <c r="CF53" s="61">
        <f t="shared" si="47"/>
        <v>0</v>
      </c>
      <c r="CG53" s="61">
        <f t="shared" si="47"/>
        <v>0</v>
      </c>
      <c r="CH53" s="61">
        <f t="shared" si="47"/>
        <v>0</v>
      </c>
      <c r="CI53" s="61">
        <f t="shared" si="47"/>
        <v>0</v>
      </c>
      <c r="CJ53" s="61">
        <f t="shared" si="47"/>
        <v>0</v>
      </c>
      <c r="CK53" s="61">
        <f t="shared" si="48"/>
        <v>0</v>
      </c>
      <c r="CL53" s="61">
        <f t="shared" si="48"/>
        <v>0</v>
      </c>
      <c r="CM53" s="61">
        <f t="shared" si="48"/>
        <v>0</v>
      </c>
      <c r="CN53" s="61">
        <f t="shared" si="48"/>
        <v>0</v>
      </c>
      <c r="CO53" s="61">
        <f t="shared" si="48"/>
        <v>0</v>
      </c>
      <c r="CP53" s="61">
        <f t="shared" si="48"/>
        <v>0</v>
      </c>
      <c r="CQ53" s="23" t="s">
        <v>77</v>
      </c>
      <c r="CS53" s="8"/>
      <c r="CT53" s="8"/>
      <c r="CU53" s="8"/>
      <c r="CV53" s="8"/>
    </row>
    <row r="54" spans="1:100" s="12" customFormat="1" outlineLevel="1" x14ac:dyDescent="0.2">
      <c r="A54" s="102"/>
      <c r="B54" s="12" t="s">
        <v>414</v>
      </c>
      <c r="C54" s="141"/>
      <c r="K54" s="372">
        <v>4.0399999999999998E-2</v>
      </c>
      <c r="L54" s="373">
        <v>42655</v>
      </c>
      <c r="M54" s="129">
        <v>150</v>
      </c>
      <c r="N54" s="129">
        <v>110</v>
      </c>
      <c r="O54" s="376">
        <f t="shared" si="49"/>
        <v>0.73333333333333328</v>
      </c>
      <c r="Q54" s="375">
        <f t="shared" si="50"/>
        <v>2.2876712328767121</v>
      </c>
      <c r="R54" s="12">
        <f t="shared" si="42"/>
        <v>-150</v>
      </c>
      <c r="T54" s="61">
        <f t="shared" si="43"/>
        <v>0</v>
      </c>
      <c r="U54" s="61">
        <f t="shared" si="44"/>
        <v>0</v>
      </c>
      <c r="V54" s="61">
        <f t="shared" si="45"/>
        <v>0</v>
      </c>
      <c r="W54" s="61">
        <f t="shared" si="45"/>
        <v>-150</v>
      </c>
      <c r="X54" s="61">
        <f t="shared" si="45"/>
        <v>0</v>
      </c>
      <c r="Y54" s="61">
        <f t="shared" si="45"/>
        <v>0</v>
      </c>
      <c r="Z54" s="61">
        <f t="shared" si="45"/>
        <v>0</v>
      </c>
      <c r="AA54" s="61">
        <f t="shared" si="45"/>
        <v>0</v>
      </c>
      <c r="AB54" s="61">
        <f t="shared" si="45"/>
        <v>0</v>
      </c>
      <c r="AC54" s="61">
        <f t="shared" si="45"/>
        <v>0</v>
      </c>
      <c r="AD54" s="61">
        <f t="shared" si="45"/>
        <v>0</v>
      </c>
      <c r="AE54" s="61">
        <f t="shared" si="45"/>
        <v>0</v>
      </c>
      <c r="AF54" s="61">
        <f t="shared" si="45"/>
        <v>0</v>
      </c>
      <c r="AG54" s="61">
        <f t="shared" si="45"/>
        <v>0</v>
      </c>
      <c r="AH54" s="61">
        <f t="shared" si="45"/>
        <v>0</v>
      </c>
      <c r="AI54" s="61">
        <f t="shared" si="45"/>
        <v>0</v>
      </c>
      <c r="AJ54" s="61">
        <f t="shared" si="45"/>
        <v>0</v>
      </c>
      <c r="AK54" s="61">
        <f t="shared" si="45"/>
        <v>0</v>
      </c>
      <c r="AL54" s="61">
        <f t="shared" si="45"/>
        <v>0</v>
      </c>
      <c r="AM54" s="61">
        <f t="shared" si="45"/>
        <v>0</v>
      </c>
      <c r="AN54" s="61">
        <f t="shared" si="45"/>
        <v>0</v>
      </c>
      <c r="AO54" s="61">
        <f t="shared" si="45"/>
        <v>0</v>
      </c>
      <c r="AP54" s="61">
        <f t="shared" si="45"/>
        <v>0</v>
      </c>
      <c r="AQ54" s="61">
        <f t="shared" si="45"/>
        <v>0</v>
      </c>
      <c r="AR54" s="61">
        <f t="shared" si="45"/>
        <v>0</v>
      </c>
      <c r="AS54" s="61">
        <f t="shared" si="45"/>
        <v>0</v>
      </c>
      <c r="AT54" s="61">
        <f t="shared" si="45"/>
        <v>0</v>
      </c>
      <c r="AU54" s="61">
        <f t="shared" si="45"/>
        <v>0</v>
      </c>
      <c r="AV54" s="61">
        <f t="shared" si="45"/>
        <v>0</v>
      </c>
      <c r="AW54" s="61">
        <f t="shared" si="45"/>
        <v>0</v>
      </c>
      <c r="AX54" s="61">
        <f t="shared" si="45"/>
        <v>0</v>
      </c>
      <c r="AY54" s="61">
        <f t="shared" si="45"/>
        <v>0</v>
      </c>
      <c r="AZ54" s="61">
        <f t="shared" si="45"/>
        <v>0</v>
      </c>
      <c r="BA54" s="61">
        <f t="shared" si="45"/>
        <v>0</v>
      </c>
      <c r="BB54" s="61">
        <f t="shared" si="45"/>
        <v>0</v>
      </c>
      <c r="BC54" s="61">
        <f t="shared" si="45"/>
        <v>0</v>
      </c>
      <c r="BD54" s="61">
        <f t="shared" si="45"/>
        <v>0</v>
      </c>
      <c r="BE54" s="61">
        <f t="shared" si="46"/>
        <v>0</v>
      </c>
      <c r="BF54" s="61">
        <f t="shared" si="46"/>
        <v>0</v>
      </c>
      <c r="BG54" s="61">
        <f t="shared" si="46"/>
        <v>0</v>
      </c>
      <c r="BH54" s="61">
        <f t="shared" si="46"/>
        <v>0</v>
      </c>
      <c r="BI54" s="61">
        <f t="shared" si="46"/>
        <v>0</v>
      </c>
      <c r="BJ54" s="61">
        <f t="shared" si="46"/>
        <v>0</v>
      </c>
      <c r="BK54" s="61">
        <f t="shared" si="46"/>
        <v>0</v>
      </c>
      <c r="BL54" s="61">
        <f t="shared" si="46"/>
        <v>0</v>
      </c>
      <c r="BM54" s="61">
        <f t="shared" si="46"/>
        <v>0</v>
      </c>
      <c r="BN54" s="61">
        <f t="shared" si="46"/>
        <v>0</v>
      </c>
      <c r="BO54" s="61">
        <f t="shared" si="46"/>
        <v>0</v>
      </c>
      <c r="BP54" s="61">
        <f t="shared" si="46"/>
        <v>0</v>
      </c>
      <c r="BQ54" s="61">
        <f t="shared" si="46"/>
        <v>0</v>
      </c>
      <c r="BR54" s="61">
        <f t="shared" si="46"/>
        <v>0</v>
      </c>
      <c r="BS54" s="61">
        <f t="shared" si="46"/>
        <v>0</v>
      </c>
      <c r="BT54" s="61">
        <f t="shared" si="46"/>
        <v>0</v>
      </c>
      <c r="BU54" s="61">
        <f t="shared" si="47"/>
        <v>0</v>
      </c>
      <c r="BV54" s="61">
        <f t="shared" si="47"/>
        <v>0</v>
      </c>
      <c r="BW54" s="61">
        <f t="shared" si="47"/>
        <v>0</v>
      </c>
      <c r="BX54" s="61">
        <f t="shared" si="47"/>
        <v>0</v>
      </c>
      <c r="BY54" s="61">
        <f t="shared" si="47"/>
        <v>0</v>
      </c>
      <c r="BZ54" s="61">
        <f t="shared" si="47"/>
        <v>0</v>
      </c>
      <c r="CA54" s="61">
        <f t="shared" si="47"/>
        <v>0</v>
      </c>
      <c r="CB54" s="61">
        <f t="shared" si="47"/>
        <v>0</v>
      </c>
      <c r="CC54" s="61">
        <f t="shared" si="47"/>
        <v>0</v>
      </c>
      <c r="CD54" s="61">
        <f t="shared" si="47"/>
        <v>0</v>
      </c>
      <c r="CE54" s="61">
        <f t="shared" si="47"/>
        <v>0</v>
      </c>
      <c r="CF54" s="61">
        <f t="shared" si="47"/>
        <v>0</v>
      </c>
      <c r="CG54" s="61">
        <f t="shared" si="47"/>
        <v>0</v>
      </c>
      <c r="CH54" s="61">
        <f t="shared" si="47"/>
        <v>0</v>
      </c>
      <c r="CI54" s="61">
        <f t="shared" si="47"/>
        <v>0</v>
      </c>
      <c r="CJ54" s="61">
        <f t="shared" si="47"/>
        <v>0</v>
      </c>
      <c r="CK54" s="61">
        <f t="shared" si="48"/>
        <v>0</v>
      </c>
      <c r="CL54" s="61">
        <f t="shared" si="48"/>
        <v>0</v>
      </c>
      <c r="CM54" s="61">
        <f t="shared" si="48"/>
        <v>0</v>
      </c>
      <c r="CN54" s="61">
        <f t="shared" si="48"/>
        <v>0</v>
      </c>
      <c r="CO54" s="61">
        <f t="shared" si="48"/>
        <v>0</v>
      </c>
      <c r="CP54" s="61">
        <f t="shared" si="48"/>
        <v>0</v>
      </c>
      <c r="CQ54" s="23" t="s">
        <v>77</v>
      </c>
      <c r="CS54" s="8"/>
      <c r="CT54" s="8"/>
      <c r="CU54" s="8"/>
      <c r="CV54" s="8"/>
    </row>
    <row r="55" spans="1:100" s="12" customFormat="1" outlineLevel="1" x14ac:dyDescent="0.2">
      <c r="A55" s="102"/>
      <c r="B55" s="12" t="s">
        <v>415</v>
      </c>
      <c r="C55" s="141"/>
      <c r="K55" s="372">
        <v>4.0399999999999998E-2</v>
      </c>
      <c r="L55" s="373">
        <v>42939</v>
      </c>
      <c r="M55" s="129">
        <v>425</v>
      </c>
      <c r="N55" s="129">
        <v>225</v>
      </c>
      <c r="O55" s="376">
        <f t="shared" si="49"/>
        <v>0.52941176470588236</v>
      </c>
      <c r="Q55" s="375">
        <f t="shared" si="50"/>
        <v>3.0657534246575344</v>
      </c>
      <c r="R55" s="12">
        <f t="shared" si="42"/>
        <v>-425</v>
      </c>
      <c r="T55" s="61">
        <f t="shared" si="43"/>
        <v>0</v>
      </c>
      <c r="U55" s="61">
        <f t="shared" si="44"/>
        <v>0</v>
      </c>
      <c r="V55" s="61">
        <f t="shared" si="45"/>
        <v>0</v>
      </c>
      <c r="W55" s="61">
        <f t="shared" si="45"/>
        <v>0</v>
      </c>
      <c r="X55" s="61">
        <f t="shared" si="45"/>
        <v>-425</v>
      </c>
      <c r="Y55" s="61">
        <f t="shared" si="45"/>
        <v>0</v>
      </c>
      <c r="Z55" s="61">
        <f t="shared" si="45"/>
        <v>0</v>
      </c>
      <c r="AA55" s="61">
        <f t="shared" si="45"/>
        <v>0</v>
      </c>
      <c r="AB55" s="61">
        <f t="shared" si="45"/>
        <v>0</v>
      </c>
      <c r="AC55" s="61">
        <f t="shared" si="45"/>
        <v>0</v>
      </c>
      <c r="AD55" s="61">
        <f t="shared" si="45"/>
        <v>0</v>
      </c>
      <c r="AE55" s="61">
        <f t="shared" si="45"/>
        <v>0</v>
      </c>
      <c r="AF55" s="61">
        <f t="shared" si="45"/>
        <v>0</v>
      </c>
      <c r="AG55" s="61">
        <f t="shared" si="45"/>
        <v>0</v>
      </c>
      <c r="AH55" s="61">
        <f t="shared" si="45"/>
        <v>0</v>
      </c>
      <c r="AI55" s="61">
        <f t="shared" si="45"/>
        <v>0</v>
      </c>
      <c r="AJ55" s="61">
        <f t="shared" si="45"/>
        <v>0</v>
      </c>
      <c r="AK55" s="61">
        <f t="shared" si="45"/>
        <v>0</v>
      </c>
      <c r="AL55" s="61">
        <f t="shared" si="45"/>
        <v>0</v>
      </c>
      <c r="AM55" s="61">
        <f t="shared" si="45"/>
        <v>0</v>
      </c>
      <c r="AN55" s="61">
        <f t="shared" si="45"/>
        <v>0</v>
      </c>
      <c r="AO55" s="61">
        <f t="shared" si="45"/>
        <v>0</v>
      </c>
      <c r="AP55" s="61">
        <f t="shared" si="45"/>
        <v>0</v>
      </c>
      <c r="AQ55" s="61">
        <f t="shared" si="45"/>
        <v>0</v>
      </c>
      <c r="AR55" s="61">
        <f t="shared" si="45"/>
        <v>0</v>
      </c>
      <c r="AS55" s="61">
        <f t="shared" si="45"/>
        <v>0</v>
      </c>
      <c r="AT55" s="61">
        <f t="shared" si="45"/>
        <v>0</v>
      </c>
      <c r="AU55" s="61">
        <f t="shared" si="45"/>
        <v>0</v>
      </c>
      <c r="AV55" s="61">
        <f t="shared" si="45"/>
        <v>0</v>
      </c>
      <c r="AW55" s="61">
        <f t="shared" si="45"/>
        <v>0</v>
      </c>
      <c r="AX55" s="61">
        <f t="shared" si="45"/>
        <v>0</v>
      </c>
      <c r="AY55" s="61">
        <f t="shared" si="45"/>
        <v>0</v>
      </c>
      <c r="AZ55" s="61">
        <f t="shared" si="45"/>
        <v>0</v>
      </c>
      <c r="BA55" s="61">
        <f t="shared" si="45"/>
        <v>0</v>
      </c>
      <c r="BB55" s="61">
        <f t="shared" si="45"/>
        <v>0</v>
      </c>
      <c r="BC55" s="61">
        <f t="shared" si="45"/>
        <v>0</v>
      </c>
      <c r="BD55" s="61">
        <f t="shared" si="45"/>
        <v>0</v>
      </c>
      <c r="BE55" s="61">
        <f t="shared" si="46"/>
        <v>0</v>
      </c>
      <c r="BF55" s="61">
        <f t="shared" si="46"/>
        <v>0</v>
      </c>
      <c r="BG55" s="61">
        <f t="shared" si="46"/>
        <v>0</v>
      </c>
      <c r="BH55" s="61">
        <f t="shared" si="46"/>
        <v>0</v>
      </c>
      <c r="BI55" s="61">
        <f t="shared" si="46"/>
        <v>0</v>
      </c>
      <c r="BJ55" s="61">
        <f t="shared" si="46"/>
        <v>0</v>
      </c>
      <c r="BK55" s="61">
        <f t="shared" si="46"/>
        <v>0</v>
      </c>
      <c r="BL55" s="61">
        <f t="shared" si="46"/>
        <v>0</v>
      </c>
      <c r="BM55" s="61">
        <f t="shared" si="46"/>
        <v>0</v>
      </c>
      <c r="BN55" s="61">
        <f t="shared" si="46"/>
        <v>0</v>
      </c>
      <c r="BO55" s="61">
        <f t="shared" si="46"/>
        <v>0</v>
      </c>
      <c r="BP55" s="61">
        <f t="shared" si="46"/>
        <v>0</v>
      </c>
      <c r="BQ55" s="61">
        <f t="shared" si="46"/>
        <v>0</v>
      </c>
      <c r="BR55" s="61">
        <f t="shared" si="46"/>
        <v>0</v>
      </c>
      <c r="BS55" s="61">
        <f t="shared" si="46"/>
        <v>0</v>
      </c>
      <c r="BT55" s="61">
        <f t="shared" si="46"/>
        <v>0</v>
      </c>
      <c r="BU55" s="61">
        <f t="shared" si="47"/>
        <v>0</v>
      </c>
      <c r="BV55" s="61">
        <f t="shared" si="47"/>
        <v>0</v>
      </c>
      <c r="BW55" s="61">
        <f t="shared" si="47"/>
        <v>0</v>
      </c>
      <c r="BX55" s="61">
        <f t="shared" si="47"/>
        <v>0</v>
      </c>
      <c r="BY55" s="61">
        <f t="shared" si="47"/>
        <v>0</v>
      </c>
      <c r="BZ55" s="61">
        <f t="shared" si="47"/>
        <v>0</v>
      </c>
      <c r="CA55" s="61">
        <f t="shared" si="47"/>
        <v>0</v>
      </c>
      <c r="CB55" s="61">
        <f t="shared" si="47"/>
        <v>0</v>
      </c>
      <c r="CC55" s="61">
        <f t="shared" si="47"/>
        <v>0</v>
      </c>
      <c r="CD55" s="61">
        <f t="shared" si="47"/>
        <v>0</v>
      </c>
      <c r="CE55" s="61">
        <f t="shared" si="47"/>
        <v>0</v>
      </c>
      <c r="CF55" s="61">
        <f t="shared" si="47"/>
        <v>0</v>
      </c>
      <c r="CG55" s="61">
        <f t="shared" si="47"/>
        <v>0</v>
      </c>
      <c r="CH55" s="61">
        <f t="shared" si="47"/>
        <v>0</v>
      </c>
      <c r="CI55" s="61">
        <f t="shared" si="47"/>
        <v>0</v>
      </c>
      <c r="CJ55" s="61">
        <f t="shared" si="47"/>
        <v>0</v>
      </c>
      <c r="CK55" s="61">
        <f t="shared" si="48"/>
        <v>0</v>
      </c>
      <c r="CL55" s="61">
        <f t="shared" si="48"/>
        <v>0</v>
      </c>
      <c r="CM55" s="61">
        <f t="shared" si="48"/>
        <v>0</v>
      </c>
      <c r="CN55" s="61">
        <f t="shared" si="48"/>
        <v>0</v>
      </c>
      <c r="CO55" s="61">
        <f t="shared" si="48"/>
        <v>0</v>
      </c>
      <c r="CP55" s="61">
        <f t="shared" si="48"/>
        <v>0</v>
      </c>
      <c r="CQ55" s="23" t="s">
        <v>77</v>
      </c>
      <c r="CS55" s="8"/>
      <c r="CT55" s="8"/>
      <c r="CU55" s="8"/>
      <c r="CV55" s="8"/>
    </row>
    <row r="56" spans="1:100" s="12" customFormat="1" outlineLevel="1" x14ac:dyDescent="0.2">
      <c r="A56" s="102"/>
      <c r="B56" s="12" t="s">
        <v>416</v>
      </c>
      <c r="C56" s="141"/>
      <c r="K56" s="372">
        <v>4.0399999999999998E-2</v>
      </c>
      <c r="L56" s="373">
        <v>43453</v>
      </c>
      <c r="M56" s="129">
        <v>300</v>
      </c>
      <c r="N56" s="129">
        <v>280</v>
      </c>
      <c r="O56" s="376">
        <f t="shared" si="49"/>
        <v>0.93333333333333335</v>
      </c>
      <c r="Q56" s="375">
        <f t="shared" si="50"/>
        <v>4.4739726027397264</v>
      </c>
      <c r="R56" s="12">
        <f t="shared" si="42"/>
        <v>-300</v>
      </c>
      <c r="T56" s="61">
        <f>IF(AND($L56&lt;T$49,$L56&gt;S$49),-$N56,0)</f>
        <v>0</v>
      </c>
      <c r="U56" s="61">
        <f t="shared" si="44"/>
        <v>0</v>
      </c>
      <c r="V56" s="61">
        <f t="shared" si="45"/>
        <v>0</v>
      </c>
      <c r="W56" s="61">
        <f t="shared" si="45"/>
        <v>0</v>
      </c>
      <c r="X56" s="61">
        <f t="shared" si="45"/>
        <v>0</v>
      </c>
      <c r="Y56" s="61">
        <f t="shared" si="45"/>
        <v>-300</v>
      </c>
      <c r="Z56" s="61">
        <f t="shared" si="45"/>
        <v>0</v>
      </c>
      <c r="AA56" s="61">
        <f t="shared" si="45"/>
        <v>0</v>
      </c>
      <c r="AB56" s="61">
        <f t="shared" si="45"/>
        <v>0</v>
      </c>
      <c r="AC56" s="61">
        <f t="shared" si="45"/>
        <v>0</v>
      </c>
      <c r="AD56" s="61">
        <f t="shared" si="45"/>
        <v>0</v>
      </c>
      <c r="AE56" s="61">
        <f t="shared" si="45"/>
        <v>0</v>
      </c>
      <c r="AF56" s="61">
        <f t="shared" si="45"/>
        <v>0</v>
      </c>
      <c r="AG56" s="61">
        <f t="shared" si="45"/>
        <v>0</v>
      </c>
      <c r="AH56" s="61">
        <f t="shared" si="45"/>
        <v>0</v>
      </c>
      <c r="AI56" s="61">
        <f t="shared" si="45"/>
        <v>0</v>
      </c>
      <c r="AJ56" s="61">
        <f t="shared" si="45"/>
        <v>0</v>
      </c>
      <c r="AK56" s="61">
        <f t="shared" si="45"/>
        <v>0</v>
      </c>
      <c r="AL56" s="61">
        <f t="shared" si="45"/>
        <v>0</v>
      </c>
      <c r="AM56" s="61">
        <f t="shared" si="45"/>
        <v>0</v>
      </c>
      <c r="AN56" s="61">
        <f t="shared" si="45"/>
        <v>0</v>
      </c>
      <c r="AO56" s="61">
        <f t="shared" si="45"/>
        <v>0</v>
      </c>
      <c r="AP56" s="61">
        <f t="shared" si="45"/>
        <v>0</v>
      </c>
      <c r="AQ56" s="61">
        <f t="shared" si="45"/>
        <v>0</v>
      </c>
      <c r="AR56" s="61">
        <f t="shared" si="45"/>
        <v>0</v>
      </c>
      <c r="AS56" s="61">
        <f t="shared" si="45"/>
        <v>0</v>
      </c>
      <c r="AT56" s="61">
        <f t="shared" si="45"/>
        <v>0</v>
      </c>
      <c r="AU56" s="61">
        <f t="shared" si="45"/>
        <v>0</v>
      </c>
      <c r="AV56" s="61">
        <f t="shared" si="45"/>
        <v>0</v>
      </c>
      <c r="AW56" s="61">
        <f t="shared" si="45"/>
        <v>0</v>
      </c>
      <c r="AX56" s="61">
        <f t="shared" si="45"/>
        <v>0</v>
      </c>
      <c r="AY56" s="61">
        <f t="shared" si="45"/>
        <v>0</v>
      </c>
      <c r="AZ56" s="61">
        <f t="shared" si="45"/>
        <v>0</v>
      </c>
      <c r="BA56" s="61">
        <f t="shared" si="45"/>
        <v>0</v>
      </c>
      <c r="BB56" s="61">
        <f t="shared" si="45"/>
        <v>0</v>
      </c>
      <c r="BC56" s="61">
        <f t="shared" si="45"/>
        <v>0</v>
      </c>
      <c r="BD56" s="61">
        <f t="shared" si="45"/>
        <v>0</v>
      </c>
      <c r="BE56" s="61">
        <f t="shared" si="46"/>
        <v>0</v>
      </c>
      <c r="BF56" s="61">
        <f t="shared" si="46"/>
        <v>0</v>
      </c>
      <c r="BG56" s="61">
        <f t="shared" si="46"/>
        <v>0</v>
      </c>
      <c r="BH56" s="61">
        <f t="shared" si="46"/>
        <v>0</v>
      </c>
      <c r="BI56" s="61">
        <f t="shared" si="46"/>
        <v>0</v>
      </c>
      <c r="BJ56" s="61">
        <f t="shared" si="46"/>
        <v>0</v>
      </c>
      <c r="BK56" s="61">
        <f t="shared" si="46"/>
        <v>0</v>
      </c>
      <c r="BL56" s="61">
        <f t="shared" si="46"/>
        <v>0</v>
      </c>
      <c r="BM56" s="61">
        <f t="shared" si="46"/>
        <v>0</v>
      </c>
      <c r="BN56" s="61">
        <f t="shared" si="46"/>
        <v>0</v>
      </c>
      <c r="BO56" s="61">
        <f t="shared" si="46"/>
        <v>0</v>
      </c>
      <c r="BP56" s="61">
        <f t="shared" si="46"/>
        <v>0</v>
      </c>
      <c r="BQ56" s="61">
        <f t="shared" si="46"/>
        <v>0</v>
      </c>
      <c r="BR56" s="61">
        <f t="shared" si="46"/>
        <v>0</v>
      </c>
      <c r="BS56" s="61">
        <f t="shared" si="46"/>
        <v>0</v>
      </c>
      <c r="BT56" s="61">
        <f t="shared" si="46"/>
        <v>0</v>
      </c>
      <c r="BU56" s="61">
        <f t="shared" si="47"/>
        <v>0</v>
      </c>
      <c r="BV56" s="61">
        <f t="shared" si="47"/>
        <v>0</v>
      </c>
      <c r="BW56" s="61">
        <f t="shared" si="47"/>
        <v>0</v>
      </c>
      <c r="BX56" s="61">
        <f t="shared" si="47"/>
        <v>0</v>
      </c>
      <c r="BY56" s="61">
        <f t="shared" si="47"/>
        <v>0</v>
      </c>
      <c r="BZ56" s="61">
        <f t="shared" si="47"/>
        <v>0</v>
      </c>
      <c r="CA56" s="61">
        <f t="shared" si="47"/>
        <v>0</v>
      </c>
      <c r="CB56" s="61">
        <f t="shared" si="47"/>
        <v>0</v>
      </c>
      <c r="CC56" s="61">
        <f t="shared" si="47"/>
        <v>0</v>
      </c>
      <c r="CD56" s="61">
        <f t="shared" si="47"/>
        <v>0</v>
      </c>
      <c r="CE56" s="61">
        <f t="shared" si="47"/>
        <v>0</v>
      </c>
      <c r="CF56" s="61">
        <f t="shared" si="47"/>
        <v>0</v>
      </c>
      <c r="CG56" s="61">
        <f t="shared" si="47"/>
        <v>0</v>
      </c>
      <c r="CH56" s="61">
        <f t="shared" si="47"/>
        <v>0</v>
      </c>
      <c r="CI56" s="61">
        <f t="shared" si="47"/>
        <v>0</v>
      </c>
      <c r="CJ56" s="61">
        <f t="shared" si="47"/>
        <v>0</v>
      </c>
      <c r="CK56" s="61">
        <f t="shared" si="48"/>
        <v>0</v>
      </c>
      <c r="CL56" s="61">
        <f t="shared" si="48"/>
        <v>0</v>
      </c>
      <c r="CM56" s="61">
        <f t="shared" si="48"/>
        <v>0</v>
      </c>
      <c r="CN56" s="61">
        <f t="shared" si="48"/>
        <v>0</v>
      </c>
      <c r="CO56" s="61">
        <f t="shared" si="48"/>
        <v>0</v>
      </c>
      <c r="CP56" s="61">
        <f t="shared" si="48"/>
        <v>0</v>
      </c>
      <c r="CQ56" s="23" t="s">
        <v>77</v>
      </c>
      <c r="CS56" s="8"/>
      <c r="CT56" s="8"/>
      <c r="CU56" s="8"/>
      <c r="CV56" s="8"/>
    </row>
    <row r="57" spans="1:100" s="12" customFormat="1" outlineLevel="1" x14ac:dyDescent="0.2">
      <c r="A57" s="102"/>
      <c r="B57" s="12" t="s">
        <v>443</v>
      </c>
      <c r="C57" s="141"/>
      <c r="K57" s="372">
        <v>4.0399999999999998E-2</v>
      </c>
      <c r="L57" s="373">
        <v>43457</v>
      </c>
      <c r="M57" s="129">
        <v>100</v>
      </c>
      <c r="N57" s="129">
        <v>0</v>
      </c>
      <c r="O57" s="376">
        <f t="shared" si="49"/>
        <v>0</v>
      </c>
      <c r="Q57" s="375">
        <f t="shared" si="50"/>
        <v>4.484931506849315</v>
      </c>
      <c r="R57" s="12">
        <f t="shared" si="42"/>
        <v>-100</v>
      </c>
      <c r="T57" s="61">
        <f>IF(AND($L57&lt;T$49,$L57&gt;S$49),-$N57,0)</f>
        <v>0</v>
      </c>
      <c r="U57" s="61">
        <f t="shared" si="44"/>
        <v>0</v>
      </c>
      <c r="V57" s="61">
        <f t="shared" si="45"/>
        <v>0</v>
      </c>
      <c r="W57" s="61">
        <f t="shared" si="45"/>
        <v>0</v>
      </c>
      <c r="X57" s="61">
        <f t="shared" si="45"/>
        <v>0</v>
      </c>
      <c r="Y57" s="61">
        <f t="shared" si="45"/>
        <v>-100</v>
      </c>
      <c r="Z57" s="61">
        <f t="shared" si="45"/>
        <v>0</v>
      </c>
      <c r="AA57" s="61">
        <f t="shared" si="45"/>
        <v>0</v>
      </c>
      <c r="AB57" s="61">
        <f t="shared" si="45"/>
        <v>0</v>
      </c>
      <c r="AC57" s="61">
        <f t="shared" si="45"/>
        <v>0</v>
      </c>
      <c r="AD57" s="61">
        <f t="shared" si="45"/>
        <v>0</v>
      </c>
      <c r="AE57" s="61">
        <f t="shared" si="45"/>
        <v>0</v>
      </c>
      <c r="AF57" s="61">
        <f t="shared" si="45"/>
        <v>0</v>
      </c>
      <c r="AG57" s="61">
        <f t="shared" si="45"/>
        <v>0</v>
      </c>
      <c r="AH57" s="61">
        <f t="shared" si="45"/>
        <v>0</v>
      </c>
      <c r="AI57" s="61">
        <f t="shared" si="45"/>
        <v>0</v>
      </c>
      <c r="AJ57" s="61">
        <f t="shared" si="45"/>
        <v>0</v>
      </c>
      <c r="AK57" s="61">
        <f t="shared" si="45"/>
        <v>0</v>
      </c>
      <c r="AL57" s="61">
        <f t="shared" si="45"/>
        <v>0</v>
      </c>
      <c r="AM57" s="61">
        <f t="shared" si="45"/>
        <v>0</v>
      </c>
      <c r="AN57" s="61">
        <f t="shared" si="45"/>
        <v>0</v>
      </c>
      <c r="AO57" s="61">
        <f t="shared" si="45"/>
        <v>0</v>
      </c>
      <c r="AP57" s="61">
        <f t="shared" si="45"/>
        <v>0</v>
      </c>
      <c r="AQ57" s="61">
        <f t="shared" si="45"/>
        <v>0</v>
      </c>
      <c r="AR57" s="61">
        <f t="shared" si="45"/>
        <v>0</v>
      </c>
      <c r="AS57" s="61">
        <f t="shared" si="45"/>
        <v>0</v>
      </c>
      <c r="AT57" s="61">
        <f t="shared" si="45"/>
        <v>0</v>
      </c>
      <c r="AU57" s="61">
        <f t="shared" si="45"/>
        <v>0</v>
      </c>
      <c r="AV57" s="61">
        <f t="shared" si="45"/>
        <v>0</v>
      </c>
      <c r="AW57" s="61">
        <f t="shared" si="45"/>
        <v>0</v>
      </c>
      <c r="AX57" s="61">
        <f t="shared" si="45"/>
        <v>0</v>
      </c>
      <c r="AY57" s="61">
        <f t="shared" si="45"/>
        <v>0</v>
      </c>
      <c r="AZ57" s="61">
        <f t="shared" si="45"/>
        <v>0</v>
      </c>
      <c r="BA57" s="61">
        <f t="shared" si="45"/>
        <v>0</v>
      </c>
      <c r="BB57" s="61">
        <f t="shared" si="45"/>
        <v>0</v>
      </c>
      <c r="BC57" s="61">
        <f t="shared" si="45"/>
        <v>0</v>
      </c>
      <c r="BD57" s="61">
        <f t="shared" si="45"/>
        <v>0</v>
      </c>
      <c r="BE57" s="61">
        <f t="shared" si="46"/>
        <v>0</v>
      </c>
      <c r="BF57" s="61">
        <f t="shared" si="46"/>
        <v>0</v>
      </c>
      <c r="BG57" s="61">
        <f t="shared" si="46"/>
        <v>0</v>
      </c>
      <c r="BH57" s="61">
        <f t="shared" si="46"/>
        <v>0</v>
      </c>
      <c r="BI57" s="61">
        <f t="shared" si="46"/>
        <v>0</v>
      </c>
      <c r="BJ57" s="61">
        <f t="shared" si="46"/>
        <v>0</v>
      </c>
      <c r="BK57" s="61">
        <f t="shared" si="46"/>
        <v>0</v>
      </c>
      <c r="BL57" s="61">
        <f t="shared" si="46"/>
        <v>0</v>
      </c>
      <c r="BM57" s="61">
        <f t="shared" si="46"/>
        <v>0</v>
      </c>
      <c r="BN57" s="61">
        <f t="shared" si="46"/>
        <v>0</v>
      </c>
      <c r="BO57" s="61">
        <f t="shared" si="46"/>
        <v>0</v>
      </c>
      <c r="BP57" s="61">
        <f t="shared" si="46"/>
        <v>0</v>
      </c>
      <c r="BQ57" s="61">
        <f t="shared" si="46"/>
        <v>0</v>
      </c>
      <c r="BR57" s="61">
        <f t="shared" si="46"/>
        <v>0</v>
      </c>
      <c r="BS57" s="61">
        <f t="shared" si="46"/>
        <v>0</v>
      </c>
      <c r="BT57" s="61">
        <f t="shared" si="46"/>
        <v>0</v>
      </c>
      <c r="BU57" s="61">
        <f t="shared" si="47"/>
        <v>0</v>
      </c>
      <c r="BV57" s="61">
        <f t="shared" si="47"/>
        <v>0</v>
      </c>
      <c r="BW57" s="61">
        <f t="shared" si="47"/>
        <v>0</v>
      </c>
      <c r="BX57" s="61">
        <f t="shared" si="47"/>
        <v>0</v>
      </c>
      <c r="BY57" s="61">
        <f t="shared" si="47"/>
        <v>0</v>
      </c>
      <c r="BZ57" s="61">
        <f t="shared" si="47"/>
        <v>0</v>
      </c>
      <c r="CA57" s="61">
        <f t="shared" si="47"/>
        <v>0</v>
      </c>
      <c r="CB57" s="61">
        <f t="shared" si="47"/>
        <v>0</v>
      </c>
      <c r="CC57" s="61">
        <f t="shared" si="47"/>
        <v>0</v>
      </c>
      <c r="CD57" s="61">
        <f t="shared" si="47"/>
        <v>0</v>
      </c>
      <c r="CE57" s="61">
        <f t="shared" si="47"/>
        <v>0</v>
      </c>
      <c r="CF57" s="61">
        <f t="shared" si="47"/>
        <v>0</v>
      </c>
      <c r="CG57" s="61">
        <f t="shared" si="47"/>
        <v>0</v>
      </c>
      <c r="CH57" s="61">
        <f t="shared" si="47"/>
        <v>0</v>
      </c>
      <c r="CI57" s="61">
        <f t="shared" si="47"/>
        <v>0</v>
      </c>
      <c r="CJ57" s="61">
        <f t="shared" si="47"/>
        <v>0</v>
      </c>
      <c r="CK57" s="61">
        <f t="shared" si="48"/>
        <v>0</v>
      </c>
      <c r="CL57" s="61">
        <f t="shared" si="48"/>
        <v>0</v>
      </c>
      <c r="CM57" s="61">
        <f t="shared" si="48"/>
        <v>0</v>
      </c>
      <c r="CN57" s="61">
        <f t="shared" si="48"/>
        <v>0</v>
      </c>
      <c r="CO57" s="61">
        <f t="shared" si="48"/>
        <v>0</v>
      </c>
      <c r="CP57" s="61">
        <f t="shared" si="48"/>
        <v>0</v>
      </c>
      <c r="CQ57" s="23"/>
      <c r="CT57" s="375"/>
      <c r="CU57" s="375"/>
      <c r="CV57" s="375"/>
    </row>
    <row r="58" spans="1:100" s="12" customFormat="1" outlineLevel="1" x14ac:dyDescent="0.2">
      <c r="A58" s="102"/>
      <c r="B58" s="12" t="s">
        <v>444</v>
      </c>
      <c r="C58" s="141"/>
      <c r="K58" s="372">
        <v>4.0399999999999998E-2</v>
      </c>
      <c r="L58" s="373">
        <v>43669</v>
      </c>
      <c r="M58" s="129">
        <v>425</v>
      </c>
      <c r="N58" s="129">
        <v>0</v>
      </c>
      <c r="O58" s="376">
        <f t="shared" si="49"/>
        <v>0</v>
      </c>
      <c r="Q58" s="375">
        <f t="shared" si="50"/>
        <v>5.065753424657534</v>
      </c>
      <c r="R58" s="12">
        <f t="shared" si="42"/>
        <v>-425</v>
      </c>
      <c r="T58" s="61">
        <f>IF(AND($L58&lt;T$49,$L58&gt;S$49),-$N58,0)</f>
        <v>0</v>
      </c>
      <c r="U58" s="61">
        <f t="shared" si="44"/>
        <v>0</v>
      </c>
      <c r="V58" s="61">
        <f t="shared" si="45"/>
        <v>0</v>
      </c>
      <c r="W58" s="61">
        <f t="shared" si="45"/>
        <v>0</v>
      </c>
      <c r="X58" s="61">
        <f t="shared" si="45"/>
        <v>0</v>
      </c>
      <c r="Y58" s="61">
        <f t="shared" si="45"/>
        <v>0</v>
      </c>
      <c r="Z58" s="61">
        <f t="shared" si="45"/>
        <v>-425</v>
      </c>
      <c r="AA58" s="61">
        <f t="shared" si="45"/>
        <v>0</v>
      </c>
      <c r="AB58" s="61">
        <f t="shared" si="45"/>
        <v>0</v>
      </c>
      <c r="AC58" s="61">
        <f t="shared" si="45"/>
        <v>0</v>
      </c>
      <c r="AD58" s="61">
        <f t="shared" si="45"/>
        <v>0</v>
      </c>
      <c r="AE58" s="61">
        <f t="shared" si="45"/>
        <v>0</v>
      </c>
      <c r="AF58" s="61">
        <f t="shared" si="45"/>
        <v>0</v>
      </c>
      <c r="AG58" s="61">
        <f t="shared" si="45"/>
        <v>0</v>
      </c>
      <c r="AH58" s="61">
        <f t="shared" si="45"/>
        <v>0</v>
      </c>
      <c r="AI58" s="61">
        <f t="shared" si="45"/>
        <v>0</v>
      </c>
      <c r="AJ58" s="61">
        <f t="shared" si="45"/>
        <v>0</v>
      </c>
      <c r="AK58" s="61">
        <f t="shared" si="45"/>
        <v>0</v>
      </c>
      <c r="AL58" s="61">
        <f t="shared" si="45"/>
        <v>0</v>
      </c>
      <c r="AM58" s="61">
        <f t="shared" si="45"/>
        <v>0</v>
      </c>
      <c r="AN58" s="61">
        <f t="shared" si="45"/>
        <v>0</v>
      </c>
      <c r="AO58" s="61">
        <f t="shared" si="45"/>
        <v>0</v>
      </c>
      <c r="AP58" s="61">
        <f t="shared" si="45"/>
        <v>0</v>
      </c>
      <c r="AQ58" s="61">
        <f t="shared" si="45"/>
        <v>0</v>
      </c>
      <c r="AR58" s="61">
        <f t="shared" si="45"/>
        <v>0</v>
      </c>
      <c r="AS58" s="61">
        <f t="shared" si="45"/>
        <v>0</v>
      </c>
      <c r="AT58" s="61">
        <f t="shared" si="45"/>
        <v>0</v>
      </c>
      <c r="AU58" s="61">
        <f t="shared" si="45"/>
        <v>0</v>
      </c>
      <c r="AV58" s="61">
        <f t="shared" si="45"/>
        <v>0</v>
      </c>
      <c r="AW58" s="61">
        <f t="shared" si="45"/>
        <v>0</v>
      </c>
      <c r="AX58" s="61">
        <f t="shared" si="45"/>
        <v>0</v>
      </c>
      <c r="AY58" s="61">
        <f t="shared" si="45"/>
        <v>0</v>
      </c>
      <c r="AZ58" s="61">
        <f t="shared" si="45"/>
        <v>0</v>
      </c>
      <c r="BA58" s="61">
        <f t="shared" si="45"/>
        <v>0</v>
      </c>
      <c r="BB58" s="61">
        <f t="shared" si="45"/>
        <v>0</v>
      </c>
      <c r="BC58" s="61">
        <f t="shared" si="45"/>
        <v>0</v>
      </c>
      <c r="BD58" s="61">
        <f t="shared" si="45"/>
        <v>0</v>
      </c>
      <c r="BE58" s="61">
        <f t="shared" si="46"/>
        <v>0</v>
      </c>
      <c r="BF58" s="61">
        <f t="shared" si="46"/>
        <v>0</v>
      </c>
      <c r="BG58" s="61">
        <f t="shared" si="46"/>
        <v>0</v>
      </c>
      <c r="BH58" s="61">
        <f t="shared" si="46"/>
        <v>0</v>
      </c>
      <c r="BI58" s="61">
        <f t="shared" si="46"/>
        <v>0</v>
      </c>
      <c r="BJ58" s="61">
        <f t="shared" si="46"/>
        <v>0</v>
      </c>
      <c r="BK58" s="61">
        <f t="shared" si="46"/>
        <v>0</v>
      </c>
      <c r="BL58" s="61">
        <f t="shared" si="46"/>
        <v>0</v>
      </c>
      <c r="BM58" s="61">
        <f t="shared" si="46"/>
        <v>0</v>
      </c>
      <c r="BN58" s="61">
        <f t="shared" si="46"/>
        <v>0</v>
      </c>
      <c r="BO58" s="61">
        <f t="shared" si="46"/>
        <v>0</v>
      </c>
      <c r="BP58" s="61">
        <f t="shared" si="46"/>
        <v>0</v>
      </c>
      <c r="BQ58" s="61">
        <f t="shared" si="46"/>
        <v>0</v>
      </c>
      <c r="BR58" s="61">
        <f t="shared" si="46"/>
        <v>0</v>
      </c>
      <c r="BS58" s="61">
        <f t="shared" si="46"/>
        <v>0</v>
      </c>
      <c r="BT58" s="61">
        <f t="shared" si="46"/>
        <v>0</v>
      </c>
      <c r="BU58" s="61">
        <f t="shared" si="47"/>
        <v>0</v>
      </c>
      <c r="BV58" s="61">
        <f t="shared" si="47"/>
        <v>0</v>
      </c>
      <c r="BW58" s="61">
        <f t="shared" si="47"/>
        <v>0</v>
      </c>
      <c r="BX58" s="61">
        <f t="shared" si="47"/>
        <v>0</v>
      </c>
      <c r="BY58" s="61">
        <f t="shared" si="47"/>
        <v>0</v>
      </c>
      <c r="BZ58" s="61">
        <f t="shared" si="47"/>
        <v>0</v>
      </c>
      <c r="CA58" s="61">
        <f t="shared" si="47"/>
        <v>0</v>
      </c>
      <c r="CB58" s="61">
        <f t="shared" si="47"/>
        <v>0</v>
      </c>
      <c r="CC58" s="61">
        <f t="shared" si="47"/>
        <v>0</v>
      </c>
      <c r="CD58" s="61">
        <f t="shared" si="47"/>
        <v>0</v>
      </c>
      <c r="CE58" s="61">
        <f t="shared" si="47"/>
        <v>0</v>
      </c>
      <c r="CF58" s="61">
        <f t="shared" si="47"/>
        <v>0</v>
      </c>
      <c r="CG58" s="61">
        <f t="shared" si="47"/>
        <v>0</v>
      </c>
      <c r="CH58" s="61">
        <f t="shared" si="47"/>
        <v>0</v>
      </c>
      <c r="CI58" s="61">
        <f t="shared" si="47"/>
        <v>0</v>
      </c>
      <c r="CJ58" s="61">
        <f t="shared" si="47"/>
        <v>0</v>
      </c>
      <c r="CK58" s="61">
        <f t="shared" si="48"/>
        <v>0</v>
      </c>
      <c r="CL58" s="61">
        <f t="shared" si="48"/>
        <v>0</v>
      </c>
      <c r="CM58" s="61">
        <f t="shared" si="48"/>
        <v>0</v>
      </c>
      <c r="CN58" s="61">
        <f t="shared" si="48"/>
        <v>0</v>
      </c>
      <c r="CO58" s="61">
        <f t="shared" si="48"/>
        <v>0</v>
      </c>
      <c r="CP58" s="61">
        <f t="shared" si="48"/>
        <v>0</v>
      </c>
      <c r="CQ58" s="23"/>
      <c r="CT58" s="375"/>
      <c r="CU58" s="375"/>
      <c r="CV58" s="375"/>
    </row>
    <row r="59" spans="1:100" s="12" customFormat="1" outlineLevel="1" x14ac:dyDescent="0.2">
      <c r="A59" s="102"/>
      <c r="B59" s="12" t="s">
        <v>399</v>
      </c>
      <c r="C59" s="141"/>
      <c r="K59" s="372">
        <v>3.0499999999999999E-2</v>
      </c>
      <c r="L59" s="373">
        <v>43190</v>
      </c>
      <c r="M59" s="129">
        <v>515</v>
      </c>
      <c r="N59" s="129">
        <f>M59</f>
        <v>515</v>
      </c>
      <c r="O59" s="376">
        <f t="shared" si="49"/>
        <v>1</v>
      </c>
      <c r="Q59" s="375">
        <f t="shared" si="50"/>
        <v>3.7534246575342465</v>
      </c>
      <c r="R59" s="12">
        <f t="shared" si="42"/>
        <v>-515</v>
      </c>
      <c r="T59" s="61">
        <f>IF(AND($L59&lt;T$49,$L59&gt;S$49),-$N59,0)</f>
        <v>0</v>
      </c>
      <c r="U59" s="61">
        <f t="shared" si="44"/>
        <v>0</v>
      </c>
      <c r="V59" s="61">
        <f t="shared" si="45"/>
        <v>0</v>
      </c>
      <c r="W59" s="61">
        <f t="shared" si="45"/>
        <v>0</v>
      </c>
      <c r="X59" s="61">
        <f t="shared" si="45"/>
        <v>-515</v>
      </c>
      <c r="Y59" s="61">
        <f t="shared" si="45"/>
        <v>0</v>
      </c>
      <c r="Z59" s="61">
        <f t="shared" si="45"/>
        <v>0</v>
      </c>
      <c r="AA59" s="61">
        <f t="shared" si="45"/>
        <v>0</v>
      </c>
      <c r="AB59" s="61">
        <f t="shared" si="45"/>
        <v>0</v>
      </c>
      <c r="AC59" s="61">
        <f t="shared" si="45"/>
        <v>0</v>
      </c>
      <c r="AD59" s="61">
        <f t="shared" si="45"/>
        <v>0</v>
      </c>
      <c r="AE59" s="61">
        <f t="shared" si="45"/>
        <v>0</v>
      </c>
      <c r="AF59" s="61">
        <f t="shared" si="45"/>
        <v>0</v>
      </c>
      <c r="AG59" s="61">
        <f t="shared" si="45"/>
        <v>0</v>
      </c>
      <c r="AH59" s="61">
        <f t="shared" si="45"/>
        <v>0</v>
      </c>
      <c r="AI59" s="61">
        <f t="shared" si="45"/>
        <v>0</v>
      </c>
      <c r="AJ59" s="61">
        <f t="shared" si="45"/>
        <v>0</v>
      </c>
      <c r="AK59" s="61">
        <f t="shared" si="45"/>
        <v>0</v>
      </c>
      <c r="AL59" s="61">
        <f t="shared" si="45"/>
        <v>0</v>
      </c>
      <c r="AM59" s="61">
        <f t="shared" si="45"/>
        <v>0</v>
      </c>
      <c r="AN59" s="61">
        <f t="shared" si="45"/>
        <v>0</v>
      </c>
      <c r="AO59" s="61">
        <f t="shared" si="45"/>
        <v>0</v>
      </c>
      <c r="AP59" s="61">
        <f t="shared" si="45"/>
        <v>0</v>
      </c>
      <c r="AQ59" s="61">
        <f t="shared" si="45"/>
        <v>0</v>
      </c>
      <c r="AR59" s="61">
        <f t="shared" si="45"/>
        <v>0</v>
      </c>
      <c r="AS59" s="61">
        <f t="shared" si="45"/>
        <v>0</v>
      </c>
      <c r="AT59" s="61">
        <f t="shared" si="45"/>
        <v>0</v>
      </c>
      <c r="AU59" s="61">
        <f t="shared" ref="V59:BD66" si="52">IF(AND($L59&lt;AU$49,$L59&gt;AT$49),-$M59,0)</f>
        <v>0</v>
      </c>
      <c r="AV59" s="61">
        <f t="shared" si="52"/>
        <v>0</v>
      </c>
      <c r="AW59" s="61">
        <f t="shared" si="52"/>
        <v>0</v>
      </c>
      <c r="AX59" s="61">
        <f t="shared" si="52"/>
        <v>0</v>
      </c>
      <c r="AY59" s="61">
        <f t="shared" si="52"/>
        <v>0</v>
      </c>
      <c r="AZ59" s="61">
        <f t="shared" si="52"/>
        <v>0</v>
      </c>
      <c r="BA59" s="61">
        <f t="shared" si="52"/>
        <v>0</v>
      </c>
      <c r="BB59" s="61">
        <f t="shared" si="52"/>
        <v>0</v>
      </c>
      <c r="BC59" s="61">
        <f t="shared" si="52"/>
        <v>0</v>
      </c>
      <c r="BD59" s="61">
        <f t="shared" si="52"/>
        <v>0</v>
      </c>
      <c r="BE59" s="61">
        <f t="shared" si="46"/>
        <v>0</v>
      </c>
      <c r="BF59" s="61">
        <f t="shared" si="46"/>
        <v>0</v>
      </c>
      <c r="BG59" s="61">
        <f t="shared" si="46"/>
        <v>0</v>
      </c>
      <c r="BH59" s="61">
        <f t="shared" si="46"/>
        <v>0</v>
      </c>
      <c r="BI59" s="61">
        <f t="shared" si="46"/>
        <v>0</v>
      </c>
      <c r="BJ59" s="61">
        <f t="shared" si="46"/>
        <v>0</v>
      </c>
      <c r="BK59" s="61">
        <f t="shared" si="46"/>
        <v>0</v>
      </c>
      <c r="BL59" s="61">
        <f t="shared" si="46"/>
        <v>0</v>
      </c>
      <c r="BM59" s="61">
        <f t="shared" si="46"/>
        <v>0</v>
      </c>
      <c r="BN59" s="61">
        <f t="shared" si="46"/>
        <v>0</v>
      </c>
      <c r="BO59" s="61">
        <f t="shared" si="46"/>
        <v>0</v>
      </c>
      <c r="BP59" s="61">
        <f t="shared" si="46"/>
        <v>0</v>
      </c>
      <c r="BQ59" s="61">
        <f t="shared" si="46"/>
        <v>0</v>
      </c>
      <c r="BR59" s="61">
        <f t="shared" si="46"/>
        <v>0</v>
      </c>
      <c r="BS59" s="61">
        <f t="shared" si="46"/>
        <v>0</v>
      </c>
      <c r="BT59" s="61">
        <f t="shared" si="46"/>
        <v>0</v>
      </c>
      <c r="BU59" s="61">
        <f t="shared" si="47"/>
        <v>0</v>
      </c>
      <c r="BV59" s="61">
        <f t="shared" si="47"/>
        <v>0</v>
      </c>
      <c r="BW59" s="61">
        <f t="shared" si="47"/>
        <v>0</v>
      </c>
      <c r="BX59" s="61">
        <f t="shared" si="47"/>
        <v>0</v>
      </c>
      <c r="BY59" s="61">
        <f t="shared" si="47"/>
        <v>0</v>
      </c>
      <c r="BZ59" s="61">
        <f t="shared" si="47"/>
        <v>0</v>
      </c>
      <c r="CA59" s="61">
        <f t="shared" si="47"/>
        <v>0</v>
      </c>
      <c r="CB59" s="61">
        <f t="shared" si="47"/>
        <v>0</v>
      </c>
      <c r="CC59" s="61">
        <f t="shared" si="47"/>
        <v>0</v>
      </c>
      <c r="CD59" s="61">
        <f t="shared" si="47"/>
        <v>0</v>
      </c>
      <c r="CE59" s="61">
        <f t="shared" si="47"/>
        <v>0</v>
      </c>
      <c r="CF59" s="61">
        <f t="shared" si="47"/>
        <v>0</v>
      </c>
      <c r="CG59" s="61">
        <f t="shared" si="47"/>
        <v>0</v>
      </c>
      <c r="CH59" s="61">
        <f t="shared" si="47"/>
        <v>0</v>
      </c>
      <c r="CI59" s="61">
        <f t="shared" si="47"/>
        <v>0</v>
      </c>
      <c r="CJ59" s="61">
        <f t="shared" si="47"/>
        <v>0</v>
      </c>
      <c r="CK59" s="61">
        <f t="shared" si="48"/>
        <v>0</v>
      </c>
      <c r="CL59" s="61">
        <f t="shared" si="48"/>
        <v>0</v>
      </c>
      <c r="CM59" s="61">
        <f t="shared" si="48"/>
        <v>0</v>
      </c>
      <c r="CN59" s="61">
        <f t="shared" si="48"/>
        <v>0</v>
      </c>
      <c r="CO59" s="61">
        <f t="shared" si="48"/>
        <v>0</v>
      </c>
      <c r="CP59" s="61">
        <f t="shared" si="48"/>
        <v>0</v>
      </c>
      <c r="CQ59" s="23" t="s">
        <v>77</v>
      </c>
      <c r="CT59" s="375"/>
      <c r="CU59" s="375"/>
      <c r="CV59" s="375"/>
    </row>
    <row r="60" spans="1:100" s="12" customFormat="1" outlineLevel="1" x14ac:dyDescent="0.2">
      <c r="A60" s="102"/>
      <c r="B60" s="12" t="s">
        <v>400</v>
      </c>
      <c r="C60" s="141"/>
      <c r="K60" s="372">
        <v>7.7499999999999999E-2</v>
      </c>
      <c r="L60" s="373">
        <v>44034</v>
      </c>
      <c r="M60" s="129">
        <v>300</v>
      </c>
      <c r="N60" s="129">
        <f>M60</f>
        <v>300</v>
      </c>
      <c r="O60" s="376">
        <f t="shared" si="49"/>
        <v>1</v>
      </c>
      <c r="Q60" s="375">
        <f t="shared" si="50"/>
        <v>6.065753424657534</v>
      </c>
      <c r="R60" s="12">
        <f t="shared" si="42"/>
        <v>-300</v>
      </c>
      <c r="T60" s="61">
        <f>IF(AND($L60&lt;T$49,$L60&gt;S$49),-$N60,0)</f>
        <v>0</v>
      </c>
      <c r="U60" s="61">
        <f t="shared" si="44"/>
        <v>0</v>
      </c>
      <c r="V60" s="61">
        <f t="shared" si="52"/>
        <v>0</v>
      </c>
      <c r="W60" s="61">
        <f t="shared" si="52"/>
        <v>0</v>
      </c>
      <c r="X60" s="61">
        <f t="shared" si="52"/>
        <v>0</v>
      </c>
      <c r="Y60" s="61">
        <f t="shared" si="52"/>
        <v>0</v>
      </c>
      <c r="Z60" s="61">
        <f t="shared" si="52"/>
        <v>0</v>
      </c>
      <c r="AA60" s="61">
        <f t="shared" si="52"/>
        <v>-300</v>
      </c>
      <c r="AB60" s="61">
        <f t="shared" si="52"/>
        <v>0</v>
      </c>
      <c r="AC60" s="61">
        <f t="shared" si="52"/>
        <v>0</v>
      </c>
      <c r="AD60" s="61">
        <f t="shared" si="52"/>
        <v>0</v>
      </c>
      <c r="AE60" s="61">
        <f t="shared" si="52"/>
        <v>0</v>
      </c>
      <c r="AF60" s="61">
        <f t="shared" si="52"/>
        <v>0</v>
      </c>
      <c r="AG60" s="61">
        <f t="shared" si="52"/>
        <v>0</v>
      </c>
      <c r="AH60" s="61">
        <f t="shared" si="52"/>
        <v>0</v>
      </c>
      <c r="AI60" s="61">
        <f t="shared" si="52"/>
        <v>0</v>
      </c>
      <c r="AJ60" s="61">
        <f t="shared" si="52"/>
        <v>0</v>
      </c>
      <c r="AK60" s="61">
        <f t="shared" si="52"/>
        <v>0</v>
      </c>
      <c r="AL60" s="61">
        <f t="shared" si="52"/>
        <v>0</v>
      </c>
      <c r="AM60" s="61">
        <f t="shared" si="52"/>
        <v>0</v>
      </c>
      <c r="AN60" s="61">
        <f t="shared" si="52"/>
        <v>0</v>
      </c>
      <c r="AO60" s="61">
        <f t="shared" si="52"/>
        <v>0</v>
      </c>
      <c r="AP60" s="61">
        <f t="shared" si="52"/>
        <v>0</v>
      </c>
      <c r="AQ60" s="61">
        <f t="shared" si="52"/>
        <v>0</v>
      </c>
      <c r="AR60" s="61">
        <f t="shared" si="52"/>
        <v>0</v>
      </c>
      <c r="AS60" s="61">
        <f t="shared" si="52"/>
        <v>0</v>
      </c>
      <c r="AT60" s="61">
        <f t="shared" si="52"/>
        <v>0</v>
      </c>
      <c r="AU60" s="61">
        <f t="shared" si="52"/>
        <v>0</v>
      </c>
      <c r="AV60" s="61">
        <f t="shared" si="52"/>
        <v>0</v>
      </c>
      <c r="AW60" s="61">
        <f t="shared" si="52"/>
        <v>0</v>
      </c>
      <c r="AX60" s="61">
        <f t="shared" si="52"/>
        <v>0</v>
      </c>
      <c r="AY60" s="61">
        <f t="shared" si="52"/>
        <v>0</v>
      </c>
      <c r="AZ60" s="61">
        <f t="shared" si="52"/>
        <v>0</v>
      </c>
      <c r="BA60" s="61">
        <f t="shared" si="52"/>
        <v>0</v>
      </c>
      <c r="BB60" s="61">
        <f t="shared" si="52"/>
        <v>0</v>
      </c>
      <c r="BC60" s="61">
        <f t="shared" si="52"/>
        <v>0</v>
      </c>
      <c r="BD60" s="61">
        <f t="shared" si="52"/>
        <v>0</v>
      </c>
      <c r="BE60" s="61">
        <f t="shared" si="46"/>
        <v>0</v>
      </c>
      <c r="BF60" s="61">
        <f t="shared" si="46"/>
        <v>0</v>
      </c>
      <c r="BG60" s="61">
        <f t="shared" si="46"/>
        <v>0</v>
      </c>
      <c r="BH60" s="61">
        <f t="shared" si="46"/>
        <v>0</v>
      </c>
      <c r="BI60" s="61">
        <f t="shared" si="46"/>
        <v>0</v>
      </c>
      <c r="BJ60" s="61">
        <f t="shared" si="46"/>
        <v>0</v>
      </c>
      <c r="BK60" s="61">
        <f t="shared" si="46"/>
        <v>0</v>
      </c>
      <c r="BL60" s="61">
        <f t="shared" si="46"/>
        <v>0</v>
      </c>
      <c r="BM60" s="61">
        <f t="shared" si="46"/>
        <v>0</v>
      </c>
      <c r="BN60" s="61">
        <f t="shared" si="46"/>
        <v>0</v>
      </c>
      <c r="BO60" s="61">
        <f t="shared" si="46"/>
        <v>0</v>
      </c>
      <c r="BP60" s="61">
        <f t="shared" si="46"/>
        <v>0</v>
      </c>
      <c r="BQ60" s="61">
        <f t="shared" si="46"/>
        <v>0</v>
      </c>
      <c r="BR60" s="61">
        <f t="shared" si="46"/>
        <v>0</v>
      </c>
      <c r="BS60" s="61">
        <f t="shared" si="46"/>
        <v>0</v>
      </c>
      <c r="BT60" s="61">
        <f t="shared" si="46"/>
        <v>0</v>
      </c>
      <c r="BU60" s="61">
        <f t="shared" si="47"/>
        <v>0</v>
      </c>
      <c r="BV60" s="61">
        <f t="shared" si="47"/>
        <v>0</v>
      </c>
      <c r="BW60" s="61">
        <f t="shared" si="47"/>
        <v>0</v>
      </c>
      <c r="BX60" s="61">
        <f t="shared" si="47"/>
        <v>0</v>
      </c>
      <c r="BY60" s="61">
        <f t="shared" si="47"/>
        <v>0</v>
      </c>
      <c r="BZ60" s="61">
        <f t="shared" si="47"/>
        <v>0</v>
      </c>
      <c r="CA60" s="61">
        <f t="shared" si="47"/>
        <v>0</v>
      </c>
      <c r="CB60" s="61">
        <f t="shared" si="47"/>
        <v>0</v>
      </c>
      <c r="CC60" s="61">
        <f t="shared" si="47"/>
        <v>0</v>
      </c>
      <c r="CD60" s="61">
        <f t="shared" si="47"/>
        <v>0</v>
      </c>
      <c r="CE60" s="61">
        <f t="shared" si="47"/>
        <v>0</v>
      </c>
      <c r="CF60" s="61">
        <f t="shared" si="47"/>
        <v>0</v>
      </c>
      <c r="CG60" s="61">
        <f t="shared" si="47"/>
        <v>0</v>
      </c>
      <c r="CH60" s="61">
        <f t="shared" si="47"/>
        <v>0</v>
      </c>
      <c r="CI60" s="61">
        <f t="shared" si="47"/>
        <v>0</v>
      </c>
      <c r="CJ60" s="61">
        <f t="shared" si="47"/>
        <v>0</v>
      </c>
      <c r="CK60" s="61">
        <f t="shared" si="48"/>
        <v>0</v>
      </c>
      <c r="CL60" s="61">
        <f t="shared" si="48"/>
        <v>0</v>
      </c>
      <c r="CM60" s="61">
        <f t="shared" si="48"/>
        <v>0</v>
      </c>
      <c r="CN60" s="61">
        <f t="shared" si="48"/>
        <v>0</v>
      </c>
      <c r="CO60" s="61">
        <f t="shared" si="48"/>
        <v>0</v>
      </c>
      <c r="CP60" s="61">
        <f t="shared" si="48"/>
        <v>0</v>
      </c>
      <c r="CQ60" s="23" t="s">
        <v>77</v>
      </c>
      <c r="CT60" s="375"/>
      <c r="CU60" s="375"/>
      <c r="CV60" s="375"/>
    </row>
    <row r="61" spans="1:100" s="12" customFormat="1" outlineLevel="1" x14ac:dyDescent="0.2">
      <c r="A61" s="102"/>
      <c r="B61" s="12" t="s">
        <v>401</v>
      </c>
      <c r="C61" s="141"/>
      <c r="K61" s="372">
        <v>5.7700000000000001E-2</v>
      </c>
      <c r="L61" s="373">
        <v>42256</v>
      </c>
      <c r="M61" s="129">
        <v>171</v>
      </c>
      <c r="N61" s="129">
        <f>M61</f>
        <v>171</v>
      </c>
      <c r="O61" s="376">
        <f t="shared" si="49"/>
        <v>1</v>
      </c>
      <c r="Q61" s="375">
        <f t="shared" si="50"/>
        <v>1.1945205479452055</v>
      </c>
      <c r="R61" s="12">
        <f t="shared" si="42"/>
        <v>-171</v>
      </c>
      <c r="T61" s="61">
        <f t="shared" si="43"/>
        <v>0</v>
      </c>
      <c r="U61" s="61">
        <f t="shared" si="44"/>
        <v>0</v>
      </c>
      <c r="V61" s="61">
        <f t="shared" si="52"/>
        <v>-171</v>
      </c>
      <c r="W61" s="61">
        <f t="shared" si="52"/>
        <v>0</v>
      </c>
      <c r="X61" s="61">
        <f t="shared" si="52"/>
        <v>0</v>
      </c>
      <c r="Y61" s="61">
        <f t="shared" si="52"/>
        <v>0</v>
      </c>
      <c r="Z61" s="61">
        <f t="shared" si="52"/>
        <v>0</v>
      </c>
      <c r="AA61" s="61">
        <f t="shared" si="52"/>
        <v>0</v>
      </c>
      <c r="AB61" s="61">
        <f t="shared" si="52"/>
        <v>0</v>
      </c>
      <c r="AC61" s="61">
        <f t="shared" si="52"/>
        <v>0</v>
      </c>
      <c r="AD61" s="61">
        <f t="shared" si="52"/>
        <v>0</v>
      </c>
      <c r="AE61" s="61">
        <f t="shared" si="52"/>
        <v>0</v>
      </c>
      <c r="AF61" s="61">
        <f t="shared" si="52"/>
        <v>0</v>
      </c>
      <c r="AG61" s="61">
        <f t="shared" si="52"/>
        <v>0</v>
      </c>
      <c r="AH61" s="61">
        <f t="shared" si="52"/>
        <v>0</v>
      </c>
      <c r="AI61" s="61">
        <f t="shared" si="52"/>
        <v>0</v>
      </c>
      <c r="AJ61" s="61">
        <f t="shared" si="52"/>
        <v>0</v>
      </c>
      <c r="AK61" s="61">
        <f t="shared" si="52"/>
        <v>0</v>
      </c>
      <c r="AL61" s="61">
        <f t="shared" si="52"/>
        <v>0</v>
      </c>
      <c r="AM61" s="61">
        <f t="shared" si="52"/>
        <v>0</v>
      </c>
      <c r="AN61" s="61">
        <f t="shared" si="52"/>
        <v>0</v>
      </c>
      <c r="AO61" s="61">
        <f t="shared" si="52"/>
        <v>0</v>
      </c>
      <c r="AP61" s="61">
        <f t="shared" si="52"/>
        <v>0</v>
      </c>
      <c r="AQ61" s="61">
        <f t="shared" si="52"/>
        <v>0</v>
      </c>
      <c r="AR61" s="61">
        <f t="shared" si="52"/>
        <v>0</v>
      </c>
      <c r="AS61" s="61">
        <f t="shared" si="52"/>
        <v>0</v>
      </c>
      <c r="AT61" s="61">
        <f t="shared" si="52"/>
        <v>0</v>
      </c>
      <c r="AU61" s="61">
        <f t="shared" si="52"/>
        <v>0</v>
      </c>
      <c r="AV61" s="61">
        <f t="shared" si="52"/>
        <v>0</v>
      </c>
      <c r="AW61" s="61">
        <f t="shared" si="52"/>
        <v>0</v>
      </c>
      <c r="AX61" s="61">
        <f t="shared" si="52"/>
        <v>0</v>
      </c>
      <c r="AY61" s="61">
        <f t="shared" si="52"/>
        <v>0</v>
      </c>
      <c r="AZ61" s="61">
        <f t="shared" si="52"/>
        <v>0</v>
      </c>
      <c r="BA61" s="61">
        <f t="shared" si="52"/>
        <v>0</v>
      </c>
      <c r="BB61" s="61">
        <f t="shared" si="52"/>
        <v>0</v>
      </c>
      <c r="BC61" s="61">
        <f t="shared" si="52"/>
        <v>0</v>
      </c>
      <c r="BD61" s="61">
        <f t="shared" si="52"/>
        <v>0</v>
      </c>
      <c r="BE61" s="61">
        <f t="shared" si="46"/>
        <v>0</v>
      </c>
      <c r="BF61" s="61">
        <f t="shared" si="46"/>
        <v>0</v>
      </c>
      <c r="BG61" s="61">
        <f t="shared" si="46"/>
        <v>0</v>
      </c>
      <c r="BH61" s="61">
        <f t="shared" si="46"/>
        <v>0</v>
      </c>
      <c r="BI61" s="61">
        <f t="shared" si="46"/>
        <v>0</v>
      </c>
      <c r="BJ61" s="61">
        <f t="shared" si="46"/>
        <v>0</v>
      </c>
      <c r="BK61" s="61">
        <f t="shared" si="46"/>
        <v>0</v>
      </c>
      <c r="BL61" s="61">
        <f t="shared" si="46"/>
        <v>0</v>
      </c>
      <c r="BM61" s="61">
        <f t="shared" si="46"/>
        <v>0</v>
      </c>
      <c r="BN61" s="61">
        <f t="shared" si="46"/>
        <v>0</v>
      </c>
      <c r="BO61" s="61">
        <f t="shared" si="46"/>
        <v>0</v>
      </c>
      <c r="BP61" s="61">
        <f t="shared" si="46"/>
        <v>0</v>
      </c>
      <c r="BQ61" s="61">
        <f t="shared" si="46"/>
        <v>0</v>
      </c>
      <c r="BR61" s="61">
        <f t="shared" si="46"/>
        <v>0</v>
      </c>
      <c r="BS61" s="61">
        <f t="shared" si="46"/>
        <v>0</v>
      </c>
      <c r="BT61" s="61">
        <f t="shared" si="46"/>
        <v>0</v>
      </c>
      <c r="BU61" s="61">
        <f t="shared" si="47"/>
        <v>0</v>
      </c>
      <c r="BV61" s="61">
        <f t="shared" si="47"/>
        <v>0</v>
      </c>
      <c r="BW61" s="61">
        <f t="shared" si="47"/>
        <v>0</v>
      </c>
      <c r="BX61" s="61">
        <f t="shared" si="47"/>
        <v>0</v>
      </c>
      <c r="BY61" s="61">
        <f t="shared" si="47"/>
        <v>0</v>
      </c>
      <c r="BZ61" s="61">
        <f t="shared" si="47"/>
        <v>0</v>
      </c>
      <c r="CA61" s="61">
        <f t="shared" si="47"/>
        <v>0</v>
      </c>
      <c r="CB61" s="61">
        <f t="shared" si="47"/>
        <v>0</v>
      </c>
      <c r="CC61" s="61">
        <f t="shared" si="47"/>
        <v>0</v>
      </c>
      <c r="CD61" s="61">
        <f t="shared" si="47"/>
        <v>0</v>
      </c>
      <c r="CE61" s="61">
        <f t="shared" si="47"/>
        <v>0</v>
      </c>
      <c r="CF61" s="61">
        <f t="shared" si="47"/>
        <v>0</v>
      </c>
      <c r="CG61" s="61">
        <f t="shared" si="47"/>
        <v>0</v>
      </c>
      <c r="CH61" s="61">
        <f t="shared" si="47"/>
        <v>0</v>
      </c>
      <c r="CI61" s="61">
        <f t="shared" si="47"/>
        <v>0</v>
      </c>
      <c r="CJ61" s="61">
        <f t="shared" si="47"/>
        <v>0</v>
      </c>
      <c r="CK61" s="61">
        <f t="shared" si="48"/>
        <v>0</v>
      </c>
      <c r="CL61" s="61">
        <f t="shared" si="48"/>
        <v>0</v>
      </c>
      <c r="CM61" s="61">
        <f t="shared" si="48"/>
        <v>0</v>
      </c>
      <c r="CN61" s="61">
        <f t="shared" si="48"/>
        <v>0</v>
      </c>
      <c r="CO61" s="61">
        <f t="shared" si="48"/>
        <v>0</v>
      </c>
      <c r="CP61" s="61">
        <f t="shared" si="48"/>
        <v>0</v>
      </c>
      <c r="CQ61" s="23" t="s">
        <v>77</v>
      </c>
      <c r="CT61" s="375"/>
      <c r="CU61" s="375"/>
      <c r="CV61" s="375"/>
    </row>
    <row r="62" spans="1:100" s="12" customFormat="1" outlineLevel="1" x14ac:dyDescent="0.2">
      <c r="A62" s="102"/>
      <c r="B62" s="12" t="s">
        <v>402</v>
      </c>
      <c r="C62" s="141"/>
      <c r="K62" s="372">
        <v>6.0199999999999997E-2</v>
      </c>
      <c r="L62" s="373">
        <v>43352</v>
      </c>
      <c r="M62" s="129">
        <v>125</v>
      </c>
      <c r="N62" s="129">
        <f t="shared" ref="N62:N72" si="53">M62</f>
        <v>125</v>
      </c>
      <c r="O62" s="376">
        <f>+N62/M62</f>
        <v>1</v>
      </c>
      <c r="Q62" s="375">
        <f t="shared" si="50"/>
        <v>4.1972602739726028</v>
      </c>
      <c r="R62" s="12">
        <f>SUM(T62:BD62)</f>
        <v>-125</v>
      </c>
      <c r="T62" s="61">
        <f>IF(AND($L62&lt;T$49,$L62&gt;S$49),-$N62,0)</f>
        <v>0</v>
      </c>
      <c r="U62" s="61">
        <f t="shared" si="44"/>
        <v>0</v>
      </c>
      <c r="V62" s="61">
        <f t="shared" si="52"/>
        <v>0</v>
      </c>
      <c r="W62" s="61">
        <f t="shared" si="52"/>
        <v>0</v>
      </c>
      <c r="X62" s="61">
        <f t="shared" si="52"/>
        <v>0</v>
      </c>
      <c r="Y62" s="61">
        <f t="shared" si="52"/>
        <v>-125</v>
      </c>
      <c r="Z62" s="61">
        <f t="shared" si="52"/>
        <v>0</v>
      </c>
      <c r="AA62" s="61">
        <f t="shared" si="52"/>
        <v>0</v>
      </c>
      <c r="AB62" s="61">
        <f t="shared" si="52"/>
        <v>0</v>
      </c>
      <c r="AC62" s="61">
        <f t="shared" si="52"/>
        <v>0</v>
      </c>
      <c r="AD62" s="61">
        <f t="shared" si="52"/>
        <v>0</v>
      </c>
      <c r="AE62" s="61">
        <f t="shared" si="52"/>
        <v>0</v>
      </c>
      <c r="AF62" s="61">
        <f t="shared" si="52"/>
        <v>0</v>
      </c>
      <c r="AG62" s="61">
        <f t="shared" si="52"/>
        <v>0</v>
      </c>
      <c r="AH62" s="61">
        <f t="shared" si="52"/>
        <v>0</v>
      </c>
      <c r="AI62" s="61">
        <f t="shared" si="52"/>
        <v>0</v>
      </c>
      <c r="AJ62" s="61">
        <f t="shared" si="52"/>
        <v>0</v>
      </c>
      <c r="AK62" s="61">
        <f t="shared" si="52"/>
        <v>0</v>
      </c>
      <c r="AL62" s="61">
        <f t="shared" si="52"/>
        <v>0</v>
      </c>
      <c r="AM62" s="61">
        <f t="shared" si="52"/>
        <v>0</v>
      </c>
      <c r="AN62" s="61">
        <f t="shared" si="52"/>
        <v>0</v>
      </c>
      <c r="AO62" s="61">
        <f t="shared" si="52"/>
        <v>0</v>
      </c>
      <c r="AP62" s="61">
        <f t="shared" si="52"/>
        <v>0</v>
      </c>
      <c r="AQ62" s="61">
        <f t="shared" si="52"/>
        <v>0</v>
      </c>
      <c r="AR62" s="61">
        <f t="shared" si="52"/>
        <v>0</v>
      </c>
      <c r="AS62" s="61">
        <f t="shared" si="52"/>
        <v>0</v>
      </c>
      <c r="AT62" s="61">
        <f t="shared" si="52"/>
        <v>0</v>
      </c>
      <c r="AU62" s="61">
        <f t="shared" si="52"/>
        <v>0</v>
      </c>
      <c r="AV62" s="61">
        <f t="shared" si="52"/>
        <v>0</v>
      </c>
      <c r="AW62" s="61">
        <f t="shared" si="52"/>
        <v>0</v>
      </c>
      <c r="AX62" s="61">
        <f t="shared" si="52"/>
        <v>0</v>
      </c>
      <c r="AY62" s="61">
        <f t="shared" si="52"/>
        <v>0</v>
      </c>
      <c r="AZ62" s="61">
        <f t="shared" si="52"/>
        <v>0</v>
      </c>
      <c r="BA62" s="61">
        <f t="shared" si="52"/>
        <v>0</v>
      </c>
      <c r="BB62" s="61">
        <f t="shared" si="52"/>
        <v>0</v>
      </c>
      <c r="BC62" s="61">
        <f t="shared" si="52"/>
        <v>0</v>
      </c>
      <c r="BD62" s="61">
        <f t="shared" si="52"/>
        <v>0</v>
      </c>
      <c r="BE62" s="61">
        <f t="shared" si="46"/>
        <v>0</v>
      </c>
      <c r="BF62" s="61">
        <f t="shared" si="46"/>
        <v>0</v>
      </c>
      <c r="BG62" s="61">
        <f t="shared" si="46"/>
        <v>0</v>
      </c>
      <c r="BH62" s="61">
        <f t="shared" si="46"/>
        <v>0</v>
      </c>
      <c r="BI62" s="61">
        <f t="shared" si="46"/>
        <v>0</v>
      </c>
      <c r="BJ62" s="61">
        <f t="shared" si="46"/>
        <v>0</v>
      </c>
      <c r="BK62" s="61">
        <f t="shared" si="46"/>
        <v>0</v>
      </c>
      <c r="BL62" s="61">
        <f t="shared" si="46"/>
        <v>0</v>
      </c>
      <c r="BM62" s="61">
        <f t="shared" si="46"/>
        <v>0</v>
      </c>
      <c r="BN62" s="61">
        <f t="shared" si="46"/>
        <v>0</v>
      </c>
      <c r="BO62" s="61">
        <f t="shared" si="46"/>
        <v>0</v>
      </c>
      <c r="BP62" s="61">
        <f t="shared" si="46"/>
        <v>0</v>
      </c>
      <c r="BQ62" s="61">
        <f t="shared" si="46"/>
        <v>0</v>
      </c>
      <c r="BR62" s="61">
        <f t="shared" si="46"/>
        <v>0</v>
      </c>
      <c r="BS62" s="61">
        <f t="shared" si="46"/>
        <v>0</v>
      </c>
      <c r="BT62" s="61">
        <f t="shared" si="46"/>
        <v>0</v>
      </c>
      <c r="BU62" s="61">
        <f t="shared" si="47"/>
        <v>0</v>
      </c>
      <c r="BV62" s="61">
        <f t="shared" si="47"/>
        <v>0</v>
      </c>
      <c r="BW62" s="61">
        <f t="shared" si="47"/>
        <v>0</v>
      </c>
      <c r="BX62" s="61">
        <f t="shared" si="47"/>
        <v>0</v>
      </c>
      <c r="BY62" s="61">
        <f t="shared" si="47"/>
        <v>0</v>
      </c>
      <c r="BZ62" s="61">
        <f t="shared" si="47"/>
        <v>0</v>
      </c>
      <c r="CA62" s="61">
        <f t="shared" si="47"/>
        <v>0</v>
      </c>
      <c r="CB62" s="61">
        <f t="shared" si="47"/>
        <v>0</v>
      </c>
      <c r="CC62" s="61">
        <f t="shared" si="47"/>
        <v>0</v>
      </c>
      <c r="CD62" s="61">
        <f t="shared" si="47"/>
        <v>0</v>
      </c>
      <c r="CE62" s="61">
        <f t="shared" si="47"/>
        <v>0</v>
      </c>
      <c r="CF62" s="61">
        <f t="shared" si="47"/>
        <v>0</v>
      </c>
      <c r="CG62" s="61">
        <f t="shared" si="47"/>
        <v>0</v>
      </c>
      <c r="CH62" s="61">
        <f t="shared" si="47"/>
        <v>0</v>
      </c>
      <c r="CI62" s="61">
        <f t="shared" si="47"/>
        <v>0</v>
      </c>
      <c r="CJ62" s="61">
        <f t="shared" si="47"/>
        <v>0</v>
      </c>
      <c r="CK62" s="61">
        <f t="shared" si="48"/>
        <v>0</v>
      </c>
      <c r="CL62" s="61">
        <f t="shared" si="48"/>
        <v>0</v>
      </c>
      <c r="CM62" s="61">
        <f t="shared" si="48"/>
        <v>0</v>
      </c>
      <c r="CN62" s="61">
        <f t="shared" si="48"/>
        <v>0</v>
      </c>
      <c r="CO62" s="61">
        <f t="shared" si="48"/>
        <v>0</v>
      </c>
      <c r="CP62" s="61">
        <f t="shared" si="48"/>
        <v>0</v>
      </c>
      <c r="CQ62" s="23" t="s">
        <v>77</v>
      </c>
      <c r="CT62" s="375"/>
      <c r="CU62" s="375"/>
      <c r="CV62" s="375"/>
    </row>
    <row r="63" spans="1:100" s="12" customFormat="1" outlineLevel="1" x14ac:dyDescent="0.2">
      <c r="A63" s="102"/>
      <c r="B63" s="12" t="s">
        <v>438</v>
      </c>
      <c r="C63" s="141"/>
      <c r="K63" s="372">
        <v>7.3300000000000004E-2</v>
      </c>
      <c r="L63" s="373">
        <v>42870</v>
      </c>
      <c r="M63" s="129">
        <v>95</v>
      </c>
      <c r="N63" s="129">
        <f t="shared" si="53"/>
        <v>95</v>
      </c>
      <c r="O63" s="376">
        <f t="shared" si="49"/>
        <v>1</v>
      </c>
      <c r="Q63" s="375">
        <f t="shared" si="50"/>
        <v>2.8767123287671232</v>
      </c>
      <c r="R63" s="12">
        <f t="shared" ref="R63:R77" si="54">SUM(T63:BD63)</f>
        <v>-95</v>
      </c>
      <c r="T63" s="61">
        <f t="shared" si="43"/>
        <v>0</v>
      </c>
      <c r="U63" s="61">
        <f t="shared" si="44"/>
        <v>0</v>
      </c>
      <c r="V63" s="61">
        <f t="shared" si="52"/>
        <v>0</v>
      </c>
      <c r="W63" s="61">
        <f t="shared" si="52"/>
        <v>-95</v>
      </c>
      <c r="X63" s="61">
        <f t="shared" si="52"/>
        <v>0</v>
      </c>
      <c r="Y63" s="61">
        <f t="shared" si="52"/>
        <v>0</v>
      </c>
      <c r="Z63" s="61">
        <f t="shared" si="52"/>
        <v>0</v>
      </c>
      <c r="AA63" s="61">
        <f t="shared" si="52"/>
        <v>0</v>
      </c>
      <c r="AB63" s="61">
        <f t="shared" si="52"/>
        <v>0</v>
      </c>
      <c r="AC63" s="61">
        <f t="shared" si="52"/>
        <v>0</v>
      </c>
      <c r="AD63" s="61">
        <f t="shared" si="52"/>
        <v>0</v>
      </c>
      <c r="AE63" s="61">
        <f t="shared" si="52"/>
        <v>0</v>
      </c>
      <c r="AF63" s="61">
        <f t="shared" si="52"/>
        <v>0</v>
      </c>
      <c r="AG63" s="61">
        <f t="shared" si="52"/>
        <v>0</v>
      </c>
      <c r="AH63" s="61">
        <f t="shared" si="52"/>
        <v>0</v>
      </c>
      <c r="AI63" s="61">
        <f t="shared" si="52"/>
        <v>0</v>
      </c>
      <c r="AJ63" s="61">
        <f t="shared" si="52"/>
        <v>0</v>
      </c>
      <c r="AK63" s="61">
        <f t="shared" si="52"/>
        <v>0</v>
      </c>
      <c r="AL63" s="61">
        <f t="shared" si="52"/>
        <v>0</v>
      </c>
      <c r="AM63" s="61">
        <f t="shared" si="52"/>
        <v>0</v>
      </c>
      <c r="AN63" s="61">
        <f t="shared" si="52"/>
        <v>0</v>
      </c>
      <c r="AO63" s="61">
        <f t="shared" si="52"/>
        <v>0</v>
      </c>
      <c r="AP63" s="61">
        <f t="shared" si="52"/>
        <v>0</v>
      </c>
      <c r="AQ63" s="61">
        <f t="shared" si="52"/>
        <v>0</v>
      </c>
      <c r="AR63" s="61">
        <f t="shared" si="52"/>
        <v>0</v>
      </c>
      <c r="AS63" s="61">
        <f t="shared" si="52"/>
        <v>0</v>
      </c>
      <c r="AT63" s="61">
        <f t="shared" si="52"/>
        <v>0</v>
      </c>
      <c r="AU63" s="61">
        <f t="shared" si="52"/>
        <v>0</v>
      </c>
      <c r="AV63" s="61">
        <f t="shared" si="52"/>
        <v>0</v>
      </c>
      <c r="AW63" s="61">
        <f t="shared" si="52"/>
        <v>0</v>
      </c>
      <c r="AX63" s="61">
        <f t="shared" si="52"/>
        <v>0</v>
      </c>
      <c r="AY63" s="61">
        <f t="shared" si="52"/>
        <v>0</v>
      </c>
      <c r="AZ63" s="61">
        <f t="shared" si="52"/>
        <v>0</v>
      </c>
      <c r="BA63" s="61">
        <f t="shared" si="52"/>
        <v>0</v>
      </c>
      <c r="BB63" s="61">
        <f t="shared" si="52"/>
        <v>0</v>
      </c>
      <c r="BC63" s="61">
        <f t="shared" si="52"/>
        <v>0</v>
      </c>
      <c r="BD63" s="61">
        <f t="shared" si="52"/>
        <v>0</v>
      </c>
      <c r="BE63" s="61">
        <f t="shared" si="46"/>
        <v>0</v>
      </c>
      <c r="BF63" s="61">
        <f t="shared" si="46"/>
        <v>0</v>
      </c>
      <c r="BG63" s="61">
        <f t="shared" si="46"/>
        <v>0</v>
      </c>
      <c r="BH63" s="61">
        <f t="shared" si="46"/>
        <v>0</v>
      </c>
      <c r="BI63" s="61">
        <f t="shared" si="46"/>
        <v>0</v>
      </c>
      <c r="BJ63" s="61">
        <f t="shared" si="46"/>
        <v>0</v>
      </c>
      <c r="BK63" s="61">
        <f t="shared" si="46"/>
        <v>0</v>
      </c>
      <c r="BL63" s="61">
        <f t="shared" si="46"/>
        <v>0</v>
      </c>
      <c r="BM63" s="61">
        <f t="shared" si="46"/>
        <v>0</v>
      </c>
      <c r="BN63" s="61">
        <f t="shared" si="46"/>
        <v>0</v>
      </c>
      <c r="BO63" s="61">
        <f t="shared" si="46"/>
        <v>0</v>
      </c>
      <c r="BP63" s="61">
        <f t="shared" si="46"/>
        <v>0</v>
      </c>
      <c r="BQ63" s="61">
        <f t="shared" si="46"/>
        <v>0</v>
      </c>
      <c r="BR63" s="61">
        <f t="shared" si="46"/>
        <v>0</v>
      </c>
      <c r="BS63" s="61">
        <f t="shared" si="46"/>
        <v>0</v>
      </c>
      <c r="BT63" s="61">
        <f t="shared" si="46"/>
        <v>0</v>
      </c>
      <c r="BU63" s="61">
        <f t="shared" si="47"/>
        <v>0</v>
      </c>
      <c r="BV63" s="61">
        <f t="shared" si="47"/>
        <v>0</v>
      </c>
      <c r="BW63" s="61">
        <f t="shared" si="47"/>
        <v>0</v>
      </c>
      <c r="BX63" s="61">
        <f t="shared" si="47"/>
        <v>0</v>
      </c>
      <c r="BY63" s="61">
        <f t="shared" si="47"/>
        <v>0</v>
      </c>
      <c r="BZ63" s="61">
        <f t="shared" si="47"/>
        <v>0</v>
      </c>
      <c r="CA63" s="61">
        <f t="shared" si="47"/>
        <v>0</v>
      </c>
      <c r="CB63" s="61">
        <f t="shared" si="47"/>
        <v>0</v>
      </c>
      <c r="CC63" s="61">
        <f t="shared" si="47"/>
        <v>0</v>
      </c>
      <c r="CD63" s="61">
        <f t="shared" si="47"/>
        <v>0</v>
      </c>
      <c r="CE63" s="61">
        <f t="shared" si="47"/>
        <v>0</v>
      </c>
      <c r="CF63" s="61">
        <f t="shared" si="47"/>
        <v>0</v>
      </c>
      <c r="CG63" s="61">
        <f t="shared" si="47"/>
        <v>0</v>
      </c>
      <c r="CH63" s="61">
        <f t="shared" si="47"/>
        <v>0</v>
      </c>
      <c r="CI63" s="61">
        <f t="shared" si="47"/>
        <v>0</v>
      </c>
      <c r="CJ63" s="61">
        <f t="shared" si="47"/>
        <v>0</v>
      </c>
      <c r="CK63" s="61">
        <f t="shared" si="48"/>
        <v>0</v>
      </c>
      <c r="CL63" s="61">
        <f t="shared" si="48"/>
        <v>0</v>
      </c>
      <c r="CM63" s="61">
        <f t="shared" si="48"/>
        <v>0</v>
      </c>
      <c r="CN63" s="61">
        <f t="shared" si="48"/>
        <v>0</v>
      </c>
      <c r="CO63" s="61">
        <f t="shared" si="48"/>
        <v>0</v>
      </c>
      <c r="CP63" s="61">
        <f t="shared" si="48"/>
        <v>0</v>
      </c>
      <c r="CQ63" s="23" t="s">
        <v>77</v>
      </c>
      <c r="CT63" s="375"/>
      <c r="CU63" s="375"/>
      <c r="CV63" s="375"/>
    </row>
    <row r="64" spans="1:100" s="12" customFormat="1" outlineLevel="1" x14ac:dyDescent="0.2">
      <c r="A64" s="102"/>
      <c r="B64" s="12" t="s">
        <v>439</v>
      </c>
      <c r="C64" s="141"/>
      <c r="K64" s="372">
        <v>7.3800000000000004E-2</v>
      </c>
      <c r="L64" s="373">
        <v>42870</v>
      </c>
      <c r="M64" s="129">
        <v>100</v>
      </c>
      <c r="N64" s="129">
        <f t="shared" si="53"/>
        <v>100</v>
      </c>
      <c r="O64" s="376">
        <f t="shared" si="49"/>
        <v>1</v>
      </c>
      <c r="Q64" s="375">
        <f t="shared" si="50"/>
        <v>2.8767123287671232</v>
      </c>
      <c r="R64" s="12">
        <f t="shared" si="54"/>
        <v>-100</v>
      </c>
      <c r="T64" s="61">
        <f t="shared" si="43"/>
        <v>0</v>
      </c>
      <c r="U64" s="61">
        <f t="shared" si="44"/>
        <v>0</v>
      </c>
      <c r="V64" s="61">
        <f t="shared" si="52"/>
        <v>0</v>
      </c>
      <c r="W64" s="61">
        <f t="shared" si="52"/>
        <v>-100</v>
      </c>
      <c r="X64" s="61">
        <f t="shared" si="52"/>
        <v>0</v>
      </c>
      <c r="Y64" s="61">
        <f t="shared" si="52"/>
        <v>0</v>
      </c>
      <c r="Z64" s="61">
        <f t="shared" si="52"/>
        <v>0</v>
      </c>
      <c r="AA64" s="61">
        <f t="shared" si="52"/>
        <v>0</v>
      </c>
      <c r="AB64" s="61">
        <f t="shared" si="52"/>
        <v>0</v>
      </c>
      <c r="AC64" s="61">
        <f t="shared" si="52"/>
        <v>0</v>
      </c>
      <c r="AD64" s="61">
        <f t="shared" si="52"/>
        <v>0</v>
      </c>
      <c r="AE64" s="61">
        <f t="shared" si="52"/>
        <v>0</v>
      </c>
      <c r="AF64" s="61">
        <f t="shared" si="52"/>
        <v>0</v>
      </c>
      <c r="AG64" s="61">
        <f t="shared" si="52"/>
        <v>0</v>
      </c>
      <c r="AH64" s="61">
        <f t="shared" si="52"/>
        <v>0</v>
      </c>
      <c r="AI64" s="61">
        <f t="shared" si="52"/>
        <v>0</v>
      </c>
      <c r="AJ64" s="61">
        <f t="shared" si="52"/>
        <v>0</v>
      </c>
      <c r="AK64" s="61">
        <f t="shared" si="52"/>
        <v>0</v>
      </c>
      <c r="AL64" s="61">
        <f t="shared" si="52"/>
        <v>0</v>
      </c>
      <c r="AM64" s="61">
        <f t="shared" si="52"/>
        <v>0</v>
      </c>
      <c r="AN64" s="61">
        <f t="shared" si="52"/>
        <v>0</v>
      </c>
      <c r="AO64" s="61">
        <f t="shared" si="52"/>
        <v>0</v>
      </c>
      <c r="AP64" s="61">
        <f t="shared" si="52"/>
        <v>0</v>
      </c>
      <c r="AQ64" s="61">
        <f t="shared" si="52"/>
        <v>0</v>
      </c>
      <c r="AR64" s="61">
        <f t="shared" si="52"/>
        <v>0</v>
      </c>
      <c r="AS64" s="61">
        <f t="shared" si="52"/>
        <v>0</v>
      </c>
      <c r="AT64" s="61">
        <f t="shared" si="52"/>
        <v>0</v>
      </c>
      <c r="AU64" s="61">
        <f t="shared" si="52"/>
        <v>0</v>
      </c>
      <c r="AV64" s="61">
        <f t="shared" si="52"/>
        <v>0</v>
      </c>
      <c r="AW64" s="61">
        <f t="shared" si="52"/>
        <v>0</v>
      </c>
      <c r="AX64" s="61">
        <f t="shared" si="52"/>
        <v>0</v>
      </c>
      <c r="AY64" s="61">
        <f t="shared" si="52"/>
        <v>0</v>
      </c>
      <c r="AZ64" s="61">
        <f t="shared" si="52"/>
        <v>0</v>
      </c>
      <c r="BA64" s="61">
        <f t="shared" si="52"/>
        <v>0</v>
      </c>
      <c r="BB64" s="61">
        <f t="shared" si="52"/>
        <v>0</v>
      </c>
      <c r="BC64" s="61">
        <f t="shared" si="52"/>
        <v>0</v>
      </c>
      <c r="BD64" s="61">
        <f t="shared" si="52"/>
        <v>0</v>
      </c>
      <c r="BE64" s="61">
        <f t="shared" si="46"/>
        <v>0</v>
      </c>
      <c r="BF64" s="61">
        <f t="shared" si="46"/>
        <v>0</v>
      </c>
      <c r="BG64" s="61">
        <f t="shared" si="46"/>
        <v>0</v>
      </c>
      <c r="BH64" s="61">
        <f t="shared" si="46"/>
        <v>0</v>
      </c>
      <c r="BI64" s="61">
        <f t="shared" si="46"/>
        <v>0</v>
      </c>
      <c r="BJ64" s="61">
        <f t="shared" si="46"/>
        <v>0</v>
      </c>
      <c r="BK64" s="61">
        <f t="shared" si="46"/>
        <v>0</v>
      </c>
      <c r="BL64" s="61">
        <f t="shared" si="46"/>
        <v>0</v>
      </c>
      <c r="BM64" s="61">
        <f t="shared" si="46"/>
        <v>0</v>
      </c>
      <c r="BN64" s="61">
        <f t="shared" si="46"/>
        <v>0</v>
      </c>
      <c r="BO64" s="61">
        <f t="shared" si="46"/>
        <v>0</v>
      </c>
      <c r="BP64" s="61">
        <f t="shared" si="46"/>
        <v>0</v>
      </c>
      <c r="BQ64" s="61">
        <f t="shared" si="46"/>
        <v>0</v>
      </c>
      <c r="BR64" s="61">
        <f t="shared" si="46"/>
        <v>0</v>
      </c>
      <c r="BS64" s="61">
        <f t="shared" si="46"/>
        <v>0</v>
      </c>
      <c r="BT64" s="61">
        <f t="shared" si="46"/>
        <v>0</v>
      </c>
      <c r="BU64" s="61">
        <f t="shared" si="47"/>
        <v>0</v>
      </c>
      <c r="BV64" s="61">
        <f t="shared" si="47"/>
        <v>0</v>
      </c>
      <c r="BW64" s="61">
        <f t="shared" si="47"/>
        <v>0</v>
      </c>
      <c r="BX64" s="61">
        <f t="shared" si="47"/>
        <v>0</v>
      </c>
      <c r="BY64" s="61">
        <f t="shared" si="47"/>
        <v>0</v>
      </c>
      <c r="BZ64" s="61">
        <f t="shared" si="47"/>
        <v>0</v>
      </c>
      <c r="CA64" s="61">
        <f t="shared" si="47"/>
        <v>0</v>
      </c>
      <c r="CB64" s="61">
        <f t="shared" si="47"/>
        <v>0</v>
      </c>
      <c r="CC64" s="61">
        <f t="shared" si="47"/>
        <v>0</v>
      </c>
      <c r="CD64" s="61">
        <f t="shared" si="47"/>
        <v>0</v>
      </c>
      <c r="CE64" s="61">
        <f t="shared" si="47"/>
        <v>0</v>
      </c>
      <c r="CF64" s="61">
        <f t="shared" si="47"/>
        <v>0</v>
      </c>
      <c r="CG64" s="61">
        <f t="shared" si="47"/>
        <v>0</v>
      </c>
      <c r="CH64" s="61">
        <f t="shared" si="47"/>
        <v>0</v>
      </c>
      <c r="CI64" s="61">
        <f t="shared" si="47"/>
        <v>0</v>
      </c>
      <c r="CJ64" s="61">
        <f t="shared" si="47"/>
        <v>0</v>
      </c>
      <c r="CK64" s="61">
        <f t="shared" si="48"/>
        <v>0</v>
      </c>
      <c r="CL64" s="61">
        <f t="shared" si="48"/>
        <v>0</v>
      </c>
      <c r="CM64" s="61">
        <f t="shared" si="48"/>
        <v>0</v>
      </c>
      <c r="CN64" s="61">
        <f t="shared" si="48"/>
        <v>0</v>
      </c>
      <c r="CO64" s="61">
        <f t="shared" si="48"/>
        <v>0</v>
      </c>
      <c r="CP64" s="61">
        <f t="shared" si="48"/>
        <v>0</v>
      </c>
      <c r="CQ64" s="23" t="s">
        <v>77</v>
      </c>
      <c r="CT64" s="375"/>
      <c r="CU64" s="375"/>
      <c r="CV64" s="375"/>
    </row>
    <row r="65" spans="1:100" s="12" customFormat="1" outlineLevel="1" x14ac:dyDescent="0.2">
      <c r="A65" s="102"/>
      <c r="B65" s="12" t="s">
        <v>440</v>
      </c>
      <c r="C65" s="141"/>
      <c r="K65" s="372">
        <v>7.3999999999999996E-2</v>
      </c>
      <c r="L65" s="373">
        <v>43600</v>
      </c>
      <c r="M65" s="129">
        <v>85</v>
      </c>
      <c r="N65" s="129">
        <f t="shared" si="53"/>
        <v>85</v>
      </c>
      <c r="O65" s="376">
        <f t="shared" si="49"/>
        <v>1</v>
      </c>
      <c r="Q65" s="375">
        <f t="shared" si="50"/>
        <v>4.8767123287671232</v>
      </c>
      <c r="R65" s="12">
        <f t="shared" si="54"/>
        <v>-85</v>
      </c>
      <c r="T65" s="61">
        <f t="shared" si="43"/>
        <v>0</v>
      </c>
      <c r="U65" s="61">
        <f t="shared" si="44"/>
        <v>0</v>
      </c>
      <c r="V65" s="61">
        <f t="shared" si="52"/>
        <v>0</v>
      </c>
      <c r="W65" s="61">
        <f t="shared" si="52"/>
        <v>0</v>
      </c>
      <c r="X65" s="61">
        <f t="shared" si="52"/>
        <v>0</v>
      </c>
      <c r="Y65" s="61">
        <f t="shared" si="52"/>
        <v>-85</v>
      </c>
      <c r="Z65" s="61">
        <f t="shared" si="52"/>
        <v>0</v>
      </c>
      <c r="AA65" s="61">
        <f t="shared" si="52"/>
        <v>0</v>
      </c>
      <c r="AB65" s="61">
        <f t="shared" si="52"/>
        <v>0</v>
      </c>
      <c r="AC65" s="61">
        <f t="shared" si="52"/>
        <v>0</v>
      </c>
      <c r="AD65" s="61">
        <f t="shared" si="52"/>
        <v>0</v>
      </c>
      <c r="AE65" s="61">
        <f t="shared" si="52"/>
        <v>0</v>
      </c>
      <c r="AF65" s="61">
        <f t="shared" si="52"/>
        <v>0</v>
      </c>
      <c r="AG65" s="61">
        <f t="shared" si="52"/>
        <v>0</v>
      </c>
      <c r="AH65" s="61">
        <f t="shared" si="52"/>
        <v>0</v>
      </c>
      <c r="AI65" s="61">
        <f t="shared" si="52"/>
        <v>0</v>
      </c>
      <c r="AJ65" s="61">
        <f t="shared" si="52"/>
        <v>0</v>
      </c>
      <c r="AK65" s="61">
        <f t="shared" si="52"/>
        <v>0</v>
      </c>
      <c r="AL65" s="61">
        <f t="shared" si="52"/>
        <v>0</v>
      </c>
      <c r="AM65" s="61">
        <f t="shared" si="52"/>
        <v>0</v>
      </c>
      <c r="AN65" s="61">
        <f t="shared" si="52"/>
        <v>0</v>
      </c>
      <c r="AO65" s="61">
        <f t="shared" si="52"/>
        <v>0</v>
      </c>
      <c r="AP65" s="61">
        <f t="shared" si="52"/>
        <v>0</v>
      </c>
      <c r="AQ65" s="61">
        <f t="shared" si="52"/>
        <v>0</v>
      </c>
      <c r="AR65" s="61">
        <f t="shared" si="52"/>
        <v>0</v>
      </c>
      <c r="AS65" s="61">
        <f t="shared" si="52"/>
        <v>0</v>
      </c>
      <c r="AT65" s="61">
        <f t="shared" si="52"/>
        <v>0</v>
      </c>
      <c r="AU65" s="61">
        <f t="shared" si="52"/>
        <v>0</v>
      </c>
      <c r="AV65" s="61">
        <f t="shared" si="52"/>
        <v>0</v>
      </c>
      <c r="AW65" s="61">
        <f t="shared" si="52"/>
        <v>0</v>
      </c>
      <c r="AX65" s="61">
        <f t="shared" si="52"/>
        <v>0</v>
      </c>
      <c r="AY65" s="61">
        <f t="shared" si="52"/>
        <v>0</v>
      </c>
      <c r="AZ65" s="61">
        <f t="shared" si="52"/>
        <v>0</v>
      </c>
      <c r="BA65" s="61">
        <f t="shared" si="52"/>
        <v>0</v>
      </c>
      <c r="BB65" s="61">
        <f t="shared" si="52"/>
        <v>0</v>
      </c>
      <c r="BC65" s="61">
        <f t="shared" si="52"/>
        <v>0</v>
      </c>
      <c r="BD65" s="61">
        <f t="shared" si="52"/>
        <v>0</v>
      </c>
      <c r="BE65" s="61">
        <f t="shared" si="46"/>
        <v>0</v>
      </c>
      <c r="BF65" s="61">
        <f t="shared" si="46"/>
        <v>0</v>
      </c>
      <c r="BG65" s="61">
        <f t="shared" si="46"/>
        <v>0</v>
      </c>
      <c r="BH65" s="61">
        <f t="shared" si="46"/>
        <v>0</v>
      </c>
      <c r="BI65" s="61">
        <f t="shared" si="46"/>
        <v>0</v>
      </c>
      <c r="BJ65" s="61">
        <f t="shared" si="46"/>
        <v>0</v>
      </c>
      <c r="BK65" s="61">
        <f t="shared" si="46"/>
        <v>0</v>
      </c>
      <c r="BL65" s="61">
        <f t="shared" si="46"/>
        <v>0</v>
      </c>
      <c r="BM65" s="61">
        <f t="shared" si="46"/>
        <v>0</v>
      </c>
      <c r="BN65" s="61">
        <f t="shared" si="46"/>
        <v>0</v>
      </c>
      <c r="BO65" s="61">
        <f t="shared" si="46"/>
        <v>0</v>
      </c>
      <c r="BP65" s="61">
        <f t="shared" si="46"/>
        <v>0</v>
      </c>
      <c r="BQ65" s="61">
        <f t="shared" si="46"/>
        <v>0</v>
      </c>
      <c r="BR65" s="61">
        <f t="shared" si="46"/>
        <v>0</v>
      </c>
      <c r="BS65" s="61">
        <f t="shared" si="46"/>
        <v>0</v>
      </c>
      <c r="BT65" s="61">
        <f t="shared" si="46"/>
        <v>0</v>
      </c>
      <c r="BU65" s="61">
        <f t="shared" si="47"/>
        <v>0</v>
      </c>
      <c r="BV65" s="61">
        <f t="shared" si="47"/>
        <v>0</v>
      </c>
      <c r="BW65" s="61">
        <f t="shared" si="47"/>
        <v>0</v>
      </c>
      <c r="BX65" s="61">
        <f t="shared" si="47"/>
        <v>0</v>
      </c>
      <c r="BY65" s="61">
        <f t="shared" si="47"/>
        <v>0</v>
      </c>
      <c r="BZ65" s="61">
        <f t="shared" si="47"/>
        <v>0</v>
      </c>
      <c r="CA65" s="61">
        <f t="shared" si="47"/>
        <v>0</v>
      </c>
      <c r="CB65" s="61">
        <f t="shared" si="47"/>
        <v>0</v>
      </c>
      <c r="CC65" s="61">
        <f t="shared" si="47"/>
        <v>0</v>
      </c>
      <c r="CD65" s="61">
        <f t="shared" si="47"/>
        <v>0</v>
      </c>
      <c r="CE65" s="61">
        <f t="shared" si="47"/>
        <v>0</v>
      </c>
      <c r="CF65" s="61">
        <f t="shared" si="47"/>
        <v>0</v>
      </c>
      <c r="CG65" s="61">
        <f t="shared" si="47"/>
        <v>0</v>
      </c>
      <c r="CH65" s="61">
        <f t="shared" si="47"/>
        <v>0</v>
      </c>
      <c r="CI65" s="61">
        <f t="shared" si="47"/>
        <v>0</v>
      </c>
      <c r="CJ65" s="61">
        <f t="shared" si="47"/>
        <v>0</v>
      </c>
      <c r="CK65" s="61">
        <f t="shared" si="48"/>
        <v>0</v>
      </c>
      <c r="CL65" s="61">
        <f t="shared" si="48"/>
        <v>0</v>
      </c>
      <c r="CM65" s="61">
        <f t="shared" si="48"/>
        <v>0</v>
      </c>
      <c r="CN65" s="61">
        <f t="shared" si="48"/>
        <v>0</v>
      </c>
      <c r="CO65" s="61">
        <f t="shared" si="48"/>
        <v>0</v>
      </c>
      <c r="CP65" s="61">
        <f t="shared" si="48"/>
        <v>0</v>
      </c>
      <c r="CQ65" s="23" t="s">
        <v>77</v>
      </c>
      <c r="CT65" s="375"/>
      <c r="CU65" s="375"/>
      <c r="CV65" s="375"/>
    </row>
    <row r="66" spans="1:100" s="12" customFormat="1" outlineLevel="1" x14ac:dyDescent="0.2">
      <c r="A66" s="102"/>
      <c r="B66" s="12" t="s">
        <v>441</v>
      </c>
      <c r="C66" s="141"/>
      <c r="K66" s="372">
        <v>7.4499999999999997E-2</v>
      </c>
      <c r="L66" s="373">
        <v>44696</v>
      </c>
      <c r="M66" s="129">
        <v>100</v>
      </c>
      <c r="N66" s="129">
        <f t="shared" si="53"/>
        <v>100</v>
      </c>
      <c r="O66" s="376">
        <f t="shared" si="49"/>
        <v>1</v>
      </c>
      <c r="Q66" s="375">
        <f t="shared" si="50"/>
        <v>7.8794520547945206</v>
      </c>
      <c r="R66" s="12">
        <f t="shared" si="54"/>
        <v>-100</v>
      </c>
      <c r="T66" s="61">
        <f t="shared" si="43"/>
        <v>0</v>
      </c>
      <c r="U66" s="61">
        <f t="shared" si="44"/>
        <v>0</v>
      </c>
      <c r="V66" s="61">
        <f t="shared" si="52"/>
        <v>0</v>
      </c>
      <c r="W66" s="61">
        <f t="shared" si="52"/>
        <v>0</v>
      </c>
      <c r="X66" s="61">
        <f t="shared" si="52"/>
        <v>0</v>
      </c>
      <c r="Y66" s="61">
        <f t="shared" si="52"/>
        <v>0</v>
      </c>
      <c r="Z66" s="61">
        <f t="shared" si="52"/>
        <v>0</v>
      </c>
      <c r="AA66" s="61">
        <f t="shared" si="52"/>
        <v>0</v>
      </c>
      <c r="AB66" s="61">
        <f t="shared" si="52"/>
        <v>-100</v>
      </c>
      <c r="AC66" s="61">
        <f t="shared" si="52"/>
        <v>0</v>
      </c>
      <c r="AD66" s="61">
        <f t="shared" si="52"/>
        <v>0</v>
      </c>
      <c r="AE66" s="61">
        <f t="shared" si="52"/>
        <v>0</v>
      </c>
      <c r="AF66" s="61">
        <f t="shared" si="52"/>
        <v>0</v>
      </c>
      <c r="AG66" s="61">
        <f t="shared" si="52"/>
        <v>0</v>
      </c>
      <c r="AH66" s="61">
        <f t="shared" si="52"/>
        <v>0</v>
      </c>
      <c r="AI66" s="61">
        <f t="shared" si="52"/>
        <v>0</v>
      </c>
      <c r="AJ66" s="61">
        <f t="shared" si="52"/>
        <v>0</v>
      </c>
      <c r="AK66" s="61">
        <f t="shared" si="52"/>
        <v>0</v>
      </c>
      <c r="AL66" s="61">
        <f t="shared" si="52"/>
        <v>0</v>
      </c>
      <c r="AM66" s="61">
        <f t="shared" si="52"/>
        <v>0</v>
      </c>
      <c r="AN66" s="61">
        <f t="shared" si="52"/>
        <v>0</v>
      </c>
      <c r="AO66" s="61">
        <f t="shared" si="52"/>
        <v>0</v>
      </c>
      <c r="AP66" s="61">
        <f t="shared" si="52"/>
        <v>0</v>
      </c>
      <c r="AQ66" s="61">
        <f t="shared" si="52"/>
        <v>0</v>
      </c>
      <c r="AR66" s="61">
        <f t="shared" si="52"/>
        <v>0</v>
      </c>
      <c r="AS66" s="61">
        <f t="shared" si="52"/>
        <v>0</v>
      </c>
      <c r="AT66" s="61">
        <f t="shared" si="52"/>
        <v>0</v>
      </c>
      <c r="AU66" s="61">
        <f t="shared" si="52"/>
        <v>0</v>
      </c>
      <c r="AV66" s="61">
        <f t="shared" si="52"/>
        <v>0</v>
      </c>
      <c r="AW66" s="61">
        <f t="shared" si="52"/>
        <v>0</v>
      </c>
      <c r="AX66" s="61">
        <f t="shared" si="52"/>
        <v>0</v>
      </c>
      <c r="AY66" s="61">
        <f t="shared" si="52"/>
        <v>0</v>
      </c>
      <c r="AZ66" s="61">
        <f t="shared" si="52"/>
        <v>0</v>
      </c>
      <c r="BA66" s="61">
        <f t="shared" si="52"/>
        <v>0</v>
      </c>
      <c r="BB66" s="61">
        <f t="shared" si="52"/>
        <v>0</v>
      </c>
      <c r="BC66" s="61">
        <f t="shared" si="52"/>
        <v>0</v>
      </c>
      <c r="BD66" s="61">
        <f t="shared" si="52"/>
        <v>0</v>
      </c>
      <c r="BE66" s="61">
        <f t="shared" si="46"/>
        <v>0</v>
      </c>
      <c r="BF66" s="61">
        <f t="shared" si="46"/>
        <v>0</v>
      </c>
      <c r="BG66" s="61">
        <f t="shared" si="46"/>
        <v>0</v>
      </c>
      <c r="BH66" s="61">
        <f t="shared" si="46"/>
        <v>0</v>
      </c>
      <c r="BI66" s="61">
        <f t="shared" si="46"/>
        <v>0</v>
      </c>
      <c r="BJ66" s="61">
        <f t="shared" si="46"/>
        <v>0</v>
      </c>
      <c r="BK66" s="61">
        <f t="shared" si="46"/>
        <v>0</v>
      </c>
      <c r="BL66" s="61">
        <f t="shared" si="46"/>
        <v>0</v>
      </c>
      <c r="BM66" s="61">
        <f t="shared" si="46"/>
        <v>0</v>
      </c>
      <c r="BN66" s="61">
        <f t="shared" si="46"/>
        <v>0</v>
      </c>
      <c r="BO66" s="61">
        <f t="shared" si="46"/>
        <v>0</v>
      </c>
      <c r="BP66" s="61">
        <f t="shared" si="46"/>
        <v>0</v>
      </c>
      <c r="BQ66" s="61">
        <f t="shared" si="46"/>
        <v>0</v>
      </c>
      <c r="BR66" s="61">
        <f t="shared" si="46"/>
        <v>0</v>
      </c>
      <c r="BS66" s="61">
        <f t="shared" si="46"/>
        <v>0</v>
      </c>
      <c r="BT66" s="61">
        <f t="shared" si="46"/>
        <v>0</v>
      </c>
      <c r="BU66" s="61">
        <f t="shared" si="47"/>
        <v>0</v>
      </c>
      <c r="BV66" s="61">
        <f t="shared" si="47"/>
        <v>0</v>
      </c>
      <c r="BW66" s="61">
        <f t="shared" si="47"/>
        <v>0</v>
      </c>
      <c r="BX66" s="61">
        <f t="shared" si="47"/>
        <v>0</v>
      </c>
      <c r="BY66" s="61">
        <f t="shared" si="47"/>
        <v>0</v>
      </c>
      <c r="BZ66" s="61">
        <f t="shared" si="47"/>
        <v>0</v>
      </c>
      <c r="CA66" s="61">
        <f t="shared" si="47"/>
        <v>0</v>
      </c>
      <c r="CB66" s="61">
        <f t="shared" si="47"/>
        <v>0</v>
      </c>
      <c r="CC66" s="61">
        <f t="shared" si="47"/>
        <v>0</v>
      </c>
      <c r="CD66" s="61">
        <f t="shared" si="47"/>
        <v>0</v>
      </c>
      <c r="CE66" s="61">
        <f t="shared" si="47"/>
        <v>0</v>
      </c>
      <c r="CF66" s="61">
        <f t="shared" si="47"/>
        <v>0</v>
      </c>
      <c r="CG66" s="61">
        <f t="shared" si="47"/>
        <v>0</v>
      </c>
      <c r="CH66" s="61">
        <f t="shared" si="47"/>
        <v>0</v>
      </c>
      <c r="CI66" s="61">
        <f t="shared" si="47"/>
        <v>0</v>
      </c>
      <c r="CJ66" s="61">
        <f t="shared" si="47"/>
        <v>0</v>
      </c>
      <c r="CK66" s="61">
        <f t="shared" si="48"/>
        <v>0</v>
      </c>
      <c r="CL66" s="61">
        <f t="shared" si="48"/>
        <v>0</v>
      </c>
      <c r="CM66" s="61">
        <f t="shared" si="48"/>
        <v>0</v>
      </c>
      <c r="CN66" s="61">
        <f t="shared" si="48"/>
        <v>0</v>
      </c>
      <c r="CO66" s="61">
        <f t="shared" si="48"/>
        <v>0</v>
      </c>
      <c r="CP66" s="61">
        <f t="shared" si="48"/>
        <v>0</v>
      </c>
      <c r="CQ66" s="23" t="s">
        <v>77</v>
      </c>
      <c r="CT66" s="375"/>
      <c r="CU66" s="375"/>
      <c r="CV66" s="375"/>
    </row>
    <row r="67" spans="1:100" s="12" customFormat="1" outlineLevel="1" x14ac:dyDescent="0.2">
      <c r="A67" s="102"/>
      <c r="B67" s="12" t="s">
        <v>442</v>
      </c>
      <c r="C67" s="141"/>
      <c r="K67" s="372">
        <v>7.4499999999999997E-2</v>
      </c>
      <c r="L67" s="373">
        <v>44696</v>
      </c>
      <c r="M67" s="129">
        <v>100</v>
      </c>
      <c r="N67" s="129">
        <f t="shared" si="53"/>
        <v>100</v>
      </c>
      <c r="O67" s="376">
        <f t="shared" si="49"/>
        <v>1</v>
      </c>
      <c r="Q67" s="375">
        <f t="shared" si="50"/>
        <v>7.8794520547945206</v>
      </c>
      <c r="R67" s="12">
        <f t="shared" si="54"/>
        <v>-100</v>
      </c>
      <c r="T67" s="61">
        <f t="shared" si="43"/>
        <v>0</v>
      </c>
      <c r="U67" s="61">
        <f t="shared" si="44"/>
        <v>0</v>
      </c>
      <c r="V67" s="61">
        <f t="shared" ref="V67:BD74" si="55">IF(AND($L67&lt;V$49,$L67&gt;U$49),-$M67,0)</f>
        <v>0</v>
      </c>
      <c r="W67" s="61">
        <f t="shared" si="55"/>
        <v>0</v>
      </c>
      <c r="X67" s="61">
        <f t="shared" si="55"/>
        <v>0</v>
      </c>
      <c r="Y67" s="61">
        <f t="shared" si="55"/>
        <v>0</v>
      </c>
      <c r="Z67" s="61">
        <f t="shared" si="55"/>
        <v>0</v>
      </c>
      <c r="AA67" s="61">
        <f t="shared" si="55"/>
        <v>0</v>
      </c>
      <c r="AB67" s="61">
        <f t="shared" si="55"/>
        <v>-100</v>
      </c>
      <c r="AC67" s="61">
        <f t="shared" si="55"/>
        <v>0</v>
      </c>
      <c r="AD67" s="61">
        <f t="shared" si="55"/>
        <v>0</v>
      </c>
      <c r="AE67" s="61">
        <f t="shared" si="55"/>
        <v>0</v>
      </c>
      <c r="AF67" s="61">
        <f t="shared" si="55"/>
        <v>0</v>
      </c>
      <c r="AG67" s="61">
        <f t="shared" si="55"/>
        <v>0</v>
      </c>
      <c r="AH67" s="61">
        <f t="shared" si="55"/>
        <v>0</v>
      </c>
      <c r="AI67" s="61">
        <f t="shared" si="55"/>
        <v>0</v>
      </c>
      <c r="AJ67" s="61">
        <f t="shared" si="55"/>
        <v>0</v>
      </c>
      <c r="AK67" s="61">
        <f t="shared" si="55"/>
        <v>0</v>
      </c>
      <c r="AL67" s="61">
        <f t="shared" si="55"/>
        <v>0</v>
      </c>
      <c r="AM67" s="61">
        <f t="shared" si="55"/>
        <v>0</v>
      </c>
      <c r="AN67" s="61">
        <f t="shared" si="55"/>
        <v>0</v>
      </c>
      <c r="AO67" s="61">
        <f t="shared" si="55"/>
        <v>0</v>
      </c>
      <c r="AP67" s="61">
        <f t="shared" si="55"/>
        <v>0</v>
      </c>
      <c r="AQ67" s="61">
        <f t="shared" si="55"/>
        <v>0</v>
      </c>
      <c r="AR67" s="61">
        <f t="shared" si="55"/>
        <v>0</v>
      </c>
      <c r="AS67" s="61">
        <f t="shared" si="55"/>
        <v>0</v>
      </c>
      <c r="AT67" s="61">
        <f t="shared" si="55"/>
        <v>0</v>
      </c>
      <c r="AU67" s="61">
        <f t="shared" si="55"/>
        <v>0</v>
      </c>
      <c r="AV67" s="61">
        <f t="shared" si="55"/>
        <v>0</v>
      </c>
      <c r="AW67" s="61">
        <f t="shared" si="55"/>
        <v>0</v>
      </c>
      <c r="AX67" s="61">
        <f t="shared" si="55"/>
        <v>0</v>
      </c>
      <c r="AY67" s="61">
        <f t="shared" si="55"/>
        <v>0</v>
      </c>
      <c r="AZ67" s="61">
        <f t="shared" si="55"/>
        <v>0</v>
      </c>
      <c r="BA67" s="61">
        <f t="shared" si="55"/>
        <v>0</v>
      </c>
      <c r="BB67" s="61">
        <f t="shared" si="55"/>
        <v>0</v>
      </c>
      <c r="BC67" s="61">
        <f t="shared" si="55"/>
        <v>0</v>
      </c>
      <c r="BD67" s="61">
        <f t="shared" si="55"/>
        <v>0</v>
      </c>
      <c r="BE67" s="61">
        <f t="shared" si="46"/>
        <v>0</v>
      </c>
      <c r="BF67" s="61">
        <f t="shared" si="46"/>
        <v>0</v>
      </c>
      <c r="BG67" s="61">
        <f t="shared" si="46"/>
        <v>0</v>
      </c>
      <c r="BH67" s="61">
        <f t="shared" si="46"/>
        <v>0</v>
      </c>
      <c r="BI67" s="61">
        <f t="shared" si="46"/>
        <v>0</v>
      </c>
      <c r="BJ67" s="61">
        <f t="shared" si="46"/>
        <v>0</v>
      </c>
      <c r="BK67" s="61">
        <f t="shared" si="46"/>
        <v>0</v>
      </c>
      <c r="BL67" s="61">
        <f t="shared" si="46"/>
        <v>0</v>
      </c>
      <c r="BM67" s="61">
        <f t="shared" si="46"/>
        <v>0</v>
      </c>
      <c r="BN67" s="61">
        <f t="shared" si="46"/>
        <v>0</v>
      </c>
      <c r="BO67" s="61">
        <f t="shared" si="46"/>
        <v>0</v>
      </c>
      <c r="BP67" s="61">
        <f t="shared" si="46"/>
        <v>0</v>
      </c>
      <c r="BQ67" s="61">
        <f t="shared" si="46"/>
        <v>0</v>
      </c>
      <c r="BR67" s="61">
        <f t="shared" si="46"/>
        <v>0</v>
      </c>
      <c r="BS67" s="61">
        <f t="shared" si="46"/>
        <v>0</v>
      </c>
      <c r="BT67" s="61">
        <f t="shared" ref="BT67:CI77" si="56">IF(AND($L67&lt;BT$49,$L67&gt;BS$49),-$M67,0)</f>
        <v>0</v>
      </c>
      <c r="BU67" s="61">
        <f t="shared" si="56"/>
        <v>0</v>
      </c>
      <c r="BV67" s="61">
        <f t="shared" si="56"/>
        <v>0</v>
      </c>
      <c r="BW67" s="61">
        <f t="shared" si="56"/>
        <v>0</v>
      </c>
      <c r="BX67" s="61">
        <f t="shared" si="56"/>
        <v>0</v>
      </c>
      <c r="BY67" s="61">
        <f t="shared" si="56"/>
        <v>0</v>
      </c>
      <c r="BZ67" s="61">
        <f t="shared" si="56"/>
        <v>0</v>
      </c>
      <c r="CA67" s="61">
        <f t="shared" si="56"/>
        <v>0</v>
      </c>
      <c r="CB67" s="61">
        <f t="shared" si="56"/>
        <v>0</v>
      </c>
      <c r="CC67" s="61">
        <f t="shared" si="56"/>
        <v>0</v>
      </c>
      <c r="CD67" s="61">
        <f t="shared" si="56"/>
        <v>0</v>
      </c>
      <c r="CE67" s="61">
        <f t="shared" si="56"/>
        <v>0</v>
      </c>
      <c r="CF67" s="61">
        <f t="shared" si="56"/>
        <v>0</v>
      </c>
      <c r="CG67" s="61">
        <f t="shared" si="56"/>
        <v>0</v>
      </c>
      <c r="CH67" s="61">
        <f t="shared" si="56"/>
        <v>0</v>
      </c>
      <c r="CI67" s="61">
        <f t="shared" si="56"/>
        <v>0</v>
      </c>
      <c r="CJ67" s="61">
        <f t="shared" si="47"/>
        <v>0</v>
      </c>
      <c r="CK67" s="61">
        <f t="shared" si="48"/>
        <v>0</v>
      </c>
      <c r="CL67" s="61">
        <f t="shared" si="48"/>
        <v>0</v>
      </c>
      <c r="CM67" s="61">
        <f t="shared" si="48"/>
        <v>0</v>
      </c>
      <c r="CN67" s="61">
        <f t="shared" si="48"/>
        <v>0</v>
      </c>
      <c r="CO67" s="61">
        <f t="shared" si="48"/>
        <v>0</v>
      </c>
      <c r="CP67" s="61">
        <f t="shared" si="48"/>
        <v>0</v>
      </c>
      <c r="CQ67" s="23" t="s">
        <v>77</v>
      </c>
      <c r="CT67" s="375"/>
      <c r="CU67" s="375"/>
      <c r="CV67" s="375"/>
    </row>
    <row r="68" spans="1:100" s="12" customFormat="1" outlineLevel="1" x14ac:dyDescent="0.2">
      <c r="A68" s="102"/>
      <c r="B68" s="12" t="s">
        <v>403</v>
      </c>
      <c r="C68" s="141"/>
      <c r="K68" s="372">
        <v>5.8900000000000001E-2</v>
      </c>
      <c r="L68" s="373">
        <v>42870</v>
      </c>
      <c r="M68" s="129">
        <v>100</v>
      </c>
      <c r="N68" s="129">
        <f t="shared" si="53"/>
        <v>100</v>
      </c>
      <c r="O68" s="376">
        <f t="shared" si="49"/>
        <v>1</v>
      </c>
      <c r="Q68" s="375">
        <f t="shared" si="50"/>
        <v>2.8767123287671232</v>
      </c>
      <c r="R68" s="12">
        <f t="shared" si="54"/>
        <v>-100</v>
      </c>
      <c r="T68" s="61">
        <f t="shared" si="43"/>
        <v>0</v>
      </c>
      <c r="U68" s="61">
        <f t="shared" si="44"/>
        <v>0</v>
      </c>
      <c r="V68" s="61">
        <f t="shared" si="55"/>
        <v>0</v>
      </c>
      <c r="W68" s="61">
        <f t="shared" si="55"/>
        <v>-100</v>
      </c>
      <c r="X68" s="61">
        <f t="shared" si="55"/>
        <v>0</v>
      </c>
      <c r="Y68" s="61">
        <f t="shared" si="55"/>
        <v>0</v>
      </c>
      <c r="Z68" s="61">
        <f t="shared" si="55"/>
        <v>0</v>
      </c>
      <c r="AA68" s="61">
        <f t="shared" si="55"/>
        <v>0</v>
      </c>
      <c r="AB68" s="61">
        <f t="shared" si="55"/>
        <v>0</v>
      </c>
      <c r="AC68" s="61">
        <f t="shared" si="55"/>
        <v>0</v>
      </c>
      <c r="AD68" s="61">
        <f t="shared" si="55"/>
        <v>0</v>
      </c>
      <c r="AE68" s="61">
        <f t="shared" si="55"/>
        <v>0</v>
      </c>
      <c r="AF68" s="61">
        <f t="shared" si="55"/>
        <v>0</v>
      </c>
      <c r="AG68" s="61">
        <f t="shared" si="55"/>
        <v>0</v>
      </c>
      <c r="AH68" s="61">
        <f t="shared" si="55"/>
        <v>0</v>
      </c>
      <c r="AI68" s="61">
        <f t="shared" si="55"/>
        <v>0</v>
      </c>
      <c r="AJ68" s="61">
        <f t="shared" si="55"/>
        <v>0</v>
      </c>
      <c r="AK68" s="61">
        <f t="shared" si="55"/>
        <v>0</v>
      </c>
      <c r="AL68" s="61">
        <f t="shared" si="55"/>
        <v>0</v>
      </c>
      <c r="AM68" s="61">
        <f t="shared" si="55"/>
        <v>0</v>
      </c>
      <c r="AN68" s="61">
        <f t="shared" si="55"/>
        <v>0</v>
      </c>
      <c r="AO68" s="61">
        <f t="shared" si="55"/>
        <v>0</v>
      </c>
      <c r="AP68" s="61">
        <f t="shared" si="55"/>
        <v>0</v>
      </c>
      <c r="AQ68" s="61">
        <f t="shared" si="55"/>
        <v>0</v>
      </c>
      <c r="AR68" s="61">
        <f t="shared" si="55"/>
        <v>0</v>
      </c>
      <c r="AS68" s="61">
        <f t="shared" si="55"/>
        <v>0</v>
      </c>
      <c r="AT68" s="61">
        <f t="shared" si="55"/>
        <v>0</v>
      </c>
      <c r="AU68" s="61">
        <f t="shared" si="55"/>
        <v>0</v>
      </c>
      <c r="AV68" s="61">
        <f t="shared" si="55"/>
        <v>0</v>
      </c>
      <c r="AW68" s="61">
        <f t="shared" si="55"/>
        <v>0</v>
      </c>
      <c r="AX68" s="61">
        <f t="shared" si="55"/>
        <v>0</v>
      </c>
      <c r="AY68" s="61">
        <f t="shared" si="55"/>
        <v>0</v>
      </c>
      <c r="AZ68" s="61">
        <f t="shared" si="55"/>
        <v>0</v>
      </c>
      <c r="BA68" s="61">
        <f t="shared" si="55"/>
        <v>0</v>
      </c>
      <c r="BB68" s="61">
        <f t="shared" si="55"/>
        <v>0</v>
      </c>
      <c r="BC68" s="61">
        <f t="shared" si="55"/>
        <v>0</v>
      </c>
      <c r="BD68" s="61">
        <f t="shared" si="55"/>
        <v>0</v>
      </c>
      <c r="BE68" s="61">
        <f t="shared" ref="BE68:BT77" si="57">IF(AND($L68&lt;BE$49,$L68&gt;BD$49),-$M68,0)</f>
        <v>0</v>
      </c>
      <c r="BF68" s="61">
        <f t="shared" si="57"/>
        <v>0</v>
      </c>
      <c r="BG68" s="61">
        <f t="shared" si="57"/>
        <v>0</v>
      </c>
      <c r="BH68" s="61">
        <f t="shared" si="57"/>
        <v>0</v>
      </c>
      <c r="BI68" s="61">
        <f t="shared" si="57"/>
        <v>0</v>
      </c>
      <c r="BJ68" s="61">
        <f t="shared" si="57"/>
        <v>0</v>
      </c>
      <c r="BK68" s="61">
        <f t="shared" si="57"/>
        <v>0</v>
      </c>
      <c r="BL68" s="61">
        <f t="shared" si="57"/>
        <v>0</v>
      </c>
      <c r="BM68" s="61">
        <f t="shared" si="57"/>
        <v>0</v>
      </c>
      <c r="BN68" s="61">
        <f t="shared" si="57"/>
        <v>0</v>
      </c>
      <c r="BO68" s="61">
        <f t="shared" si="57"/>
        <v>0</v>
      </c>
      <c r="BP68" s="61">
        <f t="shared" si="57"/>
        <v>0</v>
      </c>
      <c r="BQ68" s="61">
        <f t="shared" si="57"/>
        <v>0</v>
      </c>
      <c r="BR68" s="61">
        <f t="shared" si="57"/>
        <v>0</v>
      </c>
      <c r="BS68" s="61">
        <f t="shared" si="57"/>
        <v>0</v>
      </c>
      <c r="BT68" s="61">
        <f t="shared" si="57"/>
        <v>0</v>
      </c>
      <c r="BU68" s="61">
        <f t="shared" si="56"/>
        <v>0</v>
      </c>
      <c r="BV68" s="61">
        <f t="shared" si="56"/>
        <v>0</v>
      </c>
      <c r="BW68" s="61">
        <f t="shared" si="56"/>
        <v>0</v>
      </c>
      <c r="BX68" s="61">
        <f t="shared" si="56"/>
        <v>0</v>
      </c>
      <c r="BY68" s="61">
        <f t="shared" si="56"/>
        <v>0</v>
      </c>
      <c r="BZ68" s="61">
        <f t="shared" si="56"/>
        <v>0</v>
      </c>
      <c r="CA68" s="61">
        <f t="shared" si="56"/>
        <v>0</v>
      </c>
      <c r="CB68" s="61">
        <f t="shared" si="56"/>
        <v>0</v>
      </c>
      <c r="CC68" s="61">
        <f t="shared" si="56"/>
        <v>0</v>
      </c>
      <c r="CD68" s="61">
        <f t="shared" si="56"/>
        <v>0</v>
      </c>
      <c r="CE68" s="61">
        <f t="shared" si="56"/>
        <v>0</v>
      </c>
      <c r="CF68" s="61">
        <f t="shared" si="56"/>
        <v>0</v>
      </c>
      <c r="CG68" s="61">
        <f t="shared" si="56"/>
        <v>0</v>
      </c>
      <c r="CH68" s="61">
        <f t="shared" si="56"/>
        <v>0</v>
      </c>
      <c r="CI68" s="61">
        <f t="shared" si="56"/>
        <v>0</v>
      </c>
      <c r="CJ68" s="61">
        <f t="shared" ref="CJ68:CP77" si="58">IF(AND($L68&lt;CJ$49,$L68&gt;CI$49),-$M68,0)</f>
        <v>0</v>
      </c>
      <c r="CK68" s="61">
        <f t="shared" si="58"/>
        <v>0</v>
      </c>
      <c r="CL68" s="61">
        <f t="shared" si="58"/>
        <v>0</v>
      </c>
      <c r="CM68" s="61">
        <f t="shared" si="58"/>
        <v>0</v>
      </c>
      <c r="CN68" s="61">
        <f t="shared" si="58"/>
        <v>0</v>
      </c>
      <c r="CO68" s="61">
        <f t="shared" si="58"/>
        <v>0</v>
      </c>
      <c r="CP68" s="61">
        <f t="shared" si="58"/>
        <v>0</v>
      </c>
      <c r="CQ68" s="23" t="s">
        <v>77</v>
      </c>
      <c r="CT68" s="375"/>
      <c r="CU68" s="375"/>
      <c r="CV68" s="375"/>
    </row>
    <row r="69" spans="1:100" s="12" customFormat="1" outlineLevel="1" x14ac:dyDescent="0.2">
      <c r="A69" s="102"/>
      <c r="B69" s="12" t="s">
        <v>404</v>
      </c>
      <c r="C69" s="141"/>
      <c r="K69" s="372">
        <v>5.9900000000000002E-2</v>
      </c>
      <c r="L69" s="373">
        <v>43600</v>
      </c>
      <c r="M69" s="129">
        <f>204-85</f>
        <v>119</v>
      </c>
      <c r="N69" s="129">
        <f t="shared" si="53"/>
        <v>119</v>
      </c>
      <c r="O69" s="376">
        <f t="shared" si="49"/>
        <v>1</v>
      </c>
      <c r="Q69" s="375">
        <f t="shared" si="50"/>
        <v>4.8767123287671232</v>
      </c>
      <c r="R69" s="12">
        <f t="shared" si="54"/>
        <v>-119</v>
      </c>
      <c r="T69" s="61">
        <f t="shared" si="43"/>
        <v>0</v>
      </c>
      <c r="U69" s="61">
        <f t="shared" si="44"/>
        <v>0</v>
      </c>
      <c r="V69" s="61">
        <f t="shared" si="55"/>
        <v>0</v>
      </c>
      <c r="W69" s="61">
        <f t="shared" si="55"/>
        <v>0</v>
      </c>
      <c r="X69" s="61">
        <f t="shared" si="55"/>
        <v>0</v>
      </c>
      <c r="Y69" s="61">
        <f t="shared" si="55"/>
        <v>-119</v>
      </c>
      <c r="Z69" s="61">
        <f t="shared" si="55"/>
        <v>0</v>
      </c>
      <c r="AA69" s="61">
        <f t="shared" si="55"/>
        <v>0</v>
      </c>
      <c r="AB69" s="61">
        <f t="shared" si="55"/>
        <v>0</v>
      </c>
      <c r="AC69" s="61">
        <f t="shared" si="55"/>
        <v>0</v>
      </c>
      <c r="AD69" s="61">
        <f t="shared" si="55"/>
        <v>0</v>
      </c>
      <c r="AE69" s="61">
        <f t="shared" si="55"/>
        <v>0</v>
      </c>
      <c r="AF69" s="61">
        <f t="shared" si="55"/>
        <v>0</v>
      </c>
      <c r="AG69" s="61">
        <f t="shared" si="55"/>
        <v>0</v>
      </c>
      <c r="AH69" s="61">
        <f t="shared" si="55"/>
        <v>0</v>
      </c>
      <c r="AI69" s="61">
        <f t="shared" si="55"/>
        <v>0</v>
      </c>
      <c r="AJ69" s="61">
        <f t="shared" si="55"/>
        <v>0</v>
      </c>
      <c r="AK69" s="61">
        <f t="shared" si="55"/>
        <v>0</v>
      </c>
      <c r="AL69" s="61">
        <f t="shared" si="55"/>
        <v>0</v>
      </c>
      <c r="AM69" s="61">
        <f t="shared" si="55"/>
        <v>0</v>
      </c>
      <c r="AN69" s="61">
        <f t="shared" si="55"/>
        <v>0</v>
      </c>
      <c r="AO69" s="61">
        <f t="shared" si="55"/>
        <v>0</v>
      </c>
      <c r="AP69" s="61">
        <f t="shared" si="55"/>
        <v>0</v>
      </c>
      <c r="AQ69" s="61">
        <f t="shared" si="55"/>
        <v>0</v>
      </c>
      <c r="AR69" s="61">
        <f t="shared" si="55"/>
        <v>0</v>
      </c>
      <c r="AS69" s="61">
        <f t="shared" si="55"/>
        <v>0</v>
      </c>
      <c r="AT69" s="61">
        <f t="shared" si="55"/>
        <v>0</v>
      </c>
      <c r="AU69" s="61">
        <f t="shared" si="55"/>
        <v>0</v>
      </c>
      <c r="AV69" s="61">
        <f t="shared" si="55"/>
        <v>0</v>
      </c>
      <c r="AW69" s="61">
        <f t="shared" si="55"/>
        <v>0</v>
      </c>
      <c r="AX69" s="61">
        <f t="shared" si="55"/>
        <v>0</v>
      </c>
      <c r="AY69" s="61">
        <f t="shared" si="55"/>
        <v>0</v>
      </c>
      <c r="AZ69" s="61">
        <f t="shared" si="55"/>
        <v>0</v>
      </c>
      <c r="BA69" s="61">
        <f t="shared" si="55"/>
        <v>0</v>
      </c>
      <c r="BB69" s="61">
        <f t="shared" si="55"/>
        <v>0</v>
      </c>
      <c r="BC69" s="61">
        <f t="shared" si="55"/>
        <v>0</v>
      </c>
      <c r="BD69" s="61">
        <f t="shared" si="55"/>
        <v>0</v>
      </c>
      <c r="BE69" s="61">
        <f t="shared" si="57"/>
        <v>0</v>
      </c>
      <c r="BF69" s="61">
        <f t="shared" si="57"/>
        <v>0</v>
      </c>
      <c r="BG69" s="61">
        <f t="shared" si="57"/>
        <v>0</v>
      </c>
      <c r="BH69" s="61">
        <f t="shared" si="57"/>
        <v>0</v>
      </c>
      <c r="BI69" s="61">
        <f t="shared" si="57"/>
        <v>0</v>
      </c>
      <c r="BJ69" s="61">
        <f t="shared" si="57"/>
        <v>0</v>
      </c>
      <c r="BK69" s="61">
        <f t="shared" si="57"/>
        <v>0</v>
      </c>
      <c r="BL69" s="61">
        <f t="shared" si="57"/>
        <v>0</v>
      </c>
      <c r="BM69" s="61">
        <f t="shared" si="57"/>
        <v>0</v>
      </c>
      <c r="BN69" s="61">
        <f t="shared" si="57"/>
        <v>0</v>
      </c>
      <c r="BO69" s="61">
        <f t="shared" si="57"/>
        <v>0</v>
      </c>
      <c r="BP69" s="61">
        <f t="shared" si="57"/>
        <v>0</v>
      </c>
      <c r="BQ69" s="61">
        <f t="shared" si="57"/>
        <v>0</v>
      </c>
      <c r="BR69" s="61">
        <f t="shared" si="57"/>
        <v>0</v>
      </c>
      <c r="BS69" s="61">
        <f t="shared" si="57"/>
        <v>0</v>
      </c>
      <c r="BT69" s="61">
        <f t="shared" si="57"/>
        <v>0</v>
      </c>
      <c r="BU69" s="61">
        <f t="shared" si="56"/>
        <v>0</v>
      </c>
      <c r="BV69" s="61">
        <f t="shared" si="56"/>
        <v>0</v>
      </c>
      <c r="BW69" s="61">
        <f t="shared" si="56"/>
        <v>0</v>
      </c>
      <c r="BX69" s="61">
        <f t="shared" si="56"/>
        <v>0</v>
      </c>
      <c r="BY69" s="61">
        <f t="shared" si="56"/>
        <v>0</v>
      </c>
      <c r="BZ69" s="61">
        <f t="shared" si="56"/>
        <v>0</v>
      </c>
      <c r="CA69" s="61">
        <f t="shared" si="56"/>
        <v>0</v>
      </c>
      <c r="CB69" s="61">
        <f t="shared" si="56"/>
        <v>0</v>
      </c>
      <c r="CC69" s="61">
        <f t="shared" si="56"/>
        <v>0</v>
      </c>
      <c r="CD69" s="61">
        <f t="shared" si="56"/>
        <v>0</v>
      </c>
      <c r="CE69" s="61">
        <f t="shared" si="56"/>
        <v>0</v>
      </c>
      <c r="CF69" s="61">
        <f t="shared" si="56"/>
        <v>0</v>
      </c>
      <c r="CG69" s="61">
        <f t="shared" si="56"/>
        <v>0</v>
      </c>
      <c r="CH69" s="61">
        <f t="shared" si="56"/>
        <v>0</v>
      </c>
      <c r="CI69" s="61">
        <f t="shared" si="56"/>
        <v>0</v>
      </c>
      <c r="CJ69" s="61">
        <f t="shared" si="58"/>
        <v>0</v>
      </c>
      <c r="CK69" s="61">
        <f t="shared" si="58"/>
        <v>0</v>
      </c>
      <c r="CL69" s="61">
        <f t="shared" si="58"/>
        <v>0</v>
      </c>
      <c r="CM69" s="61">
        <f t="shared" si="58"/>
        <v>0</v>
      </c>
      <c r="CN69" s="61">
        <f t="shared" si="58"/>
        <v>0</v>
      </c>
      <c r="CO69" s="61">
        <f t="shared" si="58"/>
        <v>0</v>
      </c>
      <c r="CP69" s="61">
        <f t="shared" si="58"/>
        <v>0</v>
      </c>
      <c r="CQ69" s="23" t="s">
        <v>77</v>
      </c>
      <c r="CT69" s="375"/>
      <c r="CU69" s="375"/>
      <c r="CV69" s="375"/>
    </row>
    <row r="70" spans="1:100" s="12" customFormat="1" outlineLevel="1" x14ac:dyDescent="0.2">
      <c r="A70" s="102"/>
      <c r="B70" s="12" t="s">
        <v>405</v>
      </c>
      <c r="C70" s="141"/>
      <c r="K70" s="372">
        <v>6.1400000000000003E-2</v>
      </c>
      <c r="L70" s="373">
        <v>44696</v>
      </c>
      <c r="M70" s="129">
        <v>96</v>
      </c>
      <c r="N70" s="129">
        <f t="shared" si="53"/>
        <v>96</v>
      </c>
      <c r="O70" s="376">
        <f t="shared" si="49"/>
        <v>1</v>
      </c>
      <c r="Q70" s="375">
        <f t="shared" si="50"/>
        <v>7.8794520547945206</v>
      </c>
      <c r="R70" s="12">
        <f t="shared" si="54"/>
        <v>-96</v>
      </c>
      <c r="T70" s="61">
        <f t="shared" si="43"/>
        <v>0</v>
      </c>
      <c r="U70" s="61">
        <f t="shared" si="44"/>
        <v>0</v>
      </c>
      <c r="V70" s="61">
        <f t="shared" si="55"/>
        <v>0</v>
      </c>
      <c r="W70" s="61">
        <f t="shared" si="55"/>
        <v>0</v>
      </c>
      <c r="X70" s="61">
        <f t="shared" si="55"/>
        <v>0</v>
      </c>
      <c r="Y70" s="61">
        <f t="shared" si="55"/>
        <v>0</v>
      </c>
      <c r="Z70" s="61">
        <f t="shared" si="55"/>
        <v>0</v>
      </c>
      <c r="AA70" s="61">
        <f t="shared" si="55"/>
        <v>0</v>
      </c>
      <c r="AB70" s="61">
        <f t="shared" si="55"/>
        <v>-96</v>
      </c>
      <c r="AC70" s="61">
        <f t="shared" si="55"/>
        <v>0</v>
      </c>
      <c r="AD70" s="61">
        <f t="shared" si="55"/>
        <v>0</v>
      </c>
      <c r="AE70" s="61">
        <f t="shared" si="55"/>
        <v>0</v>
      </c>
      <c r="AF70" s="61">
        <f t="shared" si="55"/>
        <v>0</v>
      </c>
      <c r="AG70" s="61">
        <f t="shared" si="55"/>
        <v>0</v>
      </c>
      <c r="AH70" s="61">
        <f t="shared" si="55"/>
        <v>0</v>
      </c>
      <c r="AI70" s="61">
        <f t="shared" si="55"/>
        <v>0</v>
      </c>
      <c r="AJ70" s="61">
        <f t="shared" si="55"/>
        <v>0</v>
      </c>
      <c r="AK70" s="61">
        <f t="shared" si="55"/>
        <v>0</v>
      </c>
      <c r="AL70" s="61">
        <f t="shared" si="55"/>
        <v>0</v>
      </c>
      <c r="AM70" s="61">
        <f t="shared" si="55"/>
        <v>0</v>
      </c>
      <c r="AN70" s="61">
        <f t="shared" si="55"/>
        <v>0</v>
      </c>
      <c r="AO70" s="61">
        <f t="shared" si="55"/>
        <v>0</v>
      </c>
      <c r="AP70" s="61">
        <f t="shared" si="55"/>
        <v>0</v>
      </c>
      <c r="AQ70" s="61">
        <f t="shared" si="55"/>
        <v>0</v>
      </c>
      <c r="AR70" s="61">
        <f t="shared" si="55"/>
        <v>0</v>
      </c>
      <c r="AS70" s="61">
        <f t="shared" si="55"/>
        <v>0</v>
      </c>
      <c r="AT70" s="61">
        <f t="shared" si="55"/>
        <v>0</v>
      </c>
      <c r="AU70" s="61">
        <f t="shared" si="55"/>
        <v>0</v>
      </c>
      <c r="AV70" s="61">
        <f t="shared" si="55"/>
        <v>0</v>
      </c>
      <c r="AW70" s="61">
        <f t="shared" si="55"/>
        <v>0</v>
      </c>
      <c r="AX70" s="61">
        <f t="shared" si="55"/>
        <v>0</v>
      </c>
      <c r="AY70" s="61">
        <f t="shared" si="55"/>
        <v>0</v>
      </c>
      <c r="AZ70" s="61">
        <f t="shared" si="55"/>
        <v>0</v>
      </c>
      <c r="BA70" s="61">
        <f t="shared" si="55"/>
        <v>0</v>
      </c>
      <c r="BB70" s="61">
        <f t="shared" si="55"/>
        <v>0</v>
      </c>
      <c r="BC70" s="61">
        <f t="shared" si="55"/>
        <v>0</v>
      </c>
      <c r="BD70" s="61">
        <f t="shared" si="55"/>
        <v>0</v>
      </c>
      <c r="BE70" s="61">
        <f t="shared" si="57"/>
        <v>0</v>
      </c>
      <c r="BF70" s="61">
        <f t="shared" si="57"/>
        <v>0</v>
      </c>
      <c r="BG70" s="61">
        <f t="shared" si="57"/>
        <v>0</v>
      </c>
      <c r="BH70" s="61">
        <f t="shared" si="57"/>
        <v>0</v>
      </c>
      <c r="BI70" s="61">
        <f t="shared" si="57"/>
        <v>0</v>
      </c>
      <c r="BJ70" s="61">
        <f t="shared" si="57"/>
        <v>0</v>
      </c>
      <c r="BK70" s="61">
        <f t="shared" si="57"/>
        <v>0</v>
      </c>
      <c r="BL70" s="61">
        <f t="shared" si="57"/>
        <v>0</v>
      </c>
      <c r="BM70" s="61">
        <f t="shared" si="57"/>
        <v>0</v>
      </c>
      <c r="BN70" s="61">
        <f t="shared" si="57"/>
        <v>0</v>
      </c>
      <c r="BO70" s="61">
        <f t="shared" si="57"/>
        <v>0</v>
      </c>
      <c r="BP70" s="61">
        <f t="shared" si="57"/>
        <v>0</v>
      </c>
      <c r="BQ70" s="61">
        <f t="shared" si="57"/>
        <v>0</v>
      </c>
      <c r="BR70" s="61">
        <f t="shared" si="57"/>
        <v>0</v>
      </c>
      <c r="BS70" s="61">
        <f t="shared" si="57"/>
        <v>0</v>
      </c>
      <c r="BT70" s="61">
        <f t="shared" si="57"/>
        <v>0</v>
      </c>
      <c r="BU70" s="61">
        <f t="shared" si="56"/>
        <v>0</v>
      </c>
      <c r="BV70" s="61">
        <f t="shared" si="56"/>
        <v>0</v>
      </c>
      <c r="BW70" s="61">
        <f t="shared" si="56"/>
        <v>0</v>
      </c>
      <c r="BX70" s="61">
        <f t="shared" si="56"/>
        <v>0</v>
      </c>
      <c r="BY70" s="61">
        <f t="shared" si="56"/>
        <v>0</v>
      </c>
      <c r="BZ70" s="61">
        <f t="shared" si="56"/>
        <v>0</v>
      </c>
      <c r="CA70" s="61">
        <f t="shared" si="56"/>
        <v>0</v>
      </c>
      <c r="CB70" s="61">
        <f t="shared" si="56"/>
        <v>0</v>
      </c>
      <c r="CC70" s="61">
        <f t="shared" si="56"/>
        <v>0</v>
      </c>
      <c r="CD70" s="61">
        <f t="shared" si="56"/>
        <v>0</v>
      </c>
      <c r="CE70" s="61">
        <f t="shared" si="56"/>
        <v>0</v>
      </c>
      <c r="CF70" s="61">
        <f t="shared" si="56"/>
        <v>0</v>
      </c>
      <c r="CG70" s="61">
        <f t="shared" si="56"/>
        <v>0</v>
      </c>
      <c r="CH70" s="61">
        <f t="shared" si="56"/>
        <v>0</v>
      </c>
      <c r="CI70" s="61">
        <f t="shared" si="56"/>
        <v>0</v>
      </c>
      <c r="CJ70" s="61">
        <f t="shared" si="58"/>
        <v>0</v>
      </c>
      <c r="CK70" s="61">
        <f t="shared" si="58"/>
        <v>0</v>
      </c>
      <c r="CL70" s="61">
        <f t="shared" si="58"/>
        <v>0</v>
      </c>
      <c r="CM70" s="61">
        <f t="shared" si="58"/>
        <v>0</v>
      </c>
      <c r="CN70" s="61">
        <f t="shared" si="58"/>
        <v>0</v>
      </c>
      <c r="CO70" s="61">
        <f t="shared" si="58"/>
        <v>0</v>
      </c>
      <c r="CP70" s="61">
        <f t="shared" si="58"/>
        <v>0</v>
      </c>
      <c r="CQ70" s="23" t="s">
        <v>77</v>
      </c>
      <c r="CT70" s="375"/>
      <c r="CU70" s="375"/>
      <c r="CV70" s="375"/>
    </row>
    <row r="71" spans="1:100" s="12" customFormat="1" outlineLevel="1" x14ac:dyDescent="0.2">
      <c r="A71" s="102"/>
      <c r="B71" s="12" t="s">
        <v>406</v>
      </c>
      <c r="C71" s="141"/>
      <c r="K71" s="372">
        <v>8.3500000000000005E-2</v>
      </c>
      <c r="L71" s="373">
        <v>42550</v>
      </c>
      <c r="M71" s="129">
        <v>100</v>
      </c>
      <c r="N71" s="129">
        <f t="shared" si="53"/>
        <v>100</v>
      </c>
      <c r="O71" s="376">
        <f t="shared" si="49"/>
        <v>1</v>
      </c>
      <c r="Q71" s="375">
        <f t="shared" si="50"/>
        <v>2</v>
      </c>
      <c r="R71" s="12">
        <f t="shared" si="54"/>
        <v>-100</v>
      </c>
      <c r="T71" s="61">
        <f t="shared" si="43"/>
        <v>0</v>
      </c>
      <c r="U71" s="61">
        <f t="shared" si="44"/>
        <v>0</v>
      </c>
      <c r="V71" s="61">
        <f t="shared" si="55"/>
        <v>-100</v>
      </c>
      <c r="W71" s="61">
        <f t="shared" si="55"/>
        <v>0</v>
      </c>
      <c r="X71" s="61">
        <f t="shared" si="55"/>
        <v>0</v>
      </c>
      <c r="Y71" s="61">
        <f t="shared" si="55"/>
        <v>0</v>
      </c>
      <c r="Z71" s="61">
        <f t="shared" si="55"/>
        <v>0</v>
      </c>
      <c r="AA71" s="61">
        <f t="shared" si="55"/>
        <v>0</v>
      </c>
      <c r="AB71" s="61">
        <f t="shared" si="55"/>
        <v>0</v>
      </c>
      <c r="AC71" s="61">
        <f t="shared" si="55"/>
        <v>0</v>
      </c>
      <c r="AD71" s="61">
        <f t="shared" si="55"/>
        <v>0</v>
      </c>
      <c r="AE71" s="61">
        <f t="shared" si="55"/>
        <v>0</v>
      </c>
      <c r="AF71" s="61">
        <f t="shared" si="55"/>
        <v>0</v>
      </c>
      <c r="AG71" s="61">
        <f t="shared" si="55"/>
        <v>0</v>
      </c>
      <c r="AH71" s="61">
        <f t="shared" si="55"/>
        <v>0</v>
      </c>
      <c r="AI71" s="61">
        <f t="shared" si="55"/>
        <v>0</v>
      </c>
      <c r="AJ71" s="61">
        <f t="shared" si="55"/>
        <v>0</v>
      </c>
      <c r="AK71" s="61">
        <f t="shared" si="55"/>
        <v>0</v>
      </c>
      <c r="AL71" s="61">
        <f t="shared" si="55"/>
        <v>0</v>
      </c>
      <c r="AM71" s="61">
        <f t="shared" si="55"/>
        <v>0</v>
      </c>
      <c r="AN71" s="61">
        <f t="shared" si="55"/>
        <v>0</v>
      </c>
      <c r="AO71" s="61">
        <f t="shared" si="55"/>
        <v>0</v>
      </c>
      <c r="AP71" s="61">
        <f t="shared" si="55"/>
        <v>0</v>
      </c>
      <c r="AQ71" s="61">
        <f t="shared" si="55"/>
        <v>0</v>
      </c>
      <c r="AR71" s="61">
        <f t="shared" si="55"/>
        <v>0</v>
      </c>
      <c r="AS71" s="61">
        <f t="shared" si="55"/>
        <v>0</v>
      </c>
      <c r="AT71" s="61">
        <f t="shared" si="55"/>
        <v>0</v>
      </c>
      <c r="AU71" s="61">
        <f t="shared" si="55"/>
        <v>0</v>
      </c>
      <c r="AV71" s="61">
        <f t="shared" si="55"/>
        <v>0</v>
      </c>
      <c r="AW71" s="61">
        <f t="shared" si="55"/>
        <v>0</v>
      </c>
      <c r="AX71" s="61">
        <f t="shared" si="55"/>
        <v>0</v>
      </c>
      <c r="AY71" s="61">
        <f t="shared" si="55"/>
        <v>0</v>
      </c>
      <c r="AZ71" s="61">
        <f t="shared" si="55"/>
        <v>0</v>
      </c>
      <c r="BA71" s="61">
        <f t="shared" si="55"/>
        <v>0</v>
      </c>
      <c r="BB71" s="61">
        <f t="shared" si="55"/>
        <v>0</v>
      </c>
      <c r="BC71" s="61">
        <f t="shared" si="55"/>
        <v>0</v>
      </c>
      <c r="BD71" s="61">
        <f t="shared" si="55"/>
        <v>0</v>
      </c>
      <c r="BE71" s="61">
        <f t="shared" si="57"/>
        <v>0</v>
      </c>
      <c r="BF71" s="61">
        <f t="shared" si="57"/>
        <v>0</v>
      </c>
      <c r="BG71" s="61">
        <f t="shared" si="57"/>
        <v>0</v>
      </c>
      <c r="BH71" s="61">
        <f t="shared" si="57"/>
        <v>0</v>
      </c>
      <c r="BI71" s="61">
        <f t="shared" si="57"/>
        <v>0</v>
      </c>
      <c r="BJ71" s="61">
        <f t="shared" si="57"/>
        <v>0</v>
      </c>
      <c r="BK71" s="61">
        <f t="shared" si="57"/>
        <v>0</v>
      </c>
      <c r="BL71" s="61">
        <f t="shared" si="57"/>
        <v>0</v>
      </c>
      <c r="BM71" s="61">
        <f t="shared" si="57"/>
        <v>0</v>
      </c>
      <c r="BN71" s="61">
        <f t="shared" si="57"/>
        <v>0</v>
      </c>
      <c r="BO71" s="61">
        <f t="shared" si="57"/>
        <v>0</v>
      </c>
      <c r="BP71" s="61">
        <f t="shared" si="57"/>
        <v>0</v>
      </c>
      <c r="BQ71" s="61">
        <f t="shared" si="57"/>
        <v>0</v>
      </c>
      <c r="BR71" s="61">
        <f t="shared" si="57"/>
        <v>0</v>
      </c>
      <c r="BS71" s="61">
        <f t="shared" si="57"/>
        <v>0</v>
      </c>
      <c r="BT71" s="61">
        <f t="shared" si="57"/>
        <v>0</v>
      </c>
      <c r="BU71" s="61">
        <f t="shared" si="56"/>
        <v>0</v>
      </c>
      <c r="BV71" s="61">
        <f t="shared" si="56"/>
        <v>0</v>
      </c>
      <c r="BW71" s="61">
        <f t="shared" si="56"/>
        <v>0</v>
      </c>
      <c r="BX71" s="61">
        <f t="shared" si="56"/>
        <v>0</v>
      </c>
      <c r="BY71" s="61">
        <f t="shared" si="56"/>
        <v>0</v>
      </c>
      <c r="BZ71" s="61">
        <f t="shared" si="56"/>
        <v>0</v>
      </c>
      <c r="CA71" s="61">
        <f t="shared" si="56"/>
        <v>0</v>
      </c>
      <c r="CB71" s="61">
        <f t="shared" si="56"/>
        <v>0</v>
      </c>
      <c r="CC71" s="61">
        <f t="shared" si="56"/>
        <v>0</v>
      </c>
      <c r="CD71" s="61">
        <f t="shared" si="56"/>
        <v>0</v>
      </c>
      <c r="CE71" s="61">
        <f t="shared" si="56"/>
        <v>0</v>
      </c>
      <c r="CF71" s="61">
        <f t="shared" si="56"/>
        <v>0</v>
      </c>
      <c r="CG71" s="61">
        <f t="shared" si="56"/>
        <v>0</v>
      </c>
      <c r="CH71" s="61">
        <f t="shared" si="56"/>
        <v>0</v>
      </c>
      <c r="CI71" s="61">
        <f t="shared" si="56"/>
        <v>0</v>
      </c>
      <c r="CJ71" s="61">
        <f t="shared" si="58"/>
        <v>0</v>
      </c>
      <c r="CK71" s="61">
        <f t="shared" si="58"/>
        <v>0</v>
      </c>
      <c r="CL71" s="61">
        <f t="shared" si="58"/>
        <v>0</v>
      </c>
      <c r="CM71" s="61">
        <f t="shared" si="58"/>
        <v>0</v>
      </c>
      <c r="CN71" s="61">
        <f t="shared" si="58"/>
        <v>0</v>
      </c>
      <c r="CO71" s="61">
        <f t="shared" si="58"/>
        <v>0</v>
      </c>
      <c r="CP71" s="61">
        <f t="shared" si="58"/>
        <v>0</v>
      </c>
      <c r="CQ71" s="23" t="s">
        <v>77</v>
      </c>
      <c r="CT71" s="375"/>
      <c r="CU71" s="375"/>
      <c r="CV71" s="375"/>
    </row>
    <row r="72" spans="1:100" s="12" customFormat="1" outlineLevel="1" x14ac:dyDescent="0.2">
      <c r="A72" s="102"/>
      <c r="B72" s="12" t="s">
        <v>407</v>
      </c>
      <c r="C72" s="141"/>
      <c r="K72" s="372">
        <v>8.8599999999999998E-2</v>
      </c>
      <c r="L72" s="373">
        <v>43645</v>
      </c>
      <c r="M72" s="129">
        <v>85</v>
      </c>
      <c r="N72" s="129">
        <f t="shared" si="53"/>
        <v>85</v>
      </c>
      <c r="O72" s="376">
        <f t="shared" si="49"/>
        <v>1</v>
      </c>
      <c r="Q72" s="375">
        <f t="shared" si="50"/>
        <v>5</v>
      </c>
      <c r="R72" s="12">
        <f t="shared" si="54"/>
        <v>-85</v>
      </c>
      <c r="T72" s="61">
        <f t="shared" si="43"/>
        <v>0</v>
      </c>
      <c r="U72" s="61">
        <f t="shared" si="44"/>
        <v>0</v>
      </c>
      <c r="V72" s="61">
        <f t="shared" si="55"/>
        <v>0</v>
      </c>
      <c r="W72" s="61">
        <f t="shared" si="55"/>
        <v>0</v>
      </c>
      <c r="X72" s="61">
        <f t="shared" si="55"/>
        <v>0</v>
      </c>
      <c r="Y72" s="61">
        <f t="shared" si="55"/>
        <v>-85</v>
      </c>
      <c r="Z72" s="61">
        <f t="shared" si="55"/>
        <v>0</v>
      </c>
      <c r="AA72" s="61">
        <f t="shared" si="55"/>
        <v>0</v>
      </c>
      <c r="AB72" s="61">
        <f t="shared" si="55"/>
        <v>0</v>
      </c>
      <c r="AC72" s="61">
        <f t="shared" si="55"/>
        <v>0</v>
      </c>
      <c r="AD72" s="61">
        <f t="shared" si="55"/>
        <v>0</v>
      </c>
      <c r="AE72" s="61">
        <f t="shared" si="55"/>
        <v>0</v>
      </c>
      <c r="AF72" s="61">
        <f t="shared" si="55"/>
        <v>0</v>
      </c>
      <c r="AG72" s="61">
        <f t="shared" si="55"/>
        <v>0</v>
      </c>
      <c r="AH72" s="61">
        <f t="shared" si="55"/>
        <v>0</v>
      </c>
      <c r="AI72" s="61">
        <f t="shared" si="55"/>
        <v>0</v>
      </c>
      <c r="AJ72" s="61">
        <f t="shared" si="55"/>
        <v>0</v>
      </c>
      <c r="AK72" s="61">
        <f t="shared" si="55"/>
        <v>0</v>
      </c>
      <c r="AL72" s="61">
        <f t="shared" si="55"/>
        <v>0</v>
      </c>
      <c r="AM72" s="61">
        <f t="shared" si="55"/>
        <v>0</v>
      </c>
      <c r="AN72" s="61">
        <f t="shared" si="55"/>
        <v>0</v>
      </c>
      <c r="AO72" s="61">
        <f t="shared" si="55"/>
        <v>0</v>
      </c>
      <c r="AP72" s="61">
        <f t="shared" si="55"/>
        <v>0</v>
      </c>
      <c r="AQ72" s="61">
        <f t="shared" si="55"/>
        <v>0</v>
      </c>
      <c r="AR72" s="61">
        <f t="shared" si="55"/>
        <v>0</v>
      </c>
      <c r="AS72" s="61">
        <f t="shared" si="55"/>
        <v>0</v>
      </c>
      <c r="AT72" s="61">
        <f t="shared" si="55"/>
        <v>0</v>
      </c>
      <c r="AU72" s="61">
        <f t="shared" si="55"/>
        <v>0</v>
      </c>
      <c r="AV72" s="61">
        <f t="shared" si="55"/>
        <v>0</v>
      </c>
      <c r="AW72" s="61">
        <f t="shared" si="55"/>
        <v>0</v>
      </c>
      <c r="AX72" s="61">
        <f t="shared" si="55"/>
        <v>0</v>
      </c>
      <c r="AY72" s="61">
        <f t="shared" si="55"/>
        <v>0</v>
      </c>
      <c r="AZ72" s="61">
        <f t="shared" si="55"/>
        <v>0</v>
      </c>
      <c r="BA72" s="61">
        <f t="shared" si="55"/>
        <v>0</v>
      </c>
      <c r="BB72" s="61">
        <f t="shared" si="55"/>
        <v>0</v>
      </c>
      <c r="BC72" s="61">
        <f t="shared" si="55"/>
        <v>0</v>
      </c>
      <c r="BD72" s="61">
        <f t="shared" si="55"/>
        <v>0</v>
      </c>
      <c r="BE72" s="61">
        <f t="shared" si="57"/>
        <v>0</v>
      </c>
      <c r="BF72" s="61">
        <f t="shared" si="57"/>
        <v>0</v>
      </c>
      <c r="BG72" s="61">
        <f t="shared" si="57"/>
        <v>0</v>
      </c>
      <c r="BH72" s="61">
        <f t="shared" si="57"/>
        <v>0</v>
      </c>
      <c r="BI72" s="61">
        <f t="shared" si="57"/>
        <v>0</v>
      </c>
      <c r="BJ72" s="61">
        <f t="shared" si="57"/>
        <v>0</v>
      </c>
      <c r="BK72" s="61">
        <f t="shared" si="57"/>
        <v>0</v>
      </c>
      <c r="BL72" s="61">
        <f t="shared" si="57"/>
        <v>0</v>
      </c>
      <c r="BM72" s="61">
        <f t="shared" si="57"/>
        <v>0</v>
      </c>
      <c r="BN72" s="61">
        <f t="shared" si="57"/>
        <v>0</v>
      </c>
      <c r="BO72" s="61">
        <f t="shared" si="57"/>
        <v>0</v>
      </c>
      <c r="BP72" s="61">
        <f t="shared" si="57"/>
        <v>0</v>
      </c>
      <c r="BQ72" s="61">
        <f t="shared" si="57"/>
        <v>0</v>
      </c>
      <c r="BR72" s="61">
        <f t="shared" si="57"/>
        <v>0</v>
      </c>
      <c r="BS72" s="61">
        <f t="shared" si="57"/>
        <v>0</v>
      </c>
      <c r="BT72" s="61">
        <f t="shared" si="57"/>
        <v>0</v>
      </c>
      <c r="BU72" s="61">
        <f t="shared" si="56"/>
        <v>0</v>
      </c>
      <c r="BV72" s="61">
        <f t="shared" si="56"/>
        <v>0</v>
      </c>
      <c r="BW72" s="61">
        <f t="shared" si="56"/>
        <v>0</v>
      </c>
      <c r="BX72" s="61">
        <f t="shared" si="56"/>
        <v>0</v>
      </c>
      <c r="BY72" s="61">
        <f t="shared" si="56"/>
        <v>0</v>
      </c>
      <c r="BZ72" s="61">
        <f t="shared" si="56"/>
        <v>0</v>
      </c>
      <c r="CA72" s="61">
        <f t="shared" si="56"/>
        <v>0</v>
      </c>
      <c r="CB72" s="61">
        <f t="shared" si="56"/>
        <v>0</v>
      </c>
      <c r="CC72" s="61">
        <f t="shared" si="56"/>
        <v>0</v>
      </c>
      <c r="CD72" s="61">
        <f t="shared" si="56"/>
        <v>0</v>
      </c>
      <c r="CE72" s="61">
        <f t="shared" si="56"/>
        <v>0</v>
      </c>
      <c r="CF72" s="61">
        <f t="shared" si="56"/>
        <v>0</v>
      </c>
      <c r="CG72" s="61">
        <f t="shared" si="56"/>
        <v>0</v>
      </c>
      <c r="CH72" s="61">
        <f t="shared" si="56"/>
        <v>0</v>
      </c>
      <c r="CI72" s="61">
        <f t="shared" si="56"/>
        <v>0</v>
      </c>
      <c r="CJ72" s="61">
        <f t="shared" si="58"/>
        <v>0</v>
      </c>
      <c r="CK72" s="61">
        <f t="shared" si="58"/>
        <v>0</v>
      </c>
      <c r="CL72" s="61">
        <f t="shared" si="58"/>
        <v>0</v>
      </c>
      <c r="CM72" s="61">
        <f t="shared" si="58"/>
        <v>0</v>
      </c>
      <c r="CN72" s="61">
        <f t="shared" si="58"/>
        <v>0</v>
      </c>
      <c r="CO72" s="61">
        <f t="shared" si="58"/>
        <v>0</v>
      </c>
      <c r="CP72" s="61">
        <f t="shared" si="58"/>
        <v>0</v>
      </c>
      <c r="CQ72" s="23" t="s">
        <v>77</v>
      </c>
      <c r="CT72" s="375"/>
      <c r="CU72" s="375"/>
      <c r="CV72" s="375"/>
    </row>
    <row r="73" spans="1:100" s="12" customFormat="1" outlineLevel="1" x14ac:dyDescent="0.2">
      <c r="A73" s="102"/>
      <c r="B73" s="12" t="s">
        <v>408</v>
      </c>
      <c r="C73" s="141"/>
      <c r="K73" s="372">
        <v>3.8800000000000001E-2</v>
      </c>
      <c r="L73" s="373">
        <v>44845</v>
      </c>
      <c r="M73" s="129">
        <v>735</v>
      </c>
      <c r="N73" s="129">
        <f>M73</f>
        <v>735</v>
      </c>
      <c r="O73" s="376">
        <f t="shared" si="49"/>
        <v>1</v>
      </c>
      <c r="Q73" s="375">
        <f t="shared" si="50"/>
        <v>8.287671232876713</v>
      </c>
      <c r="R73" s="12">
        <f t="shared" si="54"/>
        <v>-735</v>
      </c>
      <c r="T73" s="61">
        <f t="shared" si="43"/>
        <v>0</v>
      </c>
      <c r="U73" s="61">
        <f t="shared" si="44"/>
        <v>0</v>
      </c>
      <c r="V73" s="61">
        <f t="shared" si="55"/>
        <v>0</v>
      </c>
      <c r="W73" s="61">
        <f t="shared" si="55"/>
        <v>0</v>
      </c>
      <c r="X73" s="61">
        <f t="shared" si="55"/>
        <v>0</v>
      </c>
      <c r="Y73" s="61">
        <f t="shared" si="55"/>
        <v>0</v>
      </c>
      <c r="Z73" s="61">
        <f t="shared" si="55"/>
        <v>0</v>
      </c>
      <c r="AA73" s="61">
        <f t="shared" si="55"/>
        <v>0</v>
      </c>
      <c r="AB73" s="61">
        <f t="shared" si="55"/>
        <v>0</v>
      </c>
      <c r="AC73" s="61">
        <f t="shared" si="55"/>
        <v>-735</v>
      </c>
      <c r="AD73" s="61">
        <f t="shared" si="55"/>
        <v>0</v>
      </c>
      <c r="AE73" s="61">
        <f t="shared" si="55"/>
        <v>0</v>
      </c>
      <c r="AF73" s="61">
        <f t="shared" si="55"/>
        <v>0</v>
      </c>
      <c r="AG73" s="61">
        <f t="shared" si="55"/>
        <v>0</v>
      </c>
      <c r="AH73" s="61">
        <f t="shared" si="55"/>
        <v>0</v>
      </c>
      <c r="AI73" s="61">
        <f t="shared" si="55"/>
        <v>0</v>
      </c>
      <c r="AJ73" s="61">
        <f t="shared" si="55"/>
        <v>0</v>
      </c>
      <c r="AK73" s="61">
        <f t="shared" si="55"/>
        <v>0</v>
      </c>
      <c r="AL73" s="61">
        <f t="shared" si="55"/>
        <v>0</v>
      </c>
      <c r="AM73" s="61">
        <f t="shared" si="55"/>
        <v>0</v>
      </c>
      <c r="AN73" s="61">
        <f t="shared" si="55"/>
        <v>0</v>
      </c>
      <c r="AO73" s="61">
        <f t="shared" si="55"/>
        <v>0</v>
      </c>
      <c r="AP73" s="61">
        <f t="shared" si="55"/>
        <v>0</v>
      </c>
      <c r="AQ73" s="61">
        <f t="shared" si="55"/>
        <v>0</v>
      </c>
      <c r="AR73" s="61">
        <f t="shared" si="55"/>
        <v>0</v>
      </c>
      <c r="AS73" s="61">
        <f t="shared" si="55"/>
        <v>0</v>
      </c>
      <c r="AT73" s="61">
        <f t="shared" si="55"/>
        <v>0</v>
      </c>
      <c r="AU73" s="61">
        <f t="shared" si="55"/>
        <v>0</v>
      </c>
      <c r="AV73" s="61">
        <f t="shared" si="55"/>
        <v>0</v>
      </c>
      <c r="AW73" s="61">
        <f t="shared" si="55"/>
        <v>0</v>
      </c>
      <c r="AX73" s="61">
        <f t="shared" si="55"/>
        <v>0</v>
      </c>
      <c r="AY73" s="61">
        <f t="shared" si="55"/>
        <v>0</v>
      </c>
      <c r="AZ73" s="61">
        <f t="shared" si="55"/>
        <v>0</v>
      </c>
      <c r="BA73" s="61">
        <f t="shared" si="55"/>
        <v>0</v>
      </c>
      <c r="BB73" s="61">
        <f t="shared" si="55"/>
        <v>0</v>
      </c>
      <c r="BC73" s="61">
        <f t="shared" si="55"/>
        <v>0</v>
      </c>
      <c r="BD73" s="61">
        <f t="shared" si="55"/>
        <v>0</v>
      </c>
      <c r="BE73" s="61">
        <f t="shared" si="57"/>
        <v>0</v>
      </c>
      <c r="BF73" s="61">
        <f t="shared" si="57"/>
        <v>0</v>
      </c>
      <c r="BG73" s="61">
        <f t="shared" si="57"/>
        <v>0</v>
      </c>
      <c r="BH73" s="61">
        <f t="shared" si="57"/>
        <v>0</v>
      </c>
      <c r="BI73" s="61">
        <f t="shared" si="57"/>
        <v>0</v>
      </c>
      <c r="BJ73" s="61">
        <f t="shared" si="57"/>
        <v>0</v>
      </c>
      <c r="BK73" s="61">
        <f t="shared" si="57"/>
        <v>0</v>
      </c>
      <c r="BL73" s="61">
        <f t="shared" si="57"/>
        <v>0</v>
      </c>
      <c r="BM73" s="61">
        <f t="shared" si="57"/>
        <v>0</v>
      </c>
      <c r="BN73" s="61">
        <f t="shared" si="57"/>
        <v>0</v>
      </c>
      <c r="BO73" s="61">
        <f t="shared" si="57"/>
        <v>0</v>
      </c>
      <c r="BP73" s="61">
        <f t="shared" si="57"/>
        <v>0</v>
      </c>
      <c r="BQ73" s="61">
        <f t="shared" si="57"/>
        <v>0</v>
      </c>
      <c r="BR73" s="61">
        <f t="shared" si="57"/>
        <v>0</v>
      </c>
      <c r="BS73" s="61">
        <f t="shared" si="57"/>
        <v>0</v>
      </c>
      <c r="BT73" s="61">
        <f t="shared" si="57"/>
        <v>0</v>
      </c>
      <c r="BU73" s="61">
        <f t="shared" si="56"/>
        <v>0</v>
      </c>
      <c r="BV73" s="61">
        <f t="shared" si="56"/>
        <v>0</v>
      </c>
      <c r="BW73" s="61">
        <f t="shared" si="56"/>
        <v>0</v>
      </c>
      <c r="BX73" s="61">
        <f t="shared" si="56"/>
        <v>0</v>
      </c>
      <c r="BY73" s="61">
        <f t="shared" si="56"/>
        <v>0</v>
      </c>
      <c r="BZ73" s="61">
        <f t="shared" si="56"/>
        <v>0</v>
      </c>
      <c r="CA73" s="61">
        <f t="shared" si="56"/>
        <v>0</v>
      </c>
      <c r="CB73" s="61">
        <f t="shared" si="56"/>
        <v>0</v>
      </c>
      <c r="CC73" s="61">
        <f t="shared" si="56"/>
        <v>0</v>
      </c>
      <c r="CD73" s="61">
        <f t="shared" si="56"/>
        <v>0</v>
      </c>
      <c r="CE73" s="61">
        <f t="shared" si="56"/>
        <v>0</v>
      </c>
      <c r="CF73" s="61">
        <f t="shared" si="56"/>
        <v>0</v>
      </c>
      <c r="CG73" s="61">
        <f t="shared" si="56"/>
        <v>0</v>
      </c>
      <c r="CH73" s="61">
        <f t="shared" si="56"/>
        <v>0</v>
      </c>
      <c r="CI73" s="61">
        <f t="shared" si="56"/>
        <v>0</v>
      </c>
      <c r="CJ73" s="61">
        <f t="shared" si="58"/>
        <v>0</v>
      </c>
      <c r="CK73" s="61">
        <f t="shared" si="58"/>
        <v>0</v>
      </c>
      <c r="CL73" s="61">
        <f t="shared" si="58"/>
        <v>0</v>
      </c>
      <c r="CM73" s="61">
        <f t="shared" si="58"/>
        <v>0</v>
      </c>
      <c r="CN73" s="61">
        <f t="shared" si="58"/>
        <v>0</v>
      </c>
      <c r="CO73" s="61">
        <f t="shared" si="58"/>
        <v>0</v>
      </c>
      <c r="CP73" s="61">
        <f t="shared" si="58"/>
        <v>0</v>
      </c>
      <c r="CQ73" s="23" t="s">
        <v>77</v>
      </c>
      <c r="CT73" s="375"/>
      <c r="CU73" s="375"/>
      <c r="CV73" s="375"/>
    </row>
    <row r="74" spans="1:100" s="12" customFormat="1" outlineLevel="1" x14ac:dyDescent="0.2">
      <c r="A74" s="102"/>
      <c r="B74" s="12" t="s">
        <v>409</v>
      </c>
      <c r="C74" s="141"/>
      <c r="K74" s="372">
        <v>1.23E-2</v>
      </c>
      <c r="L74" s="373">
        <v>43273</v>
      </c>
      <c r="M74" s="129">
        <v>126</v>
      </c>
      <c r="N74" s="129">
        <f>M74</f>
        <v>126</v>
      </c>
      <c r="O74" s="376">
        <f t="shared" si="49"/>
        <v>1</v>
      </c>
      <c r="Q74" s="375">
        <f t="shared" si="50"/>
        <v>3.9808219178082194</v>
      </c>
      <c r="R74" s="12">
        <f t="shared" si="54"/>
        <v>-126</v>
      </c>
      <c r="T74" s="61">
        <f t="shared" si="43"/>
        <v>0</v>
      </c>
      <c r="U74" s="61">
        <f t="shared" si="44"/>
        <v>0</v>
      </c>
      <c r="V74" s="61">
        <f t="shared" si="55"/>
        <v>0</v>
      </c>
      <c r="W74" s="61">
        <f t="shared" si="55"/>
        <v>0</v>
      </c>
      <c r="X74" s="61">
        <f t="shared" si="55"/>
        <v>-126</v>
      </c>
      <c r="Y74" s="61">
        <f t="shared" si="55"/>
        <v>0</v>
      </c>
      <c r="Z74" s="61">
        <f t="shared" si="55"/>
        <v>0</v>
      </c>
      <c r="AA74" s="61">
        <f t="shared" si="55"/>
        <v>0</v>
      </c>
      <c r="AB74" s="61">
        <f t="shared" si="55"/>
        <v>0</v>
      </c>
      <c r="AC74" s="61">
        <f t="shared" si="55"/>
        <v>0</v>
      </c>
      <c r="AD74" s="61">
        <f t="shared" si="55"/>
        <v>0</v>
      </c>
      <c r="AE74" s="61">
        <f t="shared" si="55"/>
        <v>0</v>
      </c>
      <c r="AF74" s="61">
        <f t="shared" ref="V74:BD77" si="59">IF(AND($L74&lt;AF$49,$L74&gt;AE$49),-$M74,0)</f>
        <v>0</v>
      </c>
      <c r="AG74" s="61">
        <f t="shared" si="59"/>
        <v>0</v>
      </c>
      <c r="AH74" s="61">
        <f t="shared" si="59"/>
        <v>0</v>
      </c>
      <c r="AI74" s="61">
        <f t="shared" si="59"/>
        <v>0</v>
      </c>
      <c r="AJ74" s="61">
        <f t="shared" si="59"/>
        <v>0</v>
      </c>
      <c r="AK74" s="61">
        <f t="shared" si="59"/>
        <v>0</v>
      </c>
      <c r="AL74" s="61">
        <f t="shared" si="59"/>
        <v>0</v>
      </c>
      <c r="AM74" s="61">
        <f t="shared" si="59"/>
        <v>0</v>
      </c>
      <c r="AN74" s="61">
        <f t="shared" si="59"/>
        <v>0</v>
      </c>
      <c r="AO74" s="61">
        <f t="shared" si="59"/>
        <v>0</v>
      </c>
      <c r="AP74" s="61">
        <f t="shared" si="59"/>
        <v>0</v>
      </c>
      <c r="AQ74" s="61">
        <f t="shared" si="59"/>
        <v>0</v>
      </c>
      <c r="AR74" s="61">
        <f t="shared" si="59"/>
        <v>0</v>
      </c>
      <c r="AS74" s="61">
        <f t="shared" si="59"/>
        <v>0</v>
      </c>
      <c r="AT74" s="61">
        <f t="shared" si="59"/>
        <v>0</v>
      </c>
      <c r="AU74" s="61">
        <f t="shared" si="59"/>
        <v>0</v>
      </c>
      <c r="AV74" s="61">
        <f t="shared" si="59"/>
        <v>0</v>
      </c>
      <c r="AW74" s="61">
        <f t="shared" si="59"/>
        <v>0</v>
      </c>
      <c r="AX74" s="61">
        <f t="shared" si="59"/>
        <v>0</v>
      </c>
      <c r="AY74" s="61">
        <f t="shared" si="59"/>
        <v>0</v>
      </c>
      <c r="AZ74" s="61">
        <f t="shared" si="59"/>
        <v>0</v>
      </c>
      <c r="BA74" s="61">
        <f t="shared" si="59"/>
        <v>0</v>
      </c>
      <c r="BB74" s="61">
        <f t="shared" si="59"/>
        <v>0</v>
      </c>
      <c r="BC74" s="61">
        <f t="shared" si="59"/>
        <v>0</v>
      </c>
      <c r="BD74" s="61">
        <f t="shared" si="59"/>
        <v>0</v>
      </c>
      <c r="BE74" s="61">
        <f t="shared" si="57"/>
        <v>0</v>
      </c>
      <c r="BF74" s="61">
        <f t="shared" si="57"/>
        <v>0</v>
      </c>
      <c r="BG74" s="61">
        <f t="shared" si="57"/>
        <v>0</v>
      </c>
      <c r="BH74" s="61">
        <f t="shared" si="57"/>
        <v>0</v>
      </c>
      <c r="BI74" s="61">
        <f t="shared" si="57"/>
        <v>0</v>
      </c>
      <c r="BJ74" s="61">
        <f t="shared" si="57"/>
        <v>0</v>
      </c>
      <c r="BK74" s="61">
        <f t="shared" si="57"/>
        <v>0</v>
      </c>
      <c r="BL74" s="61">
        <f t="shared" si="57"/>
        <v>0</v>
      </c>
      <c r="BM74" s="61">
        <f t="shared" si="57"/>
        <v>0</v>
      </c>
      <c r="BN74" s="61">
        <f t="shared" si="57"/>
        <v>0</v>
      </c>
      <c r="BO74" s="61">
        <f t="shared" si="57"/>
        <v>0</v>
      </c>
      <c r="BP74" s="61">
        <f t="shared" si="57"/>
        <v>0</v>
      </c>
      <c r="BQ74" s="61">
        <f t="shared" si="57"/>
        <v>0</v>
      </c>
      <c r="BR74" s="61">
        <f t="shared" si="57"/>
        <v>0</v>
      </c>
      <c r="BS74" s="61">
        <f t="shared" si="57"/>
        <v>0</v>
      </c>
      <c r="BT74" s="61">
        <f t="shared" si="57"/>
        <v>0</v>
      </c>
      <c r="BU74" s="61">
        <f t="shared" si="56"/>
        <v>0</v>
      </c>
      <c r="BV74" s="61">
        <f t="shared" si="56"/>
        <v>0</v>
      </c>
      <c r="BW74" s="61">
        <f t="shared" si="56"/>
        <v>0</v>
      </c>
      <c r="BX74" s="61">
        <f t="shared" si="56"/>
        <v>0</v>
      </c>
      <c r="BY74" s="61">
        <f t="shared" si="56"/>
        <v>0</v>
      </c>
      <c r="BZ74" s="61">
        <f t="shared" si="56"/>
        <v>0</v>
      </c>
      <c r="CA74" s="61">
        <f t="shared" si="56"/>
        <v>0</v>
      </c>
      <c r="CB74" s="61">
        <f t="shared" si="56"/>
        <v>0</v>
      </c>
      <c r="CC74" s="61">
        <f t="shared" si="56"/>
        <v>0</v>
      </c>
      <c r="CD74" s="61">
        <f t="shared" si="56"/>
        <v>0</v>
      </c>
      <c r="CE74" s="61">
        <f t="shared" si="56"/>
        <v>0</v>
      </c>
      <c r="CF74" s="61">
        <f t="shared" si="56"/>
        <v>0</v>
      </c>
      <c r="CG74" s="61">
        <f t="shared" si="56"/>
        <v>0</v>
      </c>
      <c r="CH74" s="61">
        <f t="shared" si="56"/>
        <v>0</v>
      </c>
      <c r="CI74" s="61">
        <f t="shared" si="56"/>
        <v>0</v>
      </c>
      <c r="CJ74" s="61">
        <f t="shared" si="58"/>
        <v>0</v>
      </c>
      <c r="CK74" s="61">
        <f t="shared" si="58"/>
        <v>0</v>
      </c>
      <c r="CL74" s="61">
        <f t="shared" si="58"/>
        <v>0</v>
      </c>
      <c r="CM74" s="61">
        <f t="shared" si="58"/>
        <v>0</v>
      </c>
      <c r="CN74" s="61">
        <f t="shared" si="58"/>
        <v>0</v>
      </c>
      <c r="CO74" s="61">
        <f t="shared" si="58"/>
        <v>0</v>
      </c>
      <c r="CP74" s="61">
        <f t="shared" si="58"/>
        <v>0</v>
      </c>
      <c r="CQ74" s="23" t="s">
        <v>77</v>
      </c>
      <c r="CT74" s="375"/>
      <c r="CU74" s="375"/>
      <c r="CV74" s="375"/>
    </row>
    <row r="75" spans="1:100" s="12" customFormat="1" outlineLevel="1" x14ac:dyDescent="0.2">
      <c r="A75" s="102"/>
      <c r="B75" s="12" t="s">
        <v>410</v>
      </c>
      <c r="C75" s="141"/>
      <c r="K75" s="372">
        <v>4.2500000000000003E-2</v>
      </c>
      <c r="L75" s="373">
        <v>43670</v>
      </c>
      <c r="M75" s="129">
        <v>289</v>
      </c>
      <c r="N75" s="129">
        <f>M75</f>
        <v>289</v>
      </c>
      <c r="O75" s="376">
        <f t="shared" si="49"/>
        <v>1</v>
      </c>
      <c r="Q75" s="375">
        <f t="shared" si="50"/>
        <v>5.0684931506849313</v>
      </c>
      <c r="R75" s="12">
        <f t="shared" si="54"/>
        <v>-289</v>
      </c>
      <c r="T75" s="61">
        <f t="shared" si="43"/>
        <v>0</v>
      </c>
      <c r="U75" s="61">
        <f t="shared" si="44"/>
        <v>0</v>
      </c>
      <c r="V75" s="61">
        <f t="shared" si="59"/>
        <v>0</v>
      </c>
      <c r="W75" s="61">
        <f t="shared" si="59"/>
        <v>0</v>
      </c>
      <c r="X75" s="61">
        <f t="shared" si="59"/>
        <v>0</v>
      </c>
      <c r="Y75" s="61">
        <f t="shared" si="59"/>
        <v>0</v>
      </c>
      <c r="Z75" s="61">
        <f t="shared" si="59"/>
        <v>-289</v>
      </c>
      <c r="AA75" s="61">
        <f t="shared" si="59"/>
        <v>0</v>
      </c>
      <c r="AB75" s="61">
        <f t="shared" si="59"/>
        <v>0</v>
      </c>
      <c r="AC75" s="61">
        <f t="shared" si="59"/>
        <v>0</v>
      </c>
      <c r="AD75" s="61">
        <f t="shared" si="59"/>
        <v>0</v>
      </c>
      <c r="AE75" s="61">
        <f t="shared" si="59"/>
        <v>0</v>
      </c>
      <c r="AF75" s="61">
        <f t="shared" si="59"/>
        <v>0</v>
      </c>
      <c r="AG75" s="61">
        <f t="shared" si="59"/>
        <v>0</v>
      </c>
      <c r="AH75" s="61">
        <f t="shared" si="59"/>
        <v>0</v>
      </c>
      <c r="AI75" s="61">
        <f t="shared" si="59"/>
        <v>0</v>
      </c>
      <c r="AJ75" s="61">
        <f t="shared" si="59"/>
        <v>0</v>
      </c>
      <c r="AK75" s="61">
        <f t="shared" si="59"/>
        <v>0</v>
      </c>
      <c r="AL75" s="61">
        <f t="shared" si="59"/>
        <v>0</v>
      </c>
      <c r="AM75" s="61">
        <f t="shared" si="59"/>
        <v>0</v>
      </c>
      <c r="AN75" s="61">
        <f t="shared" si="59"/>
        <v>0</v>
      </c>
      <c r="AO75" s="61">
        <f t="shared" si="59"/>
        <v>0</v>
      </c>
      <c r="AP75" s="61">
        <f t="shared" si="59"/>
        <v>0</v>
      </c>
      <c r="AQ75" s="61">
        <f t="shared" si="59"/>
        <v>0</v>
      </c>
      <c r="AR75" s="61">
        <f t="shared" si="59"/>
        <v>0</v>
      </c>
      <c r="AS75" s="61">
        <f t="shared" si="59"/>
        <v>0</v>
      </c>
      <c r="AT75" s="61">
        <f t="shared" si="59"/>
        <v>0</v>
      </c>
      <c r="AU75" s="61">
        <f t="shared" si="59"/>
        <v>0</v>
      </c>
      <c r="AV75" s="61">
        <f t="shared" si="59"/>
        <v>0</v>
      </c>
      <c r="AW75" s="61">
        <f t="shared" si="59"/>
        <v>0</v>
      </c>
      <c r="AX75" s="61">
        <f t="shared" si="59"/>
        <v>0</v>
      </c>
      <c r="AY75" s="61">
        <f t="shared" si="59"/>
        <v>0</v>
      </c>
      <c r="AZ75" s="61">
        <f t="shared" si="59"/>
        <v>0</v>
      </c>
      <c r="BA75" s="61">
        <f t="shared" si="59"/>
        <v>0</v>
      </c>
      <c r="BB75" s="61">
        <f t="shared" si="59"/>
        <v>0</v>
      </c>
      <c r="BC75" s="61">
        <f t="shared" si="59"/>
        <v>0</v>
      </c>
      <c r="BD75" s="61">
        <f t="shared" si="59"/>
        <v>0</v>
      </c>
      <c r="BE75" s="61">
        <f t="shared" si="57"/>
        <v>0</v>
      </c>
      <c r="BF75" s="61">
        <f t="shared" si="57"/>
        <v>0</v>
      </c>
      <c r="BG75" s="61">
        <f t="shared" si="57"/>
        <v>0</v>
      </c>
      <c r="BH75" s="61">
        <f t="shared" si="57"/>
        <v>0</v>
      </c>
      <c r="BI75" s="61">
        <f t="shared" si="57"/>
        <v>0</v>
      </c>
      <c r="BJ75" s="61">
        <f t="shared" si="57"/>
        <v>0</v>
      </c>
      <c r="BK75" s="61">
        <f t="shared" si="57"/>
        <v>0</v>
      </c>
      <c r="BL75" s="61">
        <f t="shared" si="57"/>
        <v>0</v>
      </c>
      <c r="BM75" s="61">
        <f t="shared" si="57"/>
        <v>0</v>
      </c>
      <c r="BN75" s="61">
        <f t="shared" si="57"/>
        <v>0</v>
      </c>
      <c r="BO75" s="61">
        <f t="shared" si="57"/>
        <v>0</v>
      </c>
      <c r="BP75" s="61">
        <f t="shared" si="57"/>
        <v>0</v>
      </c>
      <c r="BQ75" s="61">
        <f t="shared" si="57"/>
        <v>0</v>
      </c>
      <c r="BR75" s="61">
        <f t="shared" si="57"/>
        <v>0</v>
      </c>
      <c r="BS75" s="61">
        <f t="shared" si="57"/>
        <v>0</v>
      </c>
      <c r="BT75" s="61">
        <f t="shared" si="57"/>
        <v>0</v>
      </c>
      <c r="BU75" s="61">
        <f t="shared" si="56"/>
        <v>0</v>
      </c>
      <c r="BV75" s="61">
        <f t="shared" si="56"/>
        <v>0</v>
      </c>
      <c r="BW75" s="61">
        <f t="shared" si="56"/>
        <v>0</v>
      </c>
      <c r="BX75" s="61">
        <f t="shared" si="56"/>
        <v>0</v>
      </c>
      <c r="BY75" s="61">
        <f t="shared" si="56"/>
        <v>0</v>
      </c>
      <c r="BZ75" s="61">
        <f t="shared" si="56"/>
        <v>0</v>
      </c>
      <c r="CA75" s="61">
        <f t="shared" si="56"/>
        <v>0</v>
      </c>
      <c r="CB75" s="61">
        <f t="shared" si="56"/>
        <v>0</v>
      </c>
      <c r="CC75" s="61">
        <f t="shared" si="56"/>
        <v>0</v>
      </c>
      <c r="CD75" s="61">
        <f t="shared" si="56"/>
        <v>0</v>
      </c>
      <c r="CE75" s="61">
        <f t="shared" si="56"/>
        <v>0</v>
      </c>
      <c r="CF75" s="61">
        <f t="shared" si="56"/>
        <v>0</v>
      </c>
      <c r="CG75" s="61">
        <f t="shared" si="56"/>
        <v>0</v>
      </c>
      <c r="CH75" s="61">
        <f t="shared" si="56"/>
        <v>0</v>
      </c>
      <c r="CI75" s="61">
        <f t="shared" si="56"/>
        <v>0</v>
      </c>
      <c r="CJ75" s="61">
        <f t="shared" si="58"/>
        <v>0</v>
      </c>
      <c r="CK75" s="61">
        <f t="shared" si="58"/>
        <v>0</v>
      </c>
      <c r="CL75" s="61">
        <f t="shared" si="58"/>
        <v>0</v>
      </c>
      <c r="CM75" s="61">
        <f t="shared" si="58"/>
        <v>0</v>
      </c>
      <c r="CN75" s="61">
        <f t="shared" si="58"/>
        <v>0</v>
      </c>
      <c r="CO75" s="61">
        <f t="shared" si="58"/>
        <v>0</v>
      </c>
      <c r="CP75" s="61">
        <f t="shared" si="58"/>
        <v>0</v>
      </c>
      <c r="CQ75" s="23" t="s">
        <v>77</v>
      </c>
      <c r="CT75" s="375"/>
      <c r="CU75" s="375"/>
      <c r="CV75" s="375"/>
    </row>
    <row r="76" spans="1:100" outlineLevel="1" x14ac:dyDescent="0.2">
      <c r="A76" s="355"/>
      <c r="B76" s="8" t="s">
        <v>411</v>
      </c>
      <c r="C76" s="356"/>
      <c r="K76" s="372">
        <v>4.2500000000000003E-2</v>
      </c>
      <c r="L76" s="373">
        <v>45622</v>
      </c>
      <c r="M76" s="129">
        <v>536</v>
      </c>
      <c r="N76" s="129">
        <f>M76</f>
        <v>536</v>
      </c>
      <c r="O76" s="374">
        <f t="shared" si="49"/>
        <v>1</v>
      </c>
      <c r="Q76" s="375">
        <f t="shared" si="50"/>
        <v>10.416438356164383</v>
      </c>
      <c r="R76" s="8">
        <f t="shared" si="54"/>
        <v>-536</v>
      </c>
      <c r="T76" s="87">
        <f t="shared" si="43"/>
        <v>0</v>
      </c>
      <c r="U76" s="87">
        <f t="shared" si="44"/>
        <v>0</v>
      </c>
      <c r="V76" s="87">
        <f t="shared" si="59"/>
        <v>0</v>
      </c>
      <c r="W76" s="87">
        <f t="shared" si="59"/>
        <v>0</v>
      </c>
      <c r="X76" s="87">
        <f t="shared" si="59"/>
        <v>0</v>
      </c>
      <c r="Y76" s="87">
        <f t="shared" si="59"/>
        <v>0</v>
      </c>
      <c r="Z76" s="87">
        <f t="shared" si="59"/>
        <v>0</v>
      </c>
      <c r="AA76" s="87">
        <f t="shared" si="59"/>
        <v>0</v>
      </c>
      <c r="AB76" s="87">
        <f t="shared" si="59"/>
        <v>0</v>
      </c>
      <c r="AC76" s="87">
        <f t="shared" si="59"/>
        <v>0</v>
      </c>
      <c r="AD76" s="87">
        <f t="shared" si="59"/>
        <v>0</v>
      </c>
      <c r="AE76" s="87">
        <f t="shared" si="59"/>
        <v>-536</v>
      </c>
      <c r="AF76" s="87">
        <f t="shared" si="59"/>
        <v>0</v>
      </c>
      <c r="AG76" s="87">
        <f t="shared" si="59"/>
        <v>0</v>
      </c>
      <c r="AH76" s="87">
        <f t="shared" si="59"/>
        <v>0</v>
      </c>
      <c r="AI76" s="87">
        <f t="shared" si="59"/>
        <v>0</v>
      </c>
      <c r="AJ76" s="87">
        <f t="shared" si="59"/>
        <v>0</v>
      </c>
      <c r="AK76" s="87">
        <f t="shared" si="59"/>
        <v>0</v>
      </c>
      <c r="AL76" s="87">
        <f t="shared" si="59"/>
        <v>0</v>
      </c>
      <c r="AM76" s="87">
        <f t="shared" si="59"/>
        <v>0</v>
      </c>
      <c r="AN76" s="87">
        <f t="shared" si="59"/>
        <v>0</v>
      </c>
      <c r="AO76" s="87">
        <f t="shared" si="59"/>
        <v>0</v>
      </c>
      <c r="AP76" s="87">
        <f t="shared" si="59"/>
        <v>0</v>
      </c>
      <c r="AQ76" s="87">
        <f t="shared" si="59"/>
        <v>0</v>
      </c>
      <c r="AR76" s="87">
        <f t="shared" si="59"/>
        <v>0</v>
      </c>
      <c r="AS76" s="87">
        <f t="shared" si="59"/>
        <v>0</v>
      </c>
      <c r="AT76" s="87">
        <f t="shared" si="59"/>
        <v>0</v>
      </c>
      <c r="AU76" s="87">
        <f t="shared" si="59"/>
        <v>0</v>
      </c>
      <c r="AV76" s="87">
        <f t="shared" si="59"/>
        <v>0</v>
      </c>
      <c r="AW76" s="87">
        <f t="shared" si="59"/>
        <v>0</v>
      </c>
      <c r="AX76" s="87">
        <f t="shared" si="59"/>
        <v>0</v>
      </c>
      <c r="AY76" s="87">
        <f t="shared" si="59"/>
        <v>0</v>
      </c>
      <c r="AZ76" s="87">
        <f t="shared" si="59"/>
        <v>0</v>
      </c>
      <c r="BA76" s="87">
        <f t="shared" si="59"/>
        <v>0</v>
      </c>
      <c r="BB76" s="87">
        <f t="shared" si="59"/>
        <v>0</v>
      </c>
      <c r="BC76" s="87">
        <f t="shared" si="59"/>
        <v>0</v>
      </c>
      <c r="BD76" s="87">
        <f t="shared" si="59"/>
        <v>0</v>
      </c>
      <c r="BE76" s="87">
        <f t="shared" si="57"/>
        <v>0</v>
      </c>
      <c r="BF76" s="87">
        <f t="shared" si="57"/>
        <v>0</v>
      </c>
      <c r="BG76" s="87">
        <f t="shared" si="57"/>
        <v>0</v>
      </c>
      <c r="BH76" s="87">
        <f t="shared" si="57"/>
        <v>0</v>
      </c>
      <c r="BI76" s="87">
        <f t="shared" si="57"/>
        <v>0</v>
      </c>
      <c r="BJ76" s="87">
        <f t="shared" si="57"/>
        <v>0</v>
      </c>
      <c r="BK76" s="87">
        <f t="shared" si="57"/>
        <v>0</v>
      </c>
      <c r="BL76" s="87">
        <f t="shared" si="57"/>
        <v>0</v>
      </c>
      <c r="BM76" s="87">
        <f t="shared" si="57"/>
        <v>0</v>
      </c>
      <c r="BN76" s="87">
        <f t="shared" si="57"/>
        <v>0</v>
      </c>
      <c r="BO76" s="87">
        <f t="shared" si="57"/>
        <v>0</v>
      </c>
      <c r="BP76" s="87">
        <f t="shared" si="57"/>
        <v>0</v>
      </c>
      <c r="BQ76" s="87">
        <f t="shared" si="57"/>
        <v>0</v>
      </c>
      <c r="BR76" s="87">
        <f t="shared" si="57"/>
        <v>0</v>
      </c>
      <c r="BS76" s="87">
        <f t="shared" si="57"/>
        <v>0</v>
      </c>
      <c r="BT76" s="87">
        <f t="shared" si="57"/>
        <v>0</v>
      </c>
      <c r="BU76" s="87">
        <f t="shared" si="56"/>
        <v>0</v>
      </c>
      <c r="BV76" s="87">
        <f t="shared" si="56"/>
        <v>0</v>
      </c>
      <c r="BW76" s="87">
        <f t="shared" si="56"/>
        <v>0</v>
      </c>
      <c r="BX76" s="87">
        <f t="shared" si="56"/>
        <v>0</v>
      </c>
      <c r="BY76" s="87">
        <f t="shared" si="56"/>
        <v>0</v>
      </c>
      <c r="BZ76" s="87">
        <f t="shared" si="56"/>
        <v>0</v>
      </c>
      <c r="CA76" s="87">
        <f t="shared" si="56"/>
        <v>0</v>
      </c>
      <c r="CB76" s="87">
        <f t="shared" si="56"/>
        <v>0</v>
      </c>
      <c r="CC76" s="87">
        <f t="shared" si="56"/>
        <v>0</v>
      </c>
      <c r="CD76" s="87">
        <f t="shared" si="56"/>
        <v>0</v>
      </c>
      <c r="CE76" s="87">
        <f t="shared" si="56"/>
        <v>0</v>
      </c>
      <c r="CF76" s="87">
        <f t="shared" si="56"/>
        <v>0</v>
      </c>
      <c r="CG76" s="87">
        <f t="shared" si="56"/>
        <v>0</v>
      </c>
      <c r="CH76" s="87">
        <f t="shared" si="56"/>
        <v>0</v>
      </c>
      <c r="CI76" s="87">
        <f t="shared" si="56"/>
        <v>0</v>
      </c>
      <c r="CJ76" s="87">
        <f t="shared" si="58"/>
        <v>0</v>
      </c>
      <c r="CK76" s="87">
        <f t="shared" si="58"/>
        <v>0</v>
      </c>
      <c r="CL76" s="87">
        <f t="shared" si="58"/>
        <v>0</v>
      </c>
      <c r="CM76" s="87">
        <f t="shared" si="58"/>
        <v>0</v>
      </c>
      <c r="CN76" s="87">
        <f t="shared" si="58"/>
        <v>0</v>
      </c>
      <c r="CO76" s="87">
        <f t="shared" si="58"/>
        <v>0</v>
      </c>
      <c r="CP76" s="87">
        <f t="shared" si="58"/>
        <v>0</v>
      </c>
      <c r="CQ76" s="23" t="s">
        <v>77</v>
      </c>
      <c r="CS76" s="12"/>
      <c r="CT76" s="375"/>
      <c r="CU76" s="375"/>
      <c r="CV76" s="375"/>
    </row>
    <row r="77" spans="1:100" outlineLevel="1" x14ac:dyDescent="0.2">
      <c r="A77" s="355"/>
      <c r="B77" s="12" t="s">
        <v>484</v>
      </c>
      <c r="C77" s="356"/>
      <c r="K77" s="372">
        <v>0.02</v>
      </c>
      <c r="L77" s="373">
        <v>49391</v>
      </c>
      <c r="M77" s="129">
        <f>(2150+725)/0.76</f>
        <v>3782.8947368421054</v>
      </c>
      <c r="N77" s="129">
        <f>M77</f>
        <v>3782.8947368421054</v>
      </c>
      <c r="O77" s="374">
        <f t="shared" si="49"/>
        <v>1</v>
      </c>
      <c r="Q77" s="375">
        <f t="shared" si="50"/>
        <v>20.742465753424657</v>
      </c>
      <c r="R77" s="8">
        <f t="shared" si="54"/>
        <v>-3782.8947368421054</v>
      </c>
      <c r="T77" s="61">
        <f>IF(AND($L77&lt;T$49,$L77&gt;S$49),-$N77,0)</f>
        <v>0</v>
      </c>
      <c r="U77" s="61">
        <f t="shared" si="44"/>
        <v>0</v>
      </c>
      <c r="V77" s="61">
        <f t="shared" ref="V77:AJ77" si="60">IF(AND($L77&lt;V$49,$L77&gt;U$49),-$M77,0)</f>
        <v>0</v>
      </c>
      <c r="W77" s="61">
        <f t="shared" si="60"/>
        <v>0</v>
      </c>
      <c r="X77" s="61">
        <f t="shared" si="60"/>
        <v>0</v>
      </c>
      <c r="Y77" s="61">
        <f t="shared" si="60"/>
        <v>0</v>
      </c>
      <c r="Z77" s="61">
        <f t="shared" si="60"/>
        <v>0</v>
      </c>
      <c r="AA77" s="61">
        <f t="shared" si="60"/>
        <v>0</v>
      </c>
      <c r="AB77" s="61">
        <f t="shared" si="60"/>
        <v>0</v>
      </c>
      <c r="AC77" s="61">
        <f t="shared" si="60"/>
        <v>0</v>
      </c>
      <c r="AD77" s="61">
        <f t="shared" si="60"/>
        <v>0</v>
      </c>
      <c r="AE77" s="61">
        <f t="shared" si="60"/>
        <v>0</v>
      </c>
      <c r="AF77" s="61">
        <f t="shared" si="60"/>
        <v>0</v>
      </c>
      <c r="AG77" s="61">
        <f t="shared" si="60"/>
        <v>0</v>
      </c>
      <c r="AH77" s="61">
        <f t="shared" si="60"/>
        <v>0</v>
      </c>
      <c r="AI77" s="61">
        <f t="shared" si="60"/>
        <v>0</v>
      </c>
      <c r="AJ77" s="61">
        <f t="shared" si="60"/>
        <v>0</v>
      </c>
      <c r="AK77" s="61">
        <f t="shared" si="59"/>
        <v>0</v>
      </c>
      <c r="AL77" s="61">
        <f t="shared" si="59"/>
        <v>0</v>
      </c>
      <c r="AM77" s="61">
        <f t="shared" si="59"/>
        <v>0</v>
      </c>
      <c r="AN77" s="61">
        <f t="shared" si="59"/>
        <v>0</v>
      </c>
      <c r="AO77" s="61">
        <f t="shared" si="59"/>
        <v>-3782.8947368421054</v>
      </c>
      <c r="AP77" s="61">
        <f t="shared" si="59"/>
        <v>0</v>
      </c>
      <c r="AQ77" s="61">
        <f t="shared" si="59"/>
        <v>0</v>
      </c>
      <c r="AR77" s="61">
        <f t="shared" si="59"/>
        <v>0</v>
      </c>
      <c r="AS77" s="61">
        <f t="shared" si="59"/>
        <v>0</v>
      </c>
      <c r="AT77" s="61">
        <f t="shared" si="59"/>
        <v>0</v>
      </c>
      <c r="AU77" s="61">
        <f t="shared" si="59"/>
        <v>0</v>
      </c>
      <c r="AV77" s="61">
        <f t="shared" si="59"/>
        <v>0</v>
      </c>
      <c r="AW77" s="61">
        <f t="shared" si="59"/>
        <v>0</v>
      </c>
      <c r="AX77" s="61">
        <f t="shared" si="59"/>
        <v>0</v>
      </c>
      <c r="AY77" s="61">
        <f t="shared" si="59"/>
        <v>0</v>
      </c>
      <c r="AZ77" s="61">
        <f t="shared" si="59"/>
        <v>0</v>
      </c>
      <c r="BA77" s="61">
        <f t="shared" si="59"/>
        <v>0</v>
      </c>
      <c r="BB77" s="61">
        <f t="shared" si="59"/>
        <v>0</v>
      </c>
      <c r="BC77" s="61">
        <f t="shared" si="59"/>
        <v>0</v>
      </c>
      <c r="BD77" s="61">
        <f t="shared" si="59"/>
        <v>0</v>
      </c>
      <c r="BE77" s="61">
        <f t="shared" si="57"/>
        <v>0</v>
      </c>
      <c r="BF77" s="61">
        <f t="shared" si="57"/>
        <v>0</v>
      </c>
      <c r="BG77" s="61">
        <f t="shared" si="57"/>
        <v>0</v>
      </c>
      <c r="BH77" s="61">
        <f t="shared" si="57"/>
        <v>0</v>
      </c>
      <c r="BI77" s="61">
        <f t="shared" si="57"/>
        <v>0</v>
      </c>
      <c r="BJ77" s="61">
        <f t="shared" si="57"/>
        <v>0</v>
      </c>
      <c r="BK77" s="61">
        <f t="shared" si="57"/>
        <v>0</v>
      </c>
      <c r="BL77" s="61">
        <f t="shared" si="57"/>
        <v>0</v>
      </c>
      <c r="BM77" s="61">
        <f t="shared" si="57"/>
        <v>0</v>
      </c>
      <c r="BN77" s="61">
        <f t="shared" si="57"/>
        <v>0</v>
      </c>
      <c r="BO77" s="61">
        <f t="shared" si="57"/>
        <v>0</v>
      </c>
      <c r="BP77" s="61">
        <f t="shared" si="57"/>
        <v>0</v>
      </c>
      <c r="BQ77" s="61">
        <f t="shared" si="57"/>
        <v>0</v>
      </c>
      <c r="BR77" s="61">
        <f t="shared" si="57"/>
        <v>0</v>
      </c>
      <c r="BS77" s="61">
        <f t="shared" si="57"/>
        <v>0</v>
      </c>
      <c r="BT77" s="61">
        <f t="shared" si="57"/>
        <v>0</v>
      </c>
      <c r="BU77" s="61">
        <f t="shared" si="56"/>
        <v>0</v>
      </c>
      <c r="BV77" s="61">
        <f t="shared" si="56"/>
        <v>0</v>
      </c>
      <c r="BW77" s="61">
        <f t="shared" si="56"/>
        <v>0</v>
      </c>
      <c r="BX77" s="61">
        <f t="shared" si="56"/>
        <v>0</v>
      </c>
      <c r="BY77" s="61">
        <f t="shared" si="56"/>
        <v>0</v>
      </c>
      <c r="BZ77" s="61">
        <f t="shared" si="56"/>
        <v>0</v>
      </c>
      <c r="CA77" s="61">
        <f t="shared" si="56"/>
        <v>0</v>
      </c>
      <c r="CB77" s="61">
        <f t="shared" si="56"/>
        <v>0</v>
      </c>
      <c r="CC77" s="61">
        <f t="shared" si="56"/>
        <v>0</v>
      </c>
      <c r="CD77" s="61">
        <f t="shared" si="56"/>
        <v>0</v>
      </c>
      <c r="CE77" s="61">
        <f t="shared" si="56"/>
        <v>0</v>
      </c>
      <c r="CF77" s="61">
        <f t="shared" si="56"/>
        <v>0</v>
      </c>
      <c r="CG77" s="61">
        <f t="shared" si="56"/>
        <v>0</v>
      </c>
      <c r="CH77" s="61">
        <f t="shared" si="56"/>
        <v>0</v>
      </c>
      <c r="CI77" s="61">
        <f t="shared" si="56"/>
        <v>0</v>
      </c>
      <c r="CJ77" s="61">
        <f t="shared" si="58"/>
        <v>0</v>
      </c>
      <c r="CK77" s="61">
        <f t="shared" si="58"/>
        <v>0</v>
      </c>
      <c r="CL77" s="61">
        <f t="shared" si="58"/>
        <v>0</v>
      </c>
      <c r="CM77" s="61">
        <f t="shared" si="58"/>
        <v>0</v>
      </c>
      <c r="CN77" s="61">
        <f t="shared" si="58"/>
        <v>0</v>
      </c>
      <c r="CO77" s="61">
        <f t="shared" si="58"/>
        <v>0</v>
      </c>
      <c r="CP77" s="61">
        <f t="shared" si="58"/>
        <v>0</v>
      </c>
      <c r="CQ77" s="23" t="s">
        <v>77</v>
      </c>
      <c r="CS77" s="12"/>
      <c r="CT77" s="375"/>
      <c r="CU77" s="375"/>
      <c r="CV77" s="375"/>
    </row>
    <row r="78" spans="1:100" outlineLevel="1" x14ac:dyDescent="0.2">
      <c r="B78" s="1" t="s">
        <v>212</v>
      </c>
      <c r="D78" s="3"/>
      <c r="E78" s="3"/>
      <c r="F78" s="3"/>
      <c r="G78" s="3"/>
      <c r="H78" s="3"/>
      <c r="I78" s="3"/>
      <c r="J78" s="3"/>
      <c r="K78" s="21"/>
      <c r="L78" s="21"/>
      <c r="M78" s="21">
        <f>SUM(M52:M77)</f>
        <v>9409.894736842105</v>
      </c>
      <c r="N78" s="21">
        <f>SUM(N52:N77)</f>
        <v>8574.894736842105</v>
      </c>
      <c r="O78" s="22">
        <f>+N78/M78</f>
        <v>0.91126361948229184</v>
      </c>
      <c r="P78" s="21"/>
      <c r="Q78" s="21"/>
      <c r="R78" s="21">
        <f>SUM(R52:R77)</f>
        <v>-9409.894736842105</v>
      </c>
      <c r="S78" s="21"/>
      <c r="T78" s="21">
        <f>SUM(T52:T77)</f>
        <v>0</v>
      </c>
      <c r="U78" s="21">
        <f t="shared" ref="U78:BD78" si="61">SUM(U52:U77)</f>
        <v>-50</v>
      </c>
      <c r="V78" s="21">
        <f t="shared" si="61"/>
        <v>-271</v>
      </c>
      <c r="W78" s="21">
        <f t="shared" si="61"/>
        <v>-845</v>
      </c>
      <c r="X78" s="21">
        <f t="shared" si="61"/>
        <v>-1066</v>
      </c>
      <c r="Y78" s="21">
        <f t="shared" si="61"/>
        <v>-814</v>
      </c>
      <c r="Z78" s="21">
        <f t="shared" si="61"/>
        <v>-714</v>
      </c>
      <c r="AA78" s="21">
        <f t="shared" si="61"/>
        <v>-300</v>
      </c>
      <c r="AB78" s="21">
        <f t="shared" si="61"/>
        <v>-296</v>
      </c>
      <c r="AC78" s="21">
        <f t="shared" si="61"/>
        <v>-735</v>
      </c>
      <c r="AD78" s="21">
        <f t="shared" si="61"/>
        <v>0</v>
      </c>
      <c r="AE78" s="21">
        <f t="shared" si="61"/>
        <v>-536</v>
      </c>
      <c r="AF78" s="21">
        <f t="shared" si="61"/>
        <v>0</v>
      </c>
      <c r="AG78" s="21">
        <f t="shared" si="61"/>
        <v>0</v>
      </c>
      <c r="AH78" s="21">
        <f t="shared" si="61"/>
        <v>0</v>
      </c>
      <c r="AI78" s="21">
        <f t="shared" si="61"/>
        <v>0</v>
      </c>
      <c r="AJ78" s="21">
        <f t="shared" si="61"/>
        <v>0</v>
      </c>
      <c r="AK78" s="21">
        <f t="shared" si="61"/>
        <v>0</v>
      </c>
      <c r="AL78" s="21">
        <f t="shared" si="61"/>
        <v>0</v>
      </c>
      <c r="AM78" s="21">
        <f t="shared" si="61"/>
        <v>0</v>
      </c>
      <c r="AN78" s="21">
        <f t="shared" si="61"/>
        <v>0</v>
      </c>
      <c r="AO78" s="21">
        <f t="shared" si="61"/>
        <v>-3782.8947368421054</v>
      </c>
      <c r="AP78" s="21">
        <f t="shared" si="61"/>
        <v>0</v>
      </c>
      <c r="AQ78" s="21">
        <f t="shared" si="61"/>
        <v>0</v>
      </c>
      <c r="AR78" s="21">
        <f t="shared" si="61"/>
        <v>0</v>
      </c>
      <c r="AS78" s="21">
        <f t="shared" si="61"/>
        <v>0</v>
      </c>
      <c r="AT78" s="21">
        <f t="shared" si="61"/>
        <v>0</v>
      </c>
      <c r="AU78" s="21">
        <f t="shared" si="61"/>
        <v>0</v>
      </c>
      <c r="AV78" s="21">
        <f t="shared" si="61"/>
        <v>0</v>
      </c>
      <c r="AW78" s="21">
        <f t="shared" si="61"/>
        <v>0</v>
      </c>
      <c r="AX78" s="21">
        <f t="shared" si="61"/>
        <v>0</v>
      </c>
      <c r="AY78" s="21">
        <f t="shared" si="61"/>
        <v>0</v>
      </c>
      <c r="AZ78" s="21">
        <f t="shared" si="61"/>
        <v>0</v>
      </c>
      <c r="BA78" s="21">
        <f t="shared" si="61"/>
        <v>0</v>
      </c>
      <c r="BB78" s="21">
        <f t="shared" si="61"/>
        <v>0</v>
      </c>
      <c r="BC78" s="21">
        <f t="shared" si="61"/>
        <v>0</v>
      </c>
      <c r="BD78" s="21">
        <f t="shared" si="61"/>
        <v>0</v>
      </c>
      <c r="BE78" s="21">
        <f t="shared" ref="BE78:CP78" si="62">SUM(BE52:BE77)</f>
        <v>0</v>
      </c>
      <c r="BF78" s="21">
        <f t="shared" si="62"/>
        <v>0</v>
      </c>
      <c r="BG78" s="21">
        <f t="shared" si="62"/>
        <v>0</v>
      </c>
      <c r="BH78" s="21">
        <f t="shared" si="62"/>
        <v>0</v>
      </c>
      <c r="BI78" s="21">
        <f t="shared" si="62"/>
        <v>0</v>
      </c>
      <c r="BJ78" s="21">
        <f t="shared" si="62"/>
        <v>0</v>
      </c>
      <c r="BK78" s="21">
        <f t="shared" si="62"/>
        <v>0</v>
      </c>
      <c r="BL78" s="21">
        <f t="shared" si="62"/>
        <v>0</v>
      </c>
      <c r="BM78" s="21">
        <f t="shared" si="62"/>
        <v>0</v>
      </c>
      <c r="BN78" s="21">
        <f t="shared" si="62"/>
        <v>0</v>
      </c>
      <c r="BO78" s="21">
        <f t="shared" si="62"/>
        <v>0</v>
      </c>
      <c r="BP78" s="21">
        <f t="shared" si="62"/>
        <v>0</v>
      </c>
      <c r="BQ78" s="21">
        <f t="shared" si="62"/>
        <v>0</v>
      </c>
      <c r="BR78" s="21">
        <f t="shared" si="62"/>
        <v>0</v>
      </c>
      <c r="BS78" s="21">
        <f t="shared" si="62"/>
        <v>0</v>
      </c>
      <c r="BT78" s="21">
        <f t="shared" si="62"/>
        <v>0</v>
      </c>
      <c r="BU78" s="21">
        <f t="shared" si="62"/>
        <v>0</v>
      </c>
      <c r="BV78" s="21">
        <f t="shared" si="62"/>
        <v>0</v>
      </c>
      <c r="BW78" s="21">
        <f t="shared" si="62"/>
        <v>0</v>
      </c>
      <c r="BX78" s="21">
        <f t="shared" si="62"/>
        <v>0</v>
      </c>
      <c r="BY78" s="21">
        <f t="shared" si="62"/>
        <v>0</v>
      </c>
      <c r="BZ78" s="21">
        <f t="shared" si="62"/>
        <v>0</v>
      </c>
      <c r="CA78" s="21">
        <f t="shared" si="62"/>
        <v>0</v>
      </c>
      <c r="CB78" s="21">
        <f t="shared" si="62"/>
        <v>0</v>
      </c>
      <c r="CC78" s="21">
        <f t="shared" si="62"/>
        <v>0</v>
      </c>
      <c r="CD78" s="21">
        <f t="shared" si="62"/>
        <v>0</v>
      </c>
      <c r="CE78" s="21">
        <f t="shared" si="62"/>
        <v>0</v>
      </c>
      <c r="CF78" s="21">
        <f t="shared" si="62"/>
        <v>0</v>
      </c>
      <c r="CG78" s="21">
        <f t="shared" si="62"/>
        <v>0</v>
      </c>
      <c r="CH78" s="21">
        <f t="shared" si="62"/>
        <v>0</v>
      </c>
      <c r="CI78" s="21">
        <f t="shared" si="62"/>
        <v>0</v>
      </c>
      <c r="CJ78" s="21">
        <f t="shared" si="62"/>
        <v>0</v>
      </c>
      <c r="CK78" s="21">
        <f t="shared" si="62"/>
        <v>0</v>
      </c>
      <c r="CL78" s="21">
        <f t="shared" si="62"/>
        <v>0</v>
      </c>
      <c r="CM78" s="21">
        <f t="shared" si="62"/>
        <v>0</v>
      </c>
      <c r="CN78" s="21">
        <f t="shared" si="62"/>
        <v>0</v>
      </c>
      <c r="CO78" s="21">
        <f t="shared" si="62"/>
        <v>0</v>
      </c>
      <c r="CP78" s="21">
        <f t="shared" si="62"/>
        <v>0</v>
      </c>
      <c r="CQ78" s="23" t="s">
        <v>77</v>
      </c>
      <c r="CS78" s="12"/>
      <c r="CT78" s="377"/>
      <c r="CU78" s="12"/>
      <c r="CV78" s="12"/>
    </row>
    <row r="79" spans="1:100" outlineLevel="1" x14ac:dyDescent="0.2">
      <c r="A79" s="355"/>
      <c r="B79" s="12"/>
      <c r="C79" s="356"/>
      <c r="K79" s="378"/>
      <c r="L79" s="379"/>
      <c r="M79" s="53" t="s">
        <v>445</v>
      </c>
      <c r="N79" s="53">
        <f>M78-N78</f>
        <v>835</v>
      </c>
      <c r="O79" s="374"/>
      <c r="T79" s="380" t="s">
        <v>446</v>
      </c>
      <c r="U79" s="181">
        <v>50</v>
      </c>
      <c r="V79" s="181">
        <v>271</v>
      </c>
      <c r="W79" s="181">
        <f>295+510+40</f>
        <v>845</v>
      </c>
      <c r="X79" s="181">
        <f>126+515+225+200</f>
        <v>1066</v>
      </c>
      <c r="Y79" s="181">
        <f>414+280+120</f>
        <v>814</v>
      </c>
      <c r="Z79" s="181">
        <f>289+425</f>
        <v>714</v>
      </c>
      <c r="AA79" s="181">
        <f>300</f>
        <v>300</v>
      </c>
      <c r="AB79" s="181">
        <f>296</f>
        <v>296</v>
      </c>
      <c r="AC79" s="181">
        <f>735</f>
        <v>735</v>
      </c>
      <c r="AD79" s="181">
        <v>0</v>
      </c>
      <c r="AE79" s="181">
        <f>536</f>
        <v>536</v>
      </c>
      <c r="AF79" s="182"/>
      <c r="AG79" s="182"/>
      <c r="AH79" s="182"/>
      <c r="AI79" s="182"/>
      <c r="AJ79" s="182"/>
      <c r="AK79" s="182"/>
      <c r="AL79" s="182"/>
      <c r="AM79" s="182"/>
      <c r="AN79" s="182"/>
      <c r="AO79" s="182"/>
      <c r="AP79" s="182"/>
      <c r="AQ79" s="182"/>
      <c r="AR79" s="182"/>
      <c r="AS79" s="182"/>
      <c r="AT79" s="182"/>
      <c r="AU79" s="182"/>
      <c r="AV79" s="182"/>
      <c r="AW79" s="182"/>
      <c r="AX79" s="182"/>
      <c r="AY79" s="182"/>
      <c r="AZ79" s="182"/>
      <c r="BA79" s="182"/>
      <c r="BB79" s="182"/>
      <c r="BC79" s="182"/>
      <c r="BD79" s="182"/>
      <c r="BE79" s="182"/>
      <c r="BF79" s="182"/>
      <c r="BG79" s="182"/>
      <c r="BH79" s="182"/>
      <c r="BI79" s="182"/>
      <c r="BJ79" s="182"/>
      <c r="BK79" s="182"/>
      <c r="BL79" s="182"/>
      <c r="BM79" s="182"/>
      <c r="BN79" s="182"/>
      <c r="BO79" s="182"/>
      <c r="BP79" s="182"/>
      <c r="BQ79" s="182"/>
      <c r="BR79" s="182"/>
      <c r="BS79" s="182"/>
      <c r="BT79" s="182"/>
      <c r="BU79" s="182"/>
      <c r="BV79" s="182"/>
      <c r="BW79" s="182"/>
      <c r="BX79" s="182"/>
      <c r="BY79" s="182"/>
      <c r="BZ79" s="182"/>
      <c r="CA79" s="182"/>
      <c r="CB79" s="182"/>
      <c r="CC79" s="182"/>
      <c r="CD79" s="182"/>
      <c r="CE79" s="182"/>
      <c r="CF79" s="182"/>
      <c r="CG79" s="182"/>
      <c r="CH79" s="182"/>
      <c r="CI79" s="182"/>
      <c r="CJ79" s="182"/>
      <c r="CK79" s="182"/>
      <c r="CL79" s="182"/>
      <c r="CM79" s="182"/>
      <c r="CN79" s="182"/>
      <c r="CO79" s="182"/>
      <c r="CP79" s="182"/>
      <c r="CQ79" s="23"/>
      <c r="CS79" s="12"/>
      <c r="CT79" s="375"/>
      <c r="CU79" s="375"/>
      <c r="CV79" s="375"/>
    </row>
    <row r="80" spans="1:100" s="88" customFormat="1" outlineLevel="1" x14ac:dyDescent="0.2">
      <c r="A80" s="381"/>
      <c r="C80" s="382"/>
      <c r="K80" s="383"/>
      <c r="L80" s="384"/>
      <c r="O80" s="385"/>
      <c r="P80" s="386" t="s">
        <v>447</v>
      </c>
      <c r="Q80" s="233">
        <f>SUMPRODUCT(Q52:Q76,M52:M76)/M78</f>
        <v>3.1180591324047673</v>
      </c>
      <c r="T80" s="88" t="s">
        <v>46</v>
      </c>
      <c r="U80" s="89" t="b">
        <f>IF(U78+U79=0,TRUE,U78+U79)</f>
        <v>1</v>
      </c>
      <c r="V80" s="89" t="b">
        <f t="shared" ref="V80:BD80" si="63">IF(V78+V79=0,TRUE,V78+V79)</f>
        <v>1</v>
      </c>
      <c r="W80" s="89" t="b">
        <f>IF(W78+W79=0,TRUE,W78+W79)</f>
        <v>1</v>
      </c>
      <c r="X80" s="89" t="b">
        <f t="shared" si="63"/>
        <v>1</v>
      </c>
      <c r="Y80" s="89" t="b">
        <f t="shared" si="63"/>
        <v>1</v>
      </c>
      <c r="Z80" s="89" t="b">
        <f t="shared" si="63"/>
        <v>1</v>
      </c>
      <c r="AA80" s="89" t="b">
        <f t="shared" si="63"/>
        <v>1</v>
      </c>
      <c r="AB80" s="89" t="b">
        <f t="shared" si="63"/>
        <v>1</v>
      </c>
      <c r="AC80" s="89" t="b">
        <f t="shared" si="63"/>
        <v>1</v>
      </c>
      <c r="AD80" s="89" t="b">
        <f t="shared" si="63"/>
        <v>1</v>
      </c>
      <c r="AE80" s="89" t="b">
        <f t="shared" si="63"/>
        <v>1</v>
      </c>
      <c r="AF80" s="89" t="b">
        <f t="shared" si="63"/>
        <v>1</v>
      </c>
      <c r="AG80" s="89" t="b">
        <f t="shared" si="63"/>
        <v>1</v>
      </c>
      <c r="AH80" s="89" t="b">
        <f t="shared" si="63"/>
        <v>1</v>
      </c>
      <c r="AI80" s="89" t="b">
        <f t="shared" si="63"/>
        <v>1</v>
      </c>
      <c r="AJ80" s="89" t="b">
        <f t="shared" si="63"/>
        <v>1</v>
      </c>
      <c r="AK80" s="89" t="b">
        <f t="shared" si="63"/>
        <v>1</v>
      </c>
      <c r="AL80" s="89" t="b">
        <f t="shared" si="63"/>
        <v>1</v>
      </c>
      <c r="AM80" s="89" t="b">
        <f t="shared" si="63"/>
        <v>1</v>
      </c>
      <c r="AN80" s="89" t="b">
        <f t="shared" si="63"/>
        <v>1</v>
      </c>
      <c r="AO80" s="89">
        <f t="shared" si="63"/>
        <v>-3782.8947368421054</v>
      </c>
      <c r="AP80" s="89" t="b">
        <f t="shared" si="63"/>
        <v>1</v>
      </c>
      <c r="AQ80" s="89" t="b">
        <f t="shared" si="63"/>
        <v>1</v>
      </c>
      <c r="AR80" s="89" t="b">
        <f t="shared" si="63"/>
        <v>1</v>
      </c>
      <c r="AS80" s="89" t="b">
        <f t="shared" si="63"/>
        <v>1</v>
      </c>
      <c r="AT80" s="89" t="b">
        <f t="shared" si="63"/>
        <v>1</v>
      </c>
      <c r="AU80" s="89" t="b">
        <f t="shared" si="63"/>
        <v>1</v>
      </c>
      <c r="AV80" s="89" t="b">
        <f t="shared" si="63"/>
        <v>1</v>
      </c>
      <c r="AW80" s="89" t="b">
        <f t="shared" si="63"/>
        <v>1</v>
      </c>
      <c r="AX80" s="89" t="b">
        <f t="shared" si="63"/>
        <v>1</v>
      </c>
      <c r="AY80" s="89" t="b">
        <f t="shared" si="63"/>
        <v>1</v>
      </c>
      <c r="AZ80" s="89" t="b">
        <f t="shared" si="63"/>
        <v>1</v>
      </c>
      <c r="BA80" s="89" t="b">
        <f t="shared" si="63"/>
        <v>1</v>
      </c>
      <c r="BB80" s="89" t="b">
        <f t="shared" si="63"/>
        <v>1</v>
      </c>
      <c r="BC80" s="89" t="b">
        <f t="shared" si="63"/>
        <v>1</v>
      </c>
      <c r="BD80" s="89" t="b">
        <f t="shared" si="63"/>
        <v>1</v>
      </c>
      <c r="BE80" s="89" t="b">
        <f t="shared" ref="BE80:CP80" si="64">IF(BE78+BE79=0,TRUE,BE78+BE79)</f>
        <v>1</v>
      </c>
      <c r="BF80" s="89" t="b">
        <f t="shared" si="64"/>
        <v>1</v>
      </c>
      <c r="BG80" s="89" t="b">
        <f t="shared" si="64"/>
        <v>1</v>
      </c>
      <c r="BH80" s="89" t="b">
        <f t="shared" si="64"/>
        <v>1</v>
      </c>
      <c r="BI80" s="89" t="b">
        <f t="shared" si="64"/>
        <v>1</v>
      </c>
      <c r="BJ80" s="89" t="b">
        <f t="shared" si="64"/>
        <v>1</v>
      </c>
      <c r="BK80" s="89" t="b">
        <f t="shared" si="64"/>
        <v>1</v>
      </c>
      <c r="BL80" s="89" t="b">
        <f t="shared" si="64"/>
        <v>1</v>
      </c>
      <c r="BM80" s="89" t="b">
        <f t="shared" si="64"/>
        <v>1</v>
      </c>
      <c r="BN80" s="89" t="b">
        <f t="shared" si="64"/>
        <v>1</v>
      </c>
      <c r="BO80" s="89" t="b">
        <f t="shared" si="64"/>
        <v>1</v>
      </c>
      <c r="BP80" s="89" t="b">
        <f t="shared" si="64"/>
        <v>1</v>
      </c>
      <c r="BQ80" s="89" t="b">
        <f t="shared" si="64"/>
        <v>1</v>
      </c>
      <c r="BR80" s="89" t="b">
        <f t="shared" si="64"/>
        <v>1</v>
      </c>
      <c r="BS80" s="89" t="b">
        <f t="shared" si="64"/>
        <v>1</v>
      </c>
      <c r="BT80" s="89" t="b">
        <f t="shared" si="64"/>
        <v>1</v>
      </c>
      <c r="BU80" s="89" t="b">
        <f t="shared" si="64"/>
        <v>1</v>
      </c>
      <c r="BV80" s="89" t="b">
        <f t="shared" si="64"/>
        <v>1</v>
      </c>
      <c r="BW80" s="89" t="b">
        <f t="shared" si="64"/>
        <v>1</v>
      </c>
      <c r="BX80" s="89" t="b">
        <f t="shared" si="64"/>
        <v>1</v>
      </c>
      <c r="BY80" s="89" t="b">
        <f t="shared" si="64"/>
        <v>1</v>
      </c>
      <c r="BZ80" s="89" t="b">
        <f t="shared" si="64"/>
        <v>1</v>
      </c>
      <c r="CA80" s="89" t="b">
        <f t="shared" si="64"/>
        <v>1</v>
      </c>
      <c r="CB80" s="89" t="b">
        <f t="shared" si="64"/>
        <v>1</v>
      </c>
      <c r="CC80" s="89" t="b">
        <f t="shared" si="64"/>
        <v>1</v>
      </c>
      <c r="CD80" s="89" t="b">
        <f t="shared" si="64"/>
        <v>1</v>
      </c>
      <c r="CE80" s="89" t="b">
        <f t="shared" si="64"/>
        <v>1</v>
      </c>
      <c r="CF80" s="89" t="b">
        <f t="shared" si="64"/>
        <v>1</v>
      </c>
      <c r="CG80" s="89" t="b">
        <f t="shared" si="64"/>
        <v>1</v>
      </c>
      <c r="CH80" s="89" t="b">
        <f t="shared" si="64"/>
        <v>1</v>
      </c>
      <c r="CI80" s="89" t="b">
        <f t="shared" si="64"/>
        <v>1</v>
      </c>
      <c r="CJ80" s="89" t="b">
        <f t="shared" si="64"/>
        <v>1</v>
      </c>
      <c r="CK80" s="89" t="b">
        <f t="shared" si="64"/>
        <v>1</v>
      </c>
      <c r="CL80" s="89" t="b">
        <f t="shared" si="64"/>
        <v>1</v>
      </c>
      <c r="CM80" s="89" t="b">
        <f t="shared" si="64"/>
        <v>1</v>
      </c>
      <c r="CN80" s="89" t="b">
        <f t="shared" si="64"/>
        <v>1</v>
      </c>
      <c r="CO80" s="89" t="b">
        <f t="shared" si="64"/>
        <v>1</v>
      </c>
      <c r="CP80" s="89" t="b">
        <f t="shared" si="64"/>
        <v>1</v>
      </c>
      <c r="CQ80" s="317"/>
      <c r="CT80" s="387"/>
      <c r="CU80" s="387"/>
      <c r="CV80" s="387"/>
    </row>
    <row r="81" spans="1:100" s="88" customFormat="1" outlineLevel="1" x14ac:dyDescent="0.2">
      <c r="A81" s="381"/>
      <c r="C81" s="382"/>
      <c r="K81" s="383"/>
      <c r="L81" s="388" t="s">
        <v>485</v>
      </c>
      <c r="M81" s="389">
        <f>M77/M78</f>
        <v>0.40201243931360048</v>
      </c>
      <c r="O81" s="385"/>
      <c r="Q81" s="233"/>
      <c r="U81" s="89"/>
      <c r="V81" s="89"/>
      <c r="W81" s="89"/>
      <c r="X81" s="89"/>
      <c r="Y81" s="89"/>
      <c r="Z81" s="89"/>
      <c r="AA81" s="89"/>
      <c r="AB81" s="89"/>
      <c r="AC81" s="89"/>
      <c r="AD81" s="89"/>
      <c r="AE81" s="89"/>
      <c r="AF81" s="89"/>
      <c r="AG81" s="89"/>
      <c r="AH81" s="89"/>
      <c r="AI81" s="89"/>
      <c r="AJ81" s="89"/>
      <c r="AK81" s="89"/>
      <c r="AL81" s="89"/>
      <c r="AM81" s="89"/>
      <c r="AN81" s="89"/>
      <c r="AO81" s="89"/>
      <c r="AP81" s="89"/>
      <c r="AQ81" s="89"/>
      <c r="AR81" s="89"/>
      <c r="AS81" s="89"/>
      <c r="AT81" s="89"/>
      <c r="AU81" s="89"/>
      <c r="AV81" s="89"/>
      <c r="AW81" s="89"/>
      <c r="AX81" s="89"/>
      <c r="AY81" s="89"/>
      <c r="AZ81" s="89"/>
      <c r="BA81" s="89"/>
      <c r="BB81" s="89"/>
      <c r="BC81" s="89"/>
      <c r="BD81" s="89"/>
      <c r="BE81" s="89"/>
      <c r="BF81" s="89"/>
      <c r="BG81" s="89"/>
      <c r="BH81" s="89"/>
      <c r="BI81" s="89"/>
      <c r="BJ81" s="89"/>
      <c r="BK81" s="89"/>
      <c r="BL81" s="89"/>
      <c r="BM81" s="89"/>
      <c r="BN81" s="89"/>
      <c r="BO81" s="89"/>
      <c r="BP81" s="89"/>
      <c r="BQ81" s="89"/>
      <c r="BR81" s="89"/>
      <c r="BS81" s="89"/>
      <c r="BT81" s="89"/>
      <c r="BU81" s="89"/>
      <c r="BV81" s="89"/>
      <c r="BW81" s="89"/>
      <c r="BX81" s="89"/>
      <c r="BY81" s="89"/>
      <c r="BZ81" s="89"/>
      <c r="CA81" s="89"/>
      <c r="CB81" s="89"/>
      <c r="CC81" s="89"/>
      <c r="CD81" s="89"/>
      <c r="CE81" s="89"/>
      <c r="CF81" s="89"/>
      <c r="CG81" s="89"/>
      <c r="CH81" s="89"/>
      <c r="CI81" s="89"/>
      <c r="CJ81" s="89"/>
      <c r="CK81" s="89"/>
      <c r="CL81" s="89"/>
      <c r="CM81" s="89"/>
      <c r="CN81" s="89"/>
      <c r="CO81" s="89"/>
      <c r="CP81" s="89"/>
      <c r="CQ81" s="317"/>
      <c r="CT81" s="387"/>
      <c r="CU81" s="387"/>
      <c r="CV81" s="387"/>
    </row>
    <row r="82" spans="1:100" x14ac:dyDescent="0.2">
      <c r="A82" s="355"/>
      <c r="C82" s="356"/>
      <c r="CQ82" s="23" t="s">
        <v>77</v>
      </c>
      <c r="CS82" s="12"/>
      <c r="CT82" s="375"/>
      <c r="CU82" s="375"/>
      <c r="CV82" s="375"/>
    </row>
    <row r="83" spans="1:100" x14ac:dyDescent="0.2">
      <c r="B83" s="728" t="s">
        <v>664</v>
      </c>
      <c r="C83" s="312"/>
      <c r="D83" s="312">
        <f>Fiscal_Year</f>
        <v>0</v>
      </c>
      <c r="E83" s="312">
        <f>Fiscal_Year</f>
        <v>0</v>
      </c>
      <c r="F83" s="312">
        <f>Fiscal_Year</f>
        <v>36707</v>
      </c>
      <c r="G83" s="312">
        <f>Fiscal_Year</f>
        <v>37072</v>
      </c>
      <c r="H83" s="312">
        <f>Fiscal_Year</f>
        <v>37437</v>
      </c>
      <c r="I83" s="312"/>
      <c r="J83" s="312"/>
      <c r="K83" s="312">
        <f t="shared" ref="K83:AP83" si="65">Fiscal_Year</f>
        <v>38533</v>
      </c>
      <c r="L83" s="312">
        <f t="shared" si="65"/>
        <v>38898</v>
      </c>
      <c r="M83" s="312">
        <f t="shared" si="65"/>
        <v>39263</v>
      </c>
      <c r="N83" s="312">
        <f t="shared" si="65"/>
        <v>39629</v>
      </c>
      <c r="O83" s="312">
        <f t="shared" si="65"/>
        <v>39994</v>
      </c>
      <c r="P83" s="312">
        <f t="shared" si="65"/>
        <v>40359</v>
      </c>
      <c r="Q83" s="312">
        <f t="shared" si="65"/>
        <v>40724</v>
      </c>
      <c r="R83" s="312">
        <f t="shared" si="65"/>
        <v>41090</v>
      </c>
      <c r="S83" s="312">
        <f t="shared" si="65"/>
        <v>41455</v>
      </c>
      <c r="T83" s="312">
        <f t="shared" si="65"/>
        <v>41820</v>
      </c>
      <c r="U83" s="312">
        <f t="shared" si="65"/>
        <v>42185</v>
      </c>
      <c r="V83" s="312">
        <f t="shared" si="65"/>
        <v>42551</v>
      </c>
      <c r="W83" s="312">
        <f t="shared" si="65"/>
        <v>42916</v>
      </c>
      <c r="X83" s="312">
        <f t="shared" si="65"/>
        <v>43281</v>
      </c>
      <c r="Y83" s="312">
        <f t="shared" si="65"/>
        <v>43646</v>
      </c>
      <c r="Z83" s="312">
        <f t="shared" si="65"/>
        <v>44012</v>
      </c>
      <c r="AA83" s="312">
        <f t="shared" si="65"/>
        <v>44377</v>
      </c>
      <c r="AB83" s="312">
        <f t="shared" si="65"/>
        <v>44742</v>
      </c>
      <c r="AC83" s="312">
        <f t="shared" si="65"/>
        <v>45107</v>
      </c>
      <c r="AD83" s="312">
        <f t="shared" si="65"/>
        <v>45473</v>
      </c>
      <c r="AE83" s="312">
        <f t="shared" si="65"/>
        <v>45838</v>
      </c>
      <c r="AF83" s="312">
        <f t="shared" si="65"/>
        <v>46203</v>
      </c>
      <c r="AG83" s="312">
        <f t="shared" si="65"/>
        <v>46568</v>
      </c>
      <c r="AH83" s="312">
        <f t="shared" si="65"/>
        <v>46934</v>
      </c>
      <c r="AI83" s="312">
        <f t="shared" si="65"/>
        <v>47299</v>
      </c>
      <c r="AJ83" s="312">
        <f t="shared" si="65"/>
        <v>47664</v>
      </c>
      <c r="AK83" s="312">
        <f t="shared" si="65"/>
        <v>48029</v>
      </c>
      <c r="AL83" s="312">
        <f t="shared" si="65"/>
        <v>48395</v>
      </c>
      <c r="AM83" s="312">
        <f t="shared" si="65"/>
        <v>48760</v>
      </c>
      <c r="AN83" s="312">
        <f t="shared" si="65"/>
        <v>49125</v>
      </c>
      <c r="AO83" s="312">
        <f t="shared" si="65"/>
        <v>49490</v>
      </c>
      <c r="AP83" s="312">
        <f t="shared" si="65"/>
        <v>49856</v>
      </c>
      <c r="AQ83" s="312">
        <f t="shared" ref="AQ83:BV83" si="66">Fiscal_Year</f>
        <v>50221</v>
      </c>
      <c r="AR83" s="312">
        <f t="shared" si="66"/>
        <v>50586</v>
      </c>
      <c r="AS83" s="312">
        <f t="shared" si="66"/>
        <v>50951</v>
      </c>
      <c r="AT83" s="312">
        <f t="shared" si="66"/>
        <v>51317</v>
      </c>
      <c r="AU83" s="312">
        <f t="shared" si="66"/>
        <v>51682</v>
      </c>
      <c r="AV83" s="312">
        <f t="shared" si="66"/>
        <v>52047</v>
      </c>
      <c r="AW83" s="312">
        <f t="shared" si="66"/>
        <v>52412</v>
      </c>
      <c r="AX83" s="312">
        <f t="shared" si="66"/>
        <v>52778</v>
      </c>
      <c r="AY83" s="312">
        <f t="shared" si="66"/>
        <v>53143</v>
      </c>
      <c r="AZ83" s="312">
        <f t="shared" si="66"/>
        <v>53508</v>
      </c>
      <c r="BA83" s="312">
        <f t="shared" si="66"/>
        <v>53873</v>
      </c>
      <c r="BB83" s="312">
        <f t="shared" si="66"/>
        <v>54239</v>
      </c>
      <c r="BC83" s="312">
        <f t="shared" si="66"/>
        <v>54604</v>
      </c>
      <c r="BD83" s="312">
        <f t="shared" si="66"/>
        <v>54969</v>
      </c>
      <c r="BE83" s="312">
        <f t="shared" si="66"/>
        <v>55334</v>
      </c>
      <c r="BF83" s="312">
        <f t="shared" si="66"/>
        <v>55700</v>
      </c>
      <c r="BG83" s="312">
        <f t="shared" si="66"/>
        <v>56065</v>
      </c>
      <c r="BH83" s="312">
        <f t="shared" si="66"/>
        <v>56430</v>
      </c>
      <c r="BI83" s="312">
        <f t="shared" si="66"/>
        <v>56795</v>
      </c>
      <c r="BJ83" s="312">
        <f t="shared" si="66"/>
        <v>57161</v>
      </c>
      <c r="BK83" s="312">
        <f t="shared" si="66"/>
        <v>57526</v>
      </c>
      <c r="BL83" s="312">
        <f t="shared" si="66"/>
        <v>57891</v>
      </c>
      <c r="BM83" s="312">
        <f t="shared" si="66"/>
        <v>58256</v>
      </c>
      <c r="BN83" s="312">
        <f t="shared" si="66"/>
        <v>58622</v>
      </c>
      <c r="BO83" s="312">
        <f t="shared" si="66"/>
        <v>58987</v>
      </c>
      <c r="BP83" s="312">
        <f t="shared" si="66"/>
        <v>59352</v>
      </c>
      <c r="BQ83" s="312">
        <f t="shared" si="66"/>
        <v>59717</v>
      </c>
      <c r="BR83" s="312">
        <f t="shared" si="66"/>
        <v>60083</v>
      </c>
      <c r="BS83" s="312">
        <f t="shared" si="66"/>
        <v>60448</v>
      </c>
      <c r="BT83" s="312">
        <f t="shared" si="66"/>
        <v>60813</v>
      </c>
      <c r="BU83" s="312">
        <f t="shared" si="66"/>
        <v>61178</v>
      </c>
      <c r="BV83" s="312">
        <f t="shared" si="66"/>
        <v>61544</v>
      </c>
      <c r="BW83" s="312">
        <f t="shared" ref="BW83:CP83" si="67">Fiscal_Year</f>
        <v>61909</v>
      </c>
      <c r="BX83" s="312">
        <f t="shared" si="67"/>
        <v>62274</v>
      </c>
      <c r="BY83" s="312">
        <f t="shared" si="67"/>
        <v>62639</v>
      </c>
      <c r="BZ83" s="312">
        <f t="shared" si="67"/>
        <v>63005</v>
      </c>
      <c r="CA83" s="312">
        <f t="shared" si="67"/>
        <v>63370</v>
      </c>
      <c r="CB83" s="312">
        <f t="shared" si="67"/>
        <v>63735</v>
      </c>
      <c r="CC83" s="312">
        <f t="shared" si="67"/>
        <v>64100</v>
      </c>
      <c r="CD83" s="312">
        <f t="shared" si="67"/>
        <v>64466</v>
      </c>
      <c r="CE83" s="312">
        <f t="shared" si="67"/>
        <v>64831</v>
      </c>
      <c r="CF83" s="312">
        <f t="shared" si="67"/>
        <v>65196</v>
      </c>
      <c r="CG83" s="312">
        <f t="shared" si="67"/>
        <v>65561</v>
      </c>
      <c r="CH83" s="312">
        <f t="shared" si="67"/>
        <v>65927</v>
      </c>
      <c r="CI83" s="312">
        <f t="shared" si="67"/>
        <v>66292</v>
      </c>
      <c r="CJ83" s="312">
        <f t="shared" si="67"/>
        <v>66657</v>
      </c>
      <c r="CK83" s="312">
        <f t="shared" si="67"/>
        <v>67022</v>
      </c>
      <c r="CL83" s="312">
        <f t="shared" si="67"/>
        <v>67388</v>
      </c>
      <c r="CM83" s="312">
        <f t="shared" si="67"/>
        <v>67753</v>
      </c>
      <c r="CN83" s="312">
        <f t="shared" si="67"/>
        <v>68118</v>
      </c>
      <c r="CO83" s="312">
        <f t="shared" si="67"/>
        <v>68483</v>
      </c>
      <c r="CP83" s="312">
        <f t="shared" si="67"/>
        <v>68849</v>
      </c>
      <c r="CQ83" s="23" t="s">
        <v>77</v>
      </c>
    </row>
    <row r="84" spans="1:100" ht="5.0999999999999996" customHeight="1" x14ac:dyDescent="0.2">
      <c r="B84" s="107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108"/>
      <c r="CO84" s="108"/>
      <c r="CP84" s="108"/>
      <c r="CQ84" s="23" t="s">
        <v>77</v>
      </c>
    </row>
    <row r="85" spans="1:100" x14ac:dyDescent="0.2">
      <c r="CQ85" s="23" t="s">
        <v>77</v>
      </c>
    </row>
    <row r="86" spans="1:100" s="233" customFormat="1" x14ac:dyDescent="0.2">
      <c r="B86" s="233" t="s">
        <v>248</v>
      </c>
      <c r="C86" s="104"/>
      <c r="M86" s="233">
        <f t="shared" ref="M86:AR86" si="68">SUM(M87:M94)</f>
        <v>117.92200000000001</v>
      </c>
      <c r="N86" s="233">
        <f t="shared" si="68"/>
        <v>430.59100000000001</v>
      </c>
      <c r="O86" s="233">
        <f t="shared" si="68"/>
        <v>423.315</v>
      </c>
      <c r="P86" s="233">
        <f t="shared" si="68"/>
        <v>459.935</v>
      </c>
      <c r="Q86" s="233">
        <f t="shared" si="68"/>
        <v>454.47399999999999</v>
      </c>
      <c r="R86" s="233">
        <f t="shared" si="68"/>
        <v>515.29500000000007</v>
      </c>
      <c r="S86" s="233">
        <f t="shared" si="68"/>
        <v>646.47700000000009</v>
      </c>
      <c r="T86" s="233">
        <f t="shared" si="68"/>
        <v>697.21500000000015</v>
      </c>
      <c r="U86" s="233">
        <f t="shared" si="68"/>
        <v>821.2700000000001</v>
      </c>
      <c r="V86" s="233">
        <f t="shared" si="68"/>
        <v>1330.5930000000001</v>
      </c>
      <c r="W86" s="233">
        <f t="shared" si="68"/>
        <v>1470.1609999999998</v>
      </c>
      <c r="X86" s="233">
        <f t="shared" si="68"/>
        <v>1485.0839326218895</v>
      </c>
      <c r="Y86" s="233">
        <f t="shared" si="68"/>
        <v>1553.6840226773406</v>
      </c>
      <c r="Z86" s="233">
        <f t="shared" si="68"/>
        <v>1620.045324295852</v>
      </c>
      <c r="AA86" s="233">
        <f t="shared" si="68"/>
        <v>1578.6426092790689</v>
      </c>
      <c r="AB86" s="233">
        <f t="shared" si="68"/>
        <v>1609.52085369918</v>
      </c>
      <c r="AC86" s="233">
        <f t="shared" si="68"/>
        <v>1642.0028360563826</v>
      </c>
      <c r="AD86" s="233">
        <f t="shared" si="68"/>
        <v>1675.0805825732418</v>
      </c>
      <c r="AE86" s="233">
        <f t="shared" si="68"/>
        <v>1695.8805896853257</v>
      </c>
      <c r="AF86" s="233">
        <f t="shared" si="68"/>
        <v>1696.1048642026346</v>
      </c>
      <c r="AG86" s="233">
        <f t="shared" si="68"/>
        <v>1685.2892255631884</v>
      </c>
      <c r="AH86" s="233">
        <f t="shared" si="68"/>
        <v>1719.0505866419899</v>
      </c>
      <c r="AI86" s="233">
        <f t="shared" si="68"/>
        <v>1602.2913695425425</v>
      </c>
      <c r="AJ86" s="233">
        <f t="shared" si="68"/>
        <v>1526.4531424686459</v>
      </c>
      <c r="AK86" s="233">
        <f t="shared" si="68"/>
        <v>1521.3601547795254</v>
      </c>
      <c r="AL86" s="233">
        <f t="shared" si="68"/>
        <v>1549.9754956129414</v>
      </c>
      <c r="AM86" s="233">
        <f t="shared" si="68"/>
        <v>1579.3938340493312</v>
      </c>
      <c r="AN86" s="233">
        <f t="shared" si="68"/>
        <v>1597.2978949890551</v>
      </c>
      <c r="AO86" s="233">
        <f t="shared" si="68"/>
        <v>1570.7805226278927</v>
      </c>
      <c r="AP86" s="233">
        <f t="shared" si="68"/>
        <v>1053.3073565634118</v>
      </c>
      <c r="AQ86" s="233">
        <f t="shared" si="68"/>
        <v>1073.5327907288965</v>
      </c>
      <c r="AR86" s="233">
        <f t="shared" si="68"/>
        <v>982.47702193906559</v>
      </c>
      <c r="AS86" s="233">
        <f t="shared" ref="AS86:BX86" si="69">SUM(AS87:AS94)</f>
        <v>867.35365710100416</v>
      </c>
      <c r="AT86" s="233">
        <f t="shared" si="69"/>
        <v>851.68790877391143</v>
      </c>
      <c r="AU86" s="233">
        <f t="shared" si="69"/>
        <v>869.58545277490589</v>
      </c>
      <c r="AV86" s="233">
        <f t="shared" si="69"/>
        <v>887.89293474404906</v>
      </c>
      <c r="AW86" s="233">
        <f t="shared" si="69"/>
        <v>862.0174764376809</v>
      </c>
      <c r="AX86" s="233">
        <f t="shared" si="69"/>
        <v>880.12946297243002</v>
      </c>
      <c r="AY86" s="233">
        <f t="shared" si="69"/>
        <v>898.65352009729781</v>
      </c>
      <c r="AZ86" s="233">
        <f t="shared" si="69"/>
        <v>917.59799903988528</v>
      </c>
      <c r="BA86" s="233">
        <f t="shared" si="69"/>
        <v>763.33702235912574</v>
      </c>
      <c r="BB86" s="233">
        <f t="shared" si="69"/>
        <v>779.12615032909684</v>
      </c>
      <c r="BC86" s="233">
        <f t="shared" si="69"/>
        <v>795.27078587071014</v>
      </c>
      <c r="BD86" s="233">
        <f t="shared" si="69"/>
        <v>811.77952485394849</v>
      </c>
      <c r="BE86" s="233">
        <f t="shared" si="69"/>
        <v>828.66110747292078</v>
      </c>
      <c r="BF86" s="233">
        <f t="shared" si="69"/>
        <v>845.92142142331613</v>
      </c>
      <c r="BG86" s="233">
        <f t="shared" si="69"/>
        <v>863.57188387036933</v>
      </c>
      <c r="BH86" s="233">
        <f t="shared" si="69"/>
        <v>881.61722123009383</v>
      </c>
      <c r="BI86" s="233">
        <f t="shared" si="69"/>
        <v>900.06996728874105</v>
      </c>
      <c r="BJ86" s="233">
        <f t="shared" si="69"/>
        <v>918.9356347041246</v>
      </c>
      <c r="BK86" s="233">
        <f t="shared" si="69"/>
        <v>938.22601361201998</v>
      </c>
      <c r="BL86" s="233">
        <f t="shared" si="69"/>
        <v>957.94929012326975</v>
      </c>
      <c r="BM86" s="233">
        <f t="shared" si="69"/>
        <v>978.11502059392728</v>
      </c>
      <c r="BN86" s="233">
        <f t="shared" si="69"/>
        <v>998.73255959238656</v>
      </c>
      <c r="BO86" s="233">
        <f t="shared" si="69"/>
        <v>1019.8122720104545</v>
      </c>
      <c r="BP86" s="233">
        <f t="shared" si="69"/>
        <v>1041.3643535097035</v>
      </c>
      <c r="BQ86" s="233">
        <f t="shared" si="69"/>
        <v>1063.3992277801249</v>
      </c>
      <c r="BR86" s="233">
        <f t="shared" si="69"/>
        <v>1085.9267900098723</v>
      </c>
      <c r="BS86" s="233">
        <f t="shared" si="69"/>
        <v>1068.6891164573028</v>
      </c>
      <c r="BT86" s="233">
        <f t="shared" si="69"/>
        <v>1055.6131069273242</v>
      </c>
      <c r="BU86" s="233">
        <f t="shared" si="69"/>
        <v>1077.90219574867</v>
      </c>
      <c r="BV86" s="233">
        <f t="shared" si="69"/>
        <v>1100.6884463287852</v>
      </c>
      <c r="BW86" s="233">
        <f t="shared" si="69"/>
        <v>1123.9824285790146</v>
      </c>
      <c r="BX86" s="233">
        <f t="shared" si="69"/>
        <v>1147.7960952306414</v>
      </c>
      <c r="BY86" s="233">
        <f t="shared" ref="BY86:CP86" si="70">SUM(BY87:BY94)</f>
        <v>1172.1386021199014</v>
      </c>
      <c r="BZ86" s="233">
        <f t="shared" si="70"/>
        <v>1197.0243070996819</v>
      </c>
      <c r="CA86" s="233">
        <f t="shared" si="70"/>
        <v>1222.4636437696258</v>
      </c>
      <c r="CB86" s="233">
        <f t="shared" si="70"/>
        <v>1248.4707360066432</v>
      </c>
      <c r="CC86" s="233">
        <f t="shared" si="70"/>
        <v>1270.3850341023815</v>
      </c>
      <c r="CD86" s="233">
        <f t="shared" si="70"/>
        <v>1241.4217866145782</v>
      </c>
      <c r="CE86" s="233">
        <f t="shared" si="70"/>
        <v>1267.7906044858396</v>
      </c>
      <c r="CF86" s="233">
        <f t="shared" si="70"/>
        <v>1294.7438478471772</v>
      </c>
      <c r="CG86" s="233">
        <f t="shared" si="70"/>
        <v>1322.2951858611973</v>
      </c>
      <c r="CH86" s="233">
        <f t="shared" si="70"/>
        <v>830.29504654147138</v>
      </c>
      <c r="CI86" s="233">
        <f t="shared" si="70"/>
        <v>847.04787506031528</v>
      </c>
      <c r="CJ86" s="233">
        <f t="shared" si="70"/>
        <v>864.16216785095605</v>
      </c>
      <c r="CK86" s="233">
        <f t="shared" si="70"/>
        <v>881.64445225053066</v>
      </c>
      <c r="CL86" s="233">
        <f t="shared" si="70"/>
        <v>899.50182972260393</v>
      </c>
      <c r="CM86" s="233">
        <f t="shared" si="70"/>
        <v>917.74306468398731</v>
      </c>
      <c r="CN86" s="233">
        <f t="shared" si="70"/>
        <v>936.37673374747476</v>
      </c>
      <c r="CO86" s="233">
        <f t="shared" si="70"/>
        <v>955.41197587764873</v>
      </c>
      <c r="CP86" s="233">
        <f t="shared" si="70"/>
        <v>944.0797693578545</v>
      </c>
      <c r="CQ86" s="53" t="s">
        <v>77</v>
      </c>
    </row>
    <row r="87" spans="1:100" x14ac:dyDescent="0.2">
      <c r="B87" s="731" t="s">
        <v>582</v>
      </c>
      <c r="E87" s="511" t="s">
        <v>585</v>
      </c>
      <c r="K87" s="511" t="s">
        <v>585</v>
      </c>
      <c r="L87" s="746">
        <f>+Qld!L23+NSW!L21+'VIC&amp;SA'!L27+'WA&amp;NT'!L27</f>
        <v>0</v>
      </c>
      <c r="M87" s="746">
        <f>+Qld!M23+NSW!M21+'VIC&amp;SA'!M27+'WA&amp;NT'!M27</f>
        <v>50.325000000000003</v>
      </c>
      <c r="N87" s="746">
        <f>+Qld!N23+NSW!N21+'VIC&amp;SA'!N27+'WA&amp;NT'!N27</f>
        <v>189.68700000000001</v>
      </c>
      <c r="O87" s="746">
        <f>+Qld!O23+NSW!O21+'VIC&amp;SA'!O27+'WA&amp;NT'!O27</f>
        <v>223.07299999999998</v>
      </c>
      <c r="P87" s="746">
        <f>+Qld!P23+NSW!P21+'VIC&amp;SA'!P27+'WA&amp;NT'!P27</f>
        <v>226.68700000000001</v>
      </c>
      <c r="Q87" s="746">
        <f>+Qld!Q23+NSW!Q21+'VIC&amp;SA'!Q27+'WA&amp;NT'!Q27</f>
        <v>233.56299999999999</v>
      </c>
      <c r="R87" s="746">
        <f>+Qld!R23+NSW!R21+'VIC&amp;SA'!R27+'WA&amp;NT'!R27</f>
        <v>250.94900000000001</v>
      </c>
      <c r="S87" s="746">
        <f>+Qld!S23+NSW!S21+'VIC&amp;SA'!S27+'WA&amp;NT'!S27</f>
        <v>271.214</v>
      </c>
      <c r="T87" s="746">
        <f>+Qld!T23+NSW!T21+'VIC&amp;SA'!T27+'WA&amp;NT'!T27</f>
        <v>300.33854166666328</v>
      </c>
      <c r="U87" s="746">
        <f>+Qld!U23+NSW!U21+'VIC&amp;SA'!U27+'WA&amp;NT'!U27</f>
        <v>318.56999999999994</v>
      </c>
      <c r="V87" s="746">
        <f>+Qld!V23+NSW!V21+'VIC&amp;SA'!V27+'WA&amp;NT'!V27</f>
        <v>316.10000000000002</v>
      </c>
      <c r="W87" s="746">
        <f>+Qld!W23+NSW!W21+'VIC&amp;SA'!W27+'WA&amp;NT'!W27</f>
        <v>312.20799999999997</v>
      </c>
      <c r="X87" s="746">
        <f>+Qld!X23+NSW!X21+'VIC&amp;SA'!X27+'WA&amp;NT'!X27</f>
        <v>317.31607920438205</v>
      </c>
      <c r="Y87" s="746">
        <f>+Qld!Y23+NSW!Y21+'VIC&amp;SA'!Y27+'WA&amp;NT'!Y27</f>
        <v>320.45141725870371</v>
      </c>
      <c r="Z87" s="746">
        <f>+Qld!Z23+NSW!Z21+'VIC&amp;SA'!Z27+'WA&amp;NT'!Z27</f>
        <v>326.4441886174335</v>
      </c>
      <c r="AA87" s="746">
        <f>+Qld!AA23+NSW!AA21+'VIC&amp;SA'!AA27+'WA&amp;NT'!AA27</f>
        <v>330.79686765432268</v>
      </c>
      <c r="AB87" s="746">
        <f>+Qld!AB23+NSW!AB21+'VIC&amp;SA'!AB27+'WA&amp;NT'!AB27</f>
        <v>333.42844226057321</v>
      </c>
      <c r="AC87" s="746">
        <f>+Qld!AC23+NSW!AC21+'VIC&amp;SA'!AC27+'WA&amp;NT'!AC27</f>
        <v>337.08539989210874</v>
      </c>
      <c r="AD87" s="746">
        <f>+Qld!AD23+NSW!AD21+'VIC&amp;SA'!AD27+'WA&amp;NT'!AD27</f>
        <v>341.1674287500432</v>
      </c>
      <c r="AE87" s="746">
        <f>+Qld!AE23+NSW!AE21+'VIC&amp;SA'!AE27+'WA&amp;NT'!AE27</f>
        <v>348.58617533446522</v>
      </c>
      <c r="AF87" s="746">
        <f>+Qld!AF23+NSW!AF21+'VIC&amp;SA'!AF27+'WA&amp;NT'!AF27</f>
        <v>355.66650009437137</v>
      </c>
      <c r="AG87" s="746">
        <f>+Qld!AG23+NSW!AG21+'VIC&amp;SA'!AG27+'WA&amp;NT'!AG27</f>
        <v>367.03624566991118</v>
      </c>
      <c r="AH87" s="746">
        <f>+Qld!AH23+NSW!AH21+'VIC&amp;SA'!AH27+'WA&amp;NT'!AH27</f>
        <v>371.77394867063214</v>
      </c>
      <c r="AI87" s="746">
        <f>+Qld!AI23+NSW!AI21+'VIC&amp;SA'!AI27+'WA&amp;NT'!AI27</f>
        <v>376.58126912612943</v>
      </c>
      <c r="AJ87" s="746">
        <f>+Qld!AJ23+NSW!AJ21+'VIC&amp;SA'!AJ27+'WA&amp;NT'!AJ27</f>
        <v>381.50683934165954</v>
      </c>
      <c r="AK87" s="746">
        <f>+Qld!AK23+NSW!AK21+'VIC&amp;SA'!AK27+'WA&amp;NT'!AK27</f>
        <v>386.43685479530831</v>
      </c>
      <c r="AL87" s="746">
        <f>+Qld!AL23+NSW!AL21+'VIC&amp;SA'!AL27+'WA&amp;NT'!AL27</f>
        <v>391.51246663861372</v>
      </c>
      <c r="AM87" s="746">
        <f>+Qld!AM23+NSW!AM21+'VIC&amp;SA'!AM27+'WA&amp;NT'!AM27</f>
        <v>396.71247055977983</v>
      </c>
      <c r="AN87" s="746">
        <f>+Qld!AN23+NSW!AN21+'VIC&amp;SA'!AN27+'WA&amp;NT'!AN27</f>
        <v>402.04011297398984</v>
      </c>
      <c r="AO87" s="746">
        <f>+Qld!AO23+NSW!AO21+'VIC&amp;SA'!AO27+'WA&amp;NT'!AO27</f>
        <v>407.5002371208779</v>
      </c>
      <c r="AP87" s="746">
        <f>+Qld!AP23+NSW!AP21+'VIC&amp;SA'!AP27+'WA&amp;NT'!AP27</f>
        <v>413.09233028232393</v>
      </c>
      <c r="AQ87" s="746">
        <f>+Qld!AQ23+NSW!AQ21+'VIC&amp;SA'!AQ27+'WA&amp;NT'!AQ27</f>
        <v>418.82211039990739</v>
      </c>
      <c r="AR87" s="746">
        <f>+Qld!AR23+NSW!AR21+'VIC&amp;SA'!AR27+'WA&amp;NT'!AR27</f>
        <v>341.88292757652476</v>
      </c>
      <c r="AS87" s="746">
        <f>+Qld!AS23+NSW!AS21+'VIC&amp;SA'!AS27+'WA&amp;NT'!AS27</f>
        <v>204.13064179806884</v>
      </c>
      <c r="AT87" s="746">
        <f>+Qld!AT23+NSW!AT21+'VIC&amp;SA'!AT27+'WA&amp;NT'!AT27</f>
        <v>207.58011237070644</v>
      </c>
      <c r="AU87" s="746">
        <f>+Qld!AU23+NSW!AU21+'VIC&amp;SA'!AU27+'WA&amp;NT'!AU27</f>
        <v>211.1169431660407</v>
      </c>
      <c r="AV87" s="746">
        <f>+Qld!AV23+NSW!AV21+'VIC&amp;SA'!AV27+'WA&amp;NT'!AV27</f>
        <v>214.74588744200059</v>
      </c>
      <c r="AW87" s="746">
        <f>+Qld!AW23+NSW!AW21+'VIC&amp;SA'!AW27+'WA&amp;NT'!AW27</f>
        <v>218.4652956578866</v>
      </c>
      <c r="AX87" s="746">
        <f>+Qld!AX23+NSW!AX21+'VIC&amp;SA'!AX27+'WA&amp;NT'!AX27</f>
        <v>222.27962993875519</v>
      </c>
      <c r="AY87" s="746">
        <f>+Qld!AY23+NSW!AY21+'VIC&amp;SA'!AY27+'WA&amp;NT'!AY27</f>
        <v>226.19055988275858</v>
      </c>
      <c r="AZ87" s="746">
        <f>+Qld!AZ23+NSW!AZ21+'VIC&amp;SA'!AZ27+'WA&amp;NT'!AZ27</f>
        <v>230.1993960835311</v>
      </c>
      <c r="BA87" s="746">
        <f>+Qld!BA23+NSW!BA21+'VIC&amp;SA'!BA27+'WA&amp;NT'!BA27</f>
        <v>234.30873177860616</v>
      </c>
      <c r="BB87" s="746">
        <f>+Qld!BB23+NSW!BB21+'VIC&amp;SA'!BB27+'WA&amp;NT'!BB27</f>
        <v>238.52119543226974</v>
      </c>
      <c r="BC87" s="746">
        <f>+Qld!BC23+NSW!BC21+'VIC&amp;SA'!BC27+'WA&amp;NT'!BC27</f>
        <v>242.83785194248117</v>
      </c>
      <c r="BD87" s="746">
        <f>+Qld!BD23+NSW!BD21+'VIC&amp;SA'!BD27+'WA&amp;NT'!BD27</f>
        <v>247.26186057187488</v>
      </c>
      <c r="BE87" s="746">
        <f>+Qld!BE23+NSW!BE21+'VIC&amp;SA'!BE27+'WA&amp;NT'!BE27</f>
        <v>251.79640331842239</v>
      </c>
      <c r="BF87" s="746">
        <f>+Qld!BF23+NSW!BF21+'VIC&amp;SA'!BF27+'WA&amp;NT'!BF27</f>
        <v>256.44150240895306</v>
      </c>
      <c r="BG87" s="746">
        <f>+Qld!BG23+NSW!BG21+'VIC&amp;SA'!BG27+'WA&amp;NT'!BG27</f>
        <v>261.20291071753911</v>
      </c>
      <c r="BH87" s="746">
        <f>+Qld!BH23+NSW!BH21+'VIC&amp;SA'!BH27+'WA&amp;NT'!BH27</f>
        <v>266.07914303603701</v>
      </c>
      <c r="BI87" s="746">
        <f>+Qld!BI23+NSW!BI21+'VIC&amp;SA'!BI27+'WA&amp;NT'!BI27</f>
        <v>271.07685564893217</v>
      </c>
      <c r="BJ87" s="746">
        <f>+Qld!BJ23+NSW!BJ21+'VIC&amp;SA'!BJ27+'WA&amp;NT'!BJ27</f>
        <v>276.19511006638112</v>
      </c>
      <c r="BK87" s="746">
        <f>+Qld!BK23+NSW!BK21+'VIC&amp;SA'!BK27+'WA&amp;NT'!BK27</f>
        <v>281.43947977152027</v>
      </c>
      <c r="BL87" s="746">
        <f>+Qld!BL23+NSW!BL21+'VIC&amp;SA'!BL27+'WA&amp;NT'!BL27</f>
        <v>286.81156261782979</v>
      </c>
      <c r="BM87" s="746">
        <f>+Qld!BM23+NSW!BM21+'VIC&amp;SA'!BM27+'WA&amp;NT'!BM27</f>
        <v>292.3142552488589</v>
      </c>
      <c r="BN87" s="746">
        <f>+Qld!BN23+NSW!BN21+'VIC&amp;SA'!BN27+'WA&amp;NT'!BN27</f>
        <v>297.95008176577045</v>
      </c>
      <c r="BO87" s="746">
        <f>+Qld!BO23+NSW!BO21+'VIC&amp;SA'!BO27+'WA&amp;NT'!BO27</f>
        <v>303.72247631958709</v>
      </c>
      <c r="BP87" s="746">
        <f>+Qld!BP23+NSW!BP21+'VIC&amp;SA'!BP27+'WA&amp;NT'!BP27</f>
        <v>309.63452805234147</v>
      </c>
      <c r="BQ87" s="746">
        <f>+Qld!BQ23+NSW!BQ21+'VIC&amp;SA'!BQ27+'WA&amp;NT'!BQ27</f>
        <v>315.68939897118076</v>
      </c>
      <c r="BR87" s="746">
        <f>+Qld!BR23+NSW!BR21+'VIC&amp;SA'!BR27+'WA&amp;NT'!BR27</f>
        <v>321.88951756411859</v>
      </c>
      <c r="BS87" s="746">
        <f>+Qld!BS23+NSW!BS21+'VIC&amp;SA'!BS27+'WA&amp;NT'!BS27</f>
        <v>328.23980485384038</v>
      </c>
      <c r="BT87" s="746">
        <f>+Qld!BT23+NSW!BT21+'VIC&amp;SA'!BT27+'WA&amp;NT'!BT27</f>
        <v>334.74245999635457</v>
      </c>
      <c r="BU87" s="746">
        <f>+Qld!BU23+NSW!BU21+'VIC&amp;SA'!BU27+'WA&amp;NT'!BU27</f>
        <v>341.40052972353237</v>
      </c>
      <c r="BV87" s="746">
        <f>+Qld!BV23+NSW!BV21+'VIC&amp;SA'!BV27+'WA&amp;NT'!BV27</f>
        <v>348.21838312082485</v>
      </c>
      <c r="BW87" s="746">
        <f>+Qld!BW23+NSW!BW21+'VIC&amp;SA'!BW27+'WA&amp;NT'!BW27</f>
        <v>355.19925685998095</v>
      </c>
      <c r="BX87" s="746">
        <f>+Qld!BX23+NSW!BX21+'VIC&amp;SA'!BX27+'WA&amp;NT'!BX27</f>
        <v>362.34768147097662</v>
      </c>
      <c r="BY87" s="746">
        <f>+Qld!BY23+NSW!BY21+'VIC&amp;SA'!BY27+'WA&amp;NT'!BY27</f>
        <v>369.66504286590094</v>
      </c>
      <c r="BZ87" s="746">
        <f>+Qld!BZ23+NSW!BZ21+'VIC&amp;SA'!BZ27+'WA&amp;NT'!BZ27</f>
        <v>377.15806540100357</v>
      </c>
      <c r="CA87" s="746">
        <f>+Qld!CA23+NSW!CA21+'VIC&amp;SA'!CA27+'WA&amp;NT'!CA27</f>
        <v>384.82912490136505</v>
      </c>
      <c r="CB87" s="746">
        <f>+Qld!CB23+NSW!CB21+'VIC&amp;SA'!CB27+'WA&amp;NT'!CB27</f>
        <v>392.68432372278431</v>
      </c>
      <c r="CC87" s="746">
        <f>+Qld!CC23+NSW!CC21+'VIC&amp;SA'!CC27+'WA&amp;NT'!CC27</f>
        <v>400.72422817604706</v>
      </c>
      <c r="CD87" s="746">
        <f>+Qld!CD23+NSW!CD21+'VIC&amp;SA'!CD27+'WA&amp;NT'!CD27</f>
        <v>408.95511939470458</v>
      </c>
      <c r="CE87" s="746">
        <f>+Qld!CE23+NSW!CE21+'VIC&amp;SA'!CE27+'WA&amp;NT'!CE27</f>
        <v>417.38220375992154</v>
      </c>
      <c r="CF87" s="746">
        <f>+Qld!CF23+NSW!CF21+'VIC&amp;SA'!CF27+'WA&amp;NT'!CF27</f>
        <v>426.00833428755408</v>
      </c>
      <c r="CG87" s="746">
        <f>+Qld!CG23+NSW!CG21+'VIC&amp;SA'!CG27+'WA&amp;NT'!CG27</f>
        <v>434.83892645608711</v>
      </c>
      <c r="CH87" s="746">
        <f>+Qld!CH23+NSW!CH21+'VIC&amp;SA'!CH27+'WA&amp;NT'!CH27</f>
        <v>443.87907160851648</v>
      </c>
      <c r="CI87" s="746">
        <f>+Qld!CI23+NSW!CI21+'VIC&amp;SA'!CI27+'WA&amp;NT'!CI27</f>
        <v>453.1323719036269</v>
      </c>
      <c r="CJ87" s="746">
        <f>+Qld!CJ23+NSW!CJ21+'VIC&amp;SA'!CJ27+'WA&amp;NT'!CJ27</f>
        <v>462.605375327785</v>
      </c>
      <c r="CK87" s="746">
        <f>+Qld!CK23+NSW!CK21+'VIC&amp;SA'!CK27+'WA&amp;NT'!CK27</f>
        <v>472.30189737775436</v>
      </c>
      <c r="CL87" s="746">
        <f>+Qld!CL23+NSW!CL21+'VIC&amp;SA'!CL27+'WA&amp;NT'!CL27</f>
        <v>482.22630479396912</v>
      </c>
      <c r="CM87" s="746">
        <f>+Qld!CM23+NSW!CM21+'VIC&amp;SA'!CM27+'WA&amp;NT'!CM27</f>
        <v>492.38466976909694</v>
      </c>
      <c r="CN87" s="746">
        <f>+Qld!CN23+NSW!CN21+'VIC&amp;SA'!CN27+'WA&amp;NT'!CN27</f>
        <v>502.78280521658201</v>
      </c>
      <c r="CO87" s="746">
        <f>+Qld!CO23+NSW!CO21+'VIC&amp;SA'!CO27+'WA&amp;NT'!CO27</f>
        <v>513.42705961046363</v>
      </c>
      <c r="CP87" s="746">
        <f>+Qld!CP23+NSW!CP21+'VIC&amp;SA'!CP27+'WA&amp;NT'!CP27</f>
        <v>524.32147139808262</v>
      </c>
      <c r="CQ87" s="320" t="s">
        <v>77</v>
      </c>
      <c r="CR87" s="741"/>
    </row>
    <row r="88" spans="1:100" x14ac:dyDescent="0.2">
      <c r="B88" s="731" t="s">
        <v>581</v>
      </c>
      <c r="E88" s="511" t="s">
        <v>574</v>
      </c>
      <c r="K88" s="511" t="s">
        <v>574</v>
      </c>
      <c r="L88" s="746">
        <f>+Qld!L24+NSW!L22+'VIC&amp;SA'!L28+'WA&amp;NT'!L28</f>
        <v>0</v>
      </c>
      <c r="M88" s="746">
        <f>+Qld!M24+NSW!M22+'VIC&amp;SA'!M28+'WA&amp;NT'!M28</f>
        <v>0</v>
      </c>
      <c r="N88" s="746">
        <f>+Qld!N24+NSW!N22+'VIC&amp;SA'!N28+'WA&amp;NT'!N28</f>
        <v>35</v>
      </c>
      <c r="O88" s="746">
        <f>+Qld!O24+NSW!O22+'VIC&amp;SA'!O28+'WA&amp;NT'!O28</f>
        <v>36.5</v>
      </c>
      <c r="P88" s="746">
        <f>+Qld!P24+NSW!P22+'VIC&amp;SA'!P28+'WA&amp;NT'!P28</f>
        <v>39</v>
      </c>
      <c r="Q88" s="746">
        <f>+Qld!Q24+NSW!Q22+'VIC&amp;SA'!Q28+'WA&amp;NT'!Q28</f>
        <v>43</v>
      </c>
      <c r="R88" s="746">
        <f>+Qld!R24+NSW!R22+'VIC&amp;SA'!R28+'WA&amp;NT'!R28</f>
        <v>42.5</v>
      </c>
      <c r="S88" s="746">
        <f>+Qld!S24+NSW!S22+'VIC&amp;SA'!S28+'WA&amp;NT'!S28</f>
        <v>42</v>
      </c>
      <c r="T88" s="746">
        <f>+Qld!T24+NSW!T22+'VIC&amp;SA'!T28+'WA&amp;NT'!T28</f>
        <v>44.900625000000005</v>
      </c>
      <c r="U88" s="746">
        <f>+Qld!U24+NSW!U22+'VIC&amp;SA'!U28+'WA&amp;NT'!U28</f>
        <v>52.3</v>
      </c>
      <c r="V88" s="746">
        <f>+Qld!V24+NSW!V22+'VIC&amp;SA'!V28+'WA&amp;NT'!V28</f>
        <v>41.3</v>
      </c>
      <c r="W88" s="746">
        <f>+Qld!W24+NSW!W22+'VIC&amp;SA'!W28+'WA&amp;NT'!W28</f>
        <v>34.6</v>
      </c>
      <c r="X88" s="746">
        <f>+Qld!X24+NSW!X22+'VIC&amp;SA'!X28+'WA&amp;NT'!X28</f>
        <v>35.465000000000003</v>
      </c>
      <c r="Y88" s="746">
        <f>+Qld!Y24+NSW!Y22+'VIC&amp;SA'!Y28+'WA&amp;NT'!Y28</f>
        <v>36.351624999999999</v>
      </c>
      <c r="Z88" s="746">
        <f>+Qld!Z24+NSW!Z22+'VIC&amp;SA'!Z28+'WA&amp;NT'!Z28</f>
        <v>37.260415624999993</v>
      </c>
      <c r="AA88" s="746">
        <f>+Qld!AA24+NSW!AA22+'VIC&amp;SA'!AA28+'WA&amp;NT'!AA28</f>
        <v>38.121239642963886</v>
      </c>
      <c r="AB88" s="746">
        <f>+Qld!AB24+NSW!AB22+'VIC&amp;SA'!AB28+'WA&amp;NT'!AB28</f>
        <v>39.00190546002618</v>
      </c>
      <c r="AC88" s="746">
        <f>+Qld!AC24+NSW!AC22+'VIC&amp;SA'!AC28+'WA&amp;NT'!AC28</f>
        <v>39.902869249632239</v>
      </c>
      <c r="AD88" s="746">
        <f>+Qld!AD24+NSW!AD22+'VIC&amp;SA'!AD28+'WA&amp;NT'!AD28</f>
        <v>40.824597642614705</v>
      </c>
      <c r="AE88" s="746">
        <f>+Qld!AE24+NSW!AE22+'VIC&amp;SA'!AE28+'WA&amp;NT'!AE28</f>
        <v>41.767567966138103</v>
      </c>
      <c r="AF88" s="746">
        <f>+Qld!AF24+NSW!AF22+'VIC&amp;SA'!AF28+'WA&amp;NT'!AF28</f>
        <v>42.732268488082966</v>
      </c>
      <c r="AG88" s="746">
        <f>+Qld!AG24+NSW!AG22+'VIC&amp;SA'!AG28+'WA&amp;NT'!AG28</f>
        <v>43.719198666992746</v>
      </c>
      <c r="AH88" s="746">
        <f>+Qld!AH24+NSW!AH22+'VIC&amp;SA'!AH28+'WA&amp;NT'!AH28</f>
        <v>44.728869407709574</v>
      </c>
      <c r="AI88" s="746">
        <f>+Qld!AI24+NSW!AI22+'VIC&amp;SA'!AI28+'WA&amp;NT'!AI28</f>
        <v>45.761803322827816</v>
      </c>
      <c r="AJ88" s="746">
        <f>+Qld!AJ24+NSW!AJ22+'VIC&amp;SA'!AJ28+'WA&amp;NT'!AJ28</f>
        <v>46.818535000097256</v>
      </c>
      <c r="AK88" s="746">
        <f>+Qld!AK24+NSW!AK22+'VIC&amp;SA'!AK28+'WA&amp;NT'!AK28</f>
        <v>47.899611275910644</v>
      </c>
      <c r="AL88" s="746">
        <f>+Qld!AL24+NSW!AL22+'VIC&amp;SA'!AL28+'WA&amp;NT'!AL28</f>
        <v>49.00559151501362</v>
      </c>
      <c r="AM88" s="746">
        <f>+Qld!AM24+NSW!AM22+'VIC&amp;SA'!AM28+'WA&amp;NT'!AM28</f>
        <v>50.137047896577798</v>
      </c>
      <c r="AN88" s="746">
        <f>+Qld!AN24+NSW!AN22+'VIC&amp;SA'!AN28+'WA&amp;NT'!AN28</f>
        <v>51.294565706781185</v>
      </c>
      <c r="AO88" s="746">
        <f>+Qld!AO24+NSW!AO22+'VIC&amp;SA'!AO28+'WA&amp;NT'!AO28</f>
        <v>52.478743638043397</v>
      </c>
      <c r="AP88" s="746">
        <f>+Qld!AP24+NSW!AP22+'VIC&amp;SA'!AP28+'WA&amp;NT'!AP28</f>
        <v>53.690194095066261</v>
      </c>
      <c r="AQ88" s="746">
        <f>+Qld!AQ24+NSW!AQ22+'VIC&amp;SA'!AQ28+'WA&amp;NT'!AQ28</f>
        <v>54.929543507833877</v>
      </c>
      <c r="AR88" s="746">
        <f>+Qld!AR24+NSW!AR22+'VIC&amp;SA'!AR28+'WA&amp;NT'!AR28</f>
        <v>56.197432651729976</v>
      </c>
      <c r="AS88" s="746">
        <f>+Qld!AS24+NSW!AS22+'VIC&amp;SA'!AS28+'WA&amp;NT'!AS28</f>
        <v>57.494516974933241</v>
      </c>
      <c r="AT88" s="746">
        <f>+Qld!AT24+NSW!AT22+'VIC&amp;SA'!AT28+'WA&amp;NT'!AT28</f>
        <v>58.821466933255692</v>
      </c>
      <c r="AU88" s="746">
        <f>+Qld!AU24+NSW!AU22+'VIC&amp;SA'!AU28+'WA&amp;NT'!AU28</f>
        <v>60.178968332592504</v>
      </c>
      <c r="AV88" s="746">
        <f>+Qld!AV24+NSW!AV22+'VIC&amp;SA'!AV28+'WA&amp;NT'!AV28</f>
        <v>61.567722679155366</v>
      </c>
      <c r="AW88" s="746">
        <f>+Qld!AW24+NSW!AW22+'VIC&amp;SA'!AW28+'WA&amp;NT'!AW28</f>
        <v>62.988447537665692</v>
      </c>
      <c r="AX88" s="746">
        <f>+Qld!AX24+NSW!AX22+'VIC&amp;SA'!AX28+'WA&amp;NT'!AX28</f>
        <v>64.441876897687649</v>
      </c>
      <c r="AY88" s="746">
        <f>+Qld!AY24+NSW!AY22+'VIC&amp;SA'!AY28+'WA&amp;NT'!AY28</f>
        <v>65.928761548285181</v>
      </c>
      <c r="AZ88" s="746">
        <f>+Qld!AZ24+NSW!AZ22+'VIC&amp;SA'!AZ28+'WA&amp;NT'!AZ28</f>
        <v>67.449869461191341</v>
      </c>
      <c r="BA88" s="746">
        <f>+Qld!BA24+NSW!BA22+'VIC&amp;SA'!BA28+'WA&amp;NT'!BA28</f>
        <v>0</v>
      </c>
      <c r="BB88" s="746">
        <f>+Qld!BB24+NSW!BB22+'VIC&amp;SA'!BB28+'WA&amp;NT'!BB28</f>
        <v>0</v>
      </c>
      <c r="BC88" s="746">
        <f>+Qld!BC24+NSW!BC22+'VIC&amp;SA'!BC28+'WA&amp;NT'!BC28</f>
        <v>0</v>
      </c>
      <c r="BD88" s="746">
        <f>+Qld!BD24+NSW!BD22+'VIC&amp;SA'!BD28+'WA&amp;NT'!BD28</f>
        <v>0</v>
      </c>
      <c r="BE88" s="746">
        <f>+Qld!BE24+NSW!BE22+'VIC&amp;SA'!BE28+'WA&amp;NT'!BE28</f>
        <v>0</v>
      </c>
      <c r="BF88" s="746">
        <f>+Qld!BF24+NSW!BF22+'VIC&amp;SA'!BF28+'WA&amp;NT'!BF28</f>
        <v>0</v>
      </c>
      <c r="BG88" s="746">
        <f>+Qld!BG24+NSW!BG22+'VIC&amp;SA'!BG28+'WA&amp;NT'!BG28</f>
        <v>0</v>
      </c>
      <c r="BH88" s="746">
        <f>+Qld!BH24+NSW!BH22+'VIC&amp;SA'!BH28+'WA&amp;NT'!BH28</f>
        <v>0</v>
      </c>
      <c r="BI88" s="746">
        <f>+Qld!BI24+NSW!BI22+'VIC&amp;SA'!BI28+'WA&amp;NT'!BI28</f>
        <v>0</v>
      </c>
      <c r="BJ88" s="746">
        <f>+Qld!BJ24+NSW!BJ22+'VIC&amp;SA'!BJ28+'WA&amp;NT'!BJ28</f>
        <v>0</v>
      </c>
      <c r="BK88" s="746">
        <f>+Qld!BK24+NSW!BK22+'VIC&amp;SA'!BK28+'WA&amp;NT'!BK28</f>
        <v>0</v>
      </c>
      <c r="BL88" s="746">
        <f>+Qld!BL24+NSW!BL22+'VIC&amp;SA'!BL28+'WA&amp;NT'!BL28</f>
        <v>0</v>
      </c>
      <c r="BM88" s="746">
        <f>+Qld!BM24+NSW!BM22+'VIC&amp;SA'!BM28+'WA&amp;NT'!BM28</f>
        <v>0</v>
      </c>
      <c r="BN88" s="746">
        <f>+Qld!BN24+NSW!BN22+'VIC&amp;SA'!BN28+'WA&amp;NT'!BN28</f>
        <v>0</v>
      </c>
      <c r="BO88" s="746">
        <f>+Qld!BO24+NSW!BO22+'VIC&amp;SA'!BO28+'WA&amp;NT'!BO28</f>
        <v>0</v>
      </c>
      <c r="BP88" s="746">
        <f>+Qld!BP24+NSW!BP22+'VIC&amp;SA'!BP28+'WA&amp;NT'!BP28</f>
        <v>0</v>
      </c>
      <c r="BQ88" s="746">
        <f>+Qld!BQ24+NSW!BQ22+'VIC&amp;SA'!BQ28+'WA&amp;NT'!BQ28</f>
        <v>0</v>
      </c>
      <c r="BR88" s="746">
        <f>+Qld!BR24+NSW!BR22+'VIC&amp;SA'!BR28+'WA&amp;NT'!BR28</f>
        <v>0</v>
      </c>
      <c r="BS88" s="746">
        <f>+Qld!BS24+NSW!BS22+'VIC&amp;SA'!BS28+'WA&amp;NT'!BS28</f>
        <v>0</v>
      </c>
      <c r="BT88" s="746">
        <f>+Qld!BT24+NSW!BT22+'VIC&amp;SA'!BT28+'WA&amp;NT'!BT28</f>
        <v>0</v>
      </c>
      <c r="BU88" s="746">
        <f>+Qld!BU24+NSW!BU22+'VIC&amp;SA'!BU28+'WA&amp;NT'!BU28</f>
        <v>0</v>
      </c>
      <c r="BV88" s="746">
        <f>+Qld!BV24+NSW!BV22+'VIC&amp;SA'!BV28+'WA&amp;NT'!BV28</f>
        <v>0</v>
      </c>
      <c r="BW88" s="746">
        <f>+Qld!BW24+NSW!BW22+'VIC&amp;SA'!BW28+'WA&amp;NT'!BW28</f>
        <v>0</v>
      </c>
      <c r="BX88" s="746">
        <f>+Qld!BX24+NSW!BX22+'VIC&amp;SA'!BX28+'WA&amp;NT'!BX28</f>
        <v>0</v>
      </c>
      <c r="BY88" s="746">
        <f>+Qld!BY24+NSW!BY22+'VIC&amp;SA'!BY28+'WA&amp;NT'!BY28</f>
        <v>0</v>
      </c>
      <c r="BZ88" s="746">
        <f>+Qld!BZ24+NSW!BZ22+'VIC&amp;SA'!BZ28+'WA&amp;NT'!BZ28</f>
        <v>0</v>
      </c>
      <c r="CA88" s="746">
        <f>+Qld!CA24+NSW!CA22+'VIC&amp;SA'!CA28+'WA&amp;NT'!CA28</f>
        <v>0</v>
      </c>
      <c r="CB88" s="746">
        <f>+Qld!CB24+NSW!CB22+'VIC&amp;SA'!CB28+'WA&amp;NT'!CB28</f>
        <v>0</v>
      </c>
      <c r="CC88" s="746">
        <f>+Qld!CC24+NSW!CC22+'VIC&amp;SA'!CC28+'WA&amp;NT'!CC28</f>
        <v>0</v>
      </c>
      <c r="CD88" s="746">
        <f>+Qld!CD24+NSW!CD22+'VIC&amp;SA'!CD28+'WA&amp;NT'!CD28</f>
        <v>0</v>
      </c>
      <c r="CE88" s="746">
        <f>+Qld!CE24+NSW!CE22+'VIC&amp;SA'!CE28+'WA&amp;NT'!CE28</f>
        <v>0</v>
      </c>
      <c r="CF88" s="746">
        <f>+Qld!CF24+NSW!CF22+'VIC&amp;SA'!CF28+'WA&amp;NT'!CF28</f>
        <v>0</v>
      </c>
      <c r="CG88" s="746">
        <f>+Qld!CG24+NSW!CG22+'VIC&amp;SA'!CG28+'WA&amp;NT'!CG28</f>
        <v>0</v>
      </c>
      <c r="CH88" s="746">
        <f>+Qld!CH24+NSW!CH22+'VIC&amp;SA'!CH28+'WA&amp;NT'!CH28</f>
        <v>0</v>
      </c>
      <c r="CI88" s="746">
        <f>+Qld!CI24+NSW!CI22+'VIC&amp;SA'!CI28+'WA&amp;NT'!CI28</f>
        <v>0</v>
      </c>
      <c r="CJ88" s="746">
        <f>+Qld!CJ24+NSW!CJ22+'VIC&amp;SA'!CJ28+'WA&amp;NT'!CJ28</f>
        <v>0</v>
      </c>
      <c r="CK88" s="746">
        <f>+Qld!CK24+NSW!CK22+'VIC&amp;SA'!CK28+'WA&amp;NT'!CK28</f>
        <v>0</v>
      </c>
      <c r="CL88" s="746">
        <f>+Qld!CL24+NSW!CL22+'VIC&amp;SA'!CL28+'WA&amp;NT'!CL28</f>
        <v>0</v>
      </c>
      <c r="CM88" s="746">
        <f>+Qld!CM24+NSW!CM22+'VIC&amp;SA'!CM28+'WA&amp;NT'!CM28</f>
        <v>0</v>
      </c>
      <c r="CN88" s="746">
        <f>+Qld!CN24+NSW!CN22+'VIC&amp;SA'!CN28+'WA&amp;NT'!CN28</f>
        <v>0</v>
      </c>
      <c r="CO88" s="746">
        <f>+Qld!CO24+NSW!CO22+'VIC&amp;SA'!CO28+'WA&amp;NT'!CO28</f>
        <v>0</v>
      </c>
      <c r="CP88" s="746">
        <f>+Qld!CP24+NSW!CP22+'VIC&amp;SA'!CP28+'WA&amp;NT'!CP28</f>
        <v>0</v>
      </c>
      <c r="CQ88" s="320" t="s">
        <v>77</v>
      </c>
      <c r="CR88" s="741"/>
    </row>
    <row r="89" spans="1:100" x14ac:dyDescent="0.2">
      <c r="B89" s="510" t="s">
        <v>587</v>
      </c>
      <c r="E89" s="512">
        <f>E115</f>
        <v>0</v>
      </c>
      <c r="K89" s="512">
        <f>K115</f>
        <v>0</v>
      </c>
      <c r="L89" s="746">
        <f>+Qld!L25+NSW!L23+'VIC&amp;SA'!L29+'WA&amp;NT'!L29</f>
        <v>0</v>
      </c>
      <c r="M89" s="746">
        <f>+Qld!M25+NSW!M23+'VIC&amp;SA'!M29+'WA&amp;NT'!M29</f>
        <v>46.53</v>
      </c>
      <c r="N89" s="746">
        <f>+Qld!N25+NSW!N23+'VIC&amp;SA'!N29+'WA&amp;NT'!N29</f>
        <v>97.834000000000003</v>
      </c>
      <c r="O89" s="746">
        <f>+Qld!O25+NSW!O23+'VIC&amp;SA'!O29+'WA&amp;NT'!O29</f>
        <v>97.75</v>
      </c>
      <c r="P89" s="746">
        <f>+Qld!P25+NSW!P23+'VIC&amp;SA'!P29+'WA&amp;NT'!P29</f>
        <v>109.86099999999999</v>
      </c>
      <c r="Q89" s="746">
        <f>+Qld!Q25+NSW!Q23+'VIC&amp;SA'!Q29+'WA&amp;NT'!Q29</f>
        <v>112.069</v>
      </c>
      <c r="R89" s="746">
        <f>+Qld!R25+NSW!R23+'VIC&amp;SA'!R29+'WA&amp;NT'!R29</f>
        <v>128.185</v>
      </c>
      <c r="S89" s="746">
        <f>+Qld!S25+NSW!S23+'VIC&amp;SA'!S29+'WA&amp;NT'!S29</f>
        <v>219.43900000000002</v>
      </c>
      <c r="T89" s="746">
        <f>+Qld!T25+NSW!T23+'VIC&amp;SA'!T29+'WA&amp;NT'!T29</f>
        <v>296.89004166666723</v>
      </c>
      <c r="U89" s="746">
        <f>+Qld!U25+NSW!U23+'VIC&amp;SA'!U29+'WA&amp;NT'!U29</f>
        <v>395.44799999999998</v>
      </c>
      <c r="V89" s="746">
        <f>+Qld!V25+NSW!V23+'VIC&amp;SA'!V29+'WA&amp;NT'!V29</f>
        <v>911.79682641066995</v>
      </c>
      <c r="W89" s="746">
        <f>+Qld!W25+NSW!W23+'VIC&amp;SA'!W29+'WA&amp;NT'!W29</f>
        <v>958.20299999999997</v>
      </c>
      <c r="X89" s="746">
        <f>+Qld!X25+NSW!X23+'VIC&amp;SA'!X29+'WA&amp;NT'!X29</f>
        <v>967.39585479187645</v>
      </c>
      <c r="Y89" s="746">
        <f>+Qld!Y25+NSW!Y23+'VIC&amp;SA'!Y29+'WA&amp;NT'!Y29</f>
        <v>1008.9728485224423</v>
      </c>
      <c r="Z89" s="746">
        <f>+Qld!Z25+NSW!Z23+'VIC&amp;SA'!Z29+'WA&amp;NT'!Z29</f>
        <v>1026.3951557190012</v>
      </c>
      <c r="AA89" s="746">
        <f>+Qld!AA25+NSW!AA23+'VIC&amp;SA'!AA29+'WA&amp;NT'!AA29</f>
        <v>969.59843586005309</v>
      </c>
      <c r="AB89" s="746">
        <f>+Qld!AB25+NSW!AB23+'VIC&amp;SA'!AB29+'WA&amp;NT'!AB29</f>
        <v>989.89181579940771</v>
      </c>
      <c r="AC89" s="746">
        <f>+Qld!AC25+NSW!AC23+'VIC&amp;SA'!AC29+'WA&amp;NT'!AC29</f>
        <v>1010.6146707673987</v>
      </c>
      <c r="AD89" s="746">
        <f>+Qld!AD25+NSW!AD23+'VIC&amp;SA'!AD29+'WA&amp;NT'!AD29</f>
        <v>1031.637954948206</v>
      </c>
      <c r="AE89" s="746">
        <f>+Qld!AE25+NSW!AE23+'VIC&amp;SA'!AE29+'WA&amp;NT'!AE29</f>
        <v>1036.269273945597</v>
      </c>
      <c r="AF89" s="746">
        <f>+Qld!AF25+NSW!AF23+'VIC&amp;SA'!AF29+'WA&amp;NT'!AF29</f>
        <v>1040.7412875327627</v>
      </c>
      <c r="AG89" s="746">
        <f>+Qld!AG25+NSW!AG23+'VIC&amp;SA'!AG29+'WA&amp;NT'!AG29</f>
        <v>1035.0712513815788</v>
      </c>
      <c r="AH89" s="746">
        <f>+Qld!AH25+NSW!AH23+'VIC&amp;SA'!AH29+'WA&amp;NT'!AH29</f>
        <v>1056.5314319545196</v>
      </c>
      <c r="AI89" s="746">
        <f>+Qld!AI25+NSW!AI23+'VIC&amp;SA'!AI29+'WA&amp;NT'!AI29</f>
        <v>917.99447408141316</v>
      </c>
      <c r="AJ89" s="746">
        <f>+Qld!AJ25+NSW!AJ23+'VIC&amp;SA'!AJ29+'WA&amp;NT'!AJ29</f>
        <v>936.45258534837672</v>
      </c>
      <c r="AK89" s="746">
        <f>+Qld!AK25+NSW!AK23+'VIC&amp;SA'!AK29+'WA&amp;NT'!AK29</f>
        <v>955.28392134222327</v>
      </c>
      <c r="AL89" s="746">
        <f>+Qld!AL25+NSW!AL23+'VIC&amp;SA'!AL29+'WA&amp;NT'!AL29</f>
        <v>974.4960678342336</v>
      </c>
      <c r="AM89" s="746">
        <f>+Qld!AM25+NSW!AM23+'VIC&amp;SA'!AM29+'WA&amp;NT'!AM29</f>
        <v>994.09676546067635</v>
      </c>
      <c r="AN89" s="746">
        <f>+Qld!AN25+NSW!AN23+'VIC&amp;SA'!AN29+'WA&amp;NT'!AN29</f>
        <v>1001.2062166717805</v>
      </c>
      <c r="AO89" s="746">
        <f>+Qld!AO25+NSW!AO23+'VIC&amp;SA'!AO29+'WA&amp;NT'!AO29</f>
        <v>960.90144662224861</v>
      </c>
      <c r="AP89" s="746">
        <f>+Qld!AP25+NSW!AP23+'VIC&amp;SA'!AP29+'WA&amp;NT'!AP29</f>
        <v>399.40300293574086</v>
      </c>
      <c r="AQ89" s="746">
        <f>+Qld!AQ25+NSW!AQ23+'VIC&amp;SA'!AQ29+'WA&amp;NT'!AQ29</f>
        <v>408.11213007748796</v>
      </c>
      <c r="AR89" s="746">
        <f>+Qld!AR25+NSW!AR23+'VIC&amp;SA'!AR29+'WA&amp;NT'!AR29</f>
        <v>408.27751885510423</v>
      </c>
      <c r="AS89" s="746">
        <f>+Qld!AS25+NSW!AS23+'VIC&amp;SA'!AS29+'WA&amp;NT'!AS29</f>
        <v>417.16369821968283</v>
      </c>
      <c r="AT89" s="746">
        <f>+Qld!AT25+NSW!AT23+'VIC&amp;SA'!AT29+'WA&amp;NT'!AT29</f>
        <v>426.24351020328709</v>
      </c>
      <c r="AU89" s="746">
        <f>+Qld!AU25+NSW!AU23+'VIC&amp;SA'!AU29+'WA&amp;NT'!AU29</f>
        <v>435.52117230398107</v>
      </c>
      <c r="AV89" s="746">
        <f>+Qld!AV25+NSW!AV23+'VIC&amp;SA'!AV29+'WA&amp;NT'!AV29</f>
        <v>445.00099368095329</v>
      </c>
      <c r="AW89" s="746">
        <f>+Qld!AW25+NSW!AW23+'VIC&amp;SA'!AW29+'WA&amp;NT'!AW29</f>
        <v>448.56934741424158</v>
      </c>
      <c r="AX89" s="746">
        <f>+Qld!AX25+NSW!AX23+'VIC&amp;SA'!AX29+'WA&amp;NT'!AX29</f>
        <v>458.32881356194889</v>
      </c>
      <c r="AY89" s="746">
        <f>+Qld!AY25+NSW!AY23+'VIC&amp;SA'!AY29+'WA&amp;NT'!AY29</f>
        <v>468.30084264226269</v>
      </c>
      <c r="AZ89" s="746">
        <f>+Qld!AZ25+NSW!AZ23+'VIC&amp;SA'!AZ29+'WA&amp;NT'!AZ29</f>
        <v>478.49006182827281</v>
      </c>
      <c r="BA89" s="746">
        <f>+Qld!BA25+NSW!BA23+'VIC&amp;SA'!BA29+'WA&amp;NT'!BA29</f>
        <v>373.67843642506728</v>
      </c>
      <c r="BB89" s="746">
        <f>+Qld!BB25+NSW!BB23+'VIC&amp;SA'!BB29+'WA&amp;NT'!BB29</f>
        <v>381.63711691337431</v>
      </c>
      <c r="BC89" s="746">
        <f>+Qld!BC25+NSW!BC23+'VIC&amp;SA'!BC29+'WA&amp;NT'!BC29</f>
        <v>389.76528302369383</v>
      </c>
      <c r="BD89" s="746">
        <f>+Qld!BD25+NSW!BD23+'VIC&amp;SA'!BD29+'WA&amp;NT'!BD29</f>
        <v>398.066535772436</v>
      </c>
      <c r="BE89" s="746">
        <f>+Qld!BE25+NSW!BE23+'VIC&amp;SA'!BE29+'WA&amp;NT'!BE29</f>
        <v>406.5445523105916</v>
      </c>
      <c r="BF89" s="746">
        <f>+Qld!BF25+NSW!BF23+'VIC&amp;SA'!BF29+'WA&amp;NT'!BF29</f>
        <v>415.20308752031423</v>
      </c>
      <c r="BG89" s="746">
        <f>+Qld!BG25+NSW!BG23+'VIC&amp;SA'!BG29+'WA&amp;NT'!BG29</f>
        <v>424.04597564457129</v>
      </c>
      <c r="BH89" s="746">
        <f>+Qld!BH25+NSW!BH23+'VIC&amp;SA'!BH29+'WA&amp;NT'!BH29</f>
        <v>433.07713195053452</v>
      </c>
      <c r="BI89" s="746">
        <f>+Qld!BI25+NSW!BI23+'VIC&amp;SA'!BI29+'WA&amp;NT'!BI29</f>
        <v>442.30055442739655</v>
      </c>
      <c r="BJ89" s="746">
        <f>+Qld!BJ25+NSW!BJ23+'VIC&amp;SA'!BJ29+'WA&amp;NT'!BJ29</f>
        <v>451.72032551931358</v>
      </c>
      <c r="BK89" s="746">
        <f>+Qld!BK25+NSW!BK23+'VIC&amp;SA'!BK29+'WA&amp;NT'!BK29</f>
        <v>461.34061389418576</v>
      </c>
      <c r="BL89" s="746">
        <f>+Qld!BL25+NSW!BL23+'VIC&amp;SA'!BL29+'WA&amp;NT'!BL29</f>
        <v>471.1656762490029</v>
      </c>
      <c r="BM89" s="746">
        <f>+Qld!BM25+NSW!BM23+'VIC&amp;SA'!BM29+'WA&amp;NT'!BM29</f>
        <v>481.19985915249896</v>
      </c>
      <c r="BN89" s="746">
        <f>+Qld!BN25+NSW!BN23+'VIC&amp;SA'!BN29+'WA&amp;NT'!BN29</f>
        <v>491.4476009258679</v>
      </c>
      <c r="BO89" s="746">
        <f>+Qld!BO25+NSW!BO23+'VIC&amp;SA'!BO29+'WA&amp;NT'!BO29</f>
        <v>501.91343356231562</v>
      </c>
      <c r="BP89" s="746">
        <f>+Qld!BP25+NSW!BP23+'VIC&amp;SA'!BP29+'WA&amp;NT'!BP29</f>
        <v>512.60198468623128</v>
      </c>
      <c r="BQ89" s="746">
        <f>+Qld!BQ25+NSW!BQ23+'VIC&amp;SA'!BQ29+'WA&amp;NT'!BQ29</f>
        <v>523.51797955278107</v>
      </c>
      <c r="BR89" s="746">
        <f>+Qld!BR25+NSW!BR23+'VIC&amp;SA'!BR29+'WA&amp;NT'!BR29</f>
        <v>534.66624308874316</v>
      </c>
      <c r="BS89" s="746">
        <f>+Qld!BS25+NSW!BS23+'VIC&amp;SA'!BS29+'WA&amp;NT'!BS29</f>
        <v>503.32455656769389</v>
      </c>
      <c r="BT89" s="746">
        <f>+Qld!BT25+NSW!BT23+'VIC&amp;SA'!BT29+'WA&amp;NT'!BT29</f>
        <v>476.09411428081251</v>
      </c>
      <c r="BU89" s="746">
        <f>+Qld!BU25+NSW!BU23+'VIC&amp;SA'!BU29+'WA&amp;NT'!BU29</f>
        <v>486.07548650982358</v>
      </c>
      <c r="BV89" s="746">
        <f>+Qld!BV25+NSW!BV23+'VIC&amp;SA'!BV29+'WA&amp;NT'!BV29</f>
        <v>496.26559073337171</v>
      </c>
      <c r="BW89" s="746">
        <f>+Qld!BW25+NSW!BW23+'VIC&amp;SA'!BW29+'WA&amp;NT'!BW29</f>
        <v>506.66876779502581</v>
      </c>
      <c r="BX89" s="746">
        <f>+Qld!BX25+NSW!BX23+'VIC&amp;SA'!BX29+'WA&amp;NT'!BX29</f>
        <v>517.28944796022984</v>
      </c>
      <c r="BY89" s="746">
        <f>+Qld!BY25+NSW!BY23+'VIC&amp;SA'!BY29+'WA&amp;NT'!BY29</f>
        <v>528.13215273131095</v>
      </c>
      <c r="BZ89" s="746">
        <f>+Qld!BZ25+NSW!BZ23+'VIC&amp;SA'!BZ29+'WA&amp;NT'!BZ29</f>
        <v>539.20149669850298</v>
      </c>
      <c r="CA89" s="746">
        <f>+Qld!CA25+NSW!CA23+'VIC&amp;SA'!CA29+'WA&amp;NT'!CA29</f>
        <v>550.50218942767526</v>
      </c>
      <c r="CB89" s="746">
        <f>+Qld!CB25+NSW!CB23+'VIC&amp;SA'!CB29+'WA&amp;NT'!CB29</f>
        <v>562.0390373854699</v>
      </c>
      <c r="CC89" s="746">
        <f>+Qld!CC25+NSW!CC23+'VIC&amp;SA'!CC29+'WA&amp;NT'!CC29</f>
        <v>568.86242308913086</v>
      </c>
      <c r="CD89" s="746">
        <f>+Qld!CD25+NSW!CD23+'VIC&amp;SA'!CD29+'WA&amp;NT'!CD29</f>
        <v>521.32280467666169</v>
      </c>
      <c r="CE89" s="746">
        <f>+Qld!CE25+NSW!CE23+'VIC&amp;SA'!CE29+'WA&amp;NT'!CE29</f>
        <v>532.09985243882704</v>
      </c>
      <c r="CF89" s="746">
        <f>+Qld!CF25+NSW!CF23+'VIC&amp;SA'!CF29+'WA&amp;NT'!CF29</f>
        <v>543.09856524865108</v>
      </c>
      <c r="CG89" s="746">
        <f>+Qld!CG25+NSW!CG23+'VIC&amp;SA'!CG29+'WA&amp;NT'!CG29</f>
        <v>554.32346097340485</v>
      </c>
      <c r="CH89" s="746">
        <f>+Qld!CH25+NSW!CH23+'VIC&amp;SA'!CH29+'WA&amp;NT'!CH29</f>
        <v>13.881937932638987</v>
      </c>
      <c r="CI89" s="746">
        <f>+Qld!CI25+NSW!CI23+'VIC&amp;SA'!CI29+'WA&amp;NT'!CI29</f>
        <v>12.804809698446082</v>
      </c>
      <c r="CJ89" s="746">
        <f>+Qld!CJ25+NSW!CJ23+'VIC&amp;SA'!CJ29+'WA&amp;NT'!CJ29</f>
        <v>11.673203485149031</v>
      </c>
      <c r="CK89" s="746">
        <f>+Qld!CK25+NSW!CK23+'VIC&amp;SA'!CK29+'WA&amp;NT'!CK29</f>
        <v>10.485222250191825</v>
      </c>
      <c r="CL89" s="746">
        <f>+Qld!CL25+NSW!CL23+'VIC&amp;SA'!CL29+'WA&amp;NT'!CL29</f>
        <v>9.2389110815606159</v>
      </c>
      <c r="CM89" s="746">
        <f>+Qld!CM25+NSW!CM23+'VIC&amp;SA'!CM29+'WA&amp;NT'!CM29</f>
        <v>7.9322555460528648</v>
      </c>
      <c r="CN89" s="746">
        <f>+Qld!CN25+NSW!CN23+'VIC&amp;SA'!CN29+'WA&amp;NT'!CN29</f>
        <v>6.5631799922026381</v>
      </c>
      <c r="CO89" s="746">
        <f>+Qld!CO25+NSW!CO23+'VIC&amp;SA'!CO29+'WA&amp;NT'!CO29</f>
        <v>5.1295458066467106</v>
      </c>
      <c r="CP89" s="746">
        <f>+Qld!CP25+NSW!CP23+'VIC&amp;SA'!CP29+'WA&amp;NT'!CP29</f>
        <v>-29.024475951519868</v>
      </c>
      <c r="CQ89" s="320" t="s">
        <v>77</v>
      </c>
      <c r="CR89" s="741"/>
    </row>
    <row r="90" spans="1:100" x14ac:dyDescent="0.2">
      <c r="B90" s="510" t="s">
        <v>583</v>
      </c>
      <c r="E90" s="511" t="s">
        <v>586</v>
      </c>
      <c r="K90" s="511" t="s">
        <v>586</v>
      </c>
      <c r="L90" s="746">
        <f>+Qld!L26+NSW!L24+'VIC&amp;SA'!L30+'WA&amp;NT'!L30</f>
        <v>0</v>
      </c>
      <c r="M90" s="746">
        <f>+Qld!M26+NSW!M24+'VIC&amp;SA'!M30+'WA&amp;NT'!M30</f>
        <v>0</v>
      </c>
      <c r="N90" s="746">
        <f>+Qld!N26+NSW!N24+'VIC&amp;SA'!N30+'WA&amp;NT'!N30</f>
        <v>31.8</v>
      </c>
      <c r="O90" s="746">
        <f>+Qld!O26+NSW!O24+'VIC&amp;SA'!O30+'WA&amp;NT'!O30</f>
        <v>31.8</v>
      </c>
      <c r="P90" s="746">
        <f>+Qld!P26+NSW!P24+'VIC&amp;SA'!P30+'WA&amp;NT'!P30</f>
        <v>33</v>
      </c>
      <c r="Q90" s="746">
        <f>+Qld!Q26+NSW!Q24+'VIC&amp;SA'!Q30+'WA&amp;NT'!Q30</f>
        <v>0</v>
      </c>
      <c r="R90" s="746">
        <f>+Qld!R26+NSW!R24+'VIC&amp;SA'!R30+'WA&amp;NT'!R30</f>
        <v>0</v>
      </c>
      <c r="S90" s="746">
        <f>+Qld!S26+NSW!S24+'VIC&amp;SA'!S30+'WA&amp;NT'!S30</f>
        <v>0</v>
      </c>
      <c r="T90" s="746">
        <f>+Qld!T26+NSW!T24+'VIC&amp;SA'!T30+'WA&amp;NT'!T30</f>
        <v>22.093958333335529</v>
      </c>
      <c r="U90" s="746">
        <f>+Qld!U26+NSW!U24+'VIC&amp;SA'!U30+'WA&amp;NT'!U30</f>
        <v>28.2</v>
      </c>
      <c r="V90" s="746">
        <f>+Qld!V26+NSW!V24+'VIC&amp;SA'!V30+'WA&amp;NT'!V30</f>
        <v>32</v>
      </c>
      <c r="W90" s="746">
        <f>+Qld!W26+NSW!W24+'VIC&amp;SA'!W30+'WA&amp;NT'!W30</f>
        <v>34.6</v>
      </c>
      <c r="X90" s="746">
        <f>+Qld!X26+NSW!X24+'VIC&amp;SA'!X30+'WA&amp;NT'!X30</f>
        <v>35.246004560445499</v>
      </c>
      <c r="Y90" s="746">
        <f>+Qld!Y26+NSW!Y24+'VIC&amp;SA'!Y30+'WA&amp;NT'!Y30</f>
        <v>36.113159234902135</v>
      </c>
      <c r="Z90" s="746">
        <f>+Qld!Z26+NSW!Z24+'VIC&amp;SA'!Z30+'WA&amp;NT'!Z30</f>
        <v>59.501992776220185</v>
      </c>
      <c r="AA90" s="746">
        <f>+Qld!AA26+NSW!AA24+'VIC&amp;SA'!AA30+'WA&amp;NT'!AA30</f>
        <v>60.975547156071187</v>
      </c>
      <c r="AB90" s="746">
        <f>+Qld!AB26+NSW!AB24+'VIC&amp;SA'!AB30+'WA&amp;NT'!AB30</f>
        <v>62.457112270418456</v>
      </c>
      <c r="AC90" s="746">
        <f>+Qld!AC26+NSW!AC24+'VIC&amp;SA'!AC30+'WA&amp;NT'!AC30</f>
        <v>63.975031844655661</v>
      </c>
      <c r="AD90" s="746">
        <f>+Qld!AD26+NSW!AD24+'VIC&amp;SA'!AD30+'WA&amp;NT'!AD30</f>
        <v>65.481143183389463</v>
      </c>
      <c r="AE90" s="746">
        <f>+Qld!AE26+NSW!AE24+'VIC&amp;SA'!AE30+'WA&amp;NT'!AE30</f>
        <v>67.023024666418166</v>
      </c>
      <c r="AF90" s="746">
        <f>+Qld!AF26+NSW!AF24+'VIC&amp;SA'!AF30+'WA&amp;NT'!AF30</f>
        <v>68.601525834668834</v>
      </c>
      <c r="AG90" s="746">
        <f>+Qld!AG26+NSW!AG24+'VIC&amp;SA'!AG30+'WA&amp;NT'!AG30</f>
        <v>70.217516405665435</v>
      </c>
      <c r="AH90" s="746">
        <f>+Qld!AH26+NSW!AH24+'VIC&amp;SA'!AH30+'WA&amp;NT'!AH30</f>
        <v>71.871886752723213</v>
      </c>
      <c r="AI90" s="746">
        <f>+Qld!AI26+NSW!AI24+'VIC&amp;SA'!AI30+'WA&amp;NT'!AI30</f>
        <v>73.565548395523606</v>
      </c>
      <c r="AJ90" s="746">
        <f>+Qld!AJ26+NSW!AJ24+'VIC&amp;SA'!AJ30+'WA&amp;NT'!AJ30</f>
        <v>75.299434502340517</v>
      </c>
      <c r="AK90" s="746">
        <f>+Qld!AK26+NSW!AK24+'VIC&amp;SA'!AK30+'WA&amp;NT'!AK30</f>
        <v>77.074500404194325</v>
      </c>
      <c r="AL90" s="746">
        <f>+Qld!AL26+NSW!AL24+'VIC&amp;SA'!AL30+'WA&amp;NT'!AL30</f>
        <v>78.891724121217152</v>
      </c>
      <c r="AM90" s="746">
        <f>+Qld!AM26+NSW!AM24+'VIC&amp;SA'!AM30+'WA&amp;NT'!AM30</f>
        <v>80.752106901519284</v>
      </c>
      <c r="AN90" s="746">
        <f>+Qld!AN26+NSW!AN24+'VIC&amp;SA'!AN30+'WA&amp;NT'!AN30</f>
        <v>82.656673772853594</v>
      </c>
      <c r="AO90" s="746">
        <f>+Qld!AO26+NSW!AO24+'VIC&amp;SA'!AO30+'WA&amp;NT'!AO30</f>
        <v>84.606474107382084</v>
      </c>
      <c r="AP90" s="746">
        <f>+Qld!AP26+NSW!AP24+'VIC&amp;SA'!AP30+'WA&amp;NT'!AP30</f>
        <v>86.602582199855632</v>
      </c>
      <c r="AQ90" s="746">
        <f>+Qld!AQ26+NSW!AQ24+'VIC&amp;SA'!AQ30+'WA&amp;NT'!AQ30</f>
        <v>88.646097859525426</v>
      </c>
      <c r="AR90" s="746">
        <f>+Qld!AR26+NSW!AR24+'VIC&amp;SA'!AR30+'WA&amp;NT'!AR30</f>
        <v>90.738147016112379</v>
      </c>
      <c r="AS90" s="746">
        <f>+Qld!AS26+NSW!AS24+'VIC&amp;SA'!AS30+'WA&amp;NT'!AS30</f>
        <v>92.87988234016828</v>
      </c>
      <c r="AT90" s="746">
        <f>+Qld!AT26+NSW!AT24+'VIC&amp;SA'!AT30+'WA&amp;NT'!AT30</f>
        <v>59.048580915197846</v>
      </c>
      <c r="AU90" s="746">
        <f>+Qld!AU26+NSW!AU24+'VIC&amp;SA'!AU30+'WA&amp;NT'!AU30</f>
        <v>60.437689044357015</v>
      </c>
      <c r="AV90" s="746">
        <f>+Qld!AV26+NSW!AV24+'VIC&amp;SA'!AV30+'WA&amp;NT'!AV30</f>
        <v>61.859788491583714</v>
      </c>
      <c r="AW90" s="746">
        <f>+Qld!AW26+NSW!AW24+'VIC&amp;SA'!AW30+'WA&amp;NT'!AW30</f>
        <v>63.315662800682055</v>
      </c>
      <c r="AX90" s="746">
        <f>+Qld!AX26+NSW!AX24+'VIC&amp;SA'!AX30+'WA&amp;NT'!AX30</f>
        <v>64.806114124621473</v>
      </c>
      <c r="AY90" s="746">
        <f>+Qld!AY26+NSW!AY24+'VIC&amp;SA'!AY30+'WA&amp;NT'!AY30</f>
        <v>66.331963667504453</v>
      </c>
      <c r="AZ90" s="746">
        <f>+Qld!AZ26+NSW!AZ24+'VIC&amp;SA'!AZ30+'WA&amp;NT'!AZ30</f>
        <v>67.894052137030911</v>
      </c>
      <c r="BA90" s="746">
        <f>+Qld!BA26+NSW!BA24+'VIC&amp;SA'!BA30+'WA&amp;NT'!BA30</f>
        <v>69.49324020770861</v>
      </c>
      <c r="BB90" s="746">
        <f>+Qld!BB26+NSW!BB24+'VIC&amp;SA'!BB30+'WA&amp;NT'!BB30</f>
        <v>71.130408995064911</v>
      </c>
      <c r="BC90" s="746">
        <f>+Qld!BC26+NSW!BC24+'VIC&amp;SA'!BC30+'WA&amp;NT'!BC30</f>
        <v>72.806460541120927</v>
      </c>
      <c r="BD90" s="746">
        <f>+Qld!BD26+NSW!BD24+'VIC&amp;SA'!BD30+'WA&amp;NT'!BD30</f>
        <v>74.522318311395765</v>
      </c>
      <c r="BE90" s="746">
        <f>+Qld!BE26+NSW!BE24+'VIC&amp;SA'!BE30+'WA&amp;NT'!BE30</f>
        <v>76.278927703714629</v>
      </c>
      <c r="BF90" s="746">
        <f>+Qld!BF26+NSW!BF24+'VIC&amp;SA'!BF30+'WA&amp;NT'!BF30</f>
        <v>78.077256569101067</v>
      </c>
      <c r="BG90" s="746">
        <f>+Qld!BG26+NSW!BG24+'VIC&amp;SA'!BG30+'WA&amp;NT'!BG30</f>
        <v>79.918295745040439</v>
      </c>
      <c r="BH90" s="746">
        <f>+Qld!BH26+NSW!BH24+'VIC&amp;SA'!BH30+'WA&amp;NT'!BH30</f>
        <v>81.803059601408364</v>
      </c>
      <c r="BI90" s="746">
        <f>+Qld!BI26+NSW!BI24+'VIC&amp;SA'!BI30+'WA&amp;NT'!BI30</f>
        <v>83.732586599365035</v>
      </c>
      <c r="BJ90" s="746">
        <f>+Qld!BJ26+NSW!BJ24+'VIC&amp;SA'!BJ30+'WA&amp;NT'!BJ30</f>
        <v>85.70793986352318</v>
      </c>
      <c r="BK90" s="746">
        <f>+Qld!BK26+NSW!BK24+'VIC&amp;SA'!BK30+'WA&amp;NT'!BK30</f>
        <v>87.730207767705082</v>
      </c>
      <c r="BL90" s="746">
        <f>+Qld!BL26+NSW!BL24+'VIC&amp;SA'!BL30+'WA&amp;NT'!BL30</f>
        <v>89.800504534611292</v>
      </c>
      <c r="BM90" s="746">
        <f>+Qld!BM26+NSW!BM24+'VIC&amp;SA'!BM30+'WA&amp;NT'!BM30</f>
        <v>91.919970849731527</v>
      </c>
      <c r="BN90" s="746">
        <f>+Qld!BN26+NSW!BN24+'VIC&amp;SA'!BN30+'WA&amp;NT'!BN30</f>
        <v>94.089774489835861</v>
      </c>
      <c r="BO90" s="746">
        <f>+Qld!BO26+NSW!BO24+'VIC&amp;SA'!BO30+'WA&amp;NT'!BO30</f>
        <v>96.31111096639269</v>
      </c>
      <c r="BP90" s="746">
        <f>+Qld!BP26+NSW!BP24+'VIC&amp;SA'!BP30+'WA&amp;NT'!BP30</f>
        <v>98.585204184267738</v>
      </c>
      <c r="BQ90" s="746">
        <f>+Qld!BQ26+NSW!BQ24+'VIC&amp;SA'!BQ30+'WA&amp;NT'!BQ30</f>
        <v>100.91330711606732</v>
      </c>
      <c r="BR90" s="746">
        <f>+Qld!BR26+NSW!BR24+'VIC&amp;SA'!BR30+'WA&amp;NT'!BR30</f>
        <v>103.29670249249715</v>
      </c>
      <c r="BS90" s="746">
        <f>+Qld!BS26+NSW!BS24+'VIC&amp;SA'!BS30+'WA&amp;NT'!BS30</f>
        <v>105.73670350911716</v>
      </c>
      <c r="BT90" s="746">
        <f>+Qld!BT26+NSW!BT24+'VIC&amp;SA'!BT30+'WA&amp;NT'!BT30</f>
        <v>108.23465454988191</v>
      </c>
      <c r="BU90" s="746">
        <f>+Qld!BU26+NSW!BU24+'VIC&amp;SA'!BU30+'WA&amp;NT'!BU30</f>
        <v>110.79193192786481</v>
      </c>
      <c r="BV90" s="746">
        <f>+Qld!BV26+NSW!BV24+'VIC&amp;SA'!BV30+'WA&amp;NT'!BV30</f>
        <v>113.40994464357482</v>
      </c>
      <c r="BW90" s="746">
        <f>+Qld!BW26+NSW!BW24+'VIC&amp;SA'!BW30+'WA&amp;NT'!BW30</f>
        <v>116.09013516128293</v>
      </c>
      <c r="BX90" s="746">
        <f>+Qld!BX26+NSW!BX24+'VIC&amp;SA'!BX30+'WA&amp;NT'!BX30</f>
        <v>118.83398020378661</v>
      </c>
      <c r="BY90" s="746">
        <f>+Qld!BY26+NSW!BY24+'VIC&amp;SA'!BY30+'WA&amp;NT'!BY30</f>
        <v>121.64299156604974</v>
      </c>
      <c r="BZ90" s="746">
        <f>+Qld!BZ26+NSW!BZ24+'VIC&amp;SA'!BZ30+'WA&amp;NT'!BZ30</f>
        <v>124.51871694816663</v>
      </c>
      <c r="CA90" s="746">
        <f>+Qld!CA26+NSW!CA24+'VIC&amp;SA'!CA30+'WA&amp;NT'!CA30</f>
        <v>127.4627408081088</v>
      </c>
      <c r="CB90" s="746">
        <f>+Qld!CB26+NSW!CB24+'VIC&amp;SA'!CB30+'WA&amp;NT'!CB30</f>
        <v>130.47668523472461</v>
      </c>
      <c r="CC90" s="746">
        <f>+Qld!CC26+NSW!CC24+'VIC&amp;SA'!CC30+'WA&amp;NT'!CC30</f>
        <v>133.56221084147253</v>
      </c>
      <c r="CD90" s="746">
        <f>+Qld!CD26+NSW!CD24+'VIC&amp;SA'!CD30+'WA&amp;NT'!CD30</f>
        <v>136.72101768138074</v>
      </c>
      <c r="CE90" s="746">
        <f>+Qld!CE26+NSW!CE24+'VIC&amp;SA'!CE30+'WA&amp;NT'!CE30</f>
        <v>139.95484618373675</v>
      </c>
      <c r="CF90" s="746">
        <f>+Qld!CF26+NSW!CF24+'VIC&amp;SA'!CF30+'WA&amp;NT'!CF30</f>
        <v>143.2654781130237</v>
      </c>
      <c r="CG90" s="746">
        <f>+Qld!CG26+NSW!CG24+'VIC&amp;SA'!CG30+'WA&amp;NT'!CG30</f>
        <v>146.65473755063124</v>
      </c>
      <c r="CH90" s="746">
        <f>+Qld!CH26+NSW!CH24+'VIC&amp;SA'!CH30+'WA&amp;NT'!CH30</f>
        <v>150.12449189988195</v>
      </c>
      <c r="CI90" s="746">
        <f>+Qld!CI26+NSW!CI24+'VIC&amp;SA'!CI30+'WA&amp;NT'!CI30</f>
        <v>153.67665291492736</v>
      </c>
      <c r="CJ90" s="746">
        <f>+Qld!CJ26+NSW!CJ24+'VIC&amp;SA'!CJ30+'WA&amp;NT'!CJ30</f>
        <v>157.3131777540801</v>
      </c>
      <c r="CK90" s="746">
        <f>+Qld!CK26+NSW!CK24+'VIC&amp;SA'!CK30+'WA&amp;NT'!CK30</f>
        <v>161.03607005816272</v>
      </c>
      <c r="CL90" s="746">
        <f>+Qld!CL26+NSW!CL24+'VIC&amp;SA'!CL30+'WA&amp;NT'!CL30</f>
        <v>164.84738105446732</v>
      </c>
      <c r="CM90" s="746">
        <f>+Qld!CM26+NSW!CM24+'VIC&amp;SA'!CM30+'WA&amp;NT'!CM30</f>
        <v>168.74921068693413</v>
      </c>
      <c r="CN90" s="746">
        <f>+Qld!CN26+NSW!CN24+'VIC&amp;SA'!CN30+'WA&amp;NT'!CN30</f>
        <v>172.74370877317205</v>
      </c>
      <c r="CO90" s="746">
        <f>+Qld!CO26+NSW!CO24+'VIC&amp;SA'!CO30+'WA&amp;NT'!CO30</f>
        <v>176.8330761889581</v>
      </c>
      <c r="CP90" s="746">
        <f>+Qld!CP26+NSW!CP24+'VIC&amp;SA'!CP30+'WA&amp;NT'!CP30</f>
        <v>181.01956608086908</v>
      </c>
      <c r="CQ90" s="320" t="s">
        <v>77</v>
      </c>
      <c r="CR90" s="741"/>
    </row>
    <row r="91" spans="1:100" x14ac:dyDescent="0.2">
      <c r="B91" s="510" t="s">
        <v>584</v>
      </c>
      <c r="E91" s="511" t="s">
        <v>579</v>
      </c>
      <c r="K91" s="511" t="s">
        <v>579</v>
      </c>
      <c r="L91" s="746">
        <f>+Qld!L27+NSW!L25+'VIC&amp;SA'!L31+'WA&amp;NT'!L31</f>
        <v>0</v>
      </c>
      <c r="M91" s="746">
        <f>+Qld!M27+NSW!M25+'VIC&amp;SA'!M31+'WA&amp;NT'!M31</f>
        <v>0</v>
      </c>
      <c r="N91" s="746">
        <f>+Qld!N27+NSW!N25+'VIC&amp;SA'!N31+'WA&amp;NT'!N31</f>
        <v>0</v>
      </c>
      <c r="O91" s="746">
        <f>+Qld!O27+NSW!O25+'VIC&amp;SA'!O31+'WA&amp;NT'!O31</f>
        <v>0</v>
      </c>
      <c r="P91" s="746">
        <f>+Qld!P27+NSW!P25+'VIC&amp;SA'!P31+'WA&amp;NT'!P31</f>
        <v>0</v>
      </c>
      <c r="Q91" s="746">
        <f>+Qld!Q27+NSW!Q25+'VIC&amp;SA'!Q31+'WA&amp;NT'!Q31</f>
        <v>0</v>
      </c>
      <c r="R91" s="746">
        <f>+Qld!R27+NSW!R25+'VIC&amp;SA'!R31+'WA&amp;NT'!R31</f>
        <v>20</v>
      </c>
      <c r="S91" s="746">
        <f>+Qld!S27+NSW!S25+'VIC&amp;SA'!S31+'WA&amp;NT'!S31</f>
        <v>17.2</v>
      </c>
      <c r="T91" s="746">
        <f>+Qld!T27+NSW!T25+'VIC&amp;SA'!T31+'WA&amp;NT'!T31</f>
        <v>19.955833333333963</v>
      </c>
      <c r="U91" s="746">
        <f>+Qld!U27+NSW!U25+'VIC&amp;SA'!U31+'WA&amp;NT'!U31</f>
        <v>29.1</v>
      </c>
      <c r="V91" s="746">
        <f>+Qld!V27+NSW!V25+'VIC&amp;SA'!V31+'WA&amp;NT'!V31</f>
        <v>34.452173589330108</v>
      </c>
      <c r="W91" s="746">
        <f>+Qld!W27+NSW!W25+'VIC&amp;SA'!W31+'WA&amp;NT'!W31</f>
        <v>114.1</v>
      </c>
      <c r="X91" s="746">
        <f>+Qld!X27+NSW!X25+'VIC&amp;SA'!X31+'WA&amp;NT'!X31</f>
        <v>122.75512950731392</v>
      </c>
      <c r="Y91" s="746">
        <f>+Qld!Y27+NSW!Y25+'VIC&amp;SA'!Y31+'WA&amp;NT'!Y31</f>
        <v>147.67663725231068</v>
      </c>
      <c r="Z91" s="746">
        <f>+Qld!Z27+NSW!Z25+'VIC&amp;SA'!Z31+'WA&amp;NT'!Z31</f>
        <v>167.72743269093237</v>
      </c>
      <c r="AA91" s="746">
        <f>+Qld!AA27+NSW!AA25+'VIC&amp;SA'!AA31+'WA&amp;NT'!AA31</f>
        <v>172.91586321023118</v>
      </c>
      <c r="AB91" s="746">
        <f>+Qld!AB27+NSW!AB25+'VIC&amp;SA'!AB31+'WA&amp;NT'!AB31</f>
        <v>178.22962832213682</v>
      </c>
      <c r="AC91" s="746">
        <f>+Qld!AC27+NSW!AC25+'VIC&amp;SA'!AC31+'WA&amp;NT'!AC31</f>
        <v>183.67175745741807</v>
      </c>
      <c r="AD91" s="746">
        <f>+Qld!AD27+NSW!AD25+'VIC&amp;SA'!AD31+'WA&amp;NT'!AD31</f>
        <v>188.9648248197864</v>
      </c>
      <c r="AE91" s="746">
        <f>+Qld!AE27+NSW!AE25+'VIC&amp;SA'!AE31+'WA&amp;NT'!AE31</f>
        <v>194.38354714015054</v>
      </c>
      <c r="AF91" s="746">
        <f>+Qld!AF27+NSW!AF25+'VIC&amp;SA'!AF31+'WA&amp;NT'!AF31</f>
        <v>178.69402301996178</v>
      </c>
      <c r="AG91" s="746">
        <f>+Qld!AG27+NSW!AG25+'VIC&amp;SA'!AG31+'WA&amp;NT'!AG31</f>
        <v>183.62707338905545</v>
      </c>
      <c r="AH91" s="746">
        <f>+Qld!AH27+NSW!AH25+'VIC&amp;SA'!AH31+'WA&amp;NT'!AH31</f>
        <v>188.67709202218981</v>
      </c>
      <c r="AI91" s="746">
        <f>+Qld!AI27+NSW!AI25+'VIC&amp;SA'!AI31+'WA&amp;NT'!AI31</f>
        <v>193.84685212358039</v>
      </c>
      <c r="AJ91" s="746">
        <f>+Qld!AJ27+NSW!AJ25+'VIC&amp;SA'!AJ31+'WA&amp;NT'!AJ31</f>
        <v>85.214151660183461</v>
      </c>
      <c r="AK91" s="746">
        <f>+Qld!AK27+NSW!AK25+'VIC&amp;SA'!AK31+'WA&amp;NT'!AK31</f>
        <v>51.155961012809264</v>
      </c>
      <c r="AL91" s="746">
        <f>+Qld!AL27+NSW!AL25+'VIC&amp;SA'!AL31+'WA&amp;NT'!AL31</f>
        <v>52.224585345144035</v>
      </c>
      <c r="AM91" s="746">
        <f>+Qld!AM27+NSW!AM25+'VIC&amp;SA'!AM31+'WA&amp;NT'!AM31</f>
        <v>53.518112000060029</v>
      </c>
      <c r="AN91" s="746">
        <f>+Qld!AN27+NSW!AN25+'VIC&amp;SA'!AN31+'WA&amp;NT'!AN31</f>
        <v>54.841747886126839</v>
      </c>
      <c r="AO91" s="746">
        <f>+Qld!AO27+NSW!AO25+'VIC&amp;SA'!AO31+'WA&amp;NT'!AO31</f>
        <v>56.196192796911717</v>
      </c>
      <c r="AP91" s="746">
        <f>+Qld!AP27+NSW!AP25+'VIC&amp;SA'!AP31+'WA&amp;NT'!AP31</f>
        <v>57.582162763562316</v>
      </c>
      <c r="AQ91" s="746">
        <f>+Qld!AQ27+NSW!AQ25+'VIC&amp;SA'!AQ31+'WA&amp;NT'!AQ31</f>
        <v>59.000390430886313</v>
      </c>
      <c r="AR91" s="746">
        <f>+Qld!AR27+NSW!AR25+'VIC&amp;SA'!AR31+'WA&amp;NT'!AR31</f>
        <v>33.433232323452685</v>
      </c>
      <c r="AS91" s="746">
        <f>+Qld!AS27+NSW!AS25+'VIC&amp;SA'!AS31+'WA&amp;NT'!AS31</f>
        <v>34.291697255219532</v>
      </c>
      <c r="AT91" s="746">
        <f>+Qld!AT27+NSW!AT25+'VIC&amp;SA'!AT31+'WA&amp;NT'!AT31</f>
        <v>35.170219524990301</v>
      </c>
      <c r="AU91" s="746">
        <f>+Qld!AU27+NSW!AU25+'VIC&amp;SA'!AU31+'WA&amp;NT'!AU31</f>
        <v>36.069267214439456</v>
      </c>
      <c r="AV91" s="746">
        <f>+Qld!AV27+NSW!AV25+'VIC&amp;SA'!AV31+'WA&amp;NT'!AV31</f>
        <v>36.989319315178641</v>
      </c>
      <c r="AW91" s="746">
        <f>+Qld!AW27+NSW!AW25+'VIC&amp;SA'!AW31+'WA&amp;NT'!AW31</f>
        <v>-3.2704770149999973</v>
      </c>
      <c r="AX91" s="746">
        <f>+Qld!AX27+NSW!AX25+'VIC&amp;SA'!AX31+'WA&amp;NT'!AX31</f>
        <v>-3.2704770149999973</v>
      </c>
      <c r="AY91" s="746">
        <f>+Qld!AY27+NSW!AY25+'VIC&amp;SA'!AY31+'WA&amp;NT'!AY31</f>
        <v>-3.2704770149999973</v>
      </c>
      <c r="AZ91" s="746">
        <f>+Qld!AZ27+NSW!AZ25+'VIC&amp;SA'!AZ31+'WA&amp;NT'!AZ31</f>
        <v>-3.2704770149999973</v>
      </c>
      <c r="BA91" s="746">
        <f>+Qld!BA27+NSW!BA25+'VIC&amp;SA'!BA31+'WA&amp;NT'!BA31</f>
        <v>-3.2704770149999973</v>
      </c>
      <c r="BB91" s="746">
        <f>+Qld!BB27+NSW!BB25+'VIC&amp;SA'!BB31+'WA&amp;NT'!BB31</f>
        <v>-3.2704770149999973</v>
      </c>
      <c r="BC91" s="746">
        <f>+Qld!BC27+NSW!BC25+'VIC&amp;SA'!BC31+'WA&amp;NT'!BC31</f>
        <v>-3.2704770149999973</v>
      </c>
      <c r="BD91" s="746">
        <f>+Qld!BD27+NSW!BD25+'VIC&amp;SA'!BD31+'WA&amp;NT'!BD31</f>
        <v>-3.2704770149999973</v>
      </c>
      <c r="BE91" s="746">
        <f>+Qld!BE27+NSW!BE25+'VIC&amp;SA'!BE31+'WA&amp;NT'!BE31</f>
        <v>-3.2704770149999973</v>
      </c>
      <c r="BF91" s="746">
        <f>+Qld!BF27+NSW!BF25+'VIC&amp;SA'!BF31+'WA&amp;NT'!BF31</f>
        <v>-3.2704770149999973</v>
      </c>
      <c r="BG91" s="746">
        <f>+Qld!BG27+NSW!BG25+'VIC&amp;SA'!BG31+'WA&amp;NT'!BG31</f>
        <v>-3.2704770149999973</v>
      </c>
      <c r="BH91" s="746">
        <f>+Qld!BH27+NSW!BH25+'VIC&amp;SA'!BH31+'WA&amp;NT'!BH31</f>
        <v>-3.2704770149999973</v>
      </c>
      <c r="BI91" s="746">
        <f>+Qld!BI27+NSW!BI25+'VIC&amp;SA'!BI31+'WA&amp;NT'!BI31</f>
        <v>-3.2704770149999973</v>
      </c>
      <c r="BJ91" s="746">
        <f>+Qld!BJ27+NSW!BJ25+'VIC&amp;SA'!BJ31+'WA&amp;NT'!BJ31</f>
        <v>-3.2704770149999973</v>
      </c>
      <c r="BK91" s="746">
        <f>+Qld!BK27+NSW!BK25+'VIC&amp;SA'!BK31+'WA&amp;NT'!BK31</f>
        <v>-3.2704770149999973</v>
      </c>
      <c r="BL91" s="746">
        <f>+Qld!BL27+NSW!BL25+'VIC&amp;SA'!BL31+'WA&amp;NT'!BL31</f>
        <v>-3.2704770149999973</v>
      </c>
      <c r="BM91" s="746">
        <f>+Qld!BM27+NSW!BM25+'VIC&amp;SA'!BM31+'WA&amp;NT'!BM31</f>
        <v>-3.2704770149999973</v>
      </c>
      <c r="BN91" s="746">
        <f>+Qld!BN27+NSW!BN25+'VIC&amp;SA'!BN31+'WA&amp;NT'!BN31</f>
        <v>-3.2704770149999973</v>
      </c>
      <c r="BO91" s="746">
        <f>+Qld!BO27+NSW!BO25+'VIC&amp;SA'!BO31+'WA&amp;NT'!BO31</f>
        <v>-3.2704770149999973</v>
      </c>
      <c r="BP91" s="746">
        <f>+Qld!BP27+NSW!BP25+'VIC&amp;SA'!BP31+'WA&amp;NT'!BP31</f>
        <v>-3.2704770149999973</v>
      </c>
      <c r="BQ91" s="746">
        <f>+Qld!BQ27+NSW!BQ25+'VIC&amp;SA'!BQ31+'WA&amp;NT'!BQ31</f>
        <v>-3.2704770149999973</v>
      </c>
      <c r="BR91" s="746">
        <f>+Qld!BR27+NSW!BR25+'VIC&amp;SA'!BR31+'WA&amp;NT'!BR31</f>
        <v>-3.2704770149999973</v>
      </c>
      <c r="BS91" s="746">
        <f>+Qld!BS27+NSW!BS25+'VIC&amp;SA'!BS31+'WA&amp;NT'!BS31</f>
        <v>-3.2704770149999973</v>
      </c>
      <c r="BT91" s="746">
        <f>+Qld!BT27+NSW!BT25+'VIC&amp;SA'!BT31+'WA&amp;NT'!BT31</f>
        <v>-3.2704770149999973</v>
      </c>
      <c r="BU91" s="746">
        <f>+Qld!BU27+NSW!BU25+'VIC&amp;SA'!BU31+'WA&amp;NT'!BU31</f>
        <v>-3.2704770149999973</v>
      </c>
      <c r="BV91" s="746">
        <f>+Qld!BV27+NSW!BV25+'VIC&amp;SA'!BV31+'WA&amp;NT'!BV31</f>
        <v>-3.2704770149999973</v>
      </c>
      <c r="BW91" s="746">
        <f>+Qld!BW27+NSW!BW25+'VIC&amp;SA'!BW31+'WA&amp;NT'!BW31</f>
        <v>-3.2704770149999973</v>
      </c>
      <c r="BX91" s="746">
        <f>+Qld!BX27+NSW!BX25+'VIC&amp;SA'!BX31+'WA&amp;NT'!BX31</f>
        <v>-3.2704770149999973</v>
      </c>
      <c r="BY91" s="746">
        <f>+Qld!BY27+NSW!BY25+'VIC&amp;SA'!BY31+'WA&amp;NT'!BY31</f>
        <v>-3.2704770149999973</v>
      </c>
      <c r="BZ91" s="746">
        <f>+Qld!BZ27+NSW!BZ25+'VIC&amp;SA'!BZ31+'WA&amp;NT'!BZ31</f>
        <v>-3.2704770149999973</v>
      </c>
      <c r="CA91" s="746">
        <f>+Qld!CA27+NSW!CA25+'VIC&amp;SA'!CA31+'WA&amp;NT'!CA31</f>
        <v>-3.2704770149999973</v>
      </c>
      <c r="CB91" s="746">
        <f>+Qld!CB27+NSW!CB25+'VIC&amp;SA'!CB31+'WA&amp;NT'!CB31</f>
        <v>-3.2704770149999973</v>
      </c>
      <c r="CC91" s="746">
        <f>+Qld!CC27+NSW!CC25+'VIC&amp;SA'!CC31+'WA&amp;NT'!CC31</f>
        <v>-3.2704770149999973</v>
      </c>
      <c r="CD91" s="746">
        <f>+Qld!CD27+NSW!CD25+'VIC&amp;SA'!CD31+'WA&amp;NT'!CD31</f>
        <v>-3.2704770149999973</v>
      </c>
      <c r="CE91" s="746">
        <f>+Qld!CE27+NSW!CE25+'VIC&amp;SA'!CE31+'WA&amp;NT'!CE31</f>
        <v>-3.2704770149999973</v>
      </c>
      <c r="CF91" s="746">
        <f>+Qld!CF27+NSW!CF25+'VIC&amp;SA'!CF31+'WA&amp;NT'!CF31</f>
        <v>-3.2704770149999973</v>
      </c>
      <c r="CG91" s="746">
        <f>+Qld!CG27+NSW!CG25+'VIC&amp;SA'!CG31+'WA&amp;NT'!CG31</f>
        <v>-3.2704770149999973</v>
      </c>
      <c r="CH91" s="746">
        <f>+Qld!CH27+NSW!CH25+'VIC&amp;SA'!CH31+'WA&amp;NT'!CH31</f>
        <v>-3.2704770149999973</v>
      </c>
      <c r="CI91" s="746">
        <f>+Qld!CI27+NSW!CI25+'VIC&amp;SA'!CI31+'WA&amp;NT'!CI31</f>
        <v>-3.2704770149999973</v>
      </c>
      <c r="CJ91" s="746">
        <f>+Qld!CJ27+NSW!CJ25+'VIC&amp;SA'!CJ31+'WA&amp;NT'!CJ31</f>
        <v>-3.2704770149999973</v>
      </c>
      <c r="CK91" s="746">
        <f>+Qld!CK27+NSW!CK25+'VIC&amp;SA'!CK31+'WA&amp;NT'!CK31</f>
        <v>-3.2704770149999973</v>
      </c>
      <c r="CL91" s="746">
        <f>+Qld!CL27+NSW!CL25+'VIC&amp;SA'!CL31+'WA&amp;NT'!CL31</f>
        <v>-3.2704770149999973</v>
      </c>
      <c r="CM91" s="746">
        <f>+Qld!CM27+NSW!CM25+'VIC&amp;SA'!CM31+'WA&amp;NT'!CM31</f>
        <v>-3.2704770149999973</v>
      </c>
      <c r="CN91" s="746">
        <f>+Qld!CN27+NSW!CN25+'VIC&amp;SA'!CN31+'WA&amp;NT'!CN31</f>
        <v>-3.2704770149999973</v>
      </c>
      <c r="CO91" s="746">
        <f>+Qld!CO27+NSW!CO25+'VIC&amp;SA'!CO31+'WA&amp;NT'!CO31</f>
        <v>-3.2704770149999973</v>
      </c>
      <c r="CP91" s="746">
        <f>+Qld!CP27+NSW!CP25+'VIC&amp;SA'!CP31+'WA&amp;NT'!CP31</f>
        <v>-3.2704770149999973</v>
      </c>
      <c r="CQ91" s="320" t="s">
        <v>77</v>
      </c>
      <c r="CR91" s="741"/>
    </row>
    <row r="92" spans="1:100" x14ac:dyDescent="0.2">
      <c r="B92" s="744" t="s">
        <v>665</v>
      </c>
      <c r="E92" s="511"/>
      <c r="K92" s="511"/>
      <c r="L92" s="747"/>
      <c r="M92" s="747">
        <f>+APA!M51</f>
        <v>5.7149999999999999</v>
      </c>
      <c r="N92" s="747">
        <f>+APA!N51</f>
        <v>27.913</v>
      </c>
      <c r="O92" s="747">
        <f>+APA!O51</f>
        <v>22.625</v>
      </c>
      <c r="P92" s="747">
        <f>+APA!P51</f>
        <v>32.317</v>
      </c>
      <c r="Q92" s="747">
        <f>+APA!Q51</f>
        <v>38.74</v>
      </c>
      <c r="R92" s="747">
        <f>+APA!R51</f>
        <v>31.91</v>
      </c>
      <c r="S92" s="747">
        <f>+APA!S51</f>
        <v>45.447000000000003</v>
      </c>
      <c r="T92" s="747">
        <f>+APA!T51</f>
        <v>67.552000000000007</v>
      </c>
      <c r="U92" s="747">
        <f>+APA!U51</f>
        <v>49.448</v>
      </c>
      <c r="V92" s="747">
        <f>+APA!V51</f>
        <v>53.857999999999997</v>
      </c>
      <c r="W92" s="747">
        <f>+APA!W51</f>
        <v>58.719000000000001</v>
      </c>
      <c r="X92" s="747">
        <f>+APA!X51</f>
        <v>50.493221999999996</v>
      </c>
      <c r="Y92" s="747">
        <f>+APA!Y51</f>
        <v>51.50308643999999</v>
      </c>
      <c r="Z92" s="747">
        <f>+APA!Z51</f>
        <v>52.53314816879999</v>
      </c>
      <c r="AA92" s="747">
        <f>+APA!AA51</f>
        <v>53.583811132175988</v>
      </c>
      <c r="AB92" s="747">
        <f>+APA!AB51</f>
        <v>54.655487354819506</v>
      </c>
      <c r="AC92" s="747">
        <f>+APA!AC51</f>
        <v>55.748597101915898</v>
      </c>
      <c r="AD92" s="747">
        <f>+APA!AD51</f>
        <v>56.863569043954215</v>
      </c>
      <c r="AE92" s="747">
        <f>+APA!AE51</f>
        <v>58.000840424833299</v>
      </c>
      <c r="AF92" s="747">
        <f>+APA!AF51</f>
        <v>59.16085723332997</v>
      </c>
      <c r="AG92" s="747">
        <f>+APA!AG51</f>
        <v>60.34407437799657</v>
      </c>
      <c r="AH92" s="747">
        <f>+APA!AH51</f>
        <v>61.550955865556496</v>
      </c>
      <c r="AI92" s="747">
        <f>+APA!AI51</f>
        <v>62.781974982867624</v>
      </c>
      <c r="AJ92" s="747">
        <f>+APA!AJ51</f>
        <v>64.037614482524972</v>
      </c>
      <c r="AK92" s="747">
        <f>+APA!AK51</f>
        <v>65.31836677217548</v>
      </c>
      <c r="AL92" s="747">
        <f>+APA!AL51</f>
        <v>66.624734107618991</v>
      </c>
      <c r="AM92" s="747">
        <f>+APA!AM51</f>
        <v>67.957228789771364</v>
      </c>
      <c r="AN92" s="747">
        <f>+APA!AN51</f>
        <v>69.31637336556679</v>
      </c>
      <c r="AO92" s="747">
        <f>+APA!AO51</f>
        <v>70.702700832878136</v>
      </c>
      <c r="AP92" s="747">
        <f>+APA!AP51</f>
        <v>72.116754849535695</v>
      </c>
      <c r="AQ92" s="747">
        <f>+APA!AQ51</f>
        <v>73.559089946526413</v>
      </c>
      <c r="AR92" s="747">
        <f>+APA!AR51</f>
        <v>75.030271745456943</v>
      </c>
      <c r="AS92" s="747">
        <f>+APA!AS51</f>
        <v>76.530877180366076</v>
      </c>
      <c r="AT92" s="747">
        <f>+APA!AT51</f>
        <v>78.061494723973382</v>
      </c>
      <c r="AU92" s="747">
        <f>+APA!AU51</f>
        <v>79.62272461845285</v>
      </c>
      <c r="AV92" s="747">
        <f>+APA!AV51</f>
        <v>81.215179110821907</v>
      </c>
      <c r="AW92" s="747">
        <f>+APA!AW51</f>
        <v>82.839482693038335</v>
      </c>
      <c r="AX92" s="747">
        <f>+APA!AX51</f>
        <v>84.496272346899104</v>
      </c>
      <c r="AY92" s="747">
        <f>+APA!AY51</f>
        <v>86.186197793837096</v>
      </c>
      <c r="AZ92" s="747">
        <f>+APA!AZ51</f>
        <v>87.909921749713831</v>
      </c>
      <c r="BA92" s="747">
        <f>+APA!BA51</f>
        <v>89.668120184708101</v>
      </c>
      <c r="BB92" s="747">
        <f>+APA!BB51</f>
        <v>91.461482588402262</v>
      </c>
      <c r="BC92" s="747">
        <f>+APA!BC51</f>
        <v>93.290712240170308</v>
      </c>
      <c r="BD92" s="747">
        <f>+APA!BD51</f>
        <v>95.156526484973725</v>
      </c>
      <c r="BE92" s="747">
        <f>+APA!BE51</f>
        <v>97.059657014673192</v>
      </c>
      <c r="BF92" s="747">
        <f>+APA!BF51</f>
        <v>99.000850154966656</v>
      </c>
      <c r="BG92" s="747">
        <f>+APA!BG51</f>
        <v>100.98086715806599</v>
      </c>
      <c r="BH92" s="747">
        <f>+APA!BH51</f>
        <v>103.00048450122732</v>
      </c>
      <c r="BI92" s="747">
        <f>+APA!BI51</f>
        <v>105.06049419125186</v>
      </c>
      <c r="BJ92" s="747">
        <f>+APA!BJ51</f>
        <v>107.1617040750769</v>
      </c>
      <c r="BK92" s="747">
        <f>+APA!BK51</f>
        <v>109.30493815657844</v>
      </c>
      <c r="BL92" s="747">
        <f>+APA!BL51</f>
        <v>111.49103691971001</v>
      </c>
      <c r="BM92" s="747">
        <f>+APA!BM51</f>
        <v>113.72085765810422</v>
      </c>
      <c r="BN92" s="747">
        <f>+APA!BN51</f>
        <v>115.9952748112663</v>
      </c>
      <c r="BO92" s="747">
        <f>+APA!BO51</f>
        <v>118.31518030749162</v>
      </c>
      <c r="BP92" s="747">
        <f>+APA!BP51</f>
        <v>120.68148391364146</v>
      </c>
      <c r="BQ92" s="747">
        <f>+APA!BQ51</f>
        <v>123.09511359191428</v>
      </c>
      <c r="BR92" s="747">
        <f>+APA!BR51</f>
        <v>125.55701586375257</v>
      </c>
      <c r="BS92" s="747">
        <f>+APA!BS51</f>
        <v>128.06815618102763</v>
      </c>
      <c r="BT92" s="747">
        <f>+APA!BT51</f>
        <v>130.6295193046482</v>
      </c>
      <c r="BU92" s="747">
        <f>+APA!BU51</f>
        <v>133.24210969074116</v>
      </c>
      <c r="BV92" s="747">
        <f>+APA!BV51</f>
        <v>135.90695188455598</v>
      </c>
      <c r="BW92" s="747">
        <f>+APA!BW51</f>
        <v>138.6250909222471</v>
      </c>
      <c r="BX92" s="747">
        <f>+APA!BX51</f>
        <v>141.39759274069203</v>
      </c>
      <c r="BY92" s="747">
        <f>+APA!BY51</f>
        <v>144.22554459550588</v>
      </c>
      <c r="BZ92" s="747">
        <f>+APA!BZ51</f>
        <v>147.11005548741596</v>
      </c>
      <c r="CA92" s="747">
        <f>+APA!CA51</f>
        <v>150.0522565971643</v>
      </c>
      <c r="CB92" s="747">
        <f>+APA!CB51</f>
        <v>153.05330172910757</v>
      </c>
      <c r="CC92" s="747">
        <f>+APA!CC51</f>
        <v>156.11436776368976</v>
      </c>
      <c r="CD92" s="747">
        <f>+APA!CD51</f>
        <v>159.23665511896354</v>
      </c>
      <c r="CE92" s="747">
        <f>+APA!CE51</f>
        <v>162.42138822134282</v>
      </c>
      <c r="CF92" s="747">
        <f>+APA!CF51</f>
        <v>165.66981598576967</v>
      </c>
      <c r="CG92" s="747">
        <f>+APA!CG51</f>
        <v>168.98321230548507</v>
      </c>
      <c r="CH92" s="747">
        <f>+APA!CH51</f>
        <v>172.36287655159475</v>
      </c>
      <c r="CI92" s="747">
        <f>+APA!CI51</f>
        <v>175.81013408262666</v>
      </c>
      <c r="CJ92" s="747">
        <f>+APA!CJ51</f>
        <v>179.3263367642792</v>
      </c>
      <c r="CK92" s="747">
        <f>+APA!CK51</f>
        <v>182.91286349956476</v>
      </c>
      <c r="CL92" s="747">
        <f>+APA!CL51</f>
        <v>186.57112076955607</v>
      </c>
      <c r="CM92" s="747">
        <f>+APA!CM51</f>
        <v>190.30254318494718</v>
      </c>
      <c r="CN92" s="747">
        <f>+APA!CN51</f>
        <v>194.10859404864615</v>
      </c>
      <c r="CO92" s="747">
        <f>+APA!CO51</f>
        <v>197.99076592961907</v>
      </c>
      <c r="CP92" s="747">
        <f>+APA!CP51</f>
        <v>201.95058124821145</v>
      </c>
      <c r="CQ92" s="747"/>
    </row>
    <row r="93" spans="1:100" x14ac:dyDescent="0.2">
      <c r="B93" s="744" t="s">
        <v>666</v>
      </c>
      <c r="E93" s="511"/>
      <c r="K93" s="511"/>
      <c r="L93" s="747"/>
      <c r="M93" s="747">
        <f>+APA!M52</f>
        <v>0</v>
      </c>
      <c r="N93" s="747">
        <f>+APA!N52</f>
        <v>18.126000000000001</v>
      </c>
      <c r="O93" s="747">
        <f>+APA!O52</f>
        <v>11.567</v>
      </c>
      <c r="P93" s="747">
        <f>+APA!P52</f>
        <v>19.07</v>
      </c>
      <c r="Q93" s="747">
        <f>+APA!Q52</f>
        <v>27.102</v>
      </c>
      <c r="R93" s="747">
        <f>+APA!R52</f>
        <v>41.750999999999998</v>
      </c>
      <c r="S93" s="747">
        <f>+APA!S52</f>
        <v>51.177</v>
      </c>
      <c r="T93" s="747">
        <f>+APA!T52</f>
        <v>18.02</v>
      </c>
      <c r="U93" s="747">
        <f>+APA!U52</f>
        <v>21.783000000000001</v>
      </c>
      <c r="V93" s="747">
        <f>+APA!V52</f>
        <v>27.795999999999999</v>
      </c>
      <c r="W93" s="747">
        <f>+APA!W52</f>
        <v>24.382000000000001</v>
      </c>
      <c r="X93" s="747">
        <f>+APA!X52</f>
        <v>23.741972499999999</v>
      </c>
      <c r="Y93" s="747">
        <f>+APA!Y52</f>
        <v>23.054704874999999</v>
      </c>
      <c r="Z93" s="747">
        <f>+APA!Z52</f>
        <v>23.631072496874996</v>
      </c>
      <c r="AA93" s="747">
        <f>+APA!AA52</f>
        <v>24.221849309296868</v>
      </c>
      <c r="AB93" s="747">
        <f>+APA!AB52</f>
        <v>24.827395542029286</v>
      </c>
      <c r="AC93" s="747">
        <f>+APA!AC52</f>
        <v>25.448080430580017</v>
      </c>
      <c r="AD93" s="747">
        <f>+APA!AD52</f>
        <v>26.084282441344516</v>
      </c>
      <c r="AE93" s="747">
        <f>+APA!AE52</f>
        <v>26.736389502378124</v>
      </c>
      <c r="AF93" s="747">
        <f>+APA!AF52</f>
        <v>27.404799239937574</v>
      </c>
      <c r="AG93" s="747">
        <f>+APA!AG52</f>
        <v>28.089919220936014</v>
      </c>
      <c r="AH93" s="747">
        <f>+APA!AH52</f>
        <v>28.79216720145941</v>
      </c>
      <c r="AI93" s="747">
        <f>+APA!AI52</f>
        <v>29.511971381495893</v>
      </c>
      <c r="AJ93" s="747">
        <f>+APA!AJ52</f>
        <v>30.249770666033289</v>
      </c>
      <c r="AK93" s="747">
        <f>+APA!AK52</f>
        <v>31.006014932684121</v>
      </c>
      <c r="AL93" s="747">
        <f>+APA!AL52</f>
        <v>31.781165306001217</v>
      </c>
      <c r="AM93" s="747">
        <f>+APA!AM52</f>
        <v>32.57569443865124</v>
      </c>
      <c r="AN93" s="747">
        <f>+APA!AN52</f>
        <v>33.390086799617521</v>
      </c>
      <c r="AO93" s="747">
        <f>+APA!AO52</f>
        <v>34.224838969607951</v>
      </c>
      <c r="AP93" s="747">
        <f>+APA!AP52</f>
        <v>35.080459943848155</v>
      </c>
      <c r="AQ93" s="747">
        <f>+APA!AQ52</f>
        <v>35.957471442444351</v>
      </c>
      <c r="AR93" s="747">
        <f>+APA!AR52</f>
        <v>36.856408228505458</v>
      </c>
      <c r="AS93" s="747">
        <f>+APA!AS52</f>
        <v>37.777818434218091</v>
      </c>
      <c r="AT93" s="747">
        <f>+APA!AT52</f>
        <v>38.722263895073539</v>
      </c>
      <c r="AU93" s="747">
        <f>+APA!AU52</f>
        <v>39.690320492450383</v>
      </c>
      <c r="AV93" s="747">
        <f>+APA!AV52</f>
        <v>40.682578504761636</v>
      </c>
      <c r="AW93" s="747">
        <f>+APA!AW52</f>
        <v>41.699642967380676</v>
      </c>
      <c r="AX93" s="747">
        <f>+APA!AX52</f>
        <v>42.742134041565187</v>
      </c>
      <c r="AY93" s="747">
        <f>+APA!AY52</f>
        <v>43.810687392604315</v>
      </c>
      <c r="AZ93" s="747">
        <f>+APA!AZ52</f>
        <v>44.905954577419422</v>
      </c>
      <c r="BA93" s="747">
        <f>+APA!BA52</f>
        <v>46.028603441854905</v>
      </c>
      <c r="BB93" s="747">
        <f>+APA!BB52</f>
        <v>47.17931852790128</v>
      </c>
      <c r="BC93" s="747">
        <f>+APA!BC52</f>
        <v>48.358801491098802</v>
      </c>
      <c r="BD93" s="747">
        <f>+APA!BD52</f>
        <v>49.567771528376269</v>
      </c>
      <c r="BE93" s="747">
        <f>+APA!BE52</f>
        <v>50.806965816585674</v>
      </c>
      <c r="BF93" s="747">
        <f>+APA!BF52</f>
        <v>52.077139962000309</v>
      </c>
      <c r="BG93" s="747">
        <f>+APA!BG52</f>
        <v>53.379068461050316</v>
      </c>
      <c r="BH93" s="747">
        <f>+APA!BH52</f>
        <v>54.713545172576566</v>
      </c>
      <c r="BI93" s="747">
        <f>+APA!BI52</f>
        <v>56.081383801890979</v>
      </c>
      <c r="BJ93" s="747">
        <f>+APA!BJ52</f>
        <v>57.483418396938248</v>
      </c>
      <c r="BK93" s="747">
        <f>+APA!BK52</f>
        <v>58.920503856861693</v>
      </c>
      <c r="BL93" s="747">
        <f>+APA!BL52</f>
        <v>60.393516453283233</v>
      </c>
      <c r="BM93" s="747">
        <f>+APA!BM52</f>
        <v>61.903354364615303</v>
      </c>
      <c r="BN93" s="747">
        <f>+APA!BN52</f>
        <v>63.450938223730681</v>
      </c>
      <c r="BO93" s="747">
        <f>+APA!BO52</f>
        <v>65.037211679323946</v>
      </c>
      <c r="BP93" s="747">
        <f>+APA!BP52</f>
        <v>66.663141971307041</v>
      </c>
      <c r="BQ93" s="747">
        <f>+APA!BQ52</f>
        <v>68.329720520589703</v>
      </c>
      <c r="BR93" s="747">
        <f>+APA!BR52</f>
        <v>70.037963533604454</v>
      </c>
      <c r="BS93" s="747">
        <f>+APA!BS52</f>
        <v>71.788912621944547</v>
      </c>
      <c r="BT93" s="747">
        <f>+APA!BT52</f>
        <v>73.583635437493157</v>
      </c>
      <c r="BU93" s="747">
        <f>+APA!BU52</f>
        <v>75.423226323430484</v>
      </c>
      <c r="BV93" s="747">
        <f>+APA!BV52</f>
        <v>77.308806981516241</v>
      </c>
      <c r="BW93" s="747">
        <f>+APA!BW52</f>
        <v>79.241527156054133</v>
      </c>
      <c r="BX93" s="747">
        <f>+APA!BX52</f>
        <v>81.222565334955476</v>
      </c>
      <c r="BY93" s="747">
        <f>+APA!BY52</f>
        <v>83.253129468329362</v>
      </c>
      <c r="BZ93" s="747">
        <f>+APA!BZ52</f>
        <v>85.334457705037579</v>
      </c>
      <c r="CA93" s="747">
        <f>+APA!CA52</f>
        <v>87.467819147663505</v>
      </c>
      <c r="CB93" s="747">
        <f>+APA!CB52</f>
        <v>89.654514626355081</v>
      </c>
      <c r="CC93" s="747">
        <f>+APA!CC52</f>
        <v>91.895877492013952</v>
      </c>
      <c r="CD93" s="747">
        <f>+APA!CD52</f>
        <v>94.193274429314286</v>
      </c>
      <c r="CE93" s="747">
        <f>+APA!CE52</f>
        <v>96.548106290047144</v>
      </c>
      <c r="CF93" s="747">
        <f>+APA!CF52</f>
        <v>98.961808947298309</v>
      </c>
      <c r="CG93" s="747">
        <f>+APA!CG52</f>
        <v>101.43585417098075</v>
      </c>
      <c r="CH93" s="747">
        <f>+APA!CH52</f>
        <v>103.97175052525526</v>
      </c>
      <c r="CI93" s="747">
        <f>+APA!CI52</f>
        <v>106.57104428838663</v>
      </c>
      <c r="CJ93" s="747">
        <f>+APA!CJ52</f>
        <v>109.23532039559629</v>
      </c>
      <c r="CK93" s="747">
        <f>+APA!CK52</f>
        <v>111.96620340548618</v>
      </c>
      <c r="CL93" s="747">
        <f>+APA!CL52</f>
        <v>114.76535849062333</v>
      </c>
      <c r="CM93" s="747">
        <f>+APA!CM52</f>
        <v>117.63449245288889</v>
      </c>
      <c r="CN93" s="747">
        <f>+APA!CN52</f>
        <v>120.5753547642111</v>
      </c>
      <c r="CO93" s="747">
        <f>+APA!CO52</f>
        <v>123.58973863331637</v>
      </c>
      <c r="CP93" s="747">
        <f>+APA!CP52</f>
        <v>126.67948209914928</v>
      </c>
      <c r="CQ93" s="747"/>
    </row>
    <row r="94" spans="1:100" x14ac:dyDescent="0.2">
      <c r="B94" s="744" t="s">
        <v>667</v>
      </c>
      <c r="E94" s="511"/>
      <c r="K94" s="511"/>
      <c r="L94" s="747"/>
      <c r="M94" s="747">
        <f>+APA!M53++APA!M54</f>
        <v>15.352</v>
      </c>
      <c r="N94" s="747">
        <f>+APA!N53++APA!N54</f>
        <v>30.231000000000002</v>
      </c>
      <c r="O94" s="747">
        <f>+APA!O53++APA!O54</f>
        <v>0</v>
      </c>
      <c r="P94" s="747">
        <f>+APA!P53++APA!P54</f>
        <v>0</v>
      </c>
      <c r="Q94" s="747">
        <f>+APA!Q53++APA!Q54</f>
        <v>0</v>
      </c>
      <c r="R94" s="747">
        <f>+APA!R53++APA!R54</f>
        <v>0</v>
      </c>
      <c r="S94" s="747">
        <f>+APA!S53++APA!S54</f>
        <v>0</v>
      </c>
      <c r="T94" s="747">
        <f>+APA!T53++APA!T54</f>
        <v>-72.536000000000001</v>
      </c>
      <c r="U94" s="747">
        <f>+APA!U53++APA!U54</f>
        <v>-73.578999999999994</v>
      </c>
      <c r="V94" s="747">
        <f>+APA!V53++APA!V54</f>
        <v>-86.71</v>
      </c>
      <c r="W94" s="747">
        <f>+APA!W53++APA!W54</f>
        <v>-66.650999999999996</v>
      </c>
      <c r="X94" s="747">
        <f>+APA!X53++APA!X54</f>
        <v>-67.329329942128325</v>
      </c>
      <c r="Y94" s="747">
        <f>+APA!Y53++APA!Y54</f>
        <v>-70.43945590601831</v>
      </c>
      <c r="Z94" s="747">
        <f>+APA!Z53++APA!Z54</f>
        <v>-73.448081798410485</v>
      </c>
      <c r="AA94" s="747">
        <f>+APA!AA53++APA!AA54</f>
        <v>-71.571004686045939</v>
      </c>
      <c r="AB94" s="747">
        <f>+APA!AB53++APA!AB54</f>
        <v>-72.970933310231445</v>
      </c>
      <c r="AC94" s="747">
        <f>+APA!AC53++APA!AC54</f>
        <v>-74.443570687326627</v>
      </c>
      <c r="AD94" s="747">
        <f>+APA!AD53++APA!AD54</f>
        <v>-75.943218256096557</v>
      </c>
      <c r="AE94" s="747">
        <f>+APA!AE53++APA!AE54</f>
        <v>-76.886229294654925</v>
      </c>
      <c r="AF94" s="747">
        <f>+APA!AF53++APA!AF54</f>
        <v>-76.896397240480624</v>
      </c>
      <c r="AG94" s="747">
        <f>+APA!AG53++APA!AG54</f>
        <v>-102.81605354894786</v>
      </c>
      <c r="AH94" s="747">
        <f>+APA!AH53++APA!AH54</f>
        <v>-104.87576523280046</v>
      </c>
      <c r="AI94" s="747">
        <f>+APA!AI53++APA!AI54</f>
        <v>-97.752523871295665</v>
      </c>
      <c r="AJ94" s="747">
        <f>+APA!AJ53++APA!AJ54</f>
        <v>-93.125788532569914</v>
      </c>
      <c r="AK94" s="747">
        <f>+APA!AK53++APA!AK54</f>
        <v>-92.815075755780057</v>
      </c>
      <c r="AL94" s="747">
        <f>+APA!AL53++APA!AL54</f>
        <v>-94.560839254900941</v>
      </c>
      <c r="AM94" s="747">
        <f>+APA!AM53++APA!AM54</f>
        <v>-96.355591997704565</v>
      </c>
      <c r="AN94" s="747">
        <f>+APA!AN53++APA!AN54</f>
        <v>-97.447882187661207</v>
      </c>
      <c r="AO94" s="747">
        <f>+APA!AO53++APA!AO54</f>
        <v>-95.830111460057111</v>
      </c>
      <c r="AP94" s="747">
        <f>+APA!AP53++APA!AP54</f>
        <v>-64.260130506521151</v>
      </c>
      <c r="AQ94" s="747">
        <f>+APA!AQ53++APA!AQ54</f>
        <v>-65.494042935715186</v>
      </c>
      <c r="AR94" s="747">
        <f>+APA!AR53++APA!AR54</f>
        <v>-59.93891645782098</v>
      </c>
      <c r="AS94" s="747">
        <f>+APA!AS53++APA!AS54</f>
        <v>-52.915475101652774</v>
      </c>
      <c r="AT94" s="747">
        <f>+APA!AT53++APA!AT54</f>
        <v>-51.959739792572847</v>
      </c>
      <c r="AU94" s="747">
        <f>+APA!AU53++APA!AU54</f>
        <v>-53.051632397408049</v>
      </c>
      <c r="AV94" s="747">
        <f>+APA!AV53++APA!AV54</f>
        <v>-54.168534480406173</v>
      </c>
      <c r="AW94" s="747">
        <f>+APA!AW53++APA!AW54</f>
        <v>-52.589925618213961</v>
      </c>
      <c r="AX94" s="747">
        <f>+APA!AX53++APA!AX54</f>
        <v>-53.69490092404746</v>
      </c>
      <c r="AY94" s="747">
        <f>+APA!AY53++APA!AY54</f>
        <v>-54.825015814954504</v>
      </c>
      <c r="AZ94" s="747">
        <f>+APA!AZ53++APA!AZ54</f>
        <v>-55.980779782274169</v>
      </c>
      <c r="BA94" s="747">
        <f>+APA!BA53++APA!BA54</f>
        <v>-46.569632663819341</v>
      </c>
      <c r="BB94" s="747">
        <f>+APA!BB53++APA!BB54</f>
        <v>-47.532895112915718</v>
      </c>
      <c r="BC94" s="747">
        <f>+APA!BC53++APA!BC54</f>
        <v>-48.517846352854988</v>
      </c>
      <c r="BD94" s="747">
        <f>+APA!BD53++APA!BD54</f>
        <v>-49.525010800108255</v>
      </c>
      <c r="BE94" s="747">
        <f>+APA!BE53++APA!BE54</f>
        <v>-50.554921676066783</v>
      </c>
      <c r="BF94" s="747">
        <f>+APA!BF53++APA!BF54</f>
        <v>-51.607938177019278</v>
      </c>
      <c r="BG94" s="747">
        <f>+APA!BG53++APA!BG54</f>
        <v>-52.684756840897862</v>
      </c>
      <c r="BH94" s="747">
        <f>+APA!BH53++APA!BH54</f>
        <v>-53.785666016690065</v>
      </c>
      <c r="BI94" s="747">
        <f>+APA!BI53++APA!BI54</f>
        <v>-54.911430365095612</v>
      </c>
      <c r="BJ94" s="747">
        <f>+APA!BJ53++APA!BJ54</f>
        <v>-56.062386202108399</v>
      </c>
      <c r="BK94" s="747">
        <f>+APA!BK53++APA!BK54</f>
        <v>-57.239252819831449</v>
      </c>
      <c r="BL94" s="747">
        <f>+APA!BL53++APA!BL54</f>
        <v>-58.442529636167635</v>
      </c>
      <c r="BM94" s="747">
        <f>+APA!BM53++APA!BM54</f>
        <v>-59.672799664881524</v>
      </c>
      <c r="BN94" s="747">
        <f>+APA!BN53++APA!BN54</f>
        <v>-60.930633609084595</v>
      </c>
      <c r="BO94" s="747">
        <f>+APA!BO53++APA!BO54</f>
        <v>-62.216663809656382</v>
      </c>
      <c r="BP94" s="747">
        <f>+APA!BP53++APA!BP54</f>
        <v>-63.53151228308537</v>
      </c>
      <c r="BQ94" s="747">
        <f>+APA!BQ53++APA!BQ54</f>
        <v>-64.875814957408167</v>
      </c>
      <c r="BR94" s="747">
        <f>+APA!BR53++APA!BR54</f>
        <v>-66.250175517843672</v>
      </c>
      <c r="BS94" s="747">
        <f>+APA!BS53++APA!BS54</f>
        <v>-65.198540261320872</v>
      </c>
      <c r="BT94" s="747">
        <f>+APA!BT53++APA!BT54</f>
        <v>-64.400799626865961</v>
      </c>
      <c r="BU94" s="747">
        <f>+APA!BU53++APA!BU54</f>
        <v>-65.760611411722579</v>
      </c>
      <c r="BV94" s="747">
        <f>+APA!BV53++APA!BV54</f>
        <v>-67.150754020058514</v>
      </c>
      <c r="BW94" s="747">
        <f>+APA!BW53++APA!BW54</f>
        <v>-68.571872300576487</v>
      </c>
      <c r="BX94" s="747">
        <f>+APA!BX53++APA!BX54</f>
        <v>-70.024695464999326</v>
      </c>
      <c r="BY94" s="747">
        <f>+APA!BY53++APA!BY54</f>
        <v>-71.509782092195579</v>
      </c>
      <c r="BZ94" s="747">
        <f>+APA!BZ53++APA!BZ54</f>
        <v>-73.028008125444799</v>
      </c>
      <c r="CA94" s="747">
        <f>+APA!CA53++APA!CA54</f>
        <v>-74.580010097351177</v>
      </c>
      <c r="CB94" s="747">
        <f>+APA!CB53++APA!CB54</f>
        <v>-76.166649676797903</v>
      </c>
      <c r="CC94" s="747">
        <f>+APA!CC53++APA!CC54</f>
        <v>-77.503596244972869</v>
      </c>
      <c r="CD94" s="747">
        <f>+APA!CD53++APA!CD54</f>
        <v>-75.736607671446436</v>
      </c>
      <c r="CE94" s="747">
        <f>+APA!CE53++APA!CE54</f>
        <v>-77.345315393035335</v>
      </c>
      <c r="CF94" s="747">
        <f>+APA!CF53++APA!CF54</f>
        <v>-78.989677720119559</v>
      </c>
      <c r="CG94" s="747">
        <f>+APA!CG53++APA!CG54</f>
        <v>-80.670528580391363</v>
      </c>
      <c r="CH94" s="747">
        <f>+APA!CH53++APA!CH54</f>
        <v>-50.654604961416027</v>
      </c>
      <c r="CI94" s="747">
        <f>+APA!CI53++APA!CI54</f>
        <v>-51.67666081269828</v>
      </c>
      <c r="CJ94" s="747">
        <f>+APA!CJ53++APA!CJ54</f>
        <v>-52.720768860933653</v>
      </c>
      <c r="CK94" s="747">
        <f>+APA!CK53++APA!CK54</f>
        <v>-53.787327325629199</v>
      </c>
      <c r="CL94" s="747">
        <f>+APA!CL53++APA!CL54</f>
        <v>-54.876769452572645</v>
      </c>
      <c r="CM94" s="747">
        <f>+APA!CM53++APA!CM54</f>
        <v>-55.9896299409329</v>
      </c>
      <c r="CN94" s="747">
        <f>+APA!CN53++APA!CN54</f>
        <v>-57.126432032339302</v>
      </c>
      <c r="CO94" s="747">
        <f>+APA!CO53++APA!CO54</f>
        <v>-58.287733276355219</v>
      </c>
      <c r="CP94" s="747">
        <f>+APA!CP53++APA!CP54</f>
        <v>-57.596378501938077</v>
      </c>
      <c r="CQ94" s="747"/>
    </row>
    <row r="95" spans="1:100" x14ac:dyDescent="0.2">
      <c r="B95" s="743" t="s">
        <v>46</v>
      </c>
      <c r="C95" s="513"/>
      <c r="D95" s="514"/>
      <c r="E95" s="514"/>
      <c r="M95" s="745" t="b">
        <f>APA!M56=SUM(M87:M94)</f>
        <v>0</v>
      </c>
      <c r="N95" s="745" t="b">
        <f>IF(ABS(APA!N56=SUM(N87:N94))&lt;0.1,TRUE,APA!N56=SUM(N87:N94))</f>
        <v>1</v>
      </c>
      <c r="O95" s="745" t="b">
        <f>IF(ABS(APA!O56-SUM(O87:O94))&lt;0.1,TRUE,APA!O56=SUM(O87:O94))</f>
        <v>1</v>
      </c>
      <c r="P95" s="745" t="b">
        <f>IF(ABS(APA!P56-SUM(P87:P94))&lt;0.1,TRUE,APA!P56=SUM(P87:P94))</f>
        <v>1</v>
      </c>
      <c r="Q95" s="745" t="b">
        <f>IF(ABS(APA!Q56-SUM(Q87:Q94))&lt;0.1,TRUE,APA!Q56=SUM(Q87:Q94))</f>
        <v>1</v>
      </c>
      <c r="R95" s="745" t="b">
        <f>IF(ABS(APA!R56-SUM(R87:R94))&lt;0.1,TRUE,APA!R56=SUM(R87:R94))</f>
        <v>1</v>
      </c>
      <c r="S95" s="745" t="b">
        <f>IF(ABS(APA!S56-SUM(S87:S94))&lt;0.1,TRUE,APA!S56=SUM(S87:S94))</f>
        <v>1</v>
      </c>
      <c r="T95" s="745" t="b">
        <f>IF(ABS(APA!T56-SUM(T87:T94))&lt;0.1,TRUE,APA!T56=SUM(T87:T94))</f>
        <v>1</v>
      </c>
      <c r="U95" s="745" t="b">
        <f>IF(ABS(APA!U56-SUM(U87:U94))&lt;0.1,TRUE,APA!U56=SUM(U87:U94))</f>
        <v>1</v>
      </c>
      <c r="V95" s="745" t="b">
        <f>IF(ABS(APA!V56-SUM(V87:V94))&lt;0.1,TRUE,APA!V56=SUM(V87:V94))</f>
        <v>1</v>
      </c>
      <c r="W95" s="745" t="b">
        <f>IF(ABS(APA!W56-SUM(W87:W94))&lt;0.1,TRUE,APA!W56=SUM(W87:W94))</f>
        <v>1</v>
      </c>
      <c r="X95" s="745" t="b">
        <f>IF(ABS(APA!X56-SUM(X87:X94))&lt;0.1,TRUE,APA!X56=SUM(X87:X94))</f>
        <v>1</v>
      </c>
      <c r="Y95" s="745" t="b">
        <f>IF(ABS(APA!Y56-SUM(Y87:Y94))&lt;0.1,TRUE,APA!Y56=SUM(Y87:Y94))</f>
        <v>1</v>
      </c>
      <c r="Z95" s="745" t="b">
        <f>IF(ABS(APA!Z56-SUM(Z87:Z94))&lt;0.1,TRUE,APA!Z56=SUM(Z87:Z94))</f>
        <v>1</v>
      </c>
      <c r="AA95" s="745" t="b">
        <f>IF(ABS(APA!AA56-SUM(AA87:AA94))&lt;0.1,TRUE,APA!AA56=SUM(AA87:AA94))</f>
        <v>1</v>
      </c>
      <c r="AB95" s="745" t="b">
        <f>IF(ABS(APA!AB56-SUM(AB87:AB94))&lt;0.1,TRUE,APA!AB56=SUM(AB87:AB94))</f>
        <v>1</v>
      </c>
      <c r="AC95" s="745" t="b">
        <f>IF(ABS(APA!AC56-SUM(AC87:AC94))&lt;0.1,TRUE,APA!AC56=SUM(AC87:AC94))</f>
        <v>1</v>
      </c>
      <c r="AD95" s="745" t="b">
        <f>IF(ABS(APA!AD56-SUM(AD87:AD94))&lt;0.1,TRUE,APA!AD56=SUM(AD87:AD94))</f>
        <v>1</v>
      </c>
      <c r="AE95" s="745" t="b">
        <f>IF(ABS(APA!AE56-SUM(AE87:AE94))&lt;0.1,TRUE,APA!AE56=SUM(AE87:AE94))</f>
        <v>1</v>
      </c>
      <c r="AF95" s="745" t="b">
        <f>IF(ABS(APA!AF56-SUM(AF87:AF94))&lt;0.1,TRUE,APA!AF56=SUM(AF87:AF94))</f>
        <v>1</v>
      </c>
      <c r="AG95" s="745" t="b">
        <f>IF(ABS(APA!AG56-SUM(AG87:AG94))&lt;0.1,TRUE,APA!AG56=SUM(AG87:AG94))</f>
        <v>1</v>
      </c>
      <c r="AH95" s="745" t="b">
        <f>IF(ABS(APA!AH56-SUM(AH87:AH94))&lt;0.1,TRUE,APA!AH56=SUM(AH87:AH94))</f>
        <v>1</v>
      </c>
      <c r="AI95" s="745" t="b">
        <f>IF(ABS(APA!AI56-SUM(AI87:AI94))&lt;0.1,TRUE,APA!AI56=SUM(AI87:AI94))</f>
        <v>1</v>
      </c>
      <c r="AJ95" s="745" t="b">
        <f>IF(ABS(APA!AJ56-SUM(AJ87:AJ94))&lt;0.1,TRUE,APA!AJ56=SUM(AJ87:AJ94))</f>
        <v>1</v>
      </c>
      <c r="AK95" s="745" t="b">
        <f>IF(ABS(APA!AK56-SUM(AK87:AK94))&lt;0.1,TRUE,APA!AK56=SUM(AK87:AK94))</f>
        <v>1</v>
      </c>
      <c r="AL95" s="745" t="b">
        <f>IF(ABS(APA!AL56-SUM(AL87:AL94))&lt;0.1,TRUE,APA!AL56=SUM(AL87:AL94))</f>
        <v>1</v>
      </c>
      <c r="AM95" s="745" t="b">
        <f>IF(ABS(APA!AM56-SUM(AM87:AM94))&lt;0.1,TRUE,APA!AM56=SUM(AM87:AM94))</f>
        <v>1</v>
      </c>
      <c r="AN95" s="745" t="b">
        <f>IF(ABS(APA!AN56-SUM(AN87:AN94))&lt;0.1,TRUE,APA!AN56=SUM(AN87:AN94))</f>
        <v>1</v>
      </c>
      <c r="AO95" s="745" t="b">
        <f>IF(ABS(APA!AO56-SUM(AO87:AO94))&lt;0.1,TRUE,APA!AO56=SUM(AO87:AO94))</f>
        <v>1</v>
      </c>
      <c r="AP95" s="745" t="b">
        <f>IF(ABS(APA!AP56-SUM(AP87:AP94))&lt;0.1,TRUE,APA!AP56=SUM(AP87:AP94))</f>
        <v>1</v>
      </c>
      <c r="AQ95" s="745" t="b">
        <f>IF(ABS(APA!AQ56-SUM(AQ87:AQ94))&lt;0.1,TRUE,APA!AQ56=SUM(AQ87:AQ94))</f>
        <v>1</v>
      </c>
      <c r="AR95" s="745" t="b">
        <f>IF(ABS(APA!AR56-SUM(AR87:AR94))&lt;0.1,TRUE,APA!AR56=SUM(AR87:AR94))</f>
        <v>1</v>
      </c>
      <c r="AS95" s="745" t="b">
        <f>IF(ABS(APA!AS56-SUM(AS87:AS94))&lt;0.1,TRUE,APA!AS56=SUM(AS87:AS94))</f>
        <v>1</v>
      </c>
      <c r="AT95" s="745" t="b">
        <f>IF(ABS(APA!AT56-SUM(AT87:AT94))&lt;0.1,TRUE,APA!AT56=SUM(AT87:AT94))</f>
        <v>1</v>
      </c>
      <c r="AU95" s="745" t="b">
        <f>IF(ABS(APA!AU56-SUM(AU87:AU94))&lt;0.1,TRUE,APA!AU56=SUM(AU87:AU94))</f>
        <v>1</v>
      </c>
      <c r="AV95" s="745" t="b">
        <f>IF(ABS(APA!AV56-SUM(AV87:AV94))&lt;0.1,TRUE,APA!AV56=SUM(AV87:AV94))</f>
        <v>1</v>
      </c>
      <c r="AW95" s="745" t="b">
        <f>IF(ABS(APA!AW56-SUM(AW87:AW94))&lt;0.1,TRUE,APA!AW56=SUM(AW87:AW94))</f>
        <v>1</v>
      </c>
      <c r="AX95" s="745" t="b">
        <f>IF(ABS(APA!AX56-SUM(AX87:AX94))&lt;0.1,TRUE,APA!AX56=SUM(AX87:AX94))</f>
        <v>1</v>
      </c>
      <c r="AY95" s="745" t="b">
        <f>IF(ABS(APA!AY56-SUM(AY87:AY94))&lt;0.1,TRUE,APA!AY56=SUM(AY87:AY94))</f>
        <v>1</v>
      </c>
      <c r="AZ95" s="745" t="b">
        <f>IF(ABS(APA!AZ56-SUM(AZ87:AZ94))&lt;0.1,TRUE,APA!AZ56=SUM(AZ87:AZ94))</f>
        <v>1</v>
      </c>
      <c r="BA95" s="745" t="b">
        <f>IF(ABS(APA!BA56-SUM(BA87:BA94))&lt;0.1,TRUE,APA!BA56=SUM(BA87:BA94))</f>
        <v>1</v>
      </c>
      <c r="BB95" s="745" t="b">
        <f>IF(ABS(APA!BB56-SUM(BB87:BB94))&lt;0.1,TRUE,APA!BB56=SUM(BB87:BB94))</f>
        <v>1</v>
      </c>
      <c r="BC95" s="745" t="b">
        <f>IF(ABS(APA!BC56-SUM(BC87:BC94))&lt;0.1,TRUE,APA!BC56=SUM(BC87:BC94))</f>
        <v>1</v>
      </c>
      <c r="BD95" s="745" t="b">
        <f>IF(ABS(APA!BD56-SUM(BD87:BD94))&lt;0.1,TRUE,APA!BD56=SUM(BD87:BD94))</f>
        <v>1</v>
      </c>
      <c r="BE95" s="745" t="b">
        <f>IF(ABS(APA!BE56-SUM(BE87:BE94))&lt;0.1,TRUE,APA!BE56=SUM(BE87:BE94))</f>
        <v>1</v>
      </c>
      <c r="BF95" s="745" t="b">
        <f>IF(ABS(APA!BF56-SUM(BF87:BF94))&lt;0.1,TRUE,APA!BF56=SUM(BF87:BF94))</f>
        <v>1</v>
      </c>
      <c r="BG95" s="745" t="b">
        <f>IF(ABS(APA!BG56-SUM(BG87:BG94))&lt;0.1,TRUE,APA!BG56=SUM(BG87:BG94))</f>
        <v>1</v>
      </c>
      <c r="BH95" s="745" t="b">
        <f>IF(ABS(APA!BH56-SUM(BH87:BH94))&lt;0.1,TRUE,APA!BH56=SUM(BH87:BH94))</f>
        <v>1</v>
      </c>
      <c r="BI95" s="745" t="b">
        <f>IF(ABS(APA!BI56-SUM(BI87:BI94))&lt;0.1,TRUE,APA!BI56=SUM(BI87:BI94))</f>
        <v>1</v>
      </c>
      <c r="BJ95" s="745" t="b">
        <f>IF(ABS(APA!BJ56-SUM(BJ87:BJ94))&lt;0.1,TRUE,APA!BJ56=SUM(BJ87:BJ94))</f>
        <v>1</v>
      </c>
      <c r="BK95" s="745" t="b">
        <f>IF(ABS(APA!BK56-SUM(BK87:BK94))&lt;0.1,TRUE,APA!BK56=SUM(BK87:BK94))</f>
        <v>1</v>
      </c>
      <c r="BL95" s="745" t="b">
        <f>IF(ABS(APA!BL56-SUM(BL87:BL94))&lt;0.1,TRUE,APA!BL56=SUM(BL87:BL94))</f>
        <v>1</v>
      </c>
      <c r="BM95" s="745" t="b">
        <f>IF(ABS(APA!BM56-SUM(BM87:BM94))&lt;0.1,TRUE,APA!BM56=SUM(BM87:BM94))</f>
        <v>1</v>
      </c>
      <c r="BN95" s="745" t="b">
        <f>IF(ABS(APA!BN56-SUM(BN87:BN94))&lt;0.1,TRUE,APA!BN56=SUM(BN87:BN94))</f>
        <v>1</v>
      </c>
      <c r="BO95" s="745" t="b">
        <f>IF(ABS(APA!BO56-SUM(BO87:BO94))&lt;0.1,TRUE,APA!BO56=SUM(BO87:BO94))</f>
        <v>1</v>
      </c>
      <c r="BP95" s="745" t="b">
        <f>IF(ABS(APA!BP56-SUM(BP87:BP94))&lt;0.1,TRUE,APA!BP56=SUM(BP87:BP94))</f>
        <v>1</v>
      </c>
      <c r="BQ95" s="745" t="b">
        <f>IF(ABS(APA!BQ56-SUM(BQ87:BQ94))&lt;0.1,TRUE,APA!BQ56=SUM(BQ87:BQ94))</f>
        <v>1</v>
      </c>
      <c r="BR95" s="745" t="b">
        <f>IF(ABS(APA!BR56-SUM(BR87:BR94))&lt;0.1,TRUE,APA!BR56=SUM(BR87:BR94))</f>
        <v>1</v>
      </c>
      <c r="BS95" s="745" t="b">
        <f>IF(ABS(APA!BS56-SUM(BS87:BS94))&lt;0.1,TRUE,APA!BS56=SUM(BS87:BS94))</f>
        <v>1</v>
      </c>
      <c r="BT95" s="745" t="b">
        <f>IF(ABS(APA!BT56-SUM(BT87:BT94))&lt;0.1,TRUE,APA!BT56=SUM(BT87:BT94))</f>
        <v>1</v>
      </c>
      <c r="BU95" s="745" t="b">
        <f>IF(ABS(APA!BU56-SUM(BU87:BU94))&lt;0.1,TRUE,APA!BU56=SUM(BU87:BU94))</f>
        <v>1</v>
      </c>
      <c r="BV95" s="745" t="b">
        <f>IF(ABS(APA!BV56-SUM(BV87:BV94))&lt;0.1,TRUE,APA!BV56=SUM(BV87:BV94))</f>
        <v>1</v>
      </c>
      <c r="BW95" s="745" t="b">
        <f>IF(ABS(APA!BW56-SUM(BW87:BW94))&lt;0.1,TRUE,APA!BW56=SUM(BW87:BW94))</f>
        <v>1</v>
      </c>
      <c r="BX95" s="745" t="b">
        <f>IF(ABS(APA!BX56-SUM(BX87:BX94))&lt;0.1,TRUE,APA!BX56=SUM(BX87:BX94))</f>
        <v>1</v>
      </c>
      <c r="BY95" s="745" t="b">
        <f>IF(ABS(APA!BY56-SUM(BY87:BY94))&lt;0.1,TRUE,APA!BY56=SUM(BY87:BY94))</f>
        <v>1</v>
      </c>
      <c r="BZ95" s="745" t="b">
        <f>IF(ABS(APA!BZ56-SUM(BZ87:BZ94))&lt;0.1,TRUE,APA!BZ56=SUM(BZ87:BZ94))</f>
        <v>1</v>
      </c>
      <c r="CA95" s="745" t="b">
        <f>IF(ABS(APA!CA56-SUM(CA87:CA94))&lt;0.1,TRUE,APA!CA56=SUM(CA87:CA94))</f>
        <v>1</v>
      </c>
      <c r="CB95" s="745" t="b">
        <f>IF(ABS(APA!CB56-SUM(CB87:CB94))&lt;0.1,TRUE,APA!CB56=SUM(CB87:CB94))</f>
        <v>1</v>
      </c>
      <c r="CC95" s="745" t="b">
        <f>IF(ABS(APA!CC56-SUM(CC87:CC94))&lt;0.1,TRUE,APA!CC56=SUM(CC87:CC94))</f>
        <v>1</v>
      </c>
      <c r="CD95" s="745" t="b">
        <f>IF(ABS(APA!CD56-SUM(CD87:CD94))&lt;0.1,TRUE,APA!CD56=SUM(CD87:CD94))</f>
        <v>1</v>
      </c>
      <c r="CE95" s="745" t="b">
        <f>IF(ABS(APA!CE56-SUM(CE87:CE94))&lt;0.1,TRUE,APA!CE56=SUM(CE87:CE94))</f>
        <v>1</v>
      </c>
      <c r="CF95" s="745" t="b">
        <f>IF(ABS(APA!CF56-SUM(CF87:CF94))&lt;0.1,TRUE,APA!CF56=SUM(CF87:CF94))</f>
        <v>1</v>
      </c>
      <c r="CG95" s="745" t="b">
        <f>IF(ABS(APA!CG56-SUM(CG87:CG94))&lt;0.1,TRUE,APA!CG56=SUM(CG87:CG94))</f>
        <v>1</v>
      </c>
      <c r="CH95" s="745" t="b">
        <f>IF(ABS(APA!CH56-SUM(CH87:CH94))&lt;0.1,TRUE,APA!CH56=SUM(CH87:CH94))</f>
        <v>1</v>
      </c>
      <c r="CI95" s="745" t="b">
        <f>IF(ABS(APA!CI56-SUM(CI87:CI94))&lt;0.1,TRUE,APA!CI56=SUM(CI87:CI94))</f>
        <v>1</v>
      </c>
      <c r="CJ95" s="745" t="b">
        <f>IF(ABS(APA!CJ56-SUM(CJ87:CJ94))&lt;0.1,TRUE,APA!CJ56=SUM(CJ87:CJ94))</f>
        <v>1</v>
      </c>
      <c r="CK95" s="745" t="b">
        <f>IF(ABS(APA!CK56-SUM(CK87:CK94))&lt;0.1,TRUE,APA!CK56=SUM(CK87:CK94))</f>
        <v>1</v>
      </c>
      <c r="CL95" s="745" t="b">
        <f>IF(ABS(APA!CL56-SUM(CL87:CL94))&lt;0.1,TRUE,APA!CL56=SUM(CL87:CL94))</f>
        <v>1</v>
      </c>
      <c r="CM95" s="745" t="b">
        <f>IF(ABS(APA!CM56-SUM(CM87:CM94))&lt;0.1,TRUE,APA!CM56=SUM(CM87:CM94))</f>
        <v>1</v>
      </c>
      <c r="CN95" s="745" t="b">
        <f>IF(ABS(APA!CN56-SUM(CN87:CN94))&lt;0.1,TRUE,APA!CN56=SUM(CN87:CN94))</f>
        <v>1</v>
      </c>
      <c r="CO95" s="745" t="b">
        <f>IF(ABS(APA!CO56-SUM(CO87:CO94))&lt;0.1,TRUE,APA!CO56=SUM(CO87:CO94))</f>
        <v>1</v>
      </c>
      <c r="CP95" s="745" t="b">
        <f>IF(ABS(APA!CP56-SUM(CP87:CP94))&lt;0.1,TRUE,APA!CP56=SUM(CP87:CP94))</f>
        <v>1</v>
      </c>
    </row>
    <row r="96" spans="1:100" x14ac:dyDescent="0.2">
      <c r="B96" s="304"/>
    </row>
    <row r="97" spans="2:94" x14ac:dyDescent="0.2">
      <c r="B97" s="744" t="s">
        <v>209</v>
      </c>
    </row>
    <row r="98" spans="2:94" s="233" customFormat="1" x14ac:dyDescent="0.2">
      <c r="B98" s="412" t="s">
        <v>248</v>
      </c>
      <c r="C98" s="104"/>
      <c r="M98" s="750">
        <f t="shared" ref="M98:AR98" si="71">M86/M$86</f>
        <v>1</v>
      </c>
      <c r="N98" s="750">
        <f t="shared" si="71"/>
        <v>1</v>
      </c>
      <c r="O98" s="750">
        <f t="shared" si="71"/>
        <v>1</v>
      </c>
      <c r="P98" s="750">
        <f t="shared" si="71"/>
        <v>1</v>
      </c>
      <c r="Q98" s="750">
        <f t="shared" si="71"/>
        <v>1</v>
      </c>
      <c r="R98" s="750">
        <f t="shared" si="71"/>
        <v>1</v>
      </c>
      <c r="S98" s="750">
        <f t="shared" si="71"/>
        <v>1</v>
      </c>
      <c r="T98" s="750">
        <f t="shared" si="71"/>
        <v>1</v>
      </c>
      <c r="U98" s="750">
        <f t="shared" si="71"/>
        <v>1</v>
      </c>
      <c r="V98" s="750">
        <f t="shared" si="71"/>
        <v>1</v>
      </c>
      <c r="W98" s="750">
        <f t="shared" si="71"/>
        <v>1</v>
      </c>
      <c r="X98" s="750">
        <f t="shared" si="71"/>
        <v>1</v>
      </c>
      <c r="Y98" s="750">
        <f t="shared" si="71"/>
        <v>1</v>
      </c>
      <c r="Z98" s="750">
        <f t="shared" si="71"/>
        <v>1</v>
      </c>
      <c r="AA98" s="750">
        <f t="shared" si="71"/>
        <v>1</v>
      </c>
      <c r="AB98" s="750">
        <f t="shared" si="71"/>
        <v>1</v>
      </c>
      <c r="AC98" s="750">
        <f t="shared" si="71"/>
        <v>1</v>
      </c>
      <c r="AD98" s="750">
        <f t="shared" si="71"/>
        <v>1</v>
      </c>
      <c r="AE98" s="750">
        <f t="shared" si="71"/>
        <v>1</v>
      </c>
      <c r="AF98" s="750">
        <f t="shared" si="71"/>
        <v>1</v>
      </c>
      <c r="AG98" s="750">
        <f t="shared" si="71"/>
        <v>1</v>
      </c>
      <c r="AH98" s="750">
        <f t="shared" si="71"/>
        <v>1</v>
      </c>
      <c r="AI98" s="750">
        <f t="shared" si="71"/>
        <v>1</v>
      </c>
      <c r="AJ98" s="750">
        <f t="shared" si="71"/>
        <v>1</v>
      </c>
      <c r="AK98" s="750">
        <f t="shared" si="71"/>
        <v>1</v>
      </c>
      <c r="AL98" s="750">
        <f t="shared" si="71"/>
        <v>1</v>
      </c>
      <c r="AM98" s="750">
        <f t="shared" si="71"/>
        <v>1</v>
      </c>
      <c r="AN98" s="750">
        <f t="shared" si="71"/>
        <v>1</v>
      </c>
      <c r="AO98" s="750">
        <f t="shared" si="71"/>
        <v>1</v>
      </c>
      <c r="AP98" s="750">
        <f t="shared" si="71"/>
        <v>1</v>
      </c>
      <c r="AQ98" s="750">
        <f t="shared" si="71"/>
        <v>1</v>
      </c>
      <c r="AR98" s="750">
        <f t="shared" si="71"/>
        <v>1</v>
      </c>
      <c r="AS98" s="750">
        <f t="shared" ref="AS98:BX98" si="72">AS86/AS$86</f>
        <v>1</v>
      </c>
      <c r="AT98" s="750">
        <f t="shared" si="72"/>
        <v>1</v>
      </c>
      <c r="AU98" s="750">
        <f t="shared" si="72"/>
        <v>1</v>
      </c>
      <c r="AV98" s="750">
        <f t="shared" si="72"/>
        <v>1</v>
      </c>
      <c r="AW98" s="750">
        <f t="shared" si="72"/>
        <v>1</v>
      </c>
      <c r="AX98" s="750">
        <f t="shared" si="72"/>
        <v>1</v>
      </c>
      <c r="AY98" s="750">
        <f t="shared" si="72"/>
        <v>1</v>
      </c>
      <c r="AZ98" s="750">
        <f t="shared" si="72"/>
        <v>1</v>
      </c>
      <c r="BA98" s="750">
        <f t="shared" si="72"/>
        <v>1</v>
      </c>
      <c r="BB98" s="750">
        <f t="shared" si="72"/>
        <v>1</v>
      </c>
      <c r="BC98" s="750">
        <f t="shared" si="72"/>
        <v>1</v>
      </c>
      <c r="BD98" s="750">
        <f t="shared" si="72"/>
        <v>1</v>
      </c>
      <c r="BE98" s="750">
        <f t="shared" si="72"/>
        <v>1</v>
      </c>
      <c r="BF98" s="750">
        <f t="shared" si="72"/>
        <v>1</v>
      </c>
      <c r="BG98" s="750">
        <f t="shared" si="72"/>
        <v>1</v>
      </c>
      <c r="BH98" s="750">
        <f t="shared" si="72"/>
        <v>1</v>
      </c>
      <c r="BI98" s="750">
        <f t="shared" si="72"/>
        <v>1</v>
      </c>
      <c r="BJ98" s="750">
        <f t="shared" si="72"/>
        <v>1</v>
      </c>
      <c r="BK98" s="750">
        <f t="shared" si="72"/>
        <v>1</v>
      </c>
      <c r="BL98" s="750">
        <f t="shared" si="72"/>
        <v>1</v>
      </c>
      <c r="BM98" s="750">
        <f t="shared" si="72"/>
        <v>1</v>
      </c>
      <c r="BN98" s="750">
        <f t="shared" si="72"/>
        <v>1</v>
      </c>
      <c r="BO98" s="750">
        <f t="shared" si="72"/>
        <v>1</v>
      </c>
      <c r="BP98" s="750">
        <f t="shared" si="72"/>
        <v>1</v>
      </c>
      <c r="BQ98" s="750">
        <f t="shared" si="72"/>
        <v>1</v>
      </c>
      <c r="BR98" s="750">
        <f t="shared" si="72"/>
        <v>1</v>
      </c>
      <c r="BS98" s="750">
        <f t="shared" si="72"/>
        <v>1</v>
      </c>
      <c r="BT98" s="750">
        <f t="shared" si="72"/>
        <v>1</v>
      </c>
      <c r="BU98" s="750">
        <f t="shared" si="72"/>
        <v>1</v>
      </c>
      <c r="BV98" s="750">
        <f t="shared" si="72"/>
        <v>1</v>
      </c>
      <c r="BW98" s="750">
        <f t="shared" si="72"/>
        <v>1</v>
      </c>
      <c r="BX98" s="750">
        <f t="shared" si="72"/>
        <v>1</v>
      </c>
      <c r="BY98" s="750">
        <f t="shared" ref="BY98:CP98" si="73">BY86/BY$86</f>
        <v>1</v>
      </c>
      <c r="BZ98" s="750">
        <f t="shared" si="73"/>
        <v>1</v>
      </c>
      <c r="CA98" s="750">
        <f t="shared" si="73"/>
        <v>1</v>
      </c>
      <c r="CB98" s="750">
        <f t="shared" si="73"/>
        <v>1</v>
      </c>
      <c r="CC98" s="750">
        <f t="shared" si="73"/>
        <v>1</v>
      </c>
      <c r="CD98" s="750">
        <f t="shared" si="73"/>
        <v>1</v>
      </c>
      <c r="CE98" s="750">
        <f t="shared" si="73"/>
        <v>1</v>
      </c>
      <c r="CF98" s="750">
        <f t="shared" si="73"/>
        <v>1</v>
      </c>
      <c r="CG98" s="750">
        <f t="shared" si="73"/>
        <v>1</v>
      </c>
      <c r="CH98" s="750">
        <f t="shared" si="73"/>
        <v>1</v>
      </c>
      <c r="CI98" s="750">
        <f t="shared" si="73"/>
        <v>1</v>
      </c>
      <c r="CJ98" s="750">
        <f t="shared" si="73"/>
        <v>1</v>
      </c>
      <c r="CK98" s="750">
        <f t="shared" si="73"/>
        <v>1</v>
      </c>
      <c r="CL98" s="750">
        <f t="shared" si="73"/>
        <v>1</v>
      </c>
      <c r="CM98" s="750">
        <f t="shared" si="73"/>
        <v>1</v>
      </c>
      <c r="CN98" s="750">
        <f t="shared" si="73"/>
        <v>1</v>
      </c>
      <c r="CO98" s="750">
        <f t="shared" si="73"/>
        <v>1</v>
      </c>
      <c r="CP98" s="750">
        <f t="shared" si="73"/>
        <v>1</v>
      </c>
    </row>
    <row r="99" spans="2:94" x14ac:dyDescent="0.2">
      <c r="B99" s="432" t="s">
        <v>582</v>
      </c>
      <c r="M99" s="748">
        <f t="shared" ref="M99:AR99" si="74">M87/M$86</f>
        <v>0.42676514984481267</v>
      </c>
      <c r="N99" s="748">
        <f t="shared" si="74"/>
        <v>0.44052708951185698</v>
      </c>
      <c r="O99" s="748">
        <f t="shared" si="74"/>
        <v>0.52696691589005817</v>
      </c>
      <c r="P99" s="748">
        <f t="shared" si="74"/>
        <v>0.4928674704034266</v>
      </c>
      <c r="Q99" s="748">
        <f t="shared" si="74"/>
        <v>0.51391938812781368</v>
      </c>
      <c r="R99" s="748">
        <f t="shared" si="74"/>
        <v>0.487000650113042</v>
      </c>
      <c r="S99" s="748">
        <f t="shared" si="74"/>
        <v>0.41952613936768046</v>
      </c>
      <c r="T99" s="748">
        <f t="shared" si="74"/>
        <v>0.43076890437908422</v>
      </c>
      <c r="U99" s="748">
        <f t="shared" si="74"/>
        <v>0.38789922924251452</v>
      </c>
      <c r="V99" s="748">
        <f t="shared" si="74"/>
        <v>0.23756325187341285</v>
      </c>
      <c r="W99" s="748">
        <f t="shared" si="74"/>
        <v>0.21236313573819465</v>
      </c>
      <c r="X99" s="748">
        <f t="shared" si="74"/>
        <v>0.21366878479667215</v>
      </c>
      <c r="Y99" s="748">
        <f t="shared" si="74"/>
        <v>0.20625263089627141</v>
      </c>
      <c r="Z99" s="748">
        <f t="shared" si="74"/>
        <v>0.20150312075948956</v>
      </c>
      <c r="AA99" s="748">
        <f t="shared" si="74"/>
        <v>0.20954512801690453</v>
      </c>
      <c r="AB99" s="748">
        <f t="shared" si="74"/>
        <v>0.20716006350228444</v>
      </c>
      <c r="AC99" s="748">
        <f t="shared" si="74"/>
        <v>0.20528917032913943</v>
      </c>
      <c r="AD99" s="748">
        <f t="shared" si="74"/>
        <v>0.20367224854695962</v>
      </c>
      <c r="AE99" s="748">
        <f t="shared" si="74"/>
        <v>0.20554877357205092</v>
      </c>
      <c r="AF99" s="748">
        <f t="shared" si="74"/>
        <v>0.20969605571031466</v>
      </c>
      <c r="AG99" s="748">
        <f t="shared" si="74"/>
        <v>0.21778828233311426</v>
      </c>
      <c r="AH99" s="748">
        <f t="shared" si="74"/>
        <v>0.21626702062145767</v>
      </c>
      <c r="AI99" s="748">
        <f t="shared" si="74"/>
        <v>0.23502671005064713</v>
      </c>
      <c r="AJ99" s="748">
        <f t="shared" si="74"/>
        <v>0.24993026561213025</v>
      </c>
      <c r="AK99" s="748">
        <f t="shared" si="74"/>
        <v>0.25400747717841377</v>
      </c>
      <c r="AL99" s="748">
        <f t="shared" si="74"/>
        <v>0.25259268146286995</v>
      </c>
      <c r="AM99" s="748">
        <f t="shared" si="74"/>
        <v>0.25118020724613566</v>
      </c>
      <c r="AN99" s="748">
        <f t="shared" si="74"/>
        <v>0.25170014574942184</v>
      </c>
      <c r="AO99" s="748">
        <f t="shared" si="74"/>
        <v>0.25942531833736771</v>
      </c>
      <c r="AP99" s="748">
        <f t="shared" si="74"/>
        <v>0.39218593481593589</v>
      </c>
      <c r="AQ99" s="748">
        <f t="shared" si="74"/>
        <v>0.39013443652293073</v>
      </c>
      <c r="AR99" s="748">
        <f t="shared" si="74"/>
        <v>0.34798058371051527</v>
      </c>
      <c r="AS99" s="748">
        <f t="shared" ref="AS99:BX99" si="75">AS87/AS$86</f>
        <v>0.23534879933560668</v>
      </c>
      <c r="AT99" s="748">
        <f t="shared" si="75"/>
        <v>0.24372790811312378</v>
      </c>
      <c r="AU99" s="748">
        <f t="shared" si="75"/>
        <v>0.24277883500966155</v>
      </c>
      <c r="AV99" s="748">
        <f t="shared" si="75"/>
        <v>0.24186011515443009</v>
      </c>
      <c r="AW99" s="748">
        <f t="shared" si="75"/>
        <v>0.2534348799524373</v>
      </c>
      <c r="AX99" s="748">
        <f t="shared" si="75"/>
        <v>0.25255333367440974</v>
      </c>
      <c r="AY99" s="748">
        <f t="shared" si="75"/>
        <v>0.25169940897607429</v>
      </c>
      <c r="AZ99" s="748">
        <f t="shared" si="75"/>
        <v>0.25087172849591732</v>
      </c>
      <c r="BA99" s="748">
        <f t="shared" si="75"/>
        <v>0.30695318701360114</v>
      </c>
      <c r="BB99" s="748">
        <f t="shared" si="75"/>
        <v>0.30613937849669176</v>
      </c>
      <c r="BC99" s="748">
        <f t="shared" si="75"/>
        <v>0.30535241109933103</v>
      </c>
      <c r="BD99" s="748">
        <f t="shared" si="75"/>
        <v>0.304592383771149</v>
      </c>
      <c r="BE99" s="748">
        <f t="shared" si="75"/>
        <v>0.30385932324771336</v>
      </c>
      <c r="BF99" s="748">
        <f t="shared" si="75"/>
        <v>0.3031505006428068</v>
      </c>
      <c r="BG99" s="748">
        <f t="shared" si="75"/>
        <v>0.30246805806932481</v>
      </c>
      <c r="BH99" s="748">
        <f t="shared" si="75"/>
        <v>0.30180801444053557</v>
      </c>
      <c r="BI99" s="748">
        <f t="shared" si="75"/>
        <v>0.30117309264910863</v>
      </c>
      <c r="BJ99" s="748">
        <f t="shared" si="75"/>
        <v>0.30055979944156741</v>
      </c>
      <c r="BK99" s="748">
        <f t="shared" si="75"/>
        <v>0.29996981077941265</v>
      </c>
      <c r="BL99" s="748">
        <f t="shared" si="75"/>
        <v>0.29940161298195922</v>
      </c>
      <c r="BM99" s="748">
        <f t="shared" si="75"/>
        <v>0.29885468385033176</v>
      </c>
      <c r="BN99" s="748">
        <f t="shared" si="75"/>
        <v>0.29832819497481189</v>
      </c>
      <c r="BO99" s="748">
        <f t="shared" si="75"/>
        <v>0.29782194689698094</v>
      </c>
      <c r="BP99" s="748">
        <f t="shared" si="75"/>
        <v>0.29733543980911409</v>
      </c>
      <c r="BQ99" s="748">
        <f t="shared" si="75"/>
        <v>0.29686818527242215</v>
      </c>
      <c r="BR99" s="748">
        <f t="shared" si="75"/>
        <v>0.29641916980535332</v>
      </c>
      <c r="BS99" s="748">
        <f t="shared" si="75"/>
        <v>0.30714246060814498</v>
      </c>
      <c r="BT99" s="748">
        <f t="shared" si="75"/>
        <v>0.31710714635850062</v>
      </c>
      <c r="BU99" s="748">
        <f t="shared" si="75"/>
        <v>0.31672681535490194</v>
      </c>
      <c r="BV99" s="748">
        <f t="shared" si="75"/>
        <v>0.31636416670154544</v>
      </c>
      <c r="BW99" s="748">
        <f t="shared" si="75"/>
        <v>0.31601851401630776</v>
      </c>
      <c r="BX99" s="748">
        <f t="shared" si="75"/>
        <v>0.31568994090206015</v>
      </c>
      <c r="BY99" s="748">
        <f t="shared" ref="BY99:CP99" si="76">BY87/BY$86</f>
        <v>0.3153765622916383</v>
      </c>
      <c r="BZ99" s="748">
        <f t="shared" si="76"/>
        <v>0.31507970486817843</v>
      </c>
      <c r="CA99" s="748">
        <f t="shared" si="76"/>
        <v>0.31479801208213792</v>
      </c>
      <c r="CB99" s="748">
        <f t="shared" si="76"/>
        <v>0.31453226126775213</v>
      </c>
      <c r="CC99" s="748">
        <f t="shared" si="76"/>
        <v>0.31543525578384002</v>
      </c>
      <c r="CD99" s="748">
        <f t="shared" si="76"/>
        <v>0.32942479647465062</v>
      </c>
      <c r="CE99" s="748">
        <f t="shared" si="76"/>
        <v>0.32922014272947975</v>
      </c>
      <c r="CF99" s="748">
        <f t="shared" si="76"/>
        <v>0.32902904693920371</v>
      </c>
      <c r="CG99" s="748">
        <f t="shared" si="76"/>
        <v>0.32885162942862939</v>
      </c>
      <c r="CH99" s="748">
        <f t="shared" si="76"/>
        <v>0.53460402233815529</v>
      </c>
      <c r="CI99" s="748">
        <f t="shared" si="76"/>
        <v>0.53495485349203076</v>
      </c>
      <c r="CJ99" s="748">
        <f t="shared" si="76"/>
        <v>0.53532241116064638</v>
      </c>
      <c r="CK99" s="748">
        <f t="shared" si="76"/>
        <v>0.53570563073598709</v>
      </c>
      <c r="CL99" s="748">
        <f t="shared" si="76"/>
        <v>0.53610375083137096</v>
      </c>
      <c r="CM99" s="748">
        <f t="shared" si="76"/>
        <v>0.53651690621998116</v>
      </c>
      <c r="CN99" s="748">
        <f t="shared" si="76"/>
        <v>0.53694499990873779</v>
      </c>
      <c r="CO99" s="748">
        <f t="shared" si="76"/>
        <v>0.53738813472463087</v>
      </c>
      <c r="CP99" s="748">
        <f t="shared" si="76"/>
        <v>0.55537835722792406</v>
      </c>
    </row>
    <row r="100" spans="2:94" x14ac:dyDescent="0.2">
      <c r="B100" s="432" t="s">
        <v>581</v>
      </c>
      <c r="M100" s="748">
        <f t="shared" ref="M100:AR100" si="77">M88/M$86</f>
        <v>0</v>
      </c>
      <c r="N100" s="748">
        <f t="shared" si="77"/>
        <v>8.1283631102368609E-2</v>
      </c>
      <c r="O100" s="748">
        <f t="shared" si="77"/>
        <v>8.6224206560126623E-2</v>
      </c>
      <c r="P100" s="748">
        <f t="shared" si="77"/>
        <v>8.4794590539967601E-2</v>
      </c>
      <c r="Q100" s="748">
        <f t="shared" si="77"/>
        <v>9.4614873458107623E-2</v>
      </c>
      <c r="R100" s="748">
        <f t="shared" si="77"/>
        <v>8.2477027721984481E-2</v>
      </c>
      <c r="S100" s="748">
        <f t="shared" si="77"/>
        <v>6.496750851151703E-2</v>
      </c>
      <c r="T100" s="748">
        <f t="shared" si="77"/>
        <v>6.439996988016608E-2</v>
      </c>
      <c r="U100" s="748">
        <f t="shared" si="77"/>
        <v>6.3681858584874629E-2</v>
      </c>
      <c r="V100" s="748">
        <f t="shared" si="77"/>
        <v>3.1038792478240901E-2</v>
      </c>
      <c r="W100" s="748">
        <f t="shared" si="77"/>
        <v>2.3534837340944297E-2</v>
      </c>
      <c r="X100" s="748">
        <f t="shared" si="77"/>
        <v>2.3880805132264257E-2</v>
      </c>
      <c r="Y100" s="748">
        <f t="shared" si="77"/>
        <v>2.3397051439943445E-2</v>
      </c>
      <c r="Z100" s="748">
        <f t="shared" si="77"/>
        <v>2.2999613076378048E-2</v>
      </c>
      <c r="AA100" s="748">
        <f t="shared" si="77"/>
        <v>2.4148112700678345E-2</v>
      </c>
      <c r="AB100" s="748">
        <f t="shared" si="77"/>
        <v>2.4231997597538212E-2</v>
      </c>
      <c r="AC100" s="748">
        <f t="shared" si="77"/>
        <v>2.4301340030244666E-2</v>
      </c>
      <c r="AD100" s="748">
        <f t="shared" si="77"/>
        <v>2.437172161586422E-2</v>
      </c>
      <c r="AE100" s="748">
        <f t="shared" si="77"/>
        <v>2.462883779682163E-2</v>
      </c>
      <c r="AF100" s="748">
        <f t="shared" si="77"/>
        <v>2.5194355248884963E-2</v>
      </c>
      <c r="AG100" s="748">
        <f t="shared" si="77"/>
        <v>2.5941659154904231E-2</v>
      </c>
      <c r="AH100" s="748">
        <f t="shared" si="77"/>
        <v>2.6019519003849318E-2</v>
      </c>
      <c r="AI100" s="748">
        <f t="shared" si="77"/>
        <v>2.8560225807053374E-2</v>
      </c>
      <c r="AJ100" s="748">
        <f t="shared" si="77"/>
        <v>3.0671452465537399E-2</v>
      </c>
      <c r="AK100" s="748">
        <f t="shared" si="77"/>
        <v>3.1484728402691883E-2</v>
      </c>
      <c r="AL100" s="748">
        <f t="shared" si="77"/>
        <v>3.1617010497081599E-2</v>
      </c>
      <c r="AM100" s="748">
        <f t="shared" si="77"/>
        <v>3.1744487546867178E-2</v>
      </c>
      <c r="AN100" s="748">
        <f t="shared" si="77"/>
        <v>3.2113337072376638E-2</v>
      </c>
      <c r="AO100" s="748">
        <f t="shared" si="77"/>
        <v>3.340934196856938E-2</v>
      </c>
      <c r="AP100" s="748">
        <f t="shared" si="77"/>
        <v>5.0972960323983053E-2</v>
      </c>
      <c r="AQ100" s="748">
        <f t="shared" si="77"/>
        <v>5.1167084957450031E-2</v>
      </c>
      <c r="AR100" s="748">
        <f t="shared" si="77"/>
        <v>5.7199742484374774E-2</v>
      </c>
      <c r="AS100" s="748">
        <f t="shared" ref="AS100:BX100" si="78">AS88/AS$86</f>
        <v>6.6287282591393909E-2</v>
      </c>
      <c r="AT100" s="748">
        <f t="shared" si="78"/>
        <v>6.9064579087350184E-2</v>
      </c>
      <c r="AU100" s="748">
        <f t="shared" si="78"/>
        <v>6.920420315284409E-2</v>
      </c>
      <c r="AV100" s="748">
        <f t="shared" si="78"/>
        <v>6.9341381454852274E-2</v>
      </c>
      <c r="AW100" s="748">
        <f t="shared" si="78"/>
        <v>7.3070963477408574E-2</v>
      </c>
      <c r="AX100" s="748">
        <f t="shared" si="78"/>
        <v>7.3218633858762538E-2</v>
      </c>
      <c r="AY100" s="748">
        <f t="shared" si="78"/>
        <v>7.3363938463343506E-2</v>
      </c>
      <c r="AZ100" s="748">
        <f t="shared" si="78"/>
        <v>7.3506992748203992E-2</v>
      </c>
      <c r="BA100" s="748">
        <f t="shared" si="78"/>
        <v>0</v>
      </c>
      <c r="BB100" s="748">
        <f t="shared" si="78"/>
        <v>0</v>
      </c>
      <c r="BC100" s="748">
        <f t="shared" si="78"/>
        <v>0</v>
      </c>
      <c r="BD100" s="748">
        <f t="shared" si="78"/>
        <v>0</v>
      </c>
      <c r="BE100" s="748">
        <f t="shared" si="78"/>
        <v>0</v>
      </c>
      <c r="BF100" s="748">
        <f t="shared" si="78"/>
        <v>0</v>
      </c>
      <c r="BG100" s="748">
        <f t="shared" si="78"/>
        <v>0</v>
      </c>
      <c r="BH100" s="748">
        <f t="shared" si="78"/>
        <v>0</v>
      </c>
      <c r="BI100" s="748">
        <f t="shared" si="78"/>
        <v>0</v>
      </c>
      <c r="BJ100" s="748">
        <f t="shared" si="78"/>
        <v>0</v>
      </c>
      <c r="BK100" s="748">
        <f t="shared" si="78"/>
        <v>0</v>
      </c>
      <c r="BL100" s="748">
        <f t="shared" si="78"/>
        <v>0</v>
      </c>
      <c r="BM100" s="748">
        <f t="shared" si="78"/>
        <v>0</v>
      </c>
      <c r="BN100" s="748">
        <f t="shared" si="78"/>
        <v>0</v>
      </c>
      <c r="BO100" s="748">
        <f t="shared" si="78"/>
        <v>0</v>
      </c>
      <c r="BP100" s="748">
        <f t="shared" si="78"/>
        <v>0</v>
      </c>
      <c r="BQ100" s="748">
        <f t="shared" si="78"/>
        <v>0</v>
      </c>
      <c r="BR100" s="748">
        <f t="shared" si="78"/>
        <v>0</v>
      </c>
      <c r="BS100" s="748">
        <f t="shared" si="78"/>
        <v>0</v>
      </c>
      <c r="BT100" s="748">
        <f t="shared" si="78"/>
        <v>0</v>
      </c>
      <c r="BU100" s="748">
        <f t="shared" si="78"/>
        <v>0</v>
      </c>
      <c r="BV100" s="748">
        <f t="shared" si="78"/>
        <v>0</v>
      </c>
      <c r="BW100" s="748">
        <f t="shared" si="78"/>
        <v>0</v>
      </c>
      <c r="BX100" s="748">
        <f t="shared" si="78"/>
        <v>0</v>
      </c>
      <c r="BY100" s="748">
        <f t="shared" ref="BY100:CP100" si="79">BY88/BY$86</f>
        <v>0</v>
      </c>
      <c r="BZ100" s="748">
        <f t="shared" si="79"/>
        <v>0</v>
      </c>
      <c r="CA100" s="748">
        <f t="shared" si="79"/>
        <v>0</v>
      </c>
      <c r="CB100" s="748">
        <f t="shared" si="79"/>
        <v>0</v>
      </c>
      <c r="CC100" s="748">
        <f t="shared" si="79"/>
        <v>0</v>
      </c>
      <c r="CD100" s="748">
        <f t="shared" si="79"/>
        <v>0</v>
      </c>
      <c r="CE100" s="748">
        <f t="shared" si="79"/>
        <v>0</v>
      </c>
      <c r="CF100" s="748">
        <f t="shared" si="79"/>
        <v>0</v>
      </c>
      <c r="CG100" s="748">
        <f t="shared" si="79"/>
        <v>0</v>
      </c>
      <c r="CH100" s="748">
        <f t="shared" si="79"/>
        <v>0</v>
      </c>
      <c r="CI100" s="748">
        <f t="shared" si="79"/>
        <v>0</v>
      </c>
      <c r="CJ100" s="748">
        <f t="shared" si="79"/>
        <v>0</v>
      </c>
      <c r="CK100" s="748">
        <f t="shared" si="79"/>
        <v>0</v>
      </c>
      <c r="CL100" s="748">
        <f t="shared" si="79"/>
        <v>0</v>
      </c>
      <c r="CM100" s="748">
        <f t="shared" si="79"/>
        <v>0</v>
      </c>
      <c r="CN100" s="748">
        <f t="shared" si="79"/>
        <v>0</v>
      </c>
      <c r="CO100" s="748">
        <f t="shared" si="79"/>
        <v>0</v>
      </c>
      <c r="CP100" s="748">
        <f t="shared" si="79"/>
        <v>0</v>
      </c>
    </row>
    <row r="101" spans="2:94" x14ac:dyDescent="0.2">
      <c r="B101" s="432" t="s">
        <v>587</v>
      </c>
      <c r="M101" s="748">
        <f t="shared" ref="M101:AR101" si="80">M89/M$86</f>
        <v>0.39458285985651531</v>
      </c>
      <c r="N101" s="748">
        <f t="shared" si="80"/>
        <v>0.22720865043626087</v>
      </c>
      <c r="O101" s="748">
        <f t="shared" si="80"/>
        <v>0.23091551208910621</v>
      </c>
      <c r="P101" s="748">
        <f t="shared" si="80"/>
        <v>0.23886201311054819</v>
      </c>
      <c r="Q101" s="748">
        <f t="shared" si="80"/>
        <v>0.24659056403666657</v>
      </c>
      <c r="R101" s="748">
        <f t="shared" si="80"/>
        <v>0.24876041878923721</v>
      </c>
      <c r="S101" s="748">
        <f t="shared" si="80"/>
        <v>0.33943821667282825</v>
      </c>
      <c r="T101" s="748">
        <f t="shared" si="80"/>
        <v>0.42582279736762285</v>
      </c>
      <c r="U101" s="748">
        <f t="shared" si="80"/>
        <v>0.48150790848320274</v>
      </c>
      <c r="V101" s="748">
        <f t="shared" si="80"/>
        <v>0.68525599218594258</v>
      </c>
      <c r="W101" s="748">
        <f t="shared" si="80"/>
        <v>0.65176739146256779</v>
      </c>
      <c r="X101" s="748">
        <f t="shared" si="80"/>
        <v>0.65140820228521101</v>
      </c>
      <c r="Y101" s="748">
        <f t="shared" si="80"/>
        <v>0.64940672221354201</v>
      </c>
      <c r="Z101" s="748">
        <f t="shared" si="80"/>
        <v>0.63355953091319894</v>
      </c>
      <c r="AA101" s="748">
        <f t="shared" si="80"/>
        <v>0.61419755818123223</v>
      </c>
      <c r="AB101" s="748">
        <f t="shared" si="80"/>
        <v>0.61502267182455461</v>
      </c>
      <c r="AC101" s="748">
        <f t="shared" si="80"/>
        <v>0.61547681196130188</v>
      </c>
      <c r="AD101" s="748">
        <f t="shared" si="80"/>
        <v>0.61587362762179132</v>
      </c>
      <c r="AE101" s="748">
        <f t="shared" si="80"/>
        <v>0.61105084889135908</v>
      </c>
      <c r="AF101" s="748">
        <f t="shared" si="80"/>
        <v>0.61360668759241577</v>
      </c>
      <c r="AG101" s="748">
        <f t="shared" si="80"/>
        <v>0.61418018680780428</v>
      </c>
      <c r="AH101" s="748">
        <f t="shared" si="80"/>
        <v>0.61460171106329009</v>
      </c>
      <c r="AI101" s="748">
        <f t="shared" si="80"/>
        <v>0.57292605547984854</v>
      </c>
      <c r="AJ101" s="748">
        <f t="shared" si="80"/>
        <v>0.61348269350338869</v>
      </c>
      <c r="AK101" s="748">
        <f t="shared" si="80"/>
        <v>0.62791438197003557</v>
      </c>
      <c r="AL101" s="748">
        <f t="shared" si="80"/>
        <v>0.628717080103816</v>
      </c>
      <c r="AM101" s="748">
        <f t="shared" si="80"/>
        <v>0.62941664329026781</v>
      </c>
      <c r="AN101" s="748">
        <f t="shared" si="80"/>
        <v>0.62681245609394665</v>
      </c>
      <c r="AO101" s="748">
        <f t="shared" si="80"/>
        <v>0.61173501503231953</v>
      </c>
      <c r="AP101" s="748">
        <f t="shared" si="80"/>
        <v>0.37918941745442541</v>
      </c>
      <c r="AQ101" s="748">
        <f t="shared" si="80"/>
        <v>0.38015804789753282</v>
      </c>
      <c r="AR101" s="748">
        <f t="shared" si="80"/>
        <v>0.41555935633925301</v>
      </c>
      <c r="AS101" s="748">
        <f t="shared" ref="AS101:BX101" si="81">AS89/AS$86</f>
        <v>0.48096147955839391</v>
      </c>
      <c r="AT101" s="748">
        <f t="shared" si="81"/>
        <v>0.50046913407154803</v>
      </c>
      <c r="AU101" s="748">
        <f t="shared" si="81"/>
        <v>0.50083769331030503</v>
      </c>
      <c r="AV101" s="748">
        <f t="shared" si="81"/>
        <v>0.50118767282367527</v>
      </c>
      <c r="AW101" s="748">
        <f t="shared" si="81"/>
        <v>0.52037152340341286</v>
      </c>
      <c r="AX101" s="748">
        <f t="shared" si="81"/>
        <v>0.52075158581108194</v>
      </c>
      <c r="AY101" s="748">
        <f t="shared" si="81"/>
        <v>0.52111390226520171</v>
      </c>
      <c r="AZ101" s="748">
        <f t="shared" si="81"/>
        <v>0.52145935619839368</v>
      </c>
      <c r="BA101" s="748">
        <f t="shared" si="81"/>
        <v>0.48953270374624053</v>
      </c>
      <c r="BB101" s="748">
        <f t="shared" si="81"/>
        <v>0.48982711817871055</v>
      </c>
      <c r="BC101" s="748">
        <f t="shared" si="81"/>
        <v>0.49010386141238099</v>
      </c>
      <c r="BD101" s="748">
        <f t="shared" si="81"/>
        <v>0.49036286773068616</v>
      </c>
      <c r="BE101" s="748">
        <f t="shared" si="81"/>
        <v>0.49060411867329828</v>
      </c>
      <c r="BF101" s="748">
        <f t="shared" si="81"/>
        <v>0.49082938084451017</v>
      </c>
      <c r="BG101" s="748">
        <f t="shared" si="81"/>
        <v>0.49103726460393282</v>
      </c>
      <c r="BH101" s="748">
        <f t="shared" si="81"/>
        <v>0.49123034523562858</v>
      </c>
      <c r="BI101" s="748">
        <f t="shared" si="81"/>
        <v>0.49140685780209709</v>
      </c>
      <c r="BJ101" s="748">
        <f t="shared" si="81"/>
        <v>0.49156905931149003</v>
      </c>
      <c r="BK101" s="748">
        <f t="shared" si="81"/>
        <v>0.49171586291675951</v>
      </c>
      <c r="BL101" s="748">
        <f t="shared" si="81"/>
        <v>0.4918482440634962</v>
      </c>
      <c r="BM101" s="748">
        <f t="shared" si="81"/>
        <v>0.49196653667613305</v>
      </c>
      <c r="BN101" s="748">
        <f t="shared" si="81"/>
        <v>0.49207127193934957</v>
      </c>
      <c r="BO101" s="748">
        <f t="shared" si="81"/>
        <v>0.49216257475784747</v>
      </c>
      <c r="BP101" s="748">
        <f t="shared" si="81"/>
        <v>0.49224076372367859</v>
      </c>
      <c r="BQ101" s="748">
        <f t="shared" si="81"/>
        <v>0.4923061498226205</v>
      </c>
      <c r="BR101" s="748">
        <f t="shared" si="81"/>
        <v>0.49235938187313938</v>
      </c>
      <c r="BS101" s="748">
        <f t="shared" si="81"/>
        <v>0.47097378350423497</v>
      </c>
      <c r="BT101" s="748">
        <f t="shared" si="81"/>
        <v>0.45101193908687431</v>
      </c>
      <c r="BU101" s="748">
        <f t="shared" si="81"/>
        <v>0.45094581718725785</v>
      </c>
      <c r="BV101" s="748">
        <f t="shared" si="81"/>
        <v>0.45086835642602258</v>
      </c>
      <c r="BW101" s="748">
        <f t="shared" si="81"/>
        <v>0.45077997209936599</v>
      </c>
      <c r="BX101" s="748">
        <f t="shared" si="81"/>
        <v>0.45068061314173075</v>
      </c>
      <c r="BY101" s="748">
        <f t="shared" ref="BY101:CP101" si="82">BY89/BY$86</f>
        <v>0.45057141858150901</v>
      </c>
      <c r="BZ101" s="748">
        <f t="shared" si="82"/>
        <v>0.45045158523552115</v>
      </c>
      <c r="CA101" s="748">
        <f t="shared" si="82"/>
        <v>0.45032193164463369</v>
      </c>
      <c r="CB101" s="748">
        <f t="shared" si="82"/>
        <v>0.4501819875916413</v>
      </c>
      <c r="CC101" s="748">
        <f t="shared" si="82"/>
        <v>0.44778740918580889</v>
      </c>
      <c r="CD101" s="748">
        <f t="shared" si="82"/>
        <v>0.41994011245632806</v>
      </c>
      <c r="CE101" s="748">
        <f t="shared" si="82"/>
        <v>0.41970641725541374</v>
      </c>
      <c r="CF101" s="748">
        <f t="shared" si="82"/>
        <v>0.41946410183889499</v>
      </c>
      <c r="CG101" s="748">
        <f t="shared" si="82"/>
        <v>0.4192130977262688</v>
      </c>
      <c r="CH101" s="748">
        <f t="shared" si="82"/>
        <v>1.6719283091550536E-2</v>
      </c>
      <c r="CI101" s="748">
        <f t="shared" si="82"/>
        <v>1.5116984618530914E-2</v>
      </c>
      <c r="CJ101" s="748">
        <f t="shared" si="82"/>
        <v>1.3508116785740074E-2</v>
      </c>
      <c r="CK101" s="748">
        <f t="shared" si="82"/>
        <v>1.1892801257271808E-2</v>
      </c>
      <c r="CL101" s="748">
        <f t="shared" si="82"/>
        <v>1.0271142065836365E-2</v>
      </c>
      <c r="CM101" s="748">
        <f t="shared" si="82"/>
        <v>8.6432203644973681E-3</v>
      </c>
      <c r="CN101" s="748">
        <f t="shared" si="82"/>
        <v>7.0091233108026145E-3</v>
      </c>
      <c r="CO101" s="748">
        <f t="shared" si="82"/>
        <v>5.3689360570707426E-3</v>
      </c>
      <c r="CP101" s="748">
        <f t="shared" si="82"/>
        <v>-3.0743669013542974E-2</v>
      </c>
    </row>
    <row r="102" spans="2:94" x14ac:dyDescent="0.2">
      <c r="B102" s="432" t="s">
        <v>583</v>
      </c>
      <c r="M102" s="748">
        <f t="shared" ref="M102:AR102" si="83">M90/M$86</f>
        <v>0</v>
      </c>
      <c r="N102" s="748">
        <f t="shared" si="83"/>
        <v>7.3851984830152054E-2</v>
      </c>
      <c r="O102" s="748">
        <f t="shared" si="83"/>
        <v>7.512136352361716E-2</v>
      </c>
      <c r="P102" s="748">
        <f t="shared" si="83"/>
        <v>7.1749268918434125E-2</v>
      </c>
      <c r="Q102" s="748">
        <f t="shared" si="83"/>
        <v>0</v>
      </c>
      <c r="R102" s="748">
        <f t="shared" si="83"/>
        <v>0</v>
      </c>
      <c r="S102" s="748">
        <f t="shared" si="83"/>
        <v>0</v>
      </c>
      <c r="T102" s="748">
        <f t="shared" si="83"/>
        <v>3.1688874068021379E-2</v>
      </c>
      <c r="U102" s="748">
        <f t="shared" si="83"/>
        <v>3.4337063328746933E-2</v>
      </c>
      <c r="V102" s="748">
        <f t="shared" si="83"/>
        <v>2.404942758604622E-2</v>
      </c>
      <c r="W102" s="748">
        <f t="shared" si="83"/>
        <v>2.3534837340944297E-2</v>
      </c>
      <c r="X102" s="748">
        <f t="shared" si="83"/>
        <v>2.3733341790466548E-2</v>
      </c>
      <c r="Y102" s="748">
        <f t="shared" si="83"/>
        <v>2.3243567358484634E-2</v>
      </c>
      <c r="Z102" s="748">
        <f t="shared" si="83"/>
        <v>3.6728597579257574E-2</v>
      </c>
      <c r="AA102" s="748">
        <f t="shared" si="83"/>
        <v>3.8625301760933317E-2</v>
      </c>
      <c r="AB102" s="748">
        <f t="shared" si="83"/>
        <v>3.880478598762642E-2</v>
      </c>
      <c r="AC102" s="748">
        <f t="shared" si="83"/>
        <v>3.8961584255423849E-2</v>
      </c>
      <c r="AD102" s="748">
        <f t="shared" si="83"/>
        <v>3.9091339165783889E-2</v>
      </c>
      <c r="AE102" s="748">
        <f t="shared" si="83"/>
        <v>3.9521075407116038E-2</v>
      </c>
      <c r="AF102" s="748">
        <f t="shared" si="83"/>
        <v>4.0446512053910935E-2</v>
      </c>
      <c r="AG102" s="748">
        <f t="shared" si="83"/>
        <v>4.1664964885893822E-2</v>
      </c>
      <c r="AH102" s="748">
        <f t="shared" si="83"/>
        <v>4.1809058622945157E-2</v>
      </c>
      <c r="AI102" s="748">
        <f t="shared" si="83"/>
        <v>4.5912715872973041E-2</v>
      </c>
      <c r="AJ102" s="748">
        <f t="shared" si="83"/>
        <v>4.9329673088138834E-2</v>
      </c>
      <c r="AK102" s="748">
        <f t="shared" si="83"/>
        <v>5.0661574224917121E-2</v>
      </c>
      <c r="AL102" s="748">
        <f t="shared" si="83"/>
        <v>5.0898691201578798E-2</v>
      </c>
      <c r="AM102" s="748">
        <f t="shared" si="83"/>
        <v>5.1128543850575178E-2</v>
      </c>
      <c r="AN102" s="748">
        <f t="shared" si="83"/>
        <v>5.1747813624596288E-2</v>
      </c>
      <c r="AO102" s="748">
        <f t="shared" si="83"/>
        <v>5.3862696212859003E-2</v>
      </c>
      <c r="AP102" s="748">
        <f t="shared" si="83"/>
        <v>8.221966898855694E-2</v>
      </c>
      <c r="AQ102" s="748">
        <f t="shared" si="83"/>
        <v>8.2574187416611086E-2</v>
      </c>
      <c r="AR102" s="748">
        <f t="shared" si="83"/>
        <v>9.2356508081000252E-2</v>
      </c>
      <c r="AS102" s="748">
        <f t="shared" ref="AS102:BX102" si="84">AS90/AS$86</f>
        <v>0.10708421135918762</v>
      </c>
      <c r="AT102" s="748">
        <f t="shared" si="84"/>
        <v>6.9331242473788426E-2</v>
      </c>
      <c r="AU102" s="748">
        <f t="shared" si="84"/>
        <v>6.9501725047833154E-2</v>
      </c>
      <c r="AV102" s="748">
        <f t="shared" si="84"/>
        <v>6.9670324057050745E-2</v>
      </c>
      <c r="AW102" s="748">
        <f t="shared" si="84"/>
        <v>7.34505558545476E-2</v>
      </c>
      <c r="AX102" s="748">
        <f t="shared" si="84"/>
        <v>7.3632478914811103E-2</v>
      </c>
      <c r="AY102" s="748">
        <f t="shared" si="84"/>
        <v>7.3812612073586095E-2</v>
      </c>
      <c r="AZ102" s="748">
        <f t="shared" si="84"/>
        <v>7.3991063851567701E-2</v>
      </c>
      <c r="BA102" s="748">
        <f t="shared" si="84"/>
        <v>9.1038739340765604E-2</v>
      </c>
      <c r="BB102" s="748">
        <f t="shared" si="84"/>
        <v>9.129511179289769E-2</v>
      </c>
      <c r="BC102" s="748">
        <f t="shared" si="84"/>
        <v>9.1549270807688543E-2</v>
      </c>
      <c r="BD102" s="748">
        <f t="shared" si="84"/>
        <v>9.1801180036911456E-2</v>
      </c>
      <c r="BE102" s="748">
        <f t="shared" si="84"/>
        <v>9.2050811864857904E-2</v>
      </c>
      <c r="BF102" s="748">
        <f t="shared" si="84"/>
        <v>9.2298474292956387E-2</v>
      </c>
      <c r="BG102" s="748">
        <f t="shared" si="84"/>
        <v>9.2543883419248699E-2</v>
      </c>
      <c r="BH102" s="748">
        <f t="shared" si="84"/>
        <v>9.2787501912985584E-2</v>
      </c>
      <c r="BI102" s="748">
        <f t="shared" si="84"/>
        <v>9.3028975126890054E-2</v>
      </c>
      <c r="BJ102" s="748">
        <f t="shared" si="84"/>
        <v>9.3268708521809685E-2</v>
      </c>
      <c r="BK102" s="748">
        <f t="shared" si="84"/>
        <v>9.3506475513248477E-2</v>
      </c>
      <c r="BL102" s="748">
        <f t="shared" si="84"/>
        <v>9.374244071213382E-2</v>
      </c>
      <c r="BM102" s="748">
        <f t="shared" si="84"/>
        <v>9.3976647852638262E-2</v>
      </c>
      <c r="BN102" s="748">
        <f t="shared" si="84"/>
        <v>9.4209179010081329E-2</v>
      </c>
      <c r="BO102" s="748">
        <f t="shared" si="84"/>
        <v>9.444003922067469E-2</v>
      </c>
      <c r="BP102" s="748">
        <f t="shared" si="84"/>
        <v>9.4669270992430901E-2</v>
      </c>
      <c r="BQ102" s="748">
        <f t="shared" si="84"/>
        <v>9.4896915927545497E-2</v>
      </c>
      <c r="BR102" s="748">
        <f t="shared" si="84"/>
        <v>9.5123081447836891E-2</v>
      </c>
      <c r="BS102" s="748">
        <f t="shared" si="84"/>
        <v>9.8940563612768526E-2</v>
      </c>
      <c r="BT102" s="748">
        <f t="shared" si="84"/>
        <v>0.10253250347083227</v>
      </c>
      <c r="BU102" s="748">
        <f t="shared" si="84"/>
        <v>0.10278477246343573</v>
      </c>
      <c r="BV102" s="748">
        <f t="shared" si="84"/>
        <v>0.10303546386976273</v>
      </c>
      <c r="BW102" s="748">
        <f t="shared" si="84"/>
        <v>0.10328465304217337</v>
      </c>
      <c r="BX102" s="748">
        <f t="shared" si="84"/>
        <v>0.10353230917718689</v>
      </c>
      <c r="BY102" s="748">
        <f t="shared" ref="BY102:CP102" si="85">BY90/BY$86</f>
        <v>0.10377867544507892</v>
      </c>
      <c r="BZ102" s="748">
        <f t="shared" si="85"/>
        <v>0.10402354923758232</v>
      </c>
      <c r="CA102" s="748">
        <f t="shared" si="85"/>
        <v>0.10426710148619295</v>
      </c>
      <c r="CB102" s="748">
        <f t="shared" si="85"/>
        <v>0.10450920592025022</v>
      </c>
      <c r="CC102" s="748">
        <f t="shared" si="85"/>
        <v>0.10513522062690533</v>
      </c>
      <c r="CD102" s="748">
        <f t="shared" si="85"/>
        <v>0.11013260694757587</v>
      </c>
      <c r="CE102" s="748">
        <f t="shared" si="85"/>
        <v>0.11039271445026705</v>
      </c>
      <c r="CF102" s="748">
        <f t="shared" si="85"/>
        <v>0.11065159981353608</v>
      </c>
      <c r="CG102" s="748">
        <f t="shared" si="85"/>
        <v>0.11090922746959599</v>
      </c>
      <c r="CH102" s="748">
        <f t="shared" si="85"/>
        <v>0.18080860836784909</v>
      </c>
      <c r="CI102" s="748">
        <f t="shared" si="85"/>
        <v>0.18142617134124159</v>
      </c>
      <c r="CJ102" s="748">
        <f t="shared" si="85"/>
        <v>0.18204126911190152</v>
      </c>
      <c r="CK102" s="748">
        <f t="shared" si="85"/>
        <v>0.18265420901486287</v>
      </c>
      <c r="CL102" s="748">
        <f t="shared" si="85"/>
        <v>0.18326519814340386</v>
      </c>
      <c r="CM102" s="748">
        <f t="shared" si="85"/>
        <v>0.18387413338289915</v>
      </c>
      <c r="CN102" s="748">
        <f t="shared" si="85"/>
        <v>0.1844809920488244</v>
      </c>
      <c r="CO102" s="748">
        <f t="shared" si="85"/>
        <v>0.18508568099799869</v>
      </c>
      <c r="CP102" s="748">
        <f t="shared" si="85"/>
        <v>0.19174181245721983</v>
      </c>
    </row>
    <row r="103" spans="2:94" x14ac:dyDescent="0.2">
      <c r="B103" s="432" t="s">
        <v>584</v>
      </c>
      <c r="M103" s="748">
        <f t="shared" ref="M103:AR103" si="86">M91/M$86</f>
        <v>0</v>
      </c>
      <c r="N103" s="748">
        <f t="shared" si="86"/>
        <v>0</v>
      </c>
      <c r="O103" s="748">
        <f t="shared" si="86"/>
        <v>0</v>
      </c>
      <c r="P103" s="748">
        <f t="shared" si="86"/>
        <v>0</v>
      </c>
      <c r="Q103" s="748">
        <f t="shared" si="86"/>
        <v>0</v>
      </c>
      <c r="R103" s="748">
        <f t="shared" si="86"/>
        <v>3.88127189279927E-2</v>
      </c>
      <c r="S103" s="748">
        <f t="shared" si="86"/>
        <v>2.6605741580906974E-2</v>
      </c>
      <c r="T103" s="748">
        <f t="shared" si="86"/>
        <v>2.862220883563027E-2</v>
      </c>
      <c r="U103" s="748">
        <f t="shared" si="86"/>
        <v>3.543292705200482E-2</v>
      </c>
      <c r="V103" s="748">
        <f t="shared" si="86"/>
        <v>2.5892345434952765E-2</v>
      </c>
      <c r="W103" s="748">
        <f t="shared" si="86"/>
        <v>7.7610547416235368E-2</v>
      </c>
      <c r="X103" s="748">
        <f t="shared" si="86"/>
        <v>8.2658714979558026E-2</v>
      </c>
      <c r="Y103" s="748">
        <f t="shared" si="86"/>
        <v>9.504933763676815E-2</v>
      </c>
      <c r="Z103" s="748">
        <f t="shared" si="86"/>
        <v>0.10353255564861101</v>
      </c>
      <c r="AA103" s="748">
        <f t="shared" si="86"/>
        <v>0.10953452174282691</v>
      </c>
      <c r="AB103" s="748">
        <f t="shared" si="86"/>
        <v>0.11073458782003952</v>
      </c>
      <c r="AC103" s="748">
        <f t="shared" si="86"/>
        <v>0.11185836797855031</v>
      </c>
      <c r="AD103" s="748">
        <f t="shared" si="86"/>
        <v>0.11280939364093191</v>
      </c>
      <c r="AE103" s="748">
        <f t="shared" si="86"/>
        <v>0.11462101065513039</v>
      </c>
      <c r="AF103" s="748">
        <f t="shared" si="86"/>
        <v>0.10535552771023307</v>
      </c>
      <c r="AG103" s="748">
        <f t="shared" si="86"/>
        <v>0.10895878915246202</v>
      </c>
      <c r="AH103" s="748">
        <f t="shared" si="86"/>
        <v>0.10975656765910158</v>
      </c>
      <c r="AI103" s="748">
        <f t="shared" si="86"/>
        <v>0.12098102492989403</v>
      </c>
      <c r="AJ103" s="748">
        <f t="shared" si="86"/>
        <v>5.5824937752344927E-2</v>
      </c>
      <c r="AK103" s="748">
        <f t="shared" si="86"/>
        <v>3.3625148425306797E-2</v>
      </c>
      <c r="AL103" s="748">
        <f t="shared" si="86"/>
        <v>3.369381354283392E-2</v>
      </c>
      <c r="AM103" s="748">
        <f t="shared" si="86"/>
        <v>3.3885222828081797E-2</v>
      </c>
      <c r="AN103" s="748">
        <f t="shared" si="86"/>
        <v>3.433407635368018E-2</v>
      </c>
      <c r="AO103" s="748">
        <f t="shared" si="86"/>
        <v>3.5775967417075123E-2</v>
      </c>
      <c r="AP103" s="748">
        <f t="shared" si="86"/>
        <v>5.4667958411905124E-2</v>
      </c>
      <c r="AQ103" s="748">
        <f t="shared" si="86"/>
        <v>5.4959094813328259E-2</v>
      </c>
      <c r="AR103" s="748">
        <f t="shared" si="86"/>
        <v>3.4029531049456191E-2</v>
      </c>
      <c r="AS103" s="748">
        <f t="shared" ref="AS103:BX103" si="87">AS91/AS$86</f>
        <v>3.9536003537281712E-2</v>
      </c>
      <c r="AT103" s="748">
        <f t="shared" si="87"/>
        <v>4.12947268156258E-2</v>
      </c>
      <c r="AU103" s="748">
        <f t="shared" si="87"/>
        <v>4.1478692058773511E-2</v>
      </c>
      <c r="AV103" s="748">
        <f t="shared" si="87"/>
        <v>4.1659661731446786E-2</v>
      </c>
      <c r="AW103" s="748">
        <f t="shared" si="87"/>
        <v>-3.7939799417006769E-3</v>
      </c>
      <c r="AX103" s="748">
        <f t="shared" si="87"/>
        <v>-3.7159044806371229E-3</v>
      </c>
      <c r="AY103" s="748">
        <f t="shared" si="87"/>
        <v>-3.6393080779852736E-3</v>
      </c>
      <c r="AZ103" s="748">
        <f t="shared" si="87"/>
        <v>-3.5641719123428901E-3</v>
      </c>
      <c r="BA103" s="748">
        <f t="shared" si="87"/>
        <v>-4.2844469994294896E-3</v>
      </c>
      <c r="BB103" s="748">
        <f t="shared" si="87"/>
        <v>-4.1976219301823889E-3</v>
      </c>
      <c r="BC103" s="748">
        <f t="shared" si="87"/>
        <v>-4.1124068343831883E-3</v>
      </c>
      <c r="BD103" s="748">
        <f t="shared" si="87"/>
        <v>-4.0287749504256173E-3</v>
      </c>
      <c r="BE103" s="748">
        <f t="shared" si="87"/>
        <v>-3.9467002680669081E-3</v>
      </c>
      <c r="BF103" s="748">
        <f t="shared" si="87"/>
        <v>-3.8661711740284499E-3</v>
      </c>
      <c r="BG103" s="748">
        <f t="shared" si="87"/>
        <v>-3.7871508742761805E-3</v>
      </c>
      <c r="BH103" s="748">
        <f t="shared" si="87"/>
        <v>-3.709633768765088E-3</v>
      </c>
      <c r="BI103" s="748">
        <f t="shared" si="87"/>
        <v>-3.6335808702200965E-3</v>
      </c>
      <c r="BJ103" s="748">
        <f t="shared" si="87"/>
        <v>-3.5589837758909122E-3</v>
      </c>
      <c r="BK103" s="748">
        <f t="shared" si="87"/>
        <v>-3.4858093546236094E-3</v>
      </c>
      <c r="BL103" s="748">
        <f t="shared" si="87"/>
        <v>-3.4140398126701983E-3</v>
      </c>
      <c r="BM103" s="748">
        <f t="shared" si="87"/>
        <v>-3.3436527873931541E-3</v>
      </c>
      <c r="BN103" s="748">
        <f t="shared" si="87"/>
        <v>-3.2746274100994358E-3</v>
      </c>
      <c r="BO103" s="748">
        <f t="shared" si="87"/>
        <v>-3.2069402425924818E-3</v>
      </c>
      <c r="BP103" s="748">
        <f t="shared" si="87"/>
        <v>-3.1405693924297772E-3</v>
      </c>
      <c r="BQ103" s="748">
        <f t="shared" si="87"/>
        <v>-3.0754931257823159E-3</v>
      </c>
      <c r="BR103" s="748">
        <f t="shared" si="87"/>
        <v>-3.011691989816611E-3</v>
      </c>
      <c r="BS103" s="748">
        <f t="shared" si="87"/>
        <v>-3.060269787196492E-3</v>
      </c>
      <c r="BT103" s="748">
        <f t="shared" si="87"/>
        <v>-3.0981777258523181E-3</v>
      </c>
      <c r="BU103" s="748">
        <f t="shared" si="87"/>
        <v>-3.0341129537531444E-3</v>
      </c>
      <c r="BV103" s="748">
        <f t="shared" si="87"/>
        <v>-2.971301303205537E-3</v>
      </c>
      <c r="BW103" s="748">
        <f t="shared" si="87"/>
        <v>-2.9097225471172807E-3</v>
      </c>
      <c r="BX103" s="748">
        <f t="shared" si="87"/>
        <v>-2.8493536688176469E-3</v>
      </c>
      <c r="BY103" s="748">
        <f t="shared" ref="BY103:CP103" si="88">BY91/BY$86</f>
        <v>-2.7901794285122017E-3</v>
      </c>
      <c r="BZ103" s="748">
        <f t="shared" si="88"/>
        <v>-2.7321726013435493E-3</v>
      </c>
      <c r="CA103" s="748">
        <f t="shared" si="88"/>
        <v>-2.67531638398264E-3</v>
      </c>
      <c r="CB103" s="748">
        <f t="shared" si="88"/>
        <v>-2.6195864433802758E-3</v>
      </c>
      <c r="CC103" s="748">
        <f t="shared" si="88"/>
        <v>-2.5743982550226001E-3</v>
      </c>
      <c r="CD103" s="748">
        <f t="shared" si="88"/>
        <v>-2.6344607854182729E-3</v>
      </c>
      <c r="CE103" s="748">
        <f t="shared" si="88"/>
        <v>-2.579666550160592E-3</v>
      </c>
      <c r="CF103" s="748">
        <f t="shared" si="88"/>
        <v>-2.5259645144774783E-3</v>
      </c>
      <c r="CG103" s="748">
        <f t="shared" si="88"/>
        <v>-2.4733335264092104E-3</v>
      </c>
      <c r="CH103" s="748">
        <f t="shared" si="88"/>
        <v>-3.9389335497338109E-3</v>
      </c>
      <c r="CI103" s="748">
        <f t="shared" si="88"/>
        <v>-3.861029714249762E-3</v>
      </c>
      <c r="CJ103" s="748">
        <f t="shared" si="88"/>
        <v>-3.7845639819354643E-3</v>
      </c>
      <c r="CK103" s="748">
        <f t="shared" si="88"/>
        <v>-3.7095191907027948E-3</v>
      </c>
      <c r="CL103" s="748">
        <f t="shared" si="88"/>
        <v>-3.6358758892225656E-3</v>
      </c>
      <c r="CM103" s="748">
        <f t="shared" si="88"/>
        <v>-3.5636085314642426E-3</v>
      </c>
      <c r="CN103" s="748">
        <f t="shared" si="88"/>
        <v>-3.4926935891617214E-3</v>
      </c>
      <c r="CO103" s="748">
        <f t="shared" si="88"/>
        <v>-3.4231065734713156E-3</v>
      </c>
      <c r="CP103" s="748">
        <f t="shared" si="88"/>
        <v>-3.464195633833479E-3</v>
      </c>
    </row>
    <row r="104" spans="2:94" x14ac:dyDescent="0.2">
      <c r="B104" s="749" t="s">
        <v>665</v>
      </c>
      <c r="M104" s="748">
        <f t="shared" ref="M104:AR104" si="89">M92/M$86</f>
        <v>4.8464239073285724E-2</v>
      </c>
      <c r="N104" s="748">
        <f t="shared" si="89"/>
        <v>6.4824856998869002E-2</v>
      </c>
      <c r="O104" s="748">
        <f t="shared" si="89"/>
        <v>5.3447196532133284E-2</v>
      </c>
      <c r="P104" s="748">
        <f t="shared" si="89"/>
        <v>7.0264276473849571E-2</v>
      </c>
      <c r="Q104" s="748">
        <f t="shared" si="89"/>
        <v>8.5241399948071839E-2</v>
      </c>
      <c r="R104" s="748">
        <f t="shared" si="89"/>
        <v>6.1925693049612353E-2</v>
      </c>
      <c r="S104" s="748">
        <f t="shared" si="89"/>
        <v>7.029948474578368E-2</v>
      </c>
      <c r="T104" s="748">
        <f t="shared" si="89"/>
        <v>9.6888334301470841E-2</v>
      </c>
      <c r="U104" s="748">
        <f t="shared" si="89"/>
        <v>6.0209188208506334E-2</v>
      </c>
      <c r="V104" s="748">
        <f t="shared" si="89"/>
        <v>4.0476689716539914E-2</v>
      </c>
      <c r="W104" s="748">
        <f t="shared" si="89"/>
        <v>3.9940523520893292E-2</v>
      </c>
      <c r="X104" s="748">
        <f t="shared" si="89"/>
        <v>3.4000247993293618E-2</v>
      </c>
      <c r="Y104" s="748">
        <f t="shared" si="89"/>
        <v>3.3149009507897752E-2</v>
      </c>
      <c r="Z104" s="748">
        <f t="shared" si="89"/>
        <v>3.242696199974119E-2</v>
      </c>
      <c r="AA104" s="748">
        <f t="shared" si="89"/>
        <v>3.3942965188711413E-2</v>
      </c>
      <c r="AB104" s="748">
        <f t="shared" si="89"/>
        <v>3.3957613676892838E-2</v>
      </c>
      <c r="AC104" s="748">
        <f t="shared" si="89"/>
        <v>3.3951583930152004E-2</v>
      </c>
      <c r="AD104" s="748">
        <f t="shared" si="89"/>
        <v>3.3946766284282857E-2</v>
      </c>
      <c r="AE104" s="748">
        <f t="shared" si="89"/>
        <v>3.4201016732903038E-2</v>
      </c>
      <c r="AF104" s="748">
        <f t="shared" si="89"/>
        <v>3.4880424248498583E-2</v>
      </c>
      <c r="AG104" s="748">
        <f t="shared" si="89"/>
        <v>3.5806360986987765E-2</v>
      </c>
      <c r="AH104" s="748">
        <f t="shared" si="89"/>
        <v>3.5805203374375816E-2</v>
      </c>
      <c r="AI104" s="748">
        <f t="shared" si="89"/>
        <v>3.9182620699499869E-2</v>
      </c>
      <c r="AJ104" s="748">
        <f t="shared" si="89"/>
        <v>4.1951903206776844E-2</v>
      </c>
      <c r="AK104" s="748">
        <f t="shared" si="89"/>
        <v>4.2934190544540313E-2</v>
      </c>
      <c r="AL104" s="748">
        <f t="shared" si="89"/>
        <v>4.2984378976438004E-2</v>
      </c>
      <c r="AM104" s="748">
        <f t="shared" si="89"/>
        <v>4.3027411735259931E-2</v>
      </c>
      <c r="AN104" s="748">
        <f t="shared" si="89"/>
        <v>4.3396021232496369E-2</v>
      </c>
      <c r="AO104" s="748">
        <f t="shared" si="89"/>
        <v>4.5011190178621235E-2</v>
      </c>
      <c r="AP104" s="748">
        <f t="shared" si="89"/>
        <v>6.8466962088661806E-2</v>
      </c>
      <c r="AQ104" s="748">
        <f t="shared" si="89"/>
        <v>6.8520580444107346E-2</v>
      </c>
      <c r="AR104" s="748">
        <f t="shared" si="89"/>
        <v>7.636847485488614E-2</v>
      </c>
      <c r="AS104" s="748">
        <f t="shared" ref="AS104:BX104" si="90">AS92/AS$86</f>
        <v>8.8234916119635368E-2</v>
      </c>
      <c r="AT104" s="748">
        <f t="shared" si="90"/>
        <v>9.16550463142662E-2</v>
      </c>
      <c r="AU104" s="748">
        <f t="shared" si="90"/>
        <v>9.1564002553597645E-2</v>
      </c>
      <c r="AV104" s="748">
        <f t="shared" si="90"/>
        <v>9.1469563426849018E-2</v>
      </c>
      <c r="AW104" s="748">
        <f t="shared" si="90"/>
        <v>9.6099539693064645E-2</v>
      </c>
      <c r="AX104" s="748">
        <f t="shared" si="90"/>
        <v>9.6004367427415555E-2</v>
      </c>
      <c r="AY104" s="748">
        <f t="shared" si="90"/>
        <v>9.5905925772711217E-2</v>
      </c>
      <c r="AZ104" s="748">
        <f t="shared" si="90"/>
        <v>9.5804395652232283E-2</v>
      </c>
      <c r="BA104" s="748">
        <f t="shared" si="90"/>
        <v>0.11746858538000023</v>
      </c>
      <c r="BB104" s="748">
        <f t="shared" si="90"/>
        <v>0.11738982519040035</v>
      </c>
      <c r="BC104" s="748">
        <f t="shared" si="90"/>
        <v>0.11730685182661406</v>
      </c>
      <c r="BD104" s="748">
        <f t="shared" si="90"/>
        <v>0.11721966811381924</v>
      </c>
      <c r="BE104" s="748">
        <f t="shared" si="90"/>
        <v>0.11712828819813405</v>
      </c>
      <c r="BF104" s="748">
        <f t="shared" si="90"/>
        <v>0.11703315183624441</v>
      </c>
      <c r="BG104" s="748">
        <f t="shared" si="90"/>
        <v>0.11693394498381354</v>
      </c>
      <c r="BH104" s="748">
        <f t="shared" si="90"/>
        <v>0.11683129823339188</v>
      </c>
      <c r="BI104" s="748">
        <f t="shared" si="90"/>
        <v>0.11672480808100179</v>
      </c>
      <c r="BJ104" s="748">
        <f t="shared" si="90"/>
        <v>0.11661502724244709</v>
      </c>
      <c r="BK104" s="748">
        <f t="shared" si="90"/>
        <v>0.11650171341526966</v>
      </c>
      <c r="BL104" s="748">
        <f t="shared" si="90"/>
        <v>0.1163851135641671</v>
      </c>
      <c r="BM104" s="748">
        <f t="shared" si="90"/>
        <v>0.1162653218320388</v>
      </c>
      <c r="BN104" s="748">
        <f t="shared" si="90"/>
        <v>0.11614247848153417</v>
      </c>
      <c r="BO104" s="748">
        <f t="shared" si="90"/>
        <v>0.11601662732911172</v>
      </c>
      <c r="BP104" s="748">
        <f t="shared" si="90"/>
        <v>0.11588785760421838</v>
      </c>
      <c r="BQ104" s="748">
        <f t="shared" si="90"/>
        <v>0.1157562563298816</v>
      </c>
      <c r="BR104" s="748">
        <f t="shared" si="90"/>
        <v>0.11562198945530307</v>
      </c>
      <c r="BS104" s="748">
        <f t="shared" si="90"/>
        <v>0.11983668047970088</v>
      </c>
      <c r="BT104" s="748">
        <f t="shared" si="90"/>
        <v>0.12374753443985197</v>
      </c>
      <c r="BU104" s="748">
        <f t="shared" si="90"/>
        <v>0.12361242997394234</v>
      </c>
      <c r="BV104" s="748">
        <f t="shared" si="90"/>
        <v>0.12347449665512288</v>
      </c>
      <c r="BW104" s="748">
        <f t="shared" si="90"/>
        <v>0.12333385949591998</v>
      </c>
      <c r="BX104" s="748">
        <f t="shared" si="90"/>
        <v>0.12319051556999695</v>
      </c>
      <c r="BY104" s="748">
        <f t="shared" ref="BY104:CP104" si="91">BY92/BY$86</f>
        <v>0.12304478696859149</v>
      </c>
      <c r="BZ104" s="748">
        <f t="shared" si="91"/>
        <v>0.12289646468738367</v>
      </c>
      <c r="CA104" s="748">
        <f t="shared" si="91"/>
        <v>0.12274578255305706</v>
      </c>
      <c r="CB104" s="748">
        <f t="shared" si="91"/>
        <v>0.1225926225701242</v>
      </c>
      <c r="CC104" s="748">
        <f t="shared" si="91"/>
        <v>0.12288744244692382</v>
      </c>
      <c r="CD104" s="748">
        <f t="shared" si="91"/>
        <v>0.1282695831794689</v>
      </c>
      <c r="CE104" s="748">
        <f t="shared" si="91"/>
        <v>0.12811373396099102</v>
      </c>
      <c r="CF104" s="748">
        <f t="shared" si="91"/>
        <v>0.12795566957992158</v>
      </c>
      <c r="CG104" s="748">
        <f t="shared" si="91"/>
        <v>0.12779537739557603</v>
      </c>
      <c r="CH104" s="748">
        <f t="shared" si="91"/>
        <v>0.20759232187348189</v>
      </c>
      <c r="CI104" s="748">
        <f t="shared" si="91"/>
        <v>0.20755631323684962</v>
      </c>
      <c r="CJ104" s="748">
        <f t="shared" si="91"/>
        <v>0.2075146811972079</v>
      </c>
      <c r="CK104" s="748">
        <f t="shared" si="91"/>
        <v>0.20746783244952322</v>
      </c>
      <c r="CL104" s="748">
        <f t="shared" si="91"/>
        <v>0.20741605475899083</v>
      </c>
      <c r="CM104" s="748">
        <f t="shared" si="91"/>
        <v>0.20735928225235387</v>
      </c>
      <c r="CN104" s="748">
        <f t="shared" si="91"/>
        <v>0.20729754067233586</v>
      </c>
      <c r="CO104" s="748">
        <f t="shared" si="91"/>
        <v>0.20723077680467972</v>
      </c>
      <c r="CP104" s="748">
        <f t="shared" si="91"/>
        <v>0.21391262455033272</v>
      </c>
    </row>
    <row r="105" spans="2:94" x14ac:dyDescent="0.2">
      <c r="B105" s="749" t="s">
        <v>666</v>
      </c>
      <c r="M105" s="748">
        <f t="shared" ref="M105:AR105" si="92">M93/M$86</f>
        <v>0</v>
      </c>
      <c r="N105" s="748">
        <f t="shared" si="92"/>
        <v>4.2095631353186669E-2</v>
      </c>
      <c r="O105" s="748">
        <f t="shared" si="92"/>
        <v>2.7324805404958484E-2</v>
      </c>
      <c r="P105" s="748">
        <f t="shared" si="92"/>
        <v>4.1462380553773902E-2</v>
      </c>
      <c r="Q105" s="748">
        <f t="shared" si="92"/>
        <v>5.9633774429340293E-2</v>
      </c>
      <c r="R105" s="748">
        <f t="shared" si="92"/>
        <v>8.1023491398131156E-2</v>
      </c>
      <c r="S105" s="748">
        <f t="shared" si="92"/>
        <v>7.9162909121283501E-2</v>
      </c>
      <c r="T105" s="748">
        <f t="shared" si="92"/>
        <v>2.58456860509312E-2</v>
      </c>
      <c r="U105" s="748">
        <f t="shared" si="92"/>
        <v>2.6523554981918246E-2</v>
      </c>
      <c r="V105" s="748">
        <f t="shared" si="92"/>
        <v>2.0889934036929396E-2</v>
      </c>
      <c r="W105" s="748">
        <f t="shared" si="92"/>
        <v>1.658457815164462E-2</v>
      </c>
      <c r="X105" s="748">
        <f t="shared" si="92"/>
        <v>1.5986956682026696E-2</v>
      </c>
      <c r="Y105" s="748">
        <f t="shared" si="92"/>
        <v>1.4838734606584711E-2</v>
      </c>
      <c r="Z105" s="748">
        <f t="shared" si="92"/>
        <v>1.4586673682815741E-2</v>
      </c>
      <c r="AA105" s="748">
        <f t="shared" si="92"/>
        <v>1.5343466068205552E-2</v>
      </c>
      <c r="AB105" s="748">
        <f t="shared" si="92"/>
        <v>1.5425333250556028E-2</v>
      </c>
      <c r="AC105" s="748">
        <f t="shared" si="92"/>
        <v>1.5498195174680068E-2</v>
      </c>
      <c r="AD105" s="748">
        <f t="shared" si="92"/>
        <v>1.5571956783878484E-2</v>
      </c>
      <c r="AE105" s="748">
        <f t="shared" si="92"/>
        <v>1.5765490604110942E-2</v>
      </c>
      <c r="AF105" s="748">
        <f t="shared" si="92"/>
        <v>1.6157491095234254E-2</v>
      </c>
      <c r="AG105" s="748">
        <f t="shared" si="92"/>
        <v>1.6667714238515322E-2</v>
      </c>
      <c r="AH105" s="748">
        <f t="shared" si="92"/>
        <v>1.6748877214662023E-2</v>
      </c>
      <c r="AI105" s="748">
        <f t="shared" si="92"/>
        <v>1.8418604719765558E-2</v>
      </c>
      <c r="AJ105" s="748">
        <f t="shared" si="92"/>
        <v>1.9817031931364793E-2</v>
      </c>
      <c r="AK105" s="748">
        <f t="shared" si="92"/>
        <v>2.0380456813776284E-2</v>
      </c>
      <c r="AL105" s="748">
        <f t="shared" si="92"/>
        <v>2.0504301775063405E-2</v>
      </c>
      <c r="AM105" s="748">
        <f t="shared" si="92"/>
        <v>2.0625441062494209E-2</v>
      </c>
      <c r="AN105" s="748">
        <f t="shared" si="92"/>
        <v>2.0904107433163753E-2</v>
      </c>
      <c r="AO105" s="748">
        <f t="shared" si="92"/>
        <v>2.1788428412869737E-2</v>
      </c>
      <c r="AP105" s="748">
        <f t="shared" si="92"/>
        <v>3.3305055476213437E-2</v>
      </c>
      <c r="AQ105" s="748">
        <f t="shared" si="92"/>
        <v>3.349452550772139E-2</v>
      </c>
      <c r="AR105" s="748">
        <f t="shared" si="92"/>
        <v>3.751376104019595E-2</v>
      </c>
      <c r="AS105" s="748">
        <f t="shared" ref="AS105:BX105" si="93">AS93/AS$86</f>
        <v>4.3555265058182406E-2</v>
      </c>
      <c r="AT105" s="748">
        <f t="shared" si="93"/>
        <v>4.5465320683979238E-2</v>
      </c>
      <c r="AU105" s="748">
        <f t="shared" si="93"/>
        <v>4.5642806426666745E-2</v>
      </c>
      <c r="AV105" s="748">
        <f t="shared" si="93"/>
        <v>4.581923891137743E-2</v>
      </c>
      <c r="AW105" s="748">
        <f t="shared" si="93"/>
        <v>4.8374475120511469E-2</v>
      </c>
      <c r="AX105" s="748">
        <f t="shared" si="93"/>
        <v>4.8563462353837919E-2</v>
      </c>
      <c r="AY105" s="748">
        <f t="shared" si="93"/>
        <v>4.8751478086750163E-2</v>
      </c>
      <c r="AZ105" s="748">
        <f t="shared" si="93"/>
        <v>4.8938592525709611E-2</v>
      </c>
      <c r="BA105" s="748">
        <f t="shared" si="93"/>
        <v>6.0299189078503665E-2</v>
      </c>
      <c r="BB105" s="748">
        <f t="shared" si="93"/>
        <v>6.0554145831163669E-2</v>
      </c>
      <c r="BC105" s="748">
        <f t="shared" si="93"/>
        <v>6.0807969248050132E-2</v>
      </c>
      <c r="BD105" s="748">
        <f t="shared" si="93"/>
        <v>6.1060632857541298E-2</v>
      </c>
      <c r="BE105" s="748">
        <f t="shared" si="93"/>
        <v>6.1312115843744915E-2</v>
      </c>
      <c r="BF105" s="748">
        <f t="shared" si="93"/>
        <v>6.1562621117192233E-2</v>
      </c>
      <c r="BG105" s="748">
        <f t="shared" si="93"/>
        <v>6.181195735763792E-2</v>
      </c>
      <c r="BH105" s="748">
        <f t="shared" si="93"/>
        <v>6.2060431505905039E-2</v>
      </c>
      <c r="BI105" s="748">
        <f t="shared" si="93"/>
        <v>6.2307804770804179E-2</v>
      </c>
      <c r="BJ105" s="748">
        <f t="shared" si="93"/>
        <v>6.255434681825843E-2</v>
      </c>
      <c r="BK105" s="748">
        <f t="shared" si="93"/>
        <v>6.2799904289614808E-2</v>
      </c>
      <c r="BL105" s="748">
        <f t="shared" si="93"/>
        <v>6.3044586050595375E-2</v>
      </c>
      <c r="BM105" s="748">
        <f t="shared" si="93"/>
        <v>6.3288420135933082E-2</v>
      </c>
      <c r="BN105" s="748">
        <f t="shared" si="93"/>
        <v>6.3531460564004202E-2</v>
      </c>
      <c r="BO105" s="748">
        <f t="shared" si="93"/>
        <v>6.3773709597659378E-2</v>
      </c>
      <c r="BP105" s="748">
        <f t="shared" si="93"/>
        <v>6.4015194822669597E-2</v>
      </c>
      <c r="BQ105" s="748">
        <f t="shared" si="93"/>
        <v>6.4255943332994392E-2</v>
      </c>
      <c r="BR105" s="748">
        <f t="shared" si="93"/>
        <v>6.4496026967865605E-2</v>
      </c>
      <c r="BS105" s="748">
        <f t="shared" si="93"/>
        <v>6.7174739142028789E-2</v>
      </c>
      <c r="BT105" s="748">
        <f t="shared" si="93"/>
        <v>6.9707011929474996E-2</v>
      </c>
      <c r="BU105" s="748">
        <f t="shared" si="93"/>
        <v>6.9972235533896809E-2</v>
      </c>
      <c r="BV105" s="748">
        <f t="shared" si="93"/>
        <v>7.0236775210433547E-2</v>
      </c>
      <c r="BW105" s="748">
        <f t="shared" si="93"/>
        <v>7.050068145303176E-2</v>
      </c>
      <c r="BX105" s="748">
        <f t="shared" si="93"/>
        <v>7.0763932437524435E-2</v>
      </c>
      <c r="BY105" s="748">
        <f t="shared" ref="BY105:CP105" si="94">BY93/BY$86</f>
        <v>7.1026693701376084E-2</v>
      </c>
      <c r="BZ105" s="748">
        <f t="shared" si="94"/>
        <v>7.1288826132359706E-2</v>
      </c>
      <c r="CA105" s="748">
        <f t="shared" si="94"/>
        <v>7.1550446177642626E-2</v>
      </c>
      <c r="CB105" s="748">
        <f t="shared" si="94"/>
        <v>7.1811466653294492E-2</v>
      </c>
      <c r="CC105" s="748">
        <f t="shared" si="94"/>
        <v>7.2337027771226067E-2</v>
      </c>
      <c r="CD105" s="748">
        <f t="shared" si="94"/>
        <v>7.5875319287076678E-2</v>
      </c>
      <c r="CE105" s="748">
        <f t="shared" si="94"/>
        <v>7.6154615713691004E-2</v>
      </c>
      <c r="CF105" s="748">
        <f t="shared" si="94"/>
        <v>7.6433503902602895E-2</v>
      </c>
      <c r="CG105" s="748">
        <f t="shared" si="94"/>
        <v>7.6711959066020963E-2</v>
      </c>
      <c r="CH105" s="748">
        <f t="shared" si="94"/>
        <v>0.12522265543837868</v>
      </c>
      <c r="CI105" s="748">
        <f t="shared" si="94"/>
        <v>0.12581466458527871</v>
      </c>
      <c r="CJ105" s="748">
        <f t="shared" si="94"/>
        <v>0.12640604328612121</v>
      </c>
      <c r="CK105" s="748">
        <f t="shared" si="94"/>
        <v>0.12699700329273952</v>
      </c>
      <c r="CL105" s="748">
        <f t="shared" si="94"/>
        <v>0.12758768764930212</v>
      </c>
      <c r="CM105" s="748">
        <f t="shared" si="94"/>
        <v>0.12817802387141414</v>
      </c>
      <c r="CN105" s="748">
        <f t="shared" si="94"/>
        <v>0.12876799520814267</v>
      </c>
      <c r="CO105" s="748">
        <f t="shared" si="94"/>
        <v>0.12935753554877297</v>
      </c>
      <c r="CP105" s="748">
        <f t="shared" si="94"/>
        <v>0.13418302797158158</v>
      </c>
    </row>
    <row r="106" spans="2:94" x14ac:dyDescent="0.2">
      <c r="B106" s="749" t="s">
        <v>667</v>
      </c>
      <c r="M106" s="748">
        <f t="shared" ref="M106:AR106" si="95">M94/M$86</f>
        <v>0.13018775122538626</v>
      </c>
      <c r="N106" s="748">
        <f t="shared" si="95"/>
        <v>7.0208155767305866E-2</v>
      </c>
      <c r="O106" s="748">
        <f t="shared" si="95"/>
        <v>0</v>
      </c>
      <c r="P106" s="748">
        <f t="shared" si="95"/>
        <v>0</v>
      </c>
      <c r="Q106" s="748">
        <f t="shared" si="95"/>
        <v>0</v>
      </c>
      <c r="R106" s="748">
        <f t="shared" si="95"/>
        <v>0</v>
      </c>
      <c r="S106" s="748">
        <f t="shared" si="95"/>
        <v>0</v>
      </c>
      <c r="T106" s="748">
        <f t="shared" si="95"/>
        <v>-0.10403677488292705</v>
      </c>
      <c r="U106" s="748">
        <f t="shared" si="95"/>
        <v>-8.9591729881768459E-2</v>
      </c>
      <c r="V106" s="748">
        <f t="shared" si="95"/>
        <v>-6.5166433312064606E-2</v>
      </c>
      <c r="W106" s="748">
        <f t="shared" si="95"/>
        <v>-4.5335850971424223E-2</v>
      </c>
      <c r="X106" s="748">
        <f t="shared" si="95"/>
        <v>-4.5337053659492213E-2</v>
      </c>
      <c r="Y106" s="748">
        <f t="shared" si="95"/>
        <v>-4.5337053659492213E-2</v>
      </c>
      <c r="Z106" s="748">
        <f t="shared" si="95"/>
        <v>-4.5337053659492199E-2</v>
      </c>
      <c r="AA106" s="748">
        <f t="shared" si="95"/>
        <v>-4.5337053659492206E-2</v>
      </c>
      <c r="AB106" s="748">
        <f t="shared" si="95"/>
        <v>-4.533705365949222E-2</v>
      </c>
      <c r="AC106" s="748">
        <f t="shared" si="95"/>
        <v>-4.533705365949222E-2</v>
      </c>
      <c r="AD106" s="748">
        <f t="shared" si="95"/>
        <v>-4.533705365949222E-2</v>
      </c>
      <c r="AE106" s="748">
        <f t="shared" si="95"/>
        <v>-4.533705365949222E-2</v>
      </c>
      <c r="AF106" s="748">
        <f t="shared" si="95"/>
        <v>-4.5337053659492227E-2</v>
      </c>
      <c r="AG106" s="748">
        <f t="shared" si="95"/>
        <v>-6.1007957559681712E-2</v>
      </c>
      <c r="AH106" s="748">
        <f t="shared" si="95"/>
        <v>-6.1007957559681705E-2</v>
      </c>
      <c r="AI106" s="748">
        <f t="shared" si="95"/>
        <v>-6.1007957559681678E-2</v>
      </c>
      <c r="AJ106" s="748">
        <f t="shared" si="95"/>
        <v>-6.1007957559681705E-2</v>
      </c>
      <c r="AK106" s="748">
        <f t="shared" si="95"/>
        <v>-6.1007957559681691E-2</v>
      </c>
      <c r="AL106" s="748">
        <f t="shared" si="95"/>
        <v>-6.1007957559681705E-2</v>
      </c>
      <c r="AM106" s="748">
        <f t="shared" si="95"/>
        <v>-6.1007957559681705E-2</v>
      </c>
      <c r="AN106" s="748">
        <f t="shared" si="95"/>
        <v>-6.1007957559681712E-2</v>
      </c>
      <c r="AO106" s="748">
        <f t="shared" si="95"/>
        <v>-6.1007957559681698E-2</v>
      </c>
      <c r="AP106" s="748">
        <f t="shared" si="95"/>
        <v>-6.1007957559681705E-2</v>
      </c>
      <c r="AQ106" s="748">
        <f t="shared" si="95"/>
        <v>-6.1007957559681705E-2</v>
      </c>
      <c r="AR106" s="748">
        <f t="shared" si="95"/>
        <v>-6.1007957559681698E-2</v>
      </c>
      <c r="AS106" s="748">
        <f t="shared" ref="AS106:BX106" si="96">AS94/AS$86</f>
        <v>-6.1007957559681698E-2</v>
      </c>
      <c r="AT106" s="748">
        <f t="shared" si="96"/>
        <v>-6.1007957559681698E-2</v>
      </c>
      <c r="AU106" s="748">
        <f t="shared" si="96"/>
        <v>-6.1007957559681698E-2</v>
      </c>
      <c r="AV106" s="748">
        <f t="shared" si="96"/>
        <v>-6.1007957559681691E-2</v>
      </c>
      <c r="AW106" s="748">
        <f t="shared" si="96"/>
        <v>-6.1007957559681705E-2</v>
      </c>
      <c r="AX106" s="748">
        <f t="shared" si="96"/>
        <v>-6.1007957559681705E-2</v>
      </c>
      <c r="AY106" s="748">
        <f t="shared" si="96"/>
        <v>-6.1007957559681691E-2</v>
      </c>
      <c r="AZ106" s="748">
        <f t="shared" si="96"/>
        <v>-6.1007957559681698E-2</v>
      </c>
      <c r="BA106" s="748">
        <f t="shared" si="96"/>
        <v>-6.1007957559681698E-2</v>
      </c>
      <c r="BB106" s="748">
        <f t="shared" si="96"/>
        <v>-6.1007957559681691E-2</v>
      </c>
      <c r="BC106" s="748">
        <f t="shared" si="96"/>
        <v>-6.1007957559681691E-2</v>
      </c>
      <c r="BD106" s="748">
        <f t="shared" si="96"/>
        <v>-6.1007957559681684E-2</v>
      </c>
      <c r="BE106" s="748">
        <f t="shared" si="96"/>
        <v>-6.1007957559681698E-2</v>
      </c>
      <c r="BF106" s="748">
        <f t="shared" si="96"/>
        <v>-6.1007957559681684E-2</v>
      </c>
      <c r="BG106" s="748">
        <f t="shared" si="96"/>
        <v>-6.1007957559681698E-2</v>
      </c>
      <c r="BH106" s="748">
        <f t="shared" si="96"/>
        <v>-6.1007957559681684E-2</v>
      </c>
      <c r="BI106" s="748">
        <f t="shared" si="96"/>
        <v>-6.1007957559681698E-2</v>
      </c>
      <c r="BJ106" s="748">
        <f t="shared" si="96"/>
        <v>-6.1007957559681698E-2</v>
      </c>
      <c r="BK106" s="748">
        <f t="shared" si="96"/>
        <v>-6.1007957559681691E-2</v>
      </c>
      <c r="BL106" s="748">
        <f t="shared" si="96"/>
        <v>-6.1007957559681684E-2</v>
      </c>
      <c r="BM106" s="748">
        <f t="shared" si="96"/>
        <v>-6.1007957559681719E-2</v>
      </c>
      <c r="BN106" s="748">
        <f t="shared" si="96"/>
        <v>-6.1007957559681698E-2</v>
      </c>
      <c r="BO106" s="748">
        <f t="shared" si="96"/>
        <v>-6.1007957559681698E-2</v>
      </c>
      <c r="BP106" s="748">
        <f t="shared" si="96"/>
        <v>-6.1007957559681705E-2</v>
      </c>
      <c r="BQ106" s="748">
        <f t="shared" si="96"/>
        <v>-6.1007957559681712E-2</v>
      </c>
      <c r="BR106" s="748">
        <f t="shared" si="96"/>
        <v>-6.1007957559681698E-2</v>
      </c>
      <c r="BS106" s="748">
        <f t="shared" si="96"/>
        <v>-6.1007957559681705E-2</v>
      </c>
      <c r="BT106" s="748">
        <f t="shared" si="96"/>
        <v>-6.1007957559681726E-2</v>
      </c>
      <c r="BU106" s="748">
        <f t="shared" si="96"/>
        <v>-6.1007957559681705E-2</v>
      </c>
      <c r="BV106" s="748">
        <f t="shared" si="96"/>
        <v>-6.1007957559681698E-2</v>
      </c>
      <c r="BW106" s="748">
        <f t="shared" si="96"/>
        <v>-6.1007957559681698E-2</v>
      </c>
      <c r="BX106" s="748">
        <f t="shared" si="96"/>
        <v>-6.1007957559681684E-2</v>
      </c>
      <c r="BY106" s="748">
        <f t="shared" ref="BY106:CP106" si="97">BY94/BY$86</f>
        <v>-6.1007957559681698E-2</v>
      </c>
      <c r="BZ106" s="748">
        <f t="shared" si="97"/>
        <v>-6.1007957559681712E-2</v>
      </c>
      <c r="CA106" s="748">
        <f t="shared" si="97"/>
        <v>-6.1007957559681698E-2</v>
      </c>
      <c r="CB106" s="748">
        <f t="shared" si="97"/>
        <v>-6.1007957559681733E-2</v>
      </c>
      <c r="CC106" s="748">
        <f t="shared" si="97"/>
        <v>-6.1007957559681691E-2</v>
      </c>
      <c r="CD106" s="748">
        <f t="shared" si="97"/>
        <v>-6.1007957559681712E-2</v>
      </c>
      <c r="CE106" s="748">
        <f t="shared" si="97"/>
        <v>-6.1007957559681719E-2</v>
      </c>
      <c r="CF106" s="748">
        <f t="shared" si="97"/>
        <v>-6.1007957559681691E-2</v>
      </c>
      <c r="CG106" s="748">
        <f t="shared" si="97"/>
        <v>-6.1007957559681712E-2</v>
      </c>
      <c r="CH106" s="748">
        <f t="shared" si="97"/>
        <v>-6.1007957559681698E-2</v>
      </c>
      <c r="CI106" s="748">
        <f t="shared" si="97"/>
        <v>-6.1007957559681698E-2</v>
      </c>
      <c r="CJ106" s="748">
        <f t="shared" si="97"/>
        <v>-6.1007957559681691E-2</v>
      </c>
      <c r="CK106" s="748">
        <f t="shared" si="97"/>
        <v>-6.1007957559681705E-2</v>
      </c>
      <c r="CL106" s="748">
        <f t="shared" si="97"/>
        <v>-6.1007957559681691E-2</v>
      </c>
      <c r="CM106" s="748">
        <f t="shared" si="97"/>
        <v>-6.1007957559681684E-2</v>
      </c>
      <c r="CN106" s="748">
        <f t="shared" si="97"/>
        <v>-6.1007957559681691E-2</v>
      </c>
      <c r="CO106" s="748">
        <f t="shared" si="97"/>
        <v>-6.1007957559681691E-2</v>
      </c>
      <c r="CP106" s="748">
        <f t="shared" si="97"/>
        <v>-6.1007957559681698E-2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DQ623"/>
  <sheetViews>
    <sheetView showGridLines="0" workbookViewId="0">
      <selection activeCell="E141" sqref="E141"/>
    </sheetView>
  </sheetViews>
  <sheetFormatPr defaultRowHeight="11.25" outlineLevelRow="1" outlineLevelCol="1" x14ac:dyDescent="0.2"/>
  <cols>
    <col min="1" max="1" width="1" style="474" customWidth="1"/>
    <col min="2" max="2" width="43.83203125" style="474" customWidth="1"/>
    <col min="3" max="3" width="1" style="472" customWidth="1"/>
    <col min="4" max="5" width="10.83203125" style="474" customWidth="1"/>
    <col min="6" max="6" width="10.83203125" style="474" customWidth="1" outlineLevel="1"/>
    <col min="7" max="9" width="9.33203125" style="474" customWidth="1" outlineLevel="1"/>
    <col min="10" max="10" width="9.33203125" style="474" customWidth="1"/>
    <col min="11" max="11" width="9.33203125" style="6" customWidth="1" outlineLevel="1" collapsed="1"/>
    <col min="12" max="12" width="10.6640625" style="6" customWidth="1" outlineLevel="1"/>
    <col min="13" max="15" width="9.33203125" style="6" customWidth="1" outlineLevel="1"/>
    <col min="16" max="20" width="9.33203125" style="474" customWidth="1" outlineLevel="1"/>
    <col min="21" max="22" width="8.83203125" style="474" customWidth="1"/>
    <col min="23" max="40" width="8.83203125" style="474" customWidth="1" outlineLevel="1"/>
    <col min="41" max="55" width="9.33203125" style="474" outlineLevel="1"/>
    <col min="56" max="94" width="9.33203125" style="474"/>
    <col min="95" max="95" width="9.33203125" style="474" customWidth="1"/>
    <col min="96" max="16384" width="9.33203125" style="474"/>
  </cols>
  <sheetData>
    <row r="1" spans="1:121" s="685" customFormat="1" ht="15.75" x14ac:dyDescent="0.25">
      <c r="A1" s="232" t="s">
        <v>118</v>
      </c>
      <c r="C1" s="472"/>
      <c r="D1" s="686"/>
      <c r="E1" s="686"/>
      <c r="F1" s="686"/>
      <c r="G1" s="686"/>
      <c r="H1" s="686"/>
      <c r="I1" s="686"/>
      <c r="J1" s="686"/>
      <c r="K1" s="686"/>
      <c r="L1" s="686"/>
      <c r="M1" s="686"/>
      <c r="N1" s="686"/>
      <c r="O1" s="686"/>
      <c r="P1" s="686"/>
      <c r="Q1" s="686"/>
      <c r="R1" s="686"/>
      <c r="S1" s="686"/>
      <c r="T1" s="686"/>
      <c r="U1" s="686"/>
      <c r="V1" s="686"/>
      <c r="W1" s="686"/>
      <c r="X1" s="686"/>
      <c r="Y1" s="686"/>
      <c r="Z1" s="686"/>
      <c r="AA1" s="686"/>
      <c r="AB1" s="686"/>
      <c r="AC1" s="686"/>
      <c r="AD1" s="686"/>
      <c r="AE1" s="686"/>
      <c r="AF1" s="686"/>
      <c r="AG1" s="686"/>
      <c r="AH1" s="686"/>
      <c r="AI1" s="686"/>
      <c r="AJ1" s="686"/>
      <c r="AK1" s="686"/>
      <c r="AL1" s="686"/>
      <c r="AM1" s="686"/>
      <c r="AN1" s="686"/>
      <c r="AO1" s="686"/>
      <c r="AP1" s="686"/>
      <c r="AQ1" s="686"/>
      <c r="AR1" s="686"/>
      <c r="AS1" s="686"/>
      <c r="AT1" s="686"/>
      <c r="AU1" s="686"/>
      <c r="AV1" s="686"/>
      <c r="AW1" s="686"/>
      <c r="AX1" s="686"/>
      <c r="AY1" s="686"/>
      <c r="AZ1" s="686"/>
      <c r="BA1" s="686"/>
      <c r="BB1" s="686"/>
      <c r="BC1" s="686"/>
      <c r="BD1" s="686"/>
      <c r="BE1" s="686"/>
      <c r="BF1" s="686"/>
      <c r="BG1" s="686"/>
      <c r="BH1" s="686"/>
      <c r="BI1" s="686"/>
      <c r="BJ1" s="686"/>
      <c r="BK1" s="686"/>
      <c r="BL1" s="686"/>
      <c r="BM1" s="686"/>
      <c r="BN1" s="686"/>
      <c r="BO1" s="686"/>
      <c r="BP1" s="686"/>
      <c r="BQ1" s="686"/>
      <c r="BR1" s="686"/>
      <c r="BS1" s="686"/>
      <c r="BT1" s="686"/>
      <c r="BU1" s="686"/>
      <c r="BV1" s="686"/>
      <c r="BW1" s="686"/>
      <c r="BX1" s="686"/>
      <c r="BY1" s="686"/>
      <c r="BZ1" s="686"/>
      <c r="CA1" s="686"/>
      <c r="CB1" s="686"/>
      <c r="CC1" s="686"/>
      <c r="CD1" s="686"/>
      <c r="CE1" s="686"/>
      <c r="CF1" s="686"/>
      <c r="CG1" s="686"/>
      <c r="CH1" s="686"/>
      <c r="CI1" s="686"/>
      <c r="CJ1" s="686"/>
      <c r="CK1" s="686"/>
      <c r="CL1" s="686"/>
      <c r="CM1" s="686"/>
      <c r="CN1" s="686"/>
      <c r="CO1" s="686"/>
      <c r="CP1" s="686"/>
      <c r="CQ1" s="686"/>
    </row>
    <row r="2" spans="1:121" x14ac:dyDescent="0.2">
      <c r="D2" s="6"/>
      <c r="E2" s="6"/>
      <c r="F2" s="6"/>
      <c r="G2" s="6"/>
      <c r="H2" s="6"/>
      <c r="I2" s="6"/>
      <c r="J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</row>
    <row r="3" spans="1:121" x14ac:dyDescent="0.2">
      <c r="A3" s="233"/>
      <c r="B3" s="728" t="str">
        <f>Fiscal_Year</f>
        <v>Fiscal Year</v>
      </c>
      <c r="C3" s="312"/>
      <c r="D3" s="312"/>
      <c r="E3" s="312"/>
      <c r="F3" s="312">
        <f t="shared" ref="F3:AK3" si="0">Fiscal_Year</f>
        <v>36707</v>
      </c>
      <c r="G3" s="312">
        <f t="shared" si="0"/>
        <v>37072</v>
      </c>
      <c r="H3" s="312">
        <f t="shared" si="0"/>
        <v>37437</v>
      </c>
      <c r="I3" s="312">
        <f t="shared" si="0"/>
        <v>37802</v>
      </c>
      <c r="J3" s="312">
        <f t="shared" si="0"/>
        <v>38168</v>
      </c>
      <c r="K3" s="312">
        <f t="shared" si="0"/>
        <v>38533</v>
      </c>
      <c r="L3" s="312">
        <f t="shared" si="0"/>
        <v>38898</v>
      </c>
      <c r="M3" s="312">
        <f t="shared" si="0"/>
        <v>39263</v>
      </c>
      <c r="N3" s="312">
        <f t="shared" si="0"/>
        <v>39629</v>
      </c>
      <c r="O3" s="312">
        <f t="shared" si="0"/>
        <v>39994</v>
      </c>
      <c r="P3" s="312">
        <f t="shared" si="0"/>
        <v>40359</v>
      </c>
      <c r="Q3" s="312">
        <f t="shared" si="0"/>
        <v>40724</v>
      </c>
      <c r="R3" s="312">
        <f t="shared" si="0"/>
        <v>41090</v>
      </c>
      <c r="S3" s="312">
        <f t="shared" si="0"/>
        <v>41455</v>
      </c>
      <c r="T3" s="312">
        <f t="shared" si="0"/>
        <v>41820</v>
      </c>
      <c r="U3" s="312">
        <f t="shared" si="0"/>
        <v>42185</v>
      </c>
      <c r="V3" s="312">
        <f t="shared" si="0"/>
        <v>42551</v>
      </c>
      <c r="W3" s="312">
        <f t="shared" si="0"/>
        <v>42916</v>
      </c>
      <c r="X3" s="312">
        <f t="shared" si="0"/>
        <v>43281</v>
      </c>
      <c r="Y3" s="312">
        <f t="shared" si="0"/>
        <v>43646</v>
      </c>
      <c r="Z3" s="312">
        <f t="shared" si="0"/>
        <v>44012</v>
      </c>
      <c r="AA3" s="312">
        <f t="shared" si="0"/>
        <v>44377</v>
      </c>
      <c r="AB3" s="312">
        <f t="shared" si="0"/>
        <v>44742</v>
      </c>
      <c r="AC3" s="312">
        <f t="shared" si="0"/>
        <v>45107</v>
      </c>
      <c r="AD3" s="312">
        <f t="shared" si="0"/>
        <v>45473</v>
      </c>
      <c r="AE3" s="312">
        <f t="shared" si="0"/>
        <v>45838</v>
      </c>
      <c r="AF3" s="312">
        <f t="shared" si="0"/>
        <v>46203</v>
      </c>
      <c r="AG3" s="312">
        <f t="shared" si="0"/>
        <v>46568</v>
      </c>
      <c r="AH3" s="312">
        <f t="shared" si="0"/>
        <v>46934</v>
      </c>
      <c r="AI3" s="312">
        <f t="shared" si="0"/>
        <v>47299</v>
      </c>
      <c r="AJ3" s="312">
        <f t="shared" si="0"/>
        <v>47664</v>
      </c>
      <c r="AK3" s="312">
        <f t="shared" si="0"/>
        <v>48029</v>
      </c>
      <c r="AL3" s="312">
        <f t="shared" ref="AL3:CP3" si="1">Fiscal_Year</f>
        <v>48395</v>
      </c>
      <c r="AM3" s="312">
        <f t="shared" si="1"/>
        <v>48760</v>
      </c>
      <c r="AN3" s="312">
        <f t="shared" si="1"/>
        <v>49125</v>
      </c>
      <c r="AO3" s="312">
        <f t="shared" si="1"/>
        <v>49490</v>
      </c>
      <c r="AP3" s="312">
        <f t="shared" si="1"/>
        <v>49856</v>
      </c>
      <c r="AQ3" s="312">
        <f t="shared" si="1"/>
        <v>50221</v>
      </c>
      <c r="AR3" s="312">
        <f t="shared" si="1"/>
        <v>50586</v>
      </c>
      <c r="AS3" s="312">
        <f t="shared" si="1"/>
        <v>50951</v>
      </c>
      <c r="AT3" s="312">
        <f t="shared" si="1"/>
        <v>51317</v>
      </c>
      <c r="AU3" s="312">
        <f t="shared" si="1"/>
        <v>51682</v>
      </c>
      <c r="AV3" s="312">
        <f t="shared" si="1"/>
        <v>52047</v>
      </c>
      <c r="AW3" s="312">
        <f t="shared" si="1"/>
        <v>52412</v>
      </c>
      <c r="AX3" s="312">
        <f t="shared" si="1"/>
        <v>52778</v>
      </c>
      <c r="AY3" s="312">
        <f t="shared" si="1"/>
        <v>53143</v>
      </c>
      <c r="AZ3" s="312">
        <f t="shared" si="1"/>
        <v>53508</v>
      </c>
      <c r="BA3" s="312">
        <f t="shared" si="1"/>
        <v>53873</v>
      </c>
      <c r="BB3" s="312">
        <f t="shared" si="1"/>
        <v>54239</v>
      </c>
      <c r="BC3" s="312">
        <f t="shared" si="1"/>
        <v>54604</v>
      </c>
      <c r="BD3" s="312">
        <f t="shared" si="1"/>
        <v>54969</v>
      </c>
      <c r="BE3" s="312">
        <f t="shared" si="1"/>
        <v>55334</v>
      </c>
      <c r="BF3" s="312">
        <f t="shared" si="1"/>
        <v>55700</v>
      </c>
      <c r="BG3" s="312">
        <f t="shared" si="1"/>
        <v>56065</v>
      </c>
      <c r="BH3" s="312">
        <f t="shared" si="1"/>
        <v>56430</v>
      </c>
      <c r="BI3" s="312">
        <f t="shared" si="1"/>
        <v>56795</v>
      </c>
      <c r="BJ3" s="312">
        <f t="shared" si="1"/>
        <v>57161</v>
      </c>
      <c r="BK3" s="312">
        <f t="shared" si="1"/>
        <v>57526</v>
      </c>
      <c r="BL3" s="312">
        <f t="shared" si="1"/>
        <v>57891</v>
      </c>
      <c r="BM3" s="312">
        <f t="shared" si="1"/>
        <v>58256</v>
      </c>
      <c r="BN3" s="312">
        <f t="shared" si="1"/>
        <v>58622</v>
      </c>
      <c r="BO3" s="312">
        <f t="shared" si="1"/>
        <v>58987</v>
      </c>
      <c r="BP3" s="312">
        <f t="shared" si="1"/>
        <v>59352</v>
      </c>
      <c r="BQ3" s="312">
        <f t="shared" si="1"/>
        <v>59717</v>
      </c>
      <c r="BR3" s="312">
        <f t="shared" si="1"/>
        <v>60083</v>
      </c>
      <c r="BS3" s="312">
        <f t="shared" si="1"/>
        <v>60448</v>
      </c>
      <c r="BT3" s="312">
        <f t="shared" si="1"/>
        <v>60813</v>
      </c>
      <c r="BU3" s="312">
        <f t="shared" si="1"/>
        <v>61178</v>
      </c>
      <c r="BV3" s="312">
        <f t="shared" si="1"/>
        <v>61544</v>
      </c>
      <c r="BW3" s="312">
        <f t="shared" si="1"/>
        <v>61909</v>
      </c>
      <c r="BX3" s="312">
        <f t="shared" si="1"/>
        <v>62274</v>
      </c>
      <c r="BY3" s="312">
        <f t="shared" si="1"/>
        <v>62639</v>
      </c>
      <c r="BZ3" s="312">
        <f t="shared" si="1"/>
        <v>63005</v>
      </c>
      <c r="CA3" s="312">
        <f t="shared" si="1"/>
        <v>63370</v>
      </c>
      <c r="CB3" s="312">
        <f t="shared" si="1"/>
        <v>63735</v>
      </c>
      <c r="CC3" s="312">
        <f t="shared" si="1"/>
        <v>64100</v>
      </c>
      <c r="CD3" s="312">
        <f t="shared" si="1"/>
        <v>64466</v>
      </c>
      <c r="CE3" s="312">
        <f t="shared" si="1"/>
        <v>64831</v>
      </c>
      <c r="CF3" s="312">
        <f t="shared" si="1"/>
        <v>65196</v>
      </c>
      <c r="CG3" s="312">
        <f t="shared" si="1"/>
        <v>65561</v>
      </c>
      <c r="CH3" s="312">
        <f t="shared" si="1"/>
        <v>65927</v>
      </c>
      <c r="CI3" s="312">
        <f t="shared" si="1"/>
        <v>66292</v>
      </c>
      <c r="CJ3" s="312">
        <f t="shared" si="1"/>
        <v>66657</v>
      </c>
      <c r="CK3" s="312">
        <f t="shared" si="1"/>
        <v>67022</v>
      </c>
      <c r="CL3" s="312">
        <f t="shared" si="1"/>
        <v>67388</v>
      </c>
      <c r="CM3" s="312">
        <f t="shared" si="1"/>
        <v>67753</v>
      </c>
      <c r="CN3" s="312">
        <f t="shared" si="1"/>
        <v>68118</v>
      </c>
      <c r="CO3" s="312">
        <f t="shared" si="1"/>
        <v>68483</v>
      </c>
      <c r="CP3" s="312">
        <f t="shared" si="1"/>
        <v>68849</v>
      </c>
      <c r="CQ3" s="6" t="s">
        <v>77</v>
      </c>
      <c r="CR3" s="233"/>
    </row>
    <row r="4" spans="1:121" x14ac:dyDescent="0.2">
      <c r="A4" s="98"/>
      <c r="B4" s="98" t="s">
        <v>11</v>
      </c>
      <c r="C4" s="25"/>
      <c r="D4" s="118"/>
      <c r="E4" s="118"/>
      <c r="F4" s="118" t="str">
        <f t="shared" ref="F4:AK4" si="2">"FY"&amp;RIGHT(YEAR(F3),2)</f>
        <v>FY00</v>
      </c>
      <c r="G4" s="118" t="str">
        <f t="shared" si="2"/>
        <v>FY01</v>
      </c>
      <c r="H4" s="118" t="str">
        <f t="shared" si="2"/>
        <v>FY02</v>
      </c>
      <c r="I4" s="118" t="str">
        <f t="shared" si="2"/>
        <v>FY03</v>
      </c>
      <c r="J4" s="118" t="str">
        <f t="shared" si="2"/>
        <v>FY04</v>
      </c>
      <c r="K4" s="118" t="str">
        <f t="shared" si="2"/>
        <v>FY05</v>
      </c>
      <c r="L4" s="118" t="str">
        <f t="shared" si="2"/>
        <v>FY06</v>
      </c>
      <c r="M4" s="118" t="str">
        <f t="shared" si="2"/>
        <v>FY07</v>
      </c>
      <c r="N4" s="118" t="str">
        <f t="shared" si="2"/>
        <v>FY08</v>
      </c>
      <c r="O4" s="118" t="str">
        <f t="shared" si="2"/>
        <v>FY09</v>
      </c>
      <c r="P4" s="118" t="str">
        <f t="shared" si="2"/>
        <v>FY10</v>
      </c>
      <c r="Q4" s="118" t="str">
        <f t="shared" si="2"/>
        <v>FY11</v>
      </c>
      <c r="R4" s="118" t="str">
        <f t="shared" si="2"/>
        <v>FY12</v>
      </c>
      <c r="S4" s="118" t="str">
        <f t="shared" si="2"/>
        <v>FY13</v>
      </c>
      <c r="T4" s="118" t="str">
        <f t="shared" si="2"/>
        <v>FY14</v>
      </c>
      <c r="U4" s="118" t="str">
        <f t="shared" si="2"/>
        <v>FY15</v>
      </c>
      <c r="V4" s="118" t="str">
        <f t="shared" si="2"/>
        <v>FY16</v>
      </c>
      <c r="W4" s="118" t="str">
        <f t="shared" si="2"/>
        <v>FY17</v>
      </c>
      <c r="X4" s="118" t="str">
        <f t="shared" si="2"/>
        <v>FY18</v>
      </c>
      <c r="Y4" s="118" t="str">
        <f t="shared" si="2"/>
        <v>FY19</v>
      </c>
      <c r="Z4" s="118" t="str">
        <f t="shared" si="2"/>
        <v>FY20</v>
      </c>
      <c r="AA4" s="118" t="str">
        <f t="shared" si="2"/>
        <v>FY21</v>
      </c>
      <c r="AB4" s="118" t="str">
        <f t="shared" si="2"/>
        <v>FY22</v>
      </c>
      <c r="AC4" s="118" t="str">
        <f t="shared" si="2"/>
        <v>FY23</v>
      </c>
      <c r="AD4" s="118" t="str">
        <f t="shared" si="2"/>
        <v>FY24</v>
      </c>
      <c r="AE4" s="118" t="str">
        <f t="shared" si="2"/>
        <v>FY25</v>
      </c>
      <c r="AF4" s="118" t="str">
        <f t="shared" si="2"/>
        <v>FY26</v>
      </c>
      <c r="AG4" s="118" t="str">
        <f t="shared" si="2"/>
        <v>FY27</v>
      </c>
      <c r="AH4" s="118" t="str">
        <f t="shared" si="2"/>
        <v>FY28</v>
      </c>
      <c r="AI4" s="118" t="str">
        <f t="shared" si="2"/>
        <v>FY29</v>
      </c>
      <c r="AJ4" s="118" t="str">
        <f t="shared" si="2"/>
        <v>FY30</v>
      </c>
      <c r="AK4" s="118" t="str">
        <f t="shared" si="2"/>
        <v>FY31</v>
      </c>
      <c r="AL4" s="118" t="str">
        <f t="shared" ref="AL4:BD4" si="3">"FY"&amp;RIGHT(YEAR(AL3),2)</f>
        <v>FY32</v>
      </c>
      <c r="AM4" s="118" t="str">
        <f t="shared" si="3"/>
        <v>FY33</v>
      </c>
      <c r="AN4" s="118" t="str">
        <f t="shared" si="3"/>
        <v>FY34</v>
      </c>
      <c r="AO4" s="118" t="str">
        <f t="shared" si="3"/>
        <v>FY35</v>
      </c>
      <c r="AP4" s="118" t="str">
        <f t="shared" si="3"/>
        <v>FY36</v>
      </c>
      <c r="AQ4" s="118" t="str">
        <f t="shared" si="3"/>
        <v>FY37</v>
      </c>
      <c r="AR4" s="118" t="str">
        <f t="shared" si="3"/>
        <v>FY38</v>
      </c>
      <c r="AS4" s="118" t="str">
        <f t="shared" si="3"/>
        <v>FY39</v>
      </c>
      <c r="AT4" s="118" t="str">
        <f t="shared" si="3"/>
        <v>FY40</v>
      </c>
      <c r="AU4" s="118" t="str">
        <f t="shared" si="3"/>
        <v>FY41</v>
      </c>
      <c r="AV4" s="118" t="str">
        <f t="shared" si="3"/>
        <v>FY42</v>
      </c>
      <c r="AW4" s="118" t="str">
        <f t="shared" si="3"/>
        <v>FY43</v>
      </c>
      <c r="AX4" s="118" t="str">
        <f t="shared" si="3"/>
        <v>FY44</v>
      </c>
      <c r="AY4" s="118" t="str">
        <f t="shared" si="3"/>
        <v>FY45</v>
      </c>
      <c r="AZ4" s="118" t="str">
        <f t="shared" si="3"/>
        <v>FY46</v>
      </c>
      <c r="BA4" s="118" t="str">
        <f t="shared" si="3"/>
        <v>FY47</v>
      </c>
      <c r="BB4" s="118" t="str">
        <f t="shared" si="3"/>
        <v>FY48</v>
      </c>
      <c r="BC4" s="118" t="str">
        <f t="shared" si="3"/>
        <v>FY49</v>
      </c>
      <c r="BD4" s="118" t="str">
        <f t="shared" si="3"/>
        <v>FY50</v>
      </c>
      <c r="BE4" s="118" t="str">
        <f t="shared" ref="BE4:CP4" si="4">"FY"&amp;RIGHT(YEAR(BE3),2)</f>
        <v>FY51</v>
      </c>
      <c r="BF4" s="118" t="str">
        <f t="shared" si="4"/>
        <v>FY52</v>
      </c>
      <c r="BG4" s="118" t="str">
        <f t="shared" si="4"/>
        <v>FY53</v>
      </c>
      <c r="BH4" s="118" t="str">
        <f t="shared" si="4"/>
        <v>FY54</v>
      </c>
      <c r="BI4" s="118" t="str">
        <f t="shared" si="4"/>
        <v>FY55</v>
      </c>
      <c r="BJ4" s="118" t="str">
        <f t="shared" si="4"/>
        <v>FY56</v>
      </c>
      <c r="BK4" s="118" t="str">
        <f t="shared" si="4"/>
        <v>FY57</v>
      </c>
      <c r="BL4" s="118" t="str">
        <f t="shared" si="4"/>
        <v>FY58</v>
      </c>
      <c r="BM4" s="118" t="str">
        <f t="shared" si="4"/>
        <v>FY59</v>
      </c>
      <c r="BN4" s="118" t="str">
        <f t="shared" si="4"/>
        <v>FY60</v>
      </c>
      <c r="BO4" s="118" t="str">
        <f t="shared" si="4"/>
        <v>FY61</v>
      </c>
      <c r="BP4" s="118" t="str">
        <f t="shared" si="4"/>
        <v>FY62</v>
      </c>
      <c r="BQ4" s="118" t="str">
        <f t="shared" si="4"/>
        <v>FY63</v>
      </c>
      <c r="BR4" s="118" t="str">
        <f t="shared" si="4"/>
        <v>FY64</v>
      </c>
      <c r="BS4" s="118" t="str">
        <f t="shared" si="4"/>
        <v>FY65</v>
      </c>
      <c r="BT4" s="118" t="str">
        <f t="shared" si="4"/>
        <v>FY66</v>
      </c>
      <c r="BU4" s="118" t="str">
        <f t="shared" si="4"/>
        <v>FY67</v>
      </c>
      <c r="BV4" s="118" t="str">
        <f t="shared" si="4"/>
        <v>FY68</v>
      </c>
      <c r="BW4" s="118" t="str">
        <f t="shared" si="4"/>
        <v>FY69</v>
      </c>
      <c r="BX4" s="118" t="str">
        <f t="shared" si="4"/>
        <v>FY70</v>
      </c>
      <c r="BY4" s="118" t="str">
        <f t="shared" si="4"/>
        <v>FY71</v>
      </c>
      <c r="BZ4" s="118" t="str">
        <f t="shared" si="4"/>
        <v>FY72</v>
      </c>
      <c r="CA4" s="118" t="str">
        <f t="shared" si="4"/>
        <v>FY73</v>
      </c>
      <c r="CB4" s="118" t="str">
        <f t="shared" si="4"/>
        <v>FY74</v>
      </c>
      <c r="CC4" s="118" t="str">
        <f t="shared" si="4"/>
        <v>FY75</v>
      </c>
      <c r="CD4" s="118" t="str">
        <f t="shared" si="4"/>
        <v>FY76</v>
      </c>
      <c r="CE4" s="118" t="str">
        <f t="shared" si="4"/>
        <v>FY77</v>
      </c>
      <c r="CF4" s="118" t="str">
        <f t="shared" si="4"/>
        <v>FY78</v>
      </c>
      <c r="CG4" s="118" t="str">
        <f t="shared" si="4"/>
        <v>FY79</v>
      </c>
      <c r="CH4" s="118" t="str">
        <f t="shared" si="4"/>
        <v>FY80</v>
      </c>
      <c r="CI4" s="118" t="str">
        <f t="shared" si="4"/>
        <v>FY81</v>
      </c>
      <c r="CJ4" s="118" t="str">
        <f t="shared" si="4"/>
        <v>FY82</v>
      </c>
      <c r="CK4" s="118" t="str">
        <f t="shared" si="4"/>
        <v>FY83</v>
      </c>
      <c r="CL4" s="118" t="str">
        <f t="shared" si="4"/>
        <v>FY84</v>
      </c>
      <c r="CM4" s="118" t="str">
        <f t="shared" si="4"/>
        <v>FY85</v>
      </c>
      <c r="CN4" s="118" t="str">
        <f t="shared" si="4"/>
        <v>FY86</v>
      </c>
      <c r="CO4" s="118" t="str">
        <f t="shared" si="4"/>
        <v>FY87</v>
      </c>
      <c r="CP4" s="118" t="str">
        <f t="shared" si="4"/>
        <v>FY88</v>
      </c>
      <c r="CQ4" s="6" t="s">
        <v>77</v>
      </c>
    </row>
    <row r="5" spans="1:121" ht="5.0999999999999996" customHeight="1" x14ac:dyDescent="0.2">
      <c r="D5" s="6"/>
      <c r="E5" s="6"/>
      <c r="F5" s="6"/>
      <c r="G5" s="6"/>
      <c r="H5" s="6"/>
      <c r="I5" s="6"/>
      <c r="J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 t="s">
        <v>77</v>
      </c>
    </row>
    <row r="6" spans="1:121" s="233" customFormat="1" x14ac:dyDescent="0.2">
      <c r="B6" s="728" t="s">
        <v>621</v>
      </c>
      <c r="C6" s="312"/>
      <c r="D6" s="312"/>
      <c r="E6" s="312"/>
      <c r="F6" s="312">
        <f t="shared" ref="F6:AK6" si="5">Fiscal_Year</f>
        <v>36707</v>
      </c>
      <c r="G6" s="312">
        <f t="shared" si="5"/>
        <v>37072</v>
      </c>
      <c r="H6" s="312">
        <f t="shared" si="5"/>
        <v>37437</v>
      </c>
      <c r="I6" s="312">
        <f t="shared" si="5"/>
        <v>37802</v>
      </c>
      <c r="J6" s="312">
        <f t="shared" si="5"/>
        <v>38168</v>
      </c>
      <c r="K6" s="312">
        <f t="shared" si="5"/>
        <v>38533</v>
      </c>
      <c r="L6" s="312">
        <f t="shared" si="5"/>
        <v>38898</v>
      </c>
      <c r="M6" s="312">
        <f t="shared" si="5"/>
        <v>39263</v>
      </c>
      <c r="N6" s="312">
        <f t="shared" si="5"/>
        <v>39629</v>
      </c>
      <c r="O6" s="312">
        <f t="shared" si="5"/>
        <v>39994</v>
      </c>
      <c r="P6" s="312">
        <f t="shared" si="5"/>
        <v>40359</v>
      </c>
      <c r="Q6" s="312">
        <f t="shared" si="5"/>
        <v>40724</v>
      </c>
      <c r="R6" s="312">
        <f t="shared" si="5"/>
        <v>41090</v>
      </c>
      <c r="S6" s="312">
        <f t="shared" si="5"/>
        <v>41455</v>
      </c>
      <c r="T6" s="312">
        <f t="shared" si="5"/>
        <v>41820</v>
      </c>
      <c r="U6" s="312">
        <f t="shared" si="5"/>
        <v>42185</v>
      </c>
      <c r="V6" s="312">
        <f t="shared" si="5"/>
        <v>42551</v>
      </c>
      <c r="W6" s="312">
        <f t="shared" si="5"/>
        <v>42916</v>
      </c>
      <c r="X6" s="312">
        <f t="shared" si="5"/>
        <v>43281</v>
      </c>
      <c r="Y6" s="312">
        <f t="shared" si="5"/>
        <v>43646</v>
      </c>
      <c r="Z6" s="312">
        <f t="shared" si="5"/>
        <v>44012</v>
      </c>
      <c r="AA6" s="312">
        <f t="shared" si="5"/>
        <v>44377</v>
      </c>
      <c r="AB6" s="312">
        <f t="shared" si="5"/>
        <v>44742</v>
      </c>
      <c r="AC6" s="312">
        <f t="shared" si="5"/>
        <v>45107</v>
      </c>
      <c r="AD6" s="312">
        <f t="shared" si="5"/>
        <v>45473</v>
      </c>
      <c r="AE6" s="312">
        <f t="shared" si="5"/>
        <v>45838</v>
      </c>
      <c r="AF6" s="312">
        <f t="shared" si="5"/>
        <v>46203</v>
      </c>
      <c r="AG6" s="312">
        <f t="shared" si="5"/>
        <v>46568</v>
      </c>
      <c r="AH6" s="312">
        <f t="shared" si="5"/>
        <v>46934</v>
      </c>
      <c r="AI6" s="312">
        <f t="shared" si="5"/>
        <v>47299</v>
      </c>
      <c r="AJ6" s="312">
        <f t="shared" si="5"/>
        <v>47664</v>
      </c>
      <c r="AK6" s="312">
        <f t="shared" si="5"/>
        <v>48029</v>
      </c>
      <c r="AL6" s="312">
        <f t="shared" ref="AL6:CP6" si="6">Fiscal_Year</f>
        <v>48395</v>
      </c>
      <c r="AM6" s="312">
        <f t="shared" si="6"/>
        <v>48760</v>
      </c>
      <c r="AN6" s="312">
        <f t="shared" si="6"/>
        <v>49125</v>
      </c>
      <c r="AO6" s="312">
        <f t="shared" si="6"/>
        <v>49490</v>
      </c>
      <c r="AP6" s="312">
        <f t="shared" si="6"/>
        <v>49856</v>
      </c>
      <c r="AQ6" s="312">
        <f t="shared" si="6"/>
        <v>50221</v>
      </c>
      <c r="AR6" s="312">
        <f t="shared" si="6"/>
        <v>50586</v>
      </c>
      <c r="AS6" s="312">
        <f t="shared" si="6"/>
        <v>50951</v>
      </c>
      <c r="AT6" s="312">
        <f t="shared" si="6"/>
        <v>51317</v>
      </c>
      <c r="AU6" s="312">
        <f t="shared" si="6"/>
        <v>51682</v>
      </c>
      <c r="AV6" s="312">
        <f t="shared" si="6"/>
        <v>52047</v>
      </c>
      <c r="AW6" s="312">
        <f t="shared" si="6"/>
        <v>52412</v>
      </c>
      <c r="AX6" s="312">
        <f t="shared" si="6"/>
        <v>52778</v>
      </c>
      <c r="AY6" s="312">
        <f t="shared" si="6"/>
        <v>53143</v>
      </c>
      <c r="AZ6" s="312">
        <f t="shared" si="6"/>
        <v>53508</v>
      </c>
      <c r="BA6" s="312">
        <f t="shared" si="6"/>
        <v>53873</v>
      </c>
      <c r="BB6" s="312">
        <f t="shared" si="6"/>
        <v>54239</v>
      </c>
      <c r="BC6" s="312">
        <f t="shared" si="6"/>
        <v>54604</v>
      </c>
      <c r="BD6" s="312">
        <f t="shared" si="6"/>
        <v>54969</v>
      </c>
      <c r="BE6" s="312">
        <f t="shared" si="6"/>
        <v>55334</v>
      </c>
      <c r="BF6" s="312">
        <f t="shared" si="6"/>
        <v>55700</v>
      </c>
      <c r="BG6" s="312">
        <f t="shared" si="6"/>
        <v>56065</v>
      </c>
      <c r="BH6" s="312">
        <f t="shared" si="6"/>
        <v>56430</v>
      </c>
      <c r="BI6" s="312">
        <f t="shared" si="6"/>
        <v>56795</v>
      </c>
      <c r="BJ6" s="312">
        <f t="shared" si="6"/>
        <v>57161</v>
      </c>
      <c r="BK6" s="312">
        <f t="shared" si="6"/>
        <v>57526</v>
      </c>
      <c r="BL6" s="312">
        <f t="shared" si="6"/>
        <v>57891</v>
      </c>
      <c r="BM6" s="312">
        <f t="shared" si="6"/>
        <v>58256</v>
      </c>
      <c r="BN6" s="312">
        <f t="shared" si="6"/>
        <v>58622</v>
      </c>
      <c r="BO6" s="312">
        <f t="shared" si="6"/>
        <v>58987</v>
      </c>
      <c r="BP6" s="312">
        <f t="shared" si="6"/>
        <v>59352</v>
      </c>
      <c r="BQ6" s="312">
        <f t="shared" si="6"/>
        <v>59717</v>
      </c>
      <c r="BR6" s="312">
        <f t="shared" si="6"/>
        <v>60083</v>
      </c>
      <c r="BS6" s="312">
        <f t="shared" si="6"/>
        <v>60448</v>
      </c>
      <c r="BT6" s="312">
        <f t="shared" si="6"/>
        <v>60813</v>
      </c>
      <c r="BU6" s="312">
        <f t="shared" si="6"/>
        <v>61178</v>
      </c>
      <c r="BV6" s="312">
        <f t="shared" si="6"/>
        <v>61544</v>
      </c>
      <c r="BW6" s="312">
        <f t="shared" si="6"/>
        <v>61909</v>
      </c>
      <c r="BX6" s="312">
        <f t="shared" si="6"/>
        <v>62274</v>
      </c>
      <c r="BY6" s="312">
        <f t="shared" si="6"/>
        <v>62639</v>
      </c>
      <c r="BZ6" s="312">
        <f t="shared" si="6"/>
        <v>63005</v>
      </c>
      <c r="CA6" s="312">
        <f t="shared" si="6"/>
        <v>63370</v>
      </c>
      <c r="CB6" s="312">
        <f t="shared" si="6"/>
        <v>63735</v>
      </c>
      <c r="CC6" s="312">
        <f t="shared" si="6"/>
        <v>64100</v>
      </c>
      <c r="CD6" s="312">
        <f t="shared" si="6"/>
        <v>64466</v>
      </c>
      <c r="CE6" s="312">
        <f t="shared" si="6"/>
        <v>64831</v>
      </c>
      <c r="CF6" s="312">
        <f t="shared" si="6"/>
        <v>65196</v>
      </c>
      <c r="CG6" s="312">
        <f t="shared" si="6"/>
        <v>65561</v>
      </c>
      <c r="CH6" s="312">
        <f t="shared" si="6"/>
        <v>65927</v>
      </c>
      <c r="CI6" s="312">
        <f t="shared" si="6"/>
        <v>66292</v>
      </c>
      <c r="CJ6" s="312">
        <f t="shared" si="6"/>
        <v>66657</v>
      </c>
      <c r="CK6" s="312">
        <f t="shared" si="6"/>
        <v>67022</v>
      </c>
      <c r="CL6" s="312">
        <f t="shared" si="6"/>
        <v>67388</v>
      </c>
      <c r="CM6" s="312">
        <f t="shared" si="6"/>
        <v>67753</v>
      </c>
      <c r="CN6" s="312">
        <f t="shared" si="6"/>
        <v>68118</v>
      </c>
      <c r="CO6" s="312">
        <f t="shared" si="6"/>
        <v>68483</v>
      </c>
      <c r="CP6" s="312">
        <f t="shared" si="6"/>
        <v>68849</v>
      </c>
      <c r="CQ6" s="6" t="s">
        <v>77</v>
      </c>
      <c r="DA6" s="104"/>
      <c r="DB6" s="687"/>
      <c r="DC6" s="472"/>
      <c r="DD6" s="688"/>
      <c r="DE6" s="688"/>
      <c r="DF6" s="688"/>
      <c r="DG6" s="688"/>
      <c r="DH6" s="688"/>
      <c r="DI6" s="688"/>
      <c r="DJ6" s="688"/>
      <c r="DK6" s="688"/>
      <c r="DL6" s="688"/>
      <c r="DM6" s="688"/>
      <c r="DN6" s="688"/>
      <c r="DO6" s="688"/>
      <c r="DP6" s="688"/>
      <c r="DQ6" s="688"/>
    </row>
    <row r="7" spans="1:121" ht="5.0999999999999996" customHeight="1" x14ac:dyDescent="0.2">
      <c r="B7" s="687"/>
      <c r="D7" s="688"/>
      <c r="K7" s="474"/>
      <c r="L7" s="474"/>
      <c r="M7" s="474"/>
      <c r="N7" s="474"/>
      <c r="O7" s="688"/>
      <c r="P7" s="688"/>
      <c r="Q7" s="688"/>
      <c r="R7" s="688"/>
      <c r="S7" s="688"/>
      <c r="T7" s="688"/>
      <c r="U7" s="688"/>
      <c r="V7" s="688"/>
      <c r="W7" s="688"/>
      <c r="X7" s="688"/>
      <c r="Y7" s="688"/>
      <c r="Z7" s="688"/>
      <c r="AA7" s="688"/>
      <c r="AB7" s="688"/>
      <c r="AC7" s="688"/>
      <c r="AD7" s="688"/>
      <c r="AE7" s="688"/>
      <c r="AF7" s="688"/>
      <c r="AG7" s="688"/>
      <c r="AH7" s="688"/>
      <c r="AI7" s="688"/>
      <c r="AJ7" s="688"/>
      <c r="AK7" s="688"/>
      <c r="AL7" s="688"/>
      <c r="AM7" s="688"/>
      <c r="AN7" s="688"/>
      <c r="AO7" s="688"/>
      <c r="AP7" s="688"/>
      <c r="AQ7" s="688"/>
      <c r="AR7" s="688"/>
      <c r="AS7" s="688"/>
      <c r="AT7" s="688"/>
      <c r="AU7" s="688"/>
      <c r="AV7" s="688"/>
      <c r="AW7" s="688"/>
      <c r="AX7" s="688"/>
      <c r="AY7" s="688"/>
      <c r="AZ7" s="688"/>
      <c r="BA7" s="688"/>
      <c r="BB7" s="688"/>
      <c r="BC7" s="688"/>
      <c r="BD7" s="688"/>
      <c r="BE7" s="688"/>
      <c r="BF7" s="688"/>
      <c r="BG7" s="688"/>
      <c r="BH7" s="688"/>
      <c r="BI7" s="688"/>
      <c r="BJ7" s="688"/>
      <c r="BK7" s="688"/>
      <c r="BL7" s="688"/>
      <c r="BM7" s="688"/>
      <c r="BN7" s="688"/>
      <c r="BO7" s="688"/>
      <c r="BP7" s="688"/>
      <c r="BQ7" s="688"/>
      <c r="BR7" s="688"/>
      <c r="BS7" s="688"/>
      <c r="BT7" s="688"/>
      <c r="BU7" s="688"/>
      <c r="BV7" s="688"/>
      <c r="BW7" s="688"/>
      <c r="BX7" s="688"/>
      <c r="BY7" s="688"/>
      <c r="BZ7" s="688"/>
      <c r="CA7" s="688"/>
      <c r="CB7" s="688"/>
      <c r="CC7" s="688"/>
      <c r="CD7" s="688"/>
      <c r="CE7" s="688"/>
      <c r="CF7" s="688"/>
      <c r="CG7" s="688"/>
      <c r="CH7" s="688"/>
      <c r="CI7" s="688"/>
      <c r="CJ7" s="688"/>
      <c r="CK7" s="688"/>
      <c r="CL7" s="688"/>
      <c r="CM7" s="688"/>
      <c r="CN7" s="688"/>
      <c r="CO7" s="688"/>
      <c r="CP7" s="688"/>
      <c r="CQ7" s="6" t="s">
        <v>77</v>
      </c>
    </row>
    <row r="8" spans="1:121" s="55" customFormat="1" ht="11.25" customHeight="1" outlineLevel="1" x14ac:dyDescent="0.2">
      <c r="B8" s="358" t="s">
        <v>587</v>
      </c>
      <c r="D8" s="358" t="s">
        <v>622</v>
      </c>
      <c r="E8" s="651"/>
      <c r="F8" s="109"/>
      <c r="G8" s="358" t="s">
        <v>985</v>
      </c>
      <c r="H8" s="652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269"/>
      <c r="V8" s="269"/>
      <c r="W8" s="269"/>
      <c r="X8" s="269"/>
      <c r="Y8" s="269"/>
      <c r="Z8" s="269"/>
      <c r="AA8" s="269"/>
      <c r="AB8" s="269"/>
      <c r="AC8" s="269"/>
      <c r="AD8" s="269"/>
      <c r="AE8" s="269"/>
      <c r="AF8" s="269"/>
      <c r="AG8" s="269"/>
      <c r="AH8" s="269"/>
      <c r="AI8" s="269"/>
      <c r="AJ8" s="269"/>
      <c r="AK8" s="269"/>
      <c r="AL8" s="269"/>
      <c r="AM8" s="269"/>
      <c r="AN8" s="269"/>
      <c r="AO8" s="269"/>
      <c r="AP8" s="269"/>
      <c r="AQ8" s="269"/>
      <c r="AR8" s="269"/>
      <c r="AS8" s="269"/>
      <c r="AT8" s="269"/>
      <c r="AU8" s="269"/>
      <c r="AV8" s="269"/>
      <c r="AW8" s="269"/>
      <c r="AX8" s="269"/>
      <c r="AY8" s="269"/>
      <c r="AZ8" s="269"/>
      <c r="BA8" s="269"/>
      <c r="BB8" s="269"/>
      <c r="BC8" s="269"/>
      <c r="BD8" s="269"/>
      <c r="BE8" s="269"/>
      <c r="BF8" s="269"/>
      <c r="BG8" s="269"/>
      <c r="BH8" s="269"/>
      <c r="BI8" s="269"/>
      <c r="BJ8" s="269"/>
      <c r="BK8" s="269"/>
      <c r="BL8" s="269"/>
      <c r="BM8" s="269"/>
      <c r="BN8" s="269"/>
      <c r="BO8" s="269"/>
      <c r="BP8" s="269"/>
      <c r="BQ8" s="269"/>
      <c r="BR8" s="269"/>
      <c r="BS8" s="269"/>
      <c r="BT8" s="269"/>
      <c r="BU8" s="269"/>
      <c r="BV8" s="269"/>
      <c r="BW8" s="269"/>
      <c r="BX8" s="269"/>
      <c r="BY8" s="269"/>
      <c r="BZ8" s="269"/>
      <c r="CA8" s="269"/>
      <c r="CB8" s="269"/>
      <c r="CC8" s="269"/>
      <c r="CD8" s="269"/>
      <c r="CE8" s="269"/>
      <c r="CF8" s="269"/>
      <c r="CG8" s="269"/>
      <c r="CH8" s="269"/>
      <c r="CI8" s="269"/>
      <c r="CJ8" s="269"/>
      <c r="CK8" s="269"/>
      <c r="CL8" s="269"/>
      <c r="CM8" s="269"/>
      <c r="CN8" s="269"/>
      <c r="CO8" s="269"/>
      <c r="CP8" s="269"/>
      <c r="CQ8" s="6"/>
      <c r="DA8" s="109"/>
      <c r="DB8" s="110"/>
      <c r="DC8" s="109"/>
      <c r="DD8" s="111"/>
      <c r="DE8" s="111"/>
      <c r="DF8" s="111"/>
      <c r="DG8" s="111"/>
      <c r="DH8" s="111"/>
      <c r="DI8" s="112"/>
      <c r="DJ8" s="112"/>
      <c r="DK8" s="112"/>
      <c r="DL8" s="109"/>
      <c r="DM8" s="109"/>
      <c r="DN8" s="109"/>
      <c r="DO8" s="109"/>
      <c r="DP8" s="109"/>
      <c r="DQ8" s="109"/>
    </row>
    <row r="9" spans="1:121" s="55" customFormat="1" ht="11.25" customHeight="1" outlineLevel="1" x14ac:dyDescent="0.2">
      <c r="B9" s="689" t="s">
        <v>620</v>
      </c>
      <c r="D9" s="461">
        <v>1</v>
      </c>
      <c r="E9" s="753"/>
      <c r="G9" s="752">
        <v>1</v>
      </c>
      <c r="I9" s="461">
        <v>1</v>
      </c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269"/>
      <c r="V9" s="269"/>
      <c r="W9" s="269"/>
      <c r="X9" s="269"/>
      <c r="Y9" s="269"/>
      <c r="Z9" s="269"/>
      <c r="AA9" s="269"/>
      <c r="AB9" s="269"/>
      <c r="AC9" s="269"/>
      <c r="AD9" s="269"/>
      <c r="AE9" s="269"/>
      <c r="AF9" s="269"/>
      <c r="AG9" s="269"/>
      <c r="AH9" s="269"/>
      <c r="AI9" s="269"/>
      <c r="AJ9" s="269"/>
      <c r="AK9" s="269"/>
      <c r="AL9" s="269"/>
      <c r="AM9" s="269"/>
      <c r="AN9" s="269"/>
      <c r="AO9" s="269"/>
      <c r="AP9" s="269"/>
      <c r="AQ9" s="269"/>
      <c r="AR9" s="269"/>
      <c r="AS9" s="269"/>
      <c r="AT9" s="269"/>
      <c r="AU9" s="269"/>
      <c r="AV9" s="269"/>
      <c r="AW9" s="269"/>
      <c r="AX9" s="269"/>
      <c r="AY9" s="269"/>
      <c r="AZ9" s="269"/>
      <c r="BA9" s="269"/>
      <c r="BB9" s="269"/>
      <c r="BC9" s="269"/>
      <c r="BD9" s="269"/>
      <c r="BE9" s="269"/>
      <c r="BF9" s="269"/>
      <c r="BG9" s="269"/>
      <c r="BH9" s="269"/>
      <c r="BI9" s="269"/>
      <c r="BJ9" s="269"/>
      <c r="BK9" s="269"/>
      <c r="BL9" s="269"/>
      <c r="BM9" s="269"/>
      <c r="BN9" s="269"/>
      <c r="BO9" s="269"/>
      <c r="BP9" s="269"/>
      <c r="BQ9" s="269"/>
      <c r="BR9" s="269"/>
      <c r="BS9" s="269"/>
      <c r="BT9" s="269"/>
      <c r="BU9" s="269"/>
      <c r="BV9" s="269"/>
      <c r="BW9" s="269"/>
      <c r="BX9" s="269"/>
      <c r="BY9" s="269"/>
      <c r="BZ9" s="269"/>
      <c r="CA9" s="269"/>
      <c r="CB9" s="269"/>
      <c r="CC9" s="269"/>
      <c r="CD9" s="269"/>
      <c r="CE9" s="269"/>
      <c r="CF9" s="269"/>
      <c r="CG9" s="269"/>
      <c r="CH9" s="269"/>
      <c r="CI9" s="269"/>
      <c r="CJ9" s="269"/>
      <c r="CK9" s="269"/>
      <c r="CL9" s="269"/>
      <c r="CM9" s="269"/>
      <c r="CN9" s="269"/>
      <c r="CO9" s="269"/>
      <c r="CP9" s="269"/>
      <c r="CQ9" s="6" t="s">
        <v>77</v>
      </c>
      <c r="DA9" s="109"/>
      <c r="DB9" s="110"/>
      <c r="DC9" s="109"/>
      <c r="DD9" s="111"/>
      <c r="DE9" s="111"/>
      <c r="DF9" s="111"/>
      <c r="DG9" s="111"/>
      <c r="DH9" s="111"/>
      <c r="DI9" s="112"/>
      <c r="DJ9" s="112"/>
      <c r="DK9" s="112"/>
      <c r="DL9" s="109"/>
      <c r="DM9" s="109"/>
      <c r="DN9" s="109"/>
      <c r="DO9" s="109"/>
      <c r="DP9" s="109"/>
      <c r="DQ9" s="109"/>
    </row>
    <row r="10" spans="1:121" s="55" customFormat="1" ht="11.25" customHeight="1" outlineLevel="1" x14ac:dyDescent="0.2">
      <c r="B10" s="690" t="s">
        <v>623</v>
      </c>
      <c r="D10" s="461">
        <v>0.93269852038221224</v>
      </c>
      <c r="E10" s="461"/>
      <c r="G10" s="752">
        <v>0.75</v>
      </c>
      <c r="I10" s="461">
        <v>0.9062846134369148</v>
      </c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269"/>
      <c r="V10" s="269"/>
      <c r="W10" s="269"/>
      <c r="X10" s="269"/>
      <c r="Y10" s="269"/>
      <c r="Z10" s="269"/>
      <c r="AA10" s="269"/>
      <c r="AB10" s="269"/>
      <c r="AC10" s="269"/>
      <c r="AD10" s="269"/>
      <c r="AE10" s="269"/>
      <c r="AF10" s="269"/>
      <c r="AG10" s="269"/>
      <c r="AH10" s="269"/>
      <c r="AI10" s="269"/>
      <c r="AJ10" s="269"/>
      <c r="AK10" s="269"/>
      <c r="AL10" s="269"/>
      <c r="AM10" s="269"/>
      <c r="AN10" s="269"/>
      <c r="AO10" s="269"/>
      <c r="AP10" s="269"/>
      <c r="AQ10" s="269"/>
      <c r="AR10" s="269"/>
      <c r="AS10" s="269"/>
      <c r="AT10" s="269"/>
      <c r="AU10" s="269"/>
      <c r="AV10" s="269"/>
      <c r="AW10" s="269"/>
      <c r="AX10" s="269"/>
      <c r="AY10" s="269"/>
      <c r="AZ10" s="269"/>
      <c r="BA10" s="269"/>
      <c r="BB10" s="269"/>
      <c r="BC10" s="269"/>
      <c r="BD10" s="269"/>
      <c r="BE10" s="269"/>
      <c r="BF10" s="269"/>
      <c r="BG10" s="269"/>
      <c r="BH10" s="269"/>
      <c r="BI10" s="269"/>
      <c r="BJ10" s="269"/>
      <c r="BK10" s="269"/>
      <c r="BL10" s="269"/>
      <c r="BM10" s="269"/>
      <c r="BN10" s="269"/>
      <c r="BO10" s="269"/>
      <c r="BP10" s="269"/>
      <c r="BQ10" s="269"/>
      <c r="BR10" s="269"/>
      <c r="BS10" s="269"/>
      <c r="BT10" s="269"/>
      <c r="BU10" s="269"/>
      <c r="BV10" s="269"/>
      <c r="BW10" s="269"/>
      <c r="BX10" s="269"/>
      <c r="BY10" s="269"/>
      <c r="BZ10" s="269"/>
      <c r="CA10" s="269"/>
      <c r="CB10" s="269"/>
      <c r="CC10" s="269"/>
      <c r="CD10" s="269"/>
      <c r="CE10" s="269"/>
      <c r="CF10" s="269"/>
      <c r="CG10" s="269"/>
      <c r="CH10" s="269"/>
      <c r="CI10" s="269"/>
      <c r="CJ10" s="269"/>
      <c r="CK10" s="269"/>
      <c r="CL10" s="269"/>
      <c r="CM10" s="269"/>
      <c r="CN10" s="269"/>
      <c r="CO10" s="269"/>
      <c r="CP10" s="269"/>
      <c r="CQ10" s="6" t="s">
        <v>77</v>
      </c>
      <c r="DA10" s="109"/>
      <c r="DB10" s="110"/>
      <c r="DC10" s="109"/>
      <c r="DD10" s="111"/>
      <c r="DE10" s="111"/>
      <c r="DF10" s="111"/>
      <c r="DG10" s="111"/>
      <c r="DH10" s="111"/>
      <c r="DI10" s="112"/>
      <c r="DJ10" s="112"/>
      <c r="DK10" s="112"/>
      <c r="DL10" s="109"/>
      <c r="DM10" s="109"/>
      <c r="DN10" s="109"/>
      <c r="DO10" s="109"/>
      <c r="DP10" s="109"/>
      <c r="DQ10" s="109"/>
    </row>
    <row r="11" spans="1:121" s="55" customFormat="1" ht="11.25" customHeight="1" outlineLevel="1" x14ac:dyDescent="0.2">
      <c r="B11" s="690" t="s">
        <v>624</v>
      </c>
      <c r="D11" s="461">
        <v>0.8322059038275248</v>
      </c>
      <c r="E11" s="461"/>
      <c r="G11" s="752">
        <v>0.5</v>
      </c>
      <c r="I11" s="461">
        <v>0.80365091779328302</v>
      </c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269"/>
      <c r="V11" s="269"/>
      <c r="W11" s="269"/>
      <c r="X11" s="269"/>
      <c r="Y11" s="269"/>
      <c r="Z11" s="269"/>
      <c r="AA11" s="269"/>
      <c r="AB11" s="269"/>
      <c r="AC11" s="269"/>
      <c r="AD11" s="269"/>
      <c r="AE11" s="269"/>
      <c r="AF11" s="269"/>
      <c r="AG11" s="269"/>
      <c r="AH11" s="269"/>
      <c r="AI11" s="269"/>
      <c r="AJ11" s="269"/>
      <c r="AK11" s="269"/>
      <c r="AL11" s="269"/>
      <c r="AM11" s="269"/>
      <c r="AN11" s="269"/>
      <c r="AO11" s="269"/>
      <c r="AP11" s="269"/>
      <c r="AQ11" s="269"/>
      <c r="AR11" s="269"/>
      <c r="AS11" s="269"/>
      <c r="AT11" s="269"/>
      <c r="AU11" s="269"/>
      <c r="AV11" s="269"/>
      <c r="AW11" s="269"/>
      <c r="AX11" s="269"/>
      <c r="AY11" s="269"/>
      <c r="AZ11" s="269"/>
      <c r="BA11" s="269"/>
      <c r="BB11" s="269"/>
      <c r="BC11" s="269"/>
      <c r="BD11" s="269"/>
      <c r="BE11" s="269"/>
      <c r="BF11" s="269"/>
      <c r="BG11" s="269"/>
      <c r="BH11" s="269"/>
      <c r="BI11" s="269"/>
      <c r="BJ11" s="269"/>
      <c r="BK11" s="269"/>
      <c r="BL11" s="269"/>
      <c r="BM11" s="269"/>
      <c r="BN11" s="269"/>
      <c r="BO11" s="269"/>
      <c r="BP11" s="269"/>
      <c r="BQ11" s="269"/>
      <c r="BR11" s="269"/>
      <c r="BS11" s="269"/>
      <c r="BT11" s="269"/>
      <c r="BU11" s="269"/>
      <c r="BV11" s="269"/>
      <c r="BW11" s="269"/>
      <c r="BX11" s="269"/>
      <c r="BY11" s="269"/>
      <c r="BZ11" s="269"/>
      <c r="CA11" s="269"/>
      <c r="CB11" s="269"/>
      <c r="CC11" s="269"/>
      <c r="CD11" s="269"/>
      <c r="CE11" s="269"/>
      <c r="CF11" s="269"/>
      <c r="CG11" s="269"/>
      <c r="CH11" s="269"/>
      <c r="CI11" s="269"/>
      <c r="CJ11" s="269"/>
      <c r="CK11" s="269"/>
      <c r="CL11" s="269"/>
      <c r="CM11" s="269"/>
      <c r="CN11" s="269"/>
      <c r="CO11" s="269"/>
      <c r="CP11" s="269"/>
      <c r="CQ11" s="6" t="s">
        <v>77</v>
      </c>
      <c r="DA11" s="109"/>
      <c r="DB11" s="110"/>
      <c r="DC11" s="109"/>
      <c r="DD11" s="111"/>
      <c r="DE11" s="111"/>
      <c r="DF11" s="111"/>
      <c r="DG11" s="111"/>
      <c r="DH11" s="111"/>
      <c r="DI11" s="112"/>
      <c r="DJ11" s="112"/>
      <c r="DK11" s="112"/>
      <c r="DL11" s="109"/>
      <c r="DM11" s="109"/>
      <c r="DN11" s="109"/>
      <c r="DO11" s="109"/>
      <c r="DP11" s="109"/>
      <c r="DQ11" s="109"/>
    </row>
    <row r="12" spans="1:121" s="55" customFormat="1" ht="11.25" customHeight="1" outlineLevel="1" x14ac:dyDescent="0.2">
      <c r="B12" s="690" t="s">
        <v>625</v>
      </c>
      <c r="D12" s="461">
        <v>0.62002482769899736</v>
      </c>
      <c r="E12" s="461"/>
      <c r="G12" s="752">
        <v>0.25</v>
      </c>
      <c r="I12" s="461">
        <v>0.58917385524909038</v>
      </c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269"/>
      <c r="V12" s="269"/>
      <c r="W12" s="269"/>
      <c r="X12" s="269"/>
      <c r="Y12" s="269"/>
      <c r="Z12" s="269"/>
      <c r="AA12" s="269"/>
      <c r="AB12" s="269"/>
      <c r="AC12" s="269"/>
      <c r="AD12" s="269"/>
      <c r="AE12" s="269"/>
      <c r="AF12" s="269"/>
      <c r="AG12" s="269"/>
      <c r="AH12" s="269"/>
      <c r="AI12" s="269"/>
      <c r="AJ12" s="269"/>
      <c r="AK12" s="269"/>
      <c r="AL12" s="269"/>
      <c r="AM12" s="269"/>
      <c r="AN12" s="269"/>
      <c r="AO12" s="269"/>
      <c r="AP12" s="269"/>
      <c r="AQ12" s="269"/>
      <c r="AR12" s="269"/>
      <c r="AS12" s="269"/>
      <c r="AT12" s="269"/>
      <c r="AU12" s="269"/>
      <c r="AV12" s="269"/>
      <c r="AW12" s="269"/>
      <c r="AX12" s="269"/>
      <c r="AY12" s="269"/>
      <c r="AZ12" s="269"/>
      <c r="BA12" s="269"/>
      <c r="BB12" s="269"/>
      <c r="BC12" s="269"/>
      <c r="BD12" s="269"/>
      <c r="BE12" s="269"/>
      <c r="BF12" s="269"/>
      <c r="BG12" s="269"/>
      <c r="BH12" s="269"/>
      <c r="BI12" s="269"/>
      <c r="BJ12" s="269"/>
      <c r="BK12" s="269"/>
      <c r="BL12" s="269"/>
      <c r="BM12" s="269"/>
      <c r="BN12" s="269"/>
      <c r="BO12" s="269"/>
      <c r="BP12" s="269"/>
      <c r="BQ12" s="269"/>
      <c r="BR12" s="269"/>
      <c r="BS12" s="269"/>
      <c r="BT12" s="269"/>
      <c r="BU12" s="269"/>
      <c r="BV12" s="269"/>
      <c r="BW12" s="269"/>
      <c r="BX12" s="269"/>
      <c r="BY12" s="269"/>
      <c r="BZ12" s="269"/>
      <c r="CA12" s="269"/>
      <c r="CB12" s="269"/>
      <c r="CC12" s="269"/>
      <c r="CD12" s="269"/>
      <c r="CE12" s="269"/>
      <c r="CF12" s="269"/>
      <c r="CG12" s="269"/>
      <c r="CH12" s="269"/>
      <c r="CI12" s="269"/>
      <c r="CJ12" s="269"/>
      <c r="CK12" s="269"/>
      <c r="CL12" s="269"/>
      <c r="CM12" s="269"/>
      <c r="CN12" s="269"/>
      <c r="CO12" s="269"/>
      <c r="CP12" s="269"/>
      <c r="CQ12" s="6" t="s">
        <v>77</v>
      </c>
      <c r="DA12" s="109"/>
      <c r="DB12" s="110"/>
      <c r="DC12" s="109"/>
      <c r="DD12" s="111"/>
      <c r="DE12" s="111"/>
      <c r="DF12" s="111"/>
      <c r="DG12" s="111"/>
      <c r="DH12" s="111"/>
      <c r="DI12" s="112"/>
      <c r="DJ12" s="112"/>
      <c r="DK12" s="112"/>
      <c r="DL12" s="109"/>
      <c r="DM12" s="109"/>
      <c r="DN12" s="109"/>
      <c r="DO12" s="109"/>
      <c r="DP12" s="109"/>
      <c r="DQ12" s="109"/>
    </row>
    <row r="13" spans="1:121" s="55" customFormat="1" ht="11.25" customHeight="1" outlineLevel="1" x14ac:dyDescent="0.2">
      <c r="B13" s="689" t="s">
        <v>576</v>
      </c>
      <c r="D13" s="461">
        <v>0</v>
      </c>
      <c r="E13" s="261">
        <v>0.1</v>
      </c>
      <c r="G13" s="752">
        <v>0</v>
      </c>
      <c r="I13" s="461">
        <v>0</v>
      </c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269"/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69"/>
      <c r="AK13" s="269"/>
      <c r="AL13" s="269"/>
      <c r="AM13" s="269"/>
      <c r="AN13" s="269"/>
      <c r="AO13" s="269"/>
      <c r="AP13" s="269"/>
      <c r="AQ13" s="269"/>
      <c r="AR13" s="269"/>
      <c r="AS13" s="269"/>
      <c r="AT13" s="269"/>
      <c r="AU13" s="269"/>
      <c r="AV13" s="269"/>
      <c r="AW13" s="269"/>
      <c r="AX13" s="269"/>
      <c r="AY13" s="269"/>
      <c r="AZ13" s="269"/>
      <c r="BA13" s="269"/>
      <c r="BB13" s="269"/>
      <c r="BC13" s="269"/>
      <c r="BD13" s="269"/>
      <c r="BE13" s="269"/>
      <c r="BF13" s="269"/>
      <c r="BG13" s="269"/>
      <c r="BH13" s="269"/>
      <c r="BI13" s="269"/>
      <c r="BJ13" s="269"/>
      <c r="BK13" s="269"/>
      <c r="BL13" s="269"/>
      <c r="BM13" s="269"/>
      <c r="BN13" s="269"/>
      <c r="BO13" s="269"/>
      <c r="BP13" s="269"/>
      <c r="BQ13" s="269"/>
      <c r="BR13" s="269"/>
      <c r="BS13" s="269"/>
      <c r="BT13" s="269"/>
      <c r="BU13" s="269"/>
      <c r="BV13" s="269"/>
      <c r="BW13" s="269"/>
      <c r="BX13" s="269"/>
      <c r="BY13" s="269"/>
      <c r="BZ13" s="269"/>
      <c r="CA13" s="269"/>
      <c r="CB13" s="269"/>
      <c r="CC13" s="269"/>
      <c r="CD13" s="269"/>
      <c r="CE13" s="269"/>
      <c r="CF13" s="269"/>
      <c r="CG13" s="269"/>
      <c r="CH13" s="269"/>
      <c r="CI13" s="269"/>
      <c r="CJ13" s="269"/>
      <c r="CK13" s="269"/>
      <c r="CL13" s="269"/>
      <c r="CM13" s="269"/>
      <c r="CN13" s="269"/>
      <c r="CO13" s="269"/>
      <c r="CP13" s="269"/>
      <c r="CQ13" s="6" t="s">
        <v>77</v>
      </c>
      <c r="DA13" s="109"/>
      <c r="DB13" s="110"/>
      <c r="DC13" s="109"/>
      <c r="DD13" s="111"/>
      <c r="DE13" s="111"/>
      <c r="DF13" s="111"/>
      <c r="DG13" s="111"/>
      <c r="DH13" s="111"/>
      <c r="DI13" s="112"/>
      <c r="DJ13" s="112"/>
      <c r="DK13" s="112"/>
      <c r="DL13" s="109"/>
      <c r="DM13" s="109"/>
      <c r="DN13" s="109"/>
      <c r="DO13" s="109"/>
      <c r="DP13" s="109"/>
      <c r="DQ13" s="109"/>
    </row>
    <row r="14" spans="1:121" s="55" customFormat="1" ht="11.25" customHeight="1" outlineLevel="1" x14ac:dyDescent="0.2">
      <c r="B14" s="650" t="s">
        <v>577</v>
      </c>
      <c r="D14" s="654">
        <f>INDEX(D9:D13,MATCH(G14,G9:G13,0))</f>
        <v>0.8322059038275248</v>
      </c>
      <c r="E14" s="111"/>
      <c r="G14" s="653">
        <v>0.5</v>
      </c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269"/>
      <c r="V14" s="269"/>
      <c r="W14" s="269"/>
      <c r="X14" s="269"/>
      <c r="Y14" s="269"/>
      <c r="Z14" s="269"/>
      <c r="AA14" s="269"/>
      <c r="AB14" s="269"/>
      <c r="AC14" s="269"/>
      <c r="AD14" s="269"/>
      <c r="AE14" s="269"/>
      <c r="AF14" s="269"/>
      <c r="AG14" s="269"/>
      <c r="AH14" s="269"/>
      <c r="AI14" s="269"/>
      <c r="AJ14" s="269"/>
      <c r="AK14" s="269"/>
      <c r="AL14" s="269"/>
      <c r="AM14" s="269"/>
      <c r="AN14" s="269"/>
      <c r="AO14" s="269"/>
      <c r="AP14" s="269"/>
      <c r="AQ14" s="269"/>
      <c r="AR14" s="269"/>
      <c r="AS14" s="269"/>
      <c r="AT14" s="269"/>
      <c r="AU14" s="269"/>
      <c r="AV14" s="269"/>
      <c r="AW14" s="269"/>
      <c r="AX14" s="269"/>
      <c r="AY14" s="269"/>
      <c r="AZ14" s="269"/>
      <c r="BA14" s="269"/>
      <c r="BB14" s="269"/>
      <c r="BC14" s="269"/>
      <c r="BD14" s="269"/>
      <c r="BE14" s="269"/>
      <c r="BF14" s="269"/>
      <c r="BG14" s="269"/>
      <c r="BH14" s="269"/>
      <c r="BI14" s="269"/>
      <c r="BJ14" s="269"/>
      <c r="BK14" s="269"/>
      <c r="BL14" s="269"/>
      <c r="BM14" s="269"/>
      <c r="BN14" s="269"/>
      <c r="BO14" s="269"/>
      <c r="BP14" s="269"/>
      <c r="BQ14" s="269"/>
      <c r="BR14" s="269"/>
      <c r="BS14" s="269"/>
      <c r="BT14" s="269"/>
      <c r="BU14" s="269"/>
      <c r="BV14" s="269"/>
      <c r="BW14" s="269"/>
      <c r="BX14" s="269"/>
      <c r="BY14" s="269"/>
      <c r="BZ14" s="269"/>
      <c r="CA14" s="269"/>
      <c r="CB14" s="269"/>
      <c r="CC14" s="269"/>
      <c r="CD14" s="269"/>
      <c r="CE14" s="269"/>
      <c r="CF14" s="269"/>
      <c r="CG14" s="269"/>
      <c r="CH14" s="269"/>
      <c r="CI14" s="269"/>
      <c r="CJ14" s="269"/>
      <c r="CK14" s="269"/>
      <c r="CL14" s="269"/>
      <c r="CM14" s="269"/>
      <c r="CN14" s="269"/>
      <c r="CO14" s="269"/>
      <c r="CP14" s="269"/>
      <c r="CQ14" s="6"/>
      <c r="DA14" s="109"/>
      <c r="DB14" s="110"/>
      <c r="DC14" s="109"/>
      <c r="DD14" s="111"/>
      <c r="DE14" s="111"/>
      <c r="DF14" s="111"/>
      <c r="DG14" s="111"/>
      <c r="DH14" s="111"/>
      <c r="DI14" s="112"/>
      <c r="DJ14" s="112"/>
      <c r="DK14" s="112"/>
      <c r="DL14" s="109"/>
      <c r="DM14" s="109"/>
      <c r="DN14" s="109"/>
      <c r="DO14" s="109"/>
      <c r="DP14" s="109"/>
      <c r="DQ14" s="109"/>
    </row>
    <row r="15" spans="1:121" s="55" customFormat="1" ht="11.25" customHeight="1" outlineLevel="1" x14ac:dyDescent="0.2">
      <c r="B15" s="318"/>
      <c r="D15" s="56"/>
      <c r="E15" s="56"/>
      <c r="F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269"/>
      <c r="V15" s="269"/>
      <c r="W15" s="269"/>
      <c r="X15" s="269"/>
      <c r="Y15" s="269"/>
      <c r="Z15" s="269"/>
      <c r="AA15" s="269"/>
      <c r="AB15" s="269"/>
      <c r="AC15" s="269"/>
      <c r="AD15" s="269"/>
      <c r="AE15" s="269"/>
      <c r="AF15" s="269"/>
      <c r="AG15" s="269"/>
      <c r="AH15" s="269"/>
      <c r="AI15" s="269"/>
      <c r="AJ15" s="269"/>
      <c r="AK15" s="269"/>
      <c r="AL15" s="269"/>
      <c r="AM15" s="269"/>
      <c r="AN15" s="269"/>
      <c r="AO15" s="269"/>
      <c r="AP15" s="269"/>
      <c r="AQ15" s="269"/>
      <c r="AR15" s="269"/>
      <c r="AS15" s="269"/>
      <c r="AT15" s="269"/>
      <c r="AU15" s="269"/>
      <c r="AV15" s="269"/>
      <c r="AW15" s="269"/>
      <c r="AX15" s="269"/>
      <c r="AY15" s="269"/>
      <c r="AZ15" s="269"/>
      <c r="BA15" s="269"/>
      <c r="BB15" s="269"/>
      <c r="BC15" s="269"/>
      <c r="BD15" s="269"/>
      <c r="BE15" s="269"/>
      <c r="BF15" s="269"/>
      <c r="BG15" s="269"/>
      <c r="BH15" s="269"/>
      <c r="BI15" s="269"/>
      <c r="BJ15" s="269"/>
      <c r="BK15" s="269"/>
      <c r="BL15" s="269"/>
      <c r="BM15" s="269"/>
      <c r="BN15" s="269"/>
      <c r="BO15" s="269"/>
      <c r="BP15" s="269"/>
      <c r="BQ15" s="269"/>
      <c r="BR15" s="269"/>
      <c r="BS15" s="269"/>
      <c r="BT15" s="269"/>
      <c r="BU15" s="269"/>
      <c r="BV15" s="269"/>
      <c r="BW15" s="269"/>
      <c r="BX15" s="269"/>
      <c r="BY15" s="269"/>
      <c r="BZ15" s="269"/>
      <c r="CA15" s="269"/>
      <c r="CB15" s="269"/>
      <c r="CC15" s="269"/>
      <c r="CD15" s="269"/>
      <c r="CE15" s="269"/>
      <c r="CF15" s="269"/>
      <c r="CG15" s="269"/>
      <c r="CH15" s="269"/>
      <c r="CI15" s="269"/>
      <c r="CJ15" s="269"/>
      <c r="CK15" s="269"/>
      <c r="CL15" s="269"/>
      <c r="CM15" s="269"/>
      <c r="CN15" s="269"/>
      <c r="CO15" s="269"/>
      <c r="CP15" s="269"/>
      <c r="CQ15" s="6"/>
      <c r="DA15" s="109"/>
      <c r="DB15" s="110"/>
      <c r="DC15" s="109"/>
      <c r="DD15" s="111"/>
      <c r="DE15" s="111"/>
      <c r="DF15" s="111"/>
      <c r="DG15" s="111"/>
      <c r="DH15" s="111"/>
      <c r="DI15" s="112"/>
      <c r="DJ15" s="112"/>
      <c r="DK15" s="112"/>
      <c r="DL15" s="109"/>
      <c r="DM15" s="109"/>
      <c r="DN15" s="109"/>
      <c r="DO15" s="109"/>
      <c r="DP15" s="109"/>
      <c r="DQ15" s="109"/>
    </row>
    <row r="16" spans="1:121" s="55" customFormat="1" ht="11.25" customHeight="1" outlineLevel="1" x14ac:dyDescent="0.2">
      <c r="B16" s="655" t="s">
        <v>626</v>
      </c>
      <c r="C16" s="547"/>
      <c r="D16" s="56"/>
      <c r="E16" s="56"/>
      <c r="F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269"/>
      <c r="V16" s="269"/>
      <c r="W16" s="269"/>
      <c r="X16" s="269"/>
      <c r="Y16" s="269"/>
      <c r="Z16" s="269"/>
      <c r="AA16" s="269"/>
      <c r="AB16" s="269"/>
      <c r="AC16" s="269"/>
      <c r="AD16" s="269"/>
      <c r="AE16" s="269"/>
      <c r="AF16" s="269"/>
      <c r="AG16" s="269"/>
      <c r="AH16" s="269"/>
      <c r="AI16" s="269"/>
      <c r="AJ16" s="269"/>
      <c r="AK16" s="269"/>
      <c r="AL16" s="269"/>
      <c r="AM16" s="269"/>
      <c r="AN16" s="269"/>
      <c r="AO16" s="269"/>
      <c r="AP16" s="269"/>
      <c r="AQ16" s="269"/>
      <c r="AR16" s="269"/>
      <c r="AS16" s="269"/>
      <c r="AT16" s="269"/>
      <c r="AU16" s="269"/>
      <c r="AV16" s="269"/>
      <c r="AW16" s="269"/>
      <c r="AX16" s="269"/>
      <c r="AY16" s="269"/>
      <c r="AZ16" s="269"/>
      <c r="BA16" s="269"/>
      <c r="BB16" s="269"/>
      <c r="BC16" s="269"/>
      <c r="BD16" s="269"/>
      <c r="BE16" s="269"/>
      <c r="BF16" s="269"/>
      <c r="BG16" s="269"/>
      <c r="BH16" s="269"/>
      <c r="BI16" s="269"/>
      <c r="BJ16" s="269"/>
      <c r="BK16" s="269"/>
      <c r="BL16" s="269"/>
      <c r="BM16" s="269"/>
      <c r="BN16" s="269"/>
      <c r="BO16" s="269"/>
      <c r="BP16" s="269"/>
      <c r="BQ16" s="269"/>
      <c r="BR16" s="269"/>
      <c r="BS16" s="269"/>
      <c r="BT16" s="269"/>
      <c r="BU16" s="269"/>
      <c r="BV16" s="269"/>
      <c r="BW16" s="269"/>
      <c r="BX16" s="269"/>
      <c r="BY16" s="269"/>
      <c r="BZ16" s="269"/>
      <c r="CA16" s="269"/>
      <c r="CB16" s="269"/>
      <c r="CC16" s="269"/>
      <c r="CD16" s="269"/>
      <c r="CE16" s="269"/>
      <c r="CF16" s="269"/>
      <c r="CG16" s="269"/>
      <c r="CH16" s="269"/>
      <c r="CI16" s="269"/>
      <c r="CJ16" s="269"/>
      <c r="CK16" s="269"/>
      <c r="CL16" s="269"/>
      <c r="CM16" s="269"/>
      <c r="CN16" s="269"/>
      <c r="CO16" s="269"/>
      <c r="CP16" s="269"/>
      <c r="CQ16" s="6"/>
      <c r="DA16" s="109"/>
      <c r="DB16" s="110"/>
      <c r="DC16" s="109"/>
      <c r="DD16" s="111"/>
      <c r="DE16" s="111"/>
      <c r="DF16" s="111"/>
      <c r="DG16" s="111"/>
      <c r="DH16" s="111"/>
      <c r="DI16" s="112"/>
      <c r="DJ16" s="112"/>
      <c r="DK16" s="112"/>
      <c r="DL16" s="109"/>
      <c r="DM16" s="109"/>
      <c r="DN16" s="109"/>
      <c r="DO16" s="109"/>
      <c r="DP16" s="109"/>
      <c r="DQ16" s="109"/>
    </row>
    <row r="17" spans="1:121" s="55" customFormat="1" ht="11.25" customHeight="1" outlineLevel="1" x14ac:dyDescent="0.2">
      <c r="B17" s="691" t="s">
        <v>630</v>
      </c>
      <c r="C17" s="547"/>
      <c r="D17" s="332">
        <v>65</v>
      </c>
      <c r="E17" s="56"/>
      <c r="F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269"/>
      <c r="V17" s="269"/>
      <c r="W17" s="269"/>
      <c r="X17" s="269"/>
      <c r="Y17" s="269"/>
      <c r="Z17" s="269"/>
      <c r="AA17" s="269"/>
      <c r="AB17" s="269"/>
      <c r="AC17" s="269"/>
      <c r="AD17" s="269"/>
      <c r="AE17" s="269"/>
      <c r="AF17" s="269"/>
      <c r="AG17" s="269"/>
      <c r="AH17" s="269"/>
      <c r="AI17" s="269"/>
      <c r="AJ17" s="269"/>
      <c r="AK17" s="269"/>
      <c r="AL17" s="269"/>
      <c r="AM17" s="269"/>
      <c r="AN17" s="269"/>
      <c r="AO17" s="269"/>
      <c r="AP17" s="269"/>
      <c r="AQ17" s="269"/>
      <c r="AR17" s="269"/>
      <c r="AS17" s="269"/>
      <c r="AT17" s="269"/>
      <c r="AU17" s="269"/>
      <c r="AV17" s="269"/>
      <c r="AW17" s="269"/>
      <c r="AX17" s="269"/>
      <c r="AY17" s="269"/>
      <c r="AZ17" s="269"/>
      <c r="BA17" s="269"/>
      <c r="BB17" s="269"/>
      <c r="BC17" s="269"/>
      <c r="BD17" s="269"/>
      <c r="BE17" s="269"/>
      <c r="BF17" s="269"/>
      <c r="BG17" s="269"/>
      <c r="BH17" s="269"/>
      <c r="BI17" s="269"/>
      <c r="BJ17" s="269"/>
      <c r="BK17" s="269"/>
      <c r="BL17" s="269"/>
      <c r="BM17" s="269"/>
      <c r="BN17" s="269"/>
      <c r="BO17" s="269"/>
      <c r="BP17" s="269"/>
      <c r="BQ17" s="269"/>
      <c r="BR17" s="269"/>
      <c r="BS17" s="269"/>
      <c r="BT17" s="269"/>
      <c r="BU17" s="269"/>
      <c r="BV17" s="269"/>
      <c r="BW17" s="269"/>
      <c r="BX17" s="269"/>
      <c r="BY17" s="269"/>
      <c r="BZ17" s="269"/>
      <c r="CA17" s="269"/>
      <c r="CB17" s="269"/>
      <c r="CC17" s="269"/>
      <c r="CD17" s="269"/>
      <c r="CE17" s="269"/>
      <c r="CF17" s="269"/>
      <c r="CG17" s="269"/>
      <c r="CH17" s="269"/>
      <c r="CI17" s="269"/>
      <c r="CJ17" s="269"/>
      <c r="CK17" s="269"/>
      <c r="CL17" s="269"/>
      <c r="CM17" s="269"/>
      <c r="CN17" s="269"/>
      <c r="CO17" s="269"/>
      <c r="CP17" s="269"/>
      <c r="CQ17" s="6"/>
      <c r="DA17" s="109"/>
      <c r="DB17" s="110"/>
      <c r="DC17" s="109"/>
      <c r="DD17" s="111"/>
      <c r="DE17" s="111"/>
      <c r="DF17" s="111"/>
      <c r="DG17" s="111"/>
      <c r="DH17" s="111"/>
      <c r="DI17" s="112"/>
      <c r="DJ17" s="112"/>
      <c r="DK17" s="112"/>
      <c r="DL17" s="109"/>
      <c r="DM17" s="109"/>
      <c r="DN17" s="109"/>
      <c r="DO17" s="109"/>
      <c r="DP17" s="109"/>
      <c r="DQ17" s="109"/>
    </row>
    <row r="18" spans="1:121" s="55" customFormat="1" ht="11.25" customHeight="1" outlineLevel="1" x14ac:dyDescent="0.2">
      <c r="B18" s="691" t="s">
        <v>631</v>
      </c>
      <c r="C18" s="547"/>
      <c r="D18" s="332">
        <v>65</v>
      </c>
      <c r="E18" s="56"/>
      <c r="F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269"/>
      <c r="V18" s="269"/>
      <c r="W18" s="269"/>
      <c r="X18" s="269"/>
      <c r="Y18" s="269"/>
      <c r="Z18" s="269"/>
      <c r="AA18" s="269"/>
      <c r="AB18" s="269"/>
      <c r="AC18" s="269"/>
      <c r="AD18" s="269"/>
      <c r="AE18" s="269"/>
      <c r="AF18" s="269"/>
      <c r="AG18" s="269"/>
      <c r="AH18" s="269"/>
      <c r="AI18" s="269"/>
      <c r="AJ18" s="269"/>
      <c r="AK18" s="269"/>
      <c r="AL18" s="269"/>
      <c r="AM18" s="269"/>
      <c r="AN18" s="269"/>
      <c r="AO18" s="269"/>
      <c r="AP18" s="269"/>
      <c r="AQ18" s="269"/>
      <c r="AR18" s="269"/>
      <c r="AS18" s="269"/>
      <c r="AT18" s="269"/>
      <c r="AU18" s="269"/>
      <c r="AV18" s="269"/>
      <c r="AW18" s="269"/>
      <c r="AX18" s="269"/>
      <c r="AY18" s="269"/>
      <c r="AZ18" s="269"/>
      <c r="BA18" s="269"/>
      <c r="BB18" s="269"/>
      <c r="BC18" s="269"/>
      <c r="BD18" s="269"/>
      <c r="BE18" s="269"/>
      <c r="BF18" s="269"/>
      <c r="BG18" s="269"/>
      <c r="BH18" s="269"/>
      <c r="BI18" s="269"/>
      <c r="BJ18" s="269"/>
      <c r="BK18" s="269"/>
      <c r="BL18" s="269"/>
      <c r="BM18" s="269"/>
      <c r="BN18" s="269"/>
      <c r="BO18" s="269"/>
      <c r="BP18" s="269"/>
      <c r="BQ18" s="269"/>
      <c r="BR18" s="269"/>
      <c r="BS18" s="269"/>
      <c r="BT18" s="269"/>
      <c r="BU18" s="269"/>
      <c r="BV18" s="269"/>
      <c r="BW18" s="269"/>
      <c r="BX18" s="269"/>
      <c r="BY18" s="269"/>
      <c r="BZ18" s="269"/>
      <c r="CA18" s="269"/>
      <c r="CB18" s="269"/>
      <c r="CC18" s="269"/>
      <c r="CD18" s="269"/>
      <c r="CE18" s="269"/>
      <c r="CF18" s="269"/>
      <c r="CG18" s="269"/>
      <c r="CH18" s="269"/>
      <c r="CI18" s="269"/>
      <c r="CJ18" s="269"/>
      <c r="CK18" s="269"/>
      <c r="CL18" s="269"/>
      <c r="CM18" s="269"/>
      <c r="CN18" s="269"/>
      <c r="CO18" s="269"/>
      <c r="CP18" s="269"/>
      <c r="CQ18" s="6"/>
      <c r="DA18" s="109"/>
      <c r="DB18" s="110"/>
      <c r="DC18" s="109"/>
      <c r="DD18" s="111"/>
      <c r="DE18" s="111"/>
      <c r="DF18" s="111"/>
      <c r="DG18" s="111"/>
      <c r="DH18" s="111"/>
      <c r="DI18" s="112"/>
      <c r="DJ18" s="112"/>
      <c r="DK18" s="112"/>
      <c r="DL18" s="109"/>
      <c r="DM18" s="109"/>
      <c r="DN18" s="109"/>
      <c r="DO18" s="109"/>
      <c r="DP18" s="109"/>
      <c r="DQ18" s="109"/>
    </row>
    <row r="19" spans="1:121" s="55" customFormat="1" ht="11.25" customHeight="1" outlineLevel="1" x14ac:dyDescent="0.2">
      <c r="B19" s="691" t="s">
        <v>662</v>
      </c>
      <c r="C19" s="547"/>
      <c r="D19" s="332"/>
      <c r="E19" s="56"/>
      <c r="F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269"/>
      <c r="V19" s="269"/>
      <c r="W19" s="269"/>
      <c r="X19" s="269"/>
      <c r="Y19" s="269"/>
      <c r="Z19" s="269"/>
      <c r="AA19" s="269"/>
      <c r="AB19" s="269"/>
      <c r="AC19" s="269"/>
      <c r="AD19" s="269"/>
      <c r="AE19" s="269"/>
      <c r="AF19" s="269"/>
      <c r="AG19" s="269"/>
      <c r="AH19" s="269"/>
      <c r="AI19" s="269"/>
      <c r="AJ19" s="269"/>
      <c r="AK19" s="269"/>
      <c r="AL19" s="269"/>
      <c r="AM19" s="269"/>
      <c r="AN19" s="269"/>
      <c r="AO19" s="269"/>
      <c r="AP19" s="269"/>
      <c r="AQ19" s="269"/>
      <c r="AR19" s="269"/>
      <c r="AS19" s="269"/>
      <c r="AT19" s="269"/>
      <c r="AU19" s="269"/>
      <c r="AV19" s="269"/>
      <c r="AW19" s="269"/>
      <c r="AX19" s="269"/>
      <c r="AY19" s="269"/>
      <c r="AZ19" s="269"/>
      <c r="BA19" s="269"/>
      <c r="BB19" s="269"/>
      <c r="BC19" s="269"/>
      <c r="BD19" s="269"/>
      <c r="BE19" s="269"/>
      <c r="BF19" s="269"/>
      <c r="BG19" s="269"/>
      <c r="BH19" s="269"/>
      <c r="BI19" s="269"/>
      <c r="BJ19" s="269"/>
      <c r="BK19" s="269"/>
      <c r="BL19" s="269"/>
      <c r="BM19" s="269"/>
      <c r="BN19" s="269"/>
      <c r="BO19" s="269"/>
      <c r="BP19" s="269"/>
      <c r="BQ19" s="269"/>
      <c r="BR19" s="269"/>
      <c r="BS19" s="269"/>
      <c r="BT19" s="269"/>
      <c r="BU19" s="269"/>
      <c r="BV19" s="269"/>
      <c r="BW19" s="269"/>
      <c r="BX19" s="269"/>
      <c r="BY19" s="269"/>
      <c r="BZ19" s="269"/>
      <c r="CA19" s="269"/>
      <c r="CB19" s="269"/>
      <c r="CC19" s="269"/>
      <c r="CD19" s="269"/>
      <c r="CE19" s="269"/>
      <c r="CF19" s="269"/>
      <c r="CG19" s="269"/>
      <c r="CH19" s="269"/>
      <c r="CI19" s="269"/>
      <c r="CJ19" s="269"/>
      <c r="CK19" s="269"/>
      <c r="CL19" s="269"/>
      <c r="CM19" s="269"/>
      <c r="CN19" s="269"/>
      <c r="CO19" s="269"/>
      <c r="CP19" s="269"/>
      <c r="CQ19" s="6"/>
      <c r="DA19" s="109"/>
      <c r="DB19" s="110"/>
      <c r="DC19" s="109"/>
      <c r="DD19" s="111"/>
      <c r="DE19" s="111"/>
      <c r="DF19" s="111"/>
      <c r="DG19" s="111"/>
      <c r="DH19" s="111"/>
      <c r="DI19" s="112"/>
      <c r="DJ19" s="112"/>
      <c r="DK19" s="112"/>
      <c r="DL19" s="109"/>
      <c r="DM19" s="109"/>
      <c r="DN19" s="109"/>
      <c r="DO19" s="109"/>
      <c r="DP19" s="109"/>
      <c r="DQ19" s="109"/>
    </row>
    <row r="20" spans="1:121" x14ac:dyDescent="0.2">
      <c r="C20" s="474"/>
      <c r="D20" s="6"/>
      <c r="J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 t="s">
        <v>77</v>
      </c>
      <c r="DD20" s="6"/>
      <c r="DE20" s="6"/>
      <c r="DF20" s="6"/>
      <c r="DG20" s="6"/>
      <c r="DH20" s="6"/>
      <c r="DI20" s="6"/>
      <c r="DJ20" s="6"/>
      <c r="DK20" s="6"/>
    </row>
    <row r="21" spans="1:121" s="233" customFormat="1" x14ac:dyDescent="0.2">
      <c r="B21" s="728" t="s">
        <v>50</v>
      </c>
      <c r="C21" s="312"/>
      <c r="D21" s="312"/>
      <c r="E21" s="312"/>
      <c r="F21" s="312">
        <f t="shared" ref="F21:BQ21" si="7">Fiscal_Year</f>
        <v>36707</v>
      </c>
      <c r="G21" s="312">
        <f t="shared" si="7"/>
        <v>37072</v>
      </c>
      <c r="H21" s="312">
        <f t="shared" si="7"/>
        <v>37437</v>
      </c>
      <c r="I21" s="312">
        <f t="shared" si="7"/>
        <v>37802</v>
      </c>
      <c r="J21" s="312">
        <f t="shared" si="7"/>
        <v>38168</v>
      </c>
      <c r="K21" s="312">
        <f t="shared" si="7"/>
        <v>38533</v>
      </c>
      <c r="L21" s="312">
        <f t="shared" si="7"/>
        <v>38898</v>
      </c>
      <c r="M21" s="312">
        <f t="shared" si="7"/>
        <v>39263</v>
      </c>
      <c r="N21" s="312">
        <f t="shared" si="7"/>
        <v>39629</v>
      </c>
      <c r="O21" s="312">
        <f t="shared" si="7"/>
        <v>39994</v>
      </c>
      <c r="P21" s="312">
        <f t="shared" si="7"/>
        <v>40359</v>
      </c>
      <c r="Q21" s="312">
        <f t="shared" si="7"/>
        <v>40724</v>
      </c>
      <c r="R21" s="312">
        <f t="shared" si="7"/>
        <v>41090</v>
      </c>
      <c r="S21" s="312">
        <f t="shared" si="7"/>
        <v>41455</v>
      </c>
      <c r="T21" s="312">
        <f t="shared" si="7"/>
        <v>41820</v>
      </c>
      <c r="U21" s="312">
        <f t="shared" si="7"/>
        <v>42185</v>
      </c>
      <c r="V21" s="312">
        <f t="shared" si="7"/>
        <v>42551</v>
      </c>
      <c r="W21" s="312">
        <f t="shared" si="7"/>
        <v>42916</v>
      </c>
      <c r="X21" s="312">
        <f t="shared" si="7"/>
        <v>43281</v>
      </c>
      <c r="Y21" s="312">
        <f t="shared" si="7"/>
        <v>43646</v>
      </c>
      <c r="Z21" s="312">
        <f t="shared" si="7"/>
        <v>44012</v>
      </c>
      <c r="AA21" s="312">
        <f t="shared" si="7"/>
        <v>44377</v>
      </c>
      <c r="AB21" s="312">
        <f t="shared" si="7"/>
        <v>44742</v>
      </c>
      <c r="AC21" s="312">
        <f t="shared" si="7"/>
        <v>45107</v>
      </c>
      <c r="AD21" s="312">
        <f t="shared" si="7"/>
        <v>45473</v>
      </c>
      <c r="AE21" s="312">
        <f t="shared" si="7"/>
        <v>45838</v>
      </c>
      <c r="AF21" s="312">
        <f t="shared" si="7"/>
        <v>46203</v>
      </c>
      <c r="AG21" s="312">
        <f t="shared" si="7"/>
        <v>46568</v>
      </c>
      <c r="AH21" s="312">
        <f t="shared" si="7"/>
        <v>46934</v>
      </c>
      <c r="AI21" s="312">
        <f t="shared" si="7"/>
        <v>47299</v>
      </c>
      <c r="AJ21" s="312">
        <f t="shared" si="7"/>
        <v>47664</v>
      </c>
      <c r="AK21" s="312">
        <f t="shared" si="7"/>
        <v>48029</v>
      </c>
      <c r="AL21" s="312">
        <f t="shared" si="7"/>
        <v>48395</v>
      </c>
      <c r="AM21" s="312">
        <f t="shared" si="7"/>
        <v>48760</v>
      </c>
      <c r="AN21" s="312">
        <f t="shared" si="7"/>
        <v>49125</v>
      </c>
      <c r="AO21" s="312">
        <f t="shared" si="7"/>
        <v>49490</v>
      </c>
      <c r="AP21" s="312">
        <f t="shared" si="7"/>
        <v>49856</v>
      </c>
      <c r="AQ21" s="312">
        <f t="shared" si="7"/>
        <v>50221</v>
      </c>
      <c r="AR21" s="312">
        <f t="shared" si="7"/>
        <v>50586</v>
      </c>
      <c r="AS21" s="312">
        <f t="shared" si="7"/>
        <v>50951</v>
      </c>
      <c r="AT21" s="312">
        <f t="shared" si="7"/>
        <v>51317</v>
      </c>
      <c r="AU21" s="312">
        <f t="shared" si="7"/>
        <v>51682</v>
      </c>
      <c r="AV21" s="312">
        <f t="shared" si="7"/>
        <v>52047</v>
      </c>
      <c r="AW21" s="312">
        <f t="shared" si="7"/>
        <v>52412</v>
      </c>
      <c r="AX21" s="312">
        <f t="shared" si="7"/>
        <v>52778</v>
      </c>
      <c r="AY21" s="312">
        <f t="shared" si="7"/>
        <v>53143</v>
      </c>
      <c r="AZ21" s="312">
        <f t="shared" si="7"/>
        <v>53508</v>
      </c>
      <c r="BA21" s="312">
        <f t="shared" si="7"/>
        <v>53873</v>
      </c>
      <c r="BB21" s="312">
        <f t="shared" si="7"/>
        <v>54239</v>
      </c>
      <c r="BC21" s="312">
        <f t="shared" si="7"/>
        <v>54604</v>
      </c>
      <c r="BD21" s="312">
        <f t="shared" si="7"/>
        <v>54969</v>
      </c>
      <c r="BE21" s="312">
        <f t="shared" si="7"/>
        <v>55334</v>
      </c>
      <c r="BF21" s="312">
        <f t="shared" si="7"/>
        <v>55700</v>
      </c>
      <c r="BG21" s="312">
        <f t="shared" si="7"/>
        <v>56065</v>
      </c>
      <c r="BH21" s="312">
        <f t="shared" si="7"/>
        <v>56430</v>
      </c>
      <c r="BI21" s="312">
        <f t="shared" si="7"/>
        <v>56795</v>
      </c>
      <c r="BJ21" s="312">
        <f t="shared" si="7"/>
        <v>57161</v>
      </c>
      <c r="BK21" s="312">
        <f t="shared" si="7"/>
        <v>57526</v>
      </c>
      <c r="BL21" s="312">
        <f t="shared" si="7"/>
        <v>57891</v>
      </c>
      <c r="BM21" s="312">
        <f t="shared" si="7"/>
        <v>58256</v>
      </c>
      <c r="BN21" s="312">
        <f t="shared" si="7"/>
        <v>58622</v>
      </c>
      <c r="BO21" s="312">
        <f t="shared" si="7"/>
        <v>58987</v>
      </c>
      <c r="BP21" s="312">
        <f t="shared" si="7"/>
        <v>59352</v>
      </c>
      <c r="BQ21" s="312">
        <f t="shared" si="7"/>
        <v>59717</v>
      </c>
      <c r="BR21" s="312">
        <f t="shared" ref="BR21:CP21" si="8">Fiscal_Year</f>
        <v>60083</v>
      </c>
      <c r="BS21" s="312">
        <f t="shared" si="8"/>
        <v>60448</v>
      </c>
      <c r="BT21" s="312">
        <f t="shared" si="8"/>
        <v>60813</v>
      </c>
      <c r="BU21" s="312">
        <f t="shared" si="8"/>
        <v>61178</v>
      </c>
      <c r="BV21" s="312">
        <f t="shared" si="8"/>
        <v>61544</v>
      </c>
      <c r="BW21" s="312">
        <f t="shared" si="8"/>
        <v>61909</v>
      </c>
      <c r="BX21" s="312">
        <f t="shared" si="8"/>
        <v>62274</v>
      </c>
      <c r="BY21" s="312">
        <f t="shared" si="8"/>
        <v>62639</v>
      </c>
      <c r="BZ21" s="312">
        <f t="shared" si="8"/>
        <v>63005</v>
      </c>
      <c r="CA21" s="312">
        <f t="shared" si="8"/>
        <v>63370</v>
      </c>
      <c r="CB21" s="312">
        <f t="shared" si="8"/>
        <v>63735</v>
      </c>
      <c r="CC21" s="312">
        <f t="shared" si="8"/>
        <v>64100</v>
      </c>
      <c r="CD21" s="312">
        <f t="shared" si="8"/>
        <v>64466</v>
      </c>
      <c r="CE21" s="312">
        <f t="shared" si="8"/>
        <v>64831</v>
      </c>
      <c r="CF21" s="312">
        <f t="shared" si="8"/>
        <v>65196</v>
      </c>
      <c r="CG21" s="312">
        <f t="shared" si="8"/>
        <v>65561</v>
      </c>
      <c r="CH21" s="312">
        <f t="shared" si="8"/>
        <v>65927</v>
      </c>
      <c r="CI21" s="312">
        <f t="shared" si="8"/>
        <v>66292</v>
      </c>
      <c r="CJ21" s="312">
        <f t="shared" si="8"/>
        <v>66657</v>
      </c>
      <c r="CK21" s="312">
        <f t="shared" si="8"/>
        <v>67022</v>
      </c>
      <c r="CL21" s="312">
        <f t="shared" si="8"/>
        <v>67388</v>
      </c>
      <c r="CM21" s="312">
        <f t="shared" si="8"/>
        <v>67753</v>
      </c>
      <c r="CN21" s="312">
        <f t="shared" si="8"/>
        <v>68118</v>
      </c>
      <c r="CO21" s="312">
        <f t="shared" si="8"/>
        <v>68483</v>
      </c>
      <c r="CP21" s="312">
        <f t="shared" si="8"/>
        <v>68849</v>
      </c>
      <c r="CQ21" s="6" t="s">
        <v>77</v>
      </c>
      <c r="DA21" s="104"/>
      <c r="DB21" s="687"/>
      <c r="DC21" s="472"/>
      <c r="DD21" s="688"/>
      <c r="DE21" s="688"/>
      <c r="DF21" s="688"/>
      <c r="DG21" s="688"/>
      <c r="DH21" s="688"/>
      <c r="DI21" s="688"/>
      <c r="DJ21" s="688"/>
      <c r="DK21" s="688"/>
      <c r="DL21" s="688"/>
      <c r="DM21" s="688"/>
      <c r="DN21" s="688"/>
      <c r="DO21" s="688"/>
      <c r="DP21" s="688"/>
      <c r="DQ21" s="688"/>
    </row>
    <row r="22" spans="1:121" ht="5.0999999999999996" customHeight="1" x14ac:dyDescent="0.2">
      <c r="B22" s="687"/>
      <c r="D22" s="688"/>
      <c r="K22" s="474"/>
      <c r="L22" s="474"/>
      <c r="M22" s="474"/>
      <c r="N22" s="474"/>
      <c r="O22" s="688"/>
      <c r="P22" s="688"/>
      <c r="Q22" s="688"/>
      <c r="R22" s="688"/>
      <c r="S22" s="688"/>
      <c r="T22" s="688"/>
      <c r="U22" s="688"/>
      <c r="V22" s="688"/>
      <c r="W22" s="688"/>
      <c r="X22" s="688"/>
      <c r="Y22" s="688"/>
      <c r="Z22" s="688"/>
      <c r="AA22" s="688"/>
      <c r="AB22" s="688"/>
      <c r="AC22" s="688"/>
      <c r="AD22" s="688"/>
      <c r="AE22" s="688"/>
      <c r="AF22" s="688"/>
      <c r="AG22" s="688"/>
      <c r="AH22" s="688"/>
      <c r="AI22" s="688"/>
      <c r="AJ22" s="688"/>
      <c r="AK22" s="688"/>
      <c r="AL22" s="688"/>
      <c r="AM22" s="688"/>
      <c r="AN22" s="688"/>
      <c r="AO22" s="688"/>
      <c r="AP22" s="688"/>
      <c r="AQ22" s="688"/>
      <c r="AR22" s="688"/>
      <c r="AS22" s="688"/>
      <c r="AT22" s="688"/>
      <c r="AU22" s="688"/>
      <c r="AV22" s="688"/>
      <c r="AW22" s="688"/>
      <c r="AX22" s="688"/>
      <c r="AY22" s="688"/>
      <c r="AZ22" s="688"/>
      <c r="BA22" s="688"/>
      <c r="BB22" s="688"/>
      <c r="BC22" s="688"/>
      <c r="BD22" s="688"/>
      <c r="BE22" s="688"/>
      <c r="BF22" s="688"/>
      <c r="BG22" s="688"/>
      <c r="BH22" s="688"/>
      <c r="BI22" s="688"/>
      <c r="BJ22" s="688"/>
      <c r="BK22" s="688"/>
      <c r="BL22" s="688"/>
      <c r="BM22" s="688"/>
      <c r="BN22" s="688"/>
      <c r="BO22" s="688"/>
      <c r="BP22" s="688"/>
      <c r="BQ22" s="688"/>
      <c r="BR22" s="688"/>
      <c r="BS22" s="688"/>
      <c r="BT22" s="688"/>
      <c r="BU22" s="688"/>
      <c r="BV22" s="688"/>
      <c r="BW22" s="688"/>
      <c r="BX22" s="688"/>
      <c r="BY22" s="688"/>
      <c r="BZ22" s="688"/>
      <c r="CA22" s="688"/>
      <c r="CB22" s="688"/>
      <c r="CC22" s="688"/>
      <c r="CD22" s="688"/>
      <c r="CE22" s="688"/>
      <c r="CF22" s="688"/>
      <c r="CG22" s="688"/>
      <c r="CH22" s="688"/>
      <c r="CI22" s="688"/>
      <c r="CJ22" s="688"/>
      <c r="CK22" s="688"/>
      <c r="CL22" s="688"/>
      <c r="CM22" s="688"/>
      <c r="CN22" s="688"/>
      <c r="CO22" s="688"/>
      <c r="CP22" s="688"/>
      <c r="CQ22" s="6" t="s">
        <v>77</v>
      </c>
    </row>
    <row r="23" spans="1:121" ht="11.25" customHeight="1" outlineLevel="1" x14ac:dyDescent="0.2">
      <c r="A23" s="233"/>
      <c r="B23" s="358" t="s">
        <v>629</v>
      </c>
      <c r="D23" s="686"/>
      <c r="K23" s="474"/>
      <c r="L23" s="474"/>
      <c r="M23" s="474"/>
      <c r="N23" s="474"/>
      <c r="O23" s="474"/>
      <c r="S23" s="692"/>
      <c r="CQ23" s="6" t="s">
        <v>77</v>
      </c>
      <c r="CR23" s="233"/>
    </row>
    <row r="24" spans="1:121" ht="11.25" customHeight="1" outlineLevel="1" x14ac:dyDescent="0.2">
      <c r="A24" s="233"/>
      <c r="B24" s="474" t="s">
        <v>627</v>
      </c>
      <c r="D24" s="678">
        <v>2.9000000000000001E-2</v>
      </c>
      <c r="K24" s="474"/>
      <c r="L24" s="474"/>
      <c r="O24" s="474"/>
      <c r="CQ24" s="6"/>
      <c r="CR24" s="233"/>
    </row>
    <row r="25" spans="1:121" ht="11.25" customHeight="1" outlineLevel="1" x14ac:dyDescent="0.2">
      <c r="A25" s="233"/>
      <c r="B25" s="474" t="s">
        <v>628</v>
      </c>
      <c r="D25" s="679">
        <v>5.5E-2</v>
      </c>
      <c r="J25" s="693"/>
      <c r="K25" s="693"/>
      <c r="L25" s="474"/>
      <c r="O25" s="474"/>
      <c r="CQ25" s="6"/>
      <c r="CR25" s="233"/>
    </row>
    <row r="26" spans="1:121" ht="11.25" customHeight="1" outlineLevel="1" x14ac:dyDescent="0.2">
      <c r="A26" s="233"/>
      <c r="B26" s="474" t="s">
        <v>51</v>
      </c>
      <c r="D26" s="656">
        <f>+AVERAGE(D24:D25)</f>
        <v>4.2000000000000003E-2</v>
      </c>
      <c r="J26" s="693"/>
      <c r="K26" s="693"/>
      <c r="L26" s="474"/>
      <c r="O26" s="474"/>
      <c r="CQ26" s="6"/>
      <c r="CR26" s="233"/>
    </row>
    <row r="27" spans="1:121" ht="11.25" customHeight="1" outlineLevel="1" x14ac:dyDescent="0.2">
      <c r="D27" s="207"/>
      <c r="J27" s="75"/>
      <c r="L27" s="474"/>
      <c r="O27" s="474"/>
      <c r="CQ27" s="6" t="s">
        <v>77</v>
      </c>
    </row>
    <row r="28" spans="1:121" ht="11.25" customHeight="1" outlineLevel="1" x14ac:dyDescent="0.2">
      <c r="B28" s="474" t="s">
        <v>53</v>
      </c>
      <c r="D28" s="679">
        <v>2.5000000000000001E-2</v>
      </c>
      <c r="J28" s="75"/>
      <c r="L28" s="474"/>
      <c r="O28" s="474"/>
      <c r="CQ28" s="6" t="s">
        <v>77</v>
      </c>
    </row>
    <row r="29" spans="1:121" ht="11.25" customHeight="1" outlineLevel="1" x14ac:dyDescent="0.2">
      <c r="B29" s="474" t="s">
        <v>52</v>
      </c>
      <c r="D29" s="694">
        <f>(1+D26)/(1+D28)-1</f>
        <v>1.6585365853658551E-2</v>
      </c>
      <c r="J29" s="75"/>
      <c r="L29" s="474"/>
      <c r="M29" s="474"/>
      <c r="N29" s="474"/>
      <c r="O29" s="474"/>
      <c r="CQ29" s="6" t="s">
        <v>77</v>
      </c>
    </row>
    <row r="30" spans="1:121" ht="11.25" customHeight="1" outlineLevel="1" x14ac:dyDescent="0.2">
      <c r="B30" s="474" t="s">
        <v>54</v>
      </c>
      <c r="D30" s="680">
        <v>0.65</v>
      </c>
      <c r="J30" s="75"/>
      <c r="L30" s="474"/>
      <c r="M30" s="474"/>
      <c r="N30" s="474"/>
      <c r="O30" s="474"/>
      <c r="CQ30" s="6" t="s">
        <v>77</v>
      </c>
    </row>
    <row r="31" spans="1:121" ht="11.25" customHeight="1" outlineLevel="1" x14ac:dyDescent="0.2">
      <c r="B31" s="474" t="s">
        <v>56</v>
      </c>
      <c r="D31" s="695">
        <f>1-D30</f>
        <v>0.35</v>
      </c>
      <c r="J31" s="75"/>
      <c r="L31" s="474"/>
      <c r="M31" s="474"/>
      <c r="N31" s="474"/>
      <c r="O31" s="474"/>
      <c r="CQ31" s="6" t="s">
        <v>77</v>
      </c>
    </row>
    <row r="32" spans="1:121" ht="11.25" customHeight="1" outlineLevel="1" x14ac:dyDescent="0.2">
      <c r="B32" s="474" t="s">
        <v>57</v>
      </c>
      <c r="D32" s="898">
        <v>0.06</v>
      </c>
      <c r="J32" s="75"/>
      <c r="L32" s="474"/>
      <c r="M32" s="474"/>
      <c r="N32" s="474"/>
      <c r="O32" s="474"/>
      <c r="CQ32" s="6" t="s">
        <v>77</v>
      </c>
    </row>
    <row r="33" spans="1:96" ht="11.25" customHeight="1" outlineLevel="1" x14ac:dyDescent="0.2">
      <c r="B33" s="474" t="s">
        <v>58</v>
      </c>
      <c r="D33" s="899">
        <v>0.7</v>
      </c>
      <c r="J33" s="75"/>
      <c r="L33" s="474"/>
      <c r="M33" s="474"/>
      <c r="N33" s="474"/>
      <c r="O33" s="474"/>
      <c r="CQ33" s="6" t="s">
        <v>77</v>
      </c>
    </row>
    <row r="34" spans="1:96" ht="11.25" customHeight="1" outlineLevel="1" x14ac:dyDescent="0.2">
      <c r="B34" s="474" t="s">
        <v>59</v>
      </c>
      <c r="D34" s="680">
        <v>0.1</v>
      </c>
      <c r="J34" s="75"/>
      <c r="L34" s="474"/>
      <c r="M34" s="474"/>
      <c r="N34" s="474"/>
      <c r="O34" s="474"/>
      <c r="CQ34" s="6" t="s">
        <v>77</v>
      </c>
    </row>
    <row r="35" spans="1:96" ht="11.25" customHeight="1" outlineLevel="1" x14ac:dyDescent="0.2">
      <c r="B35" s="474" t="s">
        <v>80</v>
      </c>
      <c r="D35" s="680">
        <v>0.25</v>
      </c>
      <c r="J35" s="75"/>
      <c r="L35" s="474"/>
      <c r="M35" s="474"/>
      <c r="N35" s="474"/>
      <c r="O35" s="474"/>
      <c r="S35" s="692"/>
      <c r="CQ35" s="6" t="s">
        <v>77</v>
      </c>
    </row>
    <row r="36" spans="1:96" ht="5.0999999999999996" customHeight="1" outlineLevel="1" x14ac:dyDescent="0.2">
      <c r="D36" s="75"/>
      <c r="J36" s="75"/>
      <c r="K36" s="548"/>
      <c r="L36" s="474"/>
      <c r="M36" s="474"/>
      <c r="N36" s="474"/>
      <c r="O36" s="474"/>
      <c r="CQ36" s="6"/>
    </row>
    <row r="37" spans="1:96" ht="11.25" customHeight="1" outlineLevel="1" x14ac:dyDescent="0.2">
      <c r="A37" s="233"/>
      <c r="B37" s="358" t="s">
        <v>66</v>
      </c>
      <c r="D37" s="686"/>
      <c r="K37" s="474"/>
      <c r="L37" s="474"/>
      <c r="M37" s="474"/>
      <c r="N37" s="474"/>
      <c r="O37" s="474"/>
      <c r="S37" s="692"/>
      <c r="CQ37" s="6" t="s">
        <v>77</v>
      </c>
      <c r="CR37" s="233"/>
    </row>
    <row r="38" spans="1:96" ht="11.25" customHeight="1" outlineLevel="1" x14ac:dyDescent="0.2">
      <c r="B38" s="474" t="s">
        <v>60</v>
      </c>
      <c r="D38" s="678">
        <v>6.5000000000000002E-2</v>
      </c>
      <c r="E38" s="472"/>
      <c r="K38" s="474"/>
      <c r="L38" s="474"/>
      <c r="M38" s="474"/>
      <c r="N38" s="474"/>
      <c r="O38" s="474"/>
      <c r="CQ38" s="6" t="s">
        <v>77</v>
      </c>
    </row>
    <row r="39" spans="1:96" ht="11.25" customHeight="1" outlineLevel="1" x14ac:dyDescent="0.2">
      <c r="B39" s="474" t="s">
        <v>61</v>
      </c>
      <c r="D39" s="207">
        <f>+(1+D38)/(1+D$28)-1</f>
        <v>3.9024390243902474E-2</v>
      </c>
      <c r="E39" s="472"/>
      <c r="J39" s="75"/>
      <c r="L39" s="474"/>
      <c r="M39" s="474"/>
      <c r="N39" s="474"/>
      <c r="O39" s="474"/>
      <c r="CQ39" s="6" t="s">
        <v>77</v>
      </c>
    </row>
    <row r="40" spans="1:96" ht="5.0999999999999996" customHeight="1" outlineLevel="1" x14ac:dyDescent="0.2">
      <c r="D40" s="207"/>
      <c r="E40" s="472"/>
      <c r="K40" s="474"/>
      <c r="L40" s="474"/>
      <c r="M40" s="474"/>
      <c r="N40" s="474"/>
      <c r="O40" s="474"/>
      <c r="CQ40" s="6"/>
    </row>
    <row r="41" spans="1:96" ht="11.25" customHeight="1" outlineLevel="1" x14ac:dyDescent="0.2">
      <c r="A41" s="233"/>
      <c r="B41" s="358" t="s">
        <v>67</v>
      </c>
      <c r="D41" s="686"/>
      <c r="E41" s="472"/>
      <c r="K41" s="474"/>
      <c r="L41" s="474"/>
      <c r="M41" s="474"/>
      <c r="N41" s="474"/>
      <c r="O41" s="474"/>
      <c r="CQ41" s="6" t="s">
        <v>77</v>
      </c>
      <c r="CR41" s="233"/>
    </row>
    <row r="42" spans="1:96" ht="11.25" customHeight="1" outlineLevel="1" x14ac:dyDescent="0.2">
      <c r="B42" s="474" t="s">
        <v>62</v>
      </c>
      <c r="D42" s="207">
        <f>D44/(1-D34*(1-D35))</f>
        <v>8.8356464572680773E-2</v>
      </c>
      <c r="E42" s="472"/>
      <c r="K42" s="474"/>
      <c r="L42" s="474"/>
      <c r="M42" s="474"/>
      <c r="N42" s="474"/>
      <c r="O42" s="474"/>
      <c r="CQ42" s="6" t="s">
        <v>77</v>
      </c>
    </row>
    <row r="43" spans="1:96" ht="11.25" customHeight="1" outlineLevel="1" x14ac:dyDescent="0.2">
      <c r="B43" s="474" t="s">
        <v>63</v>
      </c>
      <c r="D43" s="207">
        <f>+(1+D42)/(1+D28)-1</f>
        <v>6.1811184948957099E-2</v>
      </c>
      <c r="E43" s="472"/>
      <c r="J43" s="75"/>
      <c r="L43" s="474"/>
      <c r="M43" s="474"/>
      <c r="N43" s="474"/>
      <c r="O43" s="474"/>
      <c r="CQ43" s="6" t="s">
        <v>77</v>
      </c>
    </row>
    <row r="44" spans="1:96" ht="11.25" customHeight="1" outlineLevel="1" x14ac:dyDescent="0.2">
      <c r="B44" s="474" t="s">
        <v>64</v>
      </c>
      <c r="D44" s="657">
        <f>(+D32*D33+D26)*(1-D34)/(1-D34*(1-D35))</f>
        <v>8.1729729729729722E-2</v>
      </c>
      <c r="E44" s="472"/>
      <c r="J44" s="6"/>
      <c r="L44" s="474"/>
      <c r="M44" s="474"/>
      <c r="N44" s="474"/>
      <c r="O44" s="474"/>
      <c r="CQ44" s="6" t="s">
        <v>77</v>
      </c>
    </row>
    <row r="45" spans="1:96" ht="11.25" customHeight="1" outlineLevel="1" x14ac:dyDescent="0.2">
      <c r="B45" s="474" t="s">
        <v>65</v>
      </c>
      <c r="D45" s="207">
        <f>+(1+D44)/(1+D28)-1</f>
        <v>5.5346077785102255E-2</v>
      </c>
      <c r="E45" s="472"/>
      <c r="K45" s="474"/>
      <c r="L45" s="474"/>
      <c r="M45" s="474"/>
      <c r="N45" s="474"/>
      <c r="O45" s="474"/>
      <c r="CQ45" s="6" t="s">
        <v>77</v>
      </c>
    </row>
    <row r="46" spans="1:96" ht="5.0999999999999996" customHeight="1" outlineLevel="1" x14ac:dyDescent="0.2">
      <c r="D46" s="207"/>
      <c r="E46" s="472"/>
      <c r="K46" s="474"/>
      <c r="L46" s="474"/>
      <c r="M46" s="474"/>
      <c r="N46" s="474"/>
      <c r="O46" s="474"/>
      <c r="CQ46" s="6"/>
    </row>
    <row r="47" spans="1:96" ht="11.25" customHeight="1" outlineLevel="1" x14ac:dyDescent="0.2">
      <c r="A47" s="233"/>
      <c r="B47" s="358" t="s">
        <v>72</v>
      </c>
      <c r="D47" s="686"/>
      <c r="E47" s="472"/>
      <c r="K47" s="474"/>
      <c r="L47" s="474"/>
      <c r="M47" s="474"/>
      <c r="N47" s="474"/>
      <c r="O47" s="474"/>
      <c r="CQ47" s="6" t="s">
        <v>77</v>
      </c>
      <c r="CR47" s="233"/>
    </row>
    <row r="48" spans="1:96" ht="11.25" customHeight="1" outlineLevel="1" x14ac:dyDescent="0.2">
      <c r="A48" s="233"/>
      <c r="B48" s="474" t="s">
        <v>68</v>
      </c>
      <c r="D48" s="207">
        <f>D42*D31+D38*D30</f>
        <v>7.3174762600438273E-2</v>
      </c>
      <c r="E48" s="472"/>
      <c r="K48" s="474"/>
      <c r="L48" s="474"/>
      <c r="M48" s="474"/>
      <c r="N48" s="474"/>
      <c r="O48" s="474"/>
      <c r="CQ48" s="6" t="s">
        <v>77</v>
      </c>
      <c r="CR48" s="233"/>
    </row>
    <row r="49" spans="1:96" ht="11.25" customHeight="1" outlineLevel="1" x14ac:dyDescent="0.2">
      <c r="A49" s="233"/>
      <c r="B49" s="474" t="s">
        <v>69</v>
      </c>
      <c r="D49" s="207">
        <f>+(1+D48)/(1+D28)-1</f>
        <v>4.6999768390671548E-2</v>
      </c>
      <c r="E49" s="472"/>
      <c r="K49" s="474"/>
      <c r="L49" s="474"/>
      <c r="M49" s="474"/>
      <c r="N49" s="474"/>
      <c r="O49" s="474"/>
      <c r="CQ49" s="6" t="s">
        <v>77</v>
      </c>
      <c r="CR49" s="233"/>
    </row>
    <row r="50" spans="1:96" ht="11.25" customHeight="1" outlineLevel="1" x14ac:dyDescent="0.2">
      <c r="A50" s="233"/>
      <c r="B50" s="474" t="s">
        <v>70</v>
      </c>
      <c r="D50" s="207">
        <f>D38*D30+D44*D31</f>
        <v>7.08554054054054E-2</v>
      </c>
      <c r="E50" s="472"/>
      <c r="K50" s="474"/>
      <c r="L50" s="474"/>
      <c r="M50" s="474"/>
      <c r="N50" s="474"/>
      <c r="O50" s="474"/>
      <c r="CQ50" s="6" t="s">
        <v>77</v>
      </c>
      <c r="CR50" s="233"/>
    </row>
    <row r="51" spans="1:96" ht="11.25" customHeight="1" outlineLevel="1" x14ac:dyDescent="0.2">
      <c r="A51" s="233"/>
      <c r="B51" s="474" t="s">
        <v>71</v>
      </c>
      <c r="D51" s="207">
        <f>+(1+D50)/(1+D28)-1</f>
        <v>4.4736980883322452E-2</v>
      </c>
      <c r="F51" s="472" t="s">
        <v>496</v>
      </c>
      <c r="K51" s="474"/>
      <c r="L51" s="474"/>
      <c r="M51" s="474"/>
      <c r="N51" s="474"/>
      <c r="O51" s="474"/>
      <c r="CQ51" s="6" t="s">
        <v>77</v>
      </c>
      <c r="CR51" s="233"/>
    </row>
    <row r="52" spans="1:96" ht="11.25" customHeight="1" outlineLevel="1" x14ac:dyDescent="0.2">
      <c r="A52" s="233"/>
      <c r="B52" s="17" t="s">
        <v>121</v>
      </c>
      <c r="C52" s="127"/>
      <c r="D52" s="658">
        <f>D38*D30*(1-D34)+D44*D31+F52</f>
        <v>6.6630405405405407E-2</v>
      </c>
      <c r="F52" s="677">
        <v>0</v>
      </c>
      <c r="K52" s="474"/>
      <c r="L52" s="474"/>
      <c r="M52" s="474"/>
      <c r="N52" s="474"/>
      <c r="O52" s="474"/>
      <c r="CQ52" s="6" t="s">
        <v>77</v>
      </c>
      <c r="CR52" s="233"/>
    </row>
    <row r="53" spans="1:96" x14ac:dyDescent="0.2">
      <c r="CQ53" s="6" t="s">
        <v>77</v>
      </c>
    </row>
    <row r="54" spans="1:96" x14ac:dyDescent="0.2">
      <c r="A54" s="233"/>
      <c r="B54" s="728" t="s">
        <v>642</v>
      </c>
      <c r="C54" s="312"/>
      <c r="D54" s="728"/>
      <c r="E54" s="728"/>
      <c r="F54" s="728">
        <f t="shared" ref="F54:BQ54" si="9">Fiscal_Year</f>
        <v>36707</v>
      </c>
      <c r="G54" s="728">
        <f t="shared" si="9"/>
        <v>37072</v>
      </c>
      <c r="H54" s="728">
        <f t="shared" si="9"/>
        <v>37437</v>
      </c>
      <c r="I54" s="728">
        <f t="shared" si="9"/>
        <v>37802</v>
      </c>
      <c r="J54" s="728">
        <f t="shared" si="9"/>
        <v>38168</v>
      </c>
      <c r="K54" s="728">
        <f t="shared" si="9"/>
        <v>38533</v>
      </c>
      <c r="L54" s="728">
        <f t="shared" si="9"/>
        <v>38898</v>
      </c>
      <c r="M54" s="728">
        <f t="shared" si="9"/>
        <v>39263</v>
      </c>
      <c r="N54" s="728">
        <f t="shared" si="9"/>
        <v>39629</v>
      </c>
      <c r="O54" s="728">
        <f t="shared" si="9"/>
        <v>39994</v>
      </c>
      <c r="P54" s="728">
        <f t="shared" si="9"/>
        <v>40359</v>
      </c>
      <c r="Q54" s="728">
        <f t="shared" si="9"/>
        <v>40724</v>
      </c>
      <c r="R54" s="728">
        <f t="shared" si="9"/>
        <v>41090</v>
      </c>
      <c r="S54" s="728">
        <f t="shared" si="9"/>
        <v>41455</v>
      </c>
      <c r="T54" s="728">
        <f t="shared" si="9"/>
        <v>41820</v>
      </c>
      <c r="U54" s="728">
        <f t="shared" si="9"/>
        <v>42185</v>
      </c>
      <c r="V54" s="728">
        <f t="shared" si="9"/>
        <v>42551</v>
      </c>
      <c r="W54" s="728">
        <f t="shared" si="9"/>
        <v>42916</v>
      </c>
      <c r="X54" s="728">
        <f t="shared" si="9"/>
        <v>43281</v>
      </c>
      <c r="Y54" s="728">
        <f t="shared" si="9"/>
        <v>43646</v>
      </c>
      <c r="Z54" s="728">
        <f t="shared" si="9"/>
        <v>44012</v>
      </c>
      <c r="AA54" s="728">
        <f t="shared" si="9"/>
        <v>44377</v>
      </c>
      <c r="AB54" s="728">
        <f t="shared" si="9"/>
        <v>44742</v>
      </c>
      <c r="AC54" s="728">
        <f t="shared" si="9"/>
        <v>45107</v>
      </c>
      <c r="AD54" s="728">
        <f t="shared" si="9"/>
        <v>45473</v>
      </c>
      <c r="AE54" s="728">
        <f t="shared" si="9"/>
        <v>45838</v>
      </c>
      <c r="AF54" s="728">
        <f t="shared" si="9"/>
        <v>46203</v>
      </c>
      <c r="AG54" s="728">
        <f t="shared" si="9"/>
        <v>46568</v>
      </c>
      <c r="AH54" s="728">
        <f t="shared" si="9"/>
        <v>46934</v>
      </c>
      <c r="AI54" s="728">
        <f t="shared" si="9"/>
        <v>47299</v>
      </c>
      <c r="AJ54" s="728">
        <f t="shared" si="9"/>
        <v>47664</v>
      </c>
      <c r="AK54" s="728">
        <f t="shared" si="9"/>
        <v>48029</v>
      </c>
      <c r="AL54" s="728">
        <f t="shared" si="9"/>
        <v>48395</v>
      </c>
      <c r="AM54" s="728">
        <f t="shared" si="9"/>
        <v>48760</v>
      </c>
      <c r="AN54" s="728">
        <f t="shared" si="9"/>
        <v>49125</v>
      </c>
      <c r="AO54" s="728">
        <f t="shared" si="9"/>
        <v>49490</v>
      </c>
      <c r="AP54" s="728">
        <f t="shared" si="9"/>
        <v>49856</v>
      </c>
      <c r="AQ54" s="728">
        <f t="shared" si="9"/>
        <v>50221</v>
      </c>
      <c r="AR54" s="728">
        <f t="shared" si="9"/>
        <v>50586</v>
      </c>
      <c r="AS54" s="728">
        <f t="shared" si="9"/>
        <v>50951</v>
      </c>
      <c r="AT54" s="728">
        <f t="shared" si="9"/>
        <v>51317</v>
      </c>
      <c r="AU54" s="728">
        <f t="shared" si="9"/>
        <v>51682</v>
      </c>
      <c r="AV54" s="728">
        <f t="shared" si="9"/>
        <v>52047</v>
      </c>
      <c r="AW54" s="728">
        <f t="shared" si="9"/>
        <v>52412</v>
      </c>
      <c r="AX54" s="728">
        <f t="shared" si="9"/>
        <v>52778</v>
      </c>
      <c r="AY54" s="728">
        <f t="shared" si="9"/>
        <v>53143</v>
      </c>
      <c r="AZ54" s="728">
        <f t="shared" si="9"/>
        <v>53508</v>
      </c>
      <c r="BA54" s="728">
        <f t="shared" si="9"/>
        <v>53873</v>
      </c>
      <c r="BB54" s="728">
        <f t="shared" si="9"/>
        <v>54239</v>
      </c>
      <c r="BC54" s="728">
        <f t="shared" si="9"/>
        <v>54604</v>
      </c>
      <c r="BD54" s="728">
        <f t="shared" si="9"/>
        <v>54969</v>
      </c>
      <c r="BE54" s="728">
        <f t="shared" si="9"/>
        <v>55334</v>
      </c>
      <c r="BF54" s="728">
        <f t="shared" si="9"/>
        <v>55700</v>
      </c>
      <c r="BG54" s="728">
        <f t="shared" si="9"/>
        <v>56065</v>
      </c>
      <c r="BH54" s="728">
        <f t="shared" si="9"/>
        <v>56430</v>
      </c>
      <c r="BI54" s="728">
        <f t="shared" si="9"/>
        <v>56795</v>
      </c>
      <c r="BJ54" s="728">
        <f t="shared" si="9"/>
        <v>57161</v>
      </c>
      <c r="BK54" s="728">
        <f t="shared" si="9"/>
        <v>57526</v>
      </c>
      <c r="BL54" s="728">
        <f t="shared" si="9"/>
        <v>57891</v>
      </c>
      <c r="BM54" s="728">
        <f t="shared" si="9"/>
        <v>58256</v>
      </c>
      <c r="BN54" s="728">
        <f t="shared" si="9"/>
        <v>58622</v>
      </c>
      <c r="BO54" s="728">
        <f t="shared" si="9"/>
        <v>58987</v>
      </c>
      <c r="BP54" s="728">
        <f t="shared" si="9"/>
        <v>59352</v>
      </c>
      <c r="BQ54" s="728">
        <f t="shared" si="9"/>
        <v>59717</v>
      </c>
      <c r="BR54" s="728">
        <f t="shared" ref="BR54:CP54" si="10">Fiscal_Year</f>
        <v>60083</v>
      </c>
      <c r="BS54" s="728">
        <f t="shared" si="10"/>
        <v>60448</v>
      </c>
      <c r="BT54" s="728">
        <f t="shared" si="10"/>
        <v>60813</v>
      </c>
      <c r="BU54" s="728">
        <f t="shared" si="10"/>
        <v>61178</v>
      </c>
      <c r="BV54" s="728">
        <f t="shared" si="10"/>
        <v>61544</v>
      </c>
      <c r="BW54" s="728">
        <f t="shared" si="10"/>
        <v>61909</v>
      </c>
      <c r="BX54" s="728">
        <f t="shared" si="10"/>
        <v>62274</v>
      </c>
      <c r="BY54" s="728">
        <f t="shared" si="10"/>
        <v>62639</v>
      </c>
      <c r="BZ54" s="728">
        <f t="shared" si="10"/>
        <v>63005</v>
      </c>
      <c r="CA54" s="728">
        <f t="shared" si="10"/>
        <v>63370</v>
      </c>
      <c r="CB54" s="728">
        <f t="shared" si="10"/>
        <v>63735</v>
      </c>
      <c r="CC54" s="728">
        <f t="shared" si="10"/>
        <v>64100</v>
      </c>
      <c r="CD54" s="728">
        <f t="shared" si="10"/>
        <v>64466</v>
      </c>
      <c r="CE54" s="728">
        <f t="shared" si="10"/>
        <v>64831</v>
      </c>
      <c r="CF54" s="728">
        <f t="shared" si="10"/>
        <v>65196</v>
      </c>
      <c r="CG54" s="728">
        <f t="shared" si="10"/>
        <v>65561</v>
      </c>
      <c r="CH54" s="728">
        <f t="shared" si="10"/>
        <v>65927</v>
      </c>
      <c r="CI54" s="728">
        <f t="shared" si="10"/>
        <v>66292</v>
      </c>
      <c r="CJ54" s="728">
        <f t="shared" si="10"/>
        <v>66657</v>
      </c>
      <c r="CK54" s="728">
        <f t="shared" si="10"/>
        <v>67022</v>
      </c>
      <c r="CL54" s="728">
        <f t="shared" si="10"/>
        <v>67388</v>
      </c>
      <c r="CM54" s="728">
        <f t="shared" si="10"/>
        <v>67753</v>
      </c>
      <c r="CN54" s="728">
        <f t="shared" si="10"/>
        <v>68118</v>
      </c>
      <c r="CO54" s="728">
        <f t="shared" si="10"/>
        <v>68483</v>
      </c>
      <c r="CP54" s="728">
        <f t="shared" si="10"/>
        <v>68849</v>
      </c>
      <c r="CQ54" s="6" t="s">
        <v>77</v>
      </c>
      <c r="CR54" s="233"/>
    </row>
    <row r="55" spans="1:96" ht="5.0999999999999996" customHeight="1" x14ac:dyDescent="0.2">
      <c r="B55" s="687"/>
      <c r="D55" s="688"/>
      <c r="E55" s="688"/>
      <c r="F55" s="688"/>
      <c r="G55" s="688"/>
      <c r="H55" s="688"/>
      <c r="I55" s="688"/>
      <c r="J55" s="688"/>
      <c r="K55" s="688"/>
      <c r="L55" s="688"/>
      <c r="M55" s="688"/>
      <c r="N55" s="688"/>
      <c r="O55" s="688"/>
      <c r="P55" s="688"/>
      <c r="Q55" s="688"/>
      <c r="R55" s="688"/>
      <c r="S55" s="688"/>
      <c r="T55" s="688"/>
      <c r="U55" s="688"/>
      <c r="V55" s="688"/>
      <c r="W55" s="688"/>
      <c r="X55" s="688"/>
      <c r="Y55" s="688"/>
      <c r="Z55" s="688"/>
      <c r="AA55" s="688"/>
      <c r="AB55" s="688"/>
      <c r="AC55" s="688"/>
      <c r="AD55" s="688"/>
      <c r="AE55" s="688"/>
      <c r="AF55" s="688"/>
      <c r="AG55" s="688"/>
      <c r="AH55" s="688"/>
      <c r="AI55" s="688"/>
      <c r="AJ55" s="688"/>
      <c r="AK55" s="688"/>
      <c r="AL55" s="688"/>
      <c r="AM55" s="688"/>
      <c r="AN55" s="688"/>
      <c r="AO55" s="688"/>
      <c r="AP55" s="688"/>
      <c r="AQ55" s="688"/>
      <c r="AR55" s="688"/>
      <c r="AS55" s="688"/>
      <c r="AT55" s="688"/>
      <c r="AU55" s="688"/>
      <c r="AV55" s="688"/>
      <c r="AW55" s="688"/>
      <c r="AX55" s="688"/>
      <c r="AY55" s="688"/>
      <c r="AZ55" s="688"/>
      <c r="BA55" s="688"/>
      <c r="BB55" s="688"/>
      <c r="BC55" s="688"/>
      <c r="BD55" s="688"/>
      <c r="BE55" s="688"/>
      <c r="BF55" s="688"/>
      <c r="BG55" s="688"/>
      <c r="BH55" s="688"/>
      <c r="BI55" s="688"/>
      <c r="BJ55" s="688"/>
      <c r="BK55" s="688"/>
      <c r="BL55" s="688"/>
      <c r="BM55" s="688"/>
      <c r="BN55" s="688"/>
      <c r="BO55" s="688"/>
      <c r="BP55" s="688"/>
      <c r="BQ55" s="688"/>
      <c r="BR55" s="688"/>
      <c r="BS55" s="688"/>
      <c r="BT55" s="688"/>
      <c r="BU55" s="688"/>
      <c r="BV55" s="688"/>
      <c r="BW55" s="688"/>
      <c r="BX55" s="688"/>
      <c r="BY55" s="688"/>
      <c r="BZ55" s="688"/>
      <c r="CA55" s="688"/>
      <c r="CB55" s="688"/>
      <c r="CC55" s="688"/>
      <c r="CD55" s="688"/>
      <c r="CE55" s="688"/>
      <c r="CF55" s="688"/>
      <c r="CG55" s="688"/>
      <c r="CH55" s="688"/>
      <c r="CI55" s="688"/>
      <c r="CJ55" s="688"/>
      <c r="CK55" s="688"/>
      <c r="CL55" s="688"/>
      <c r="CM55" s="688"/>
      <c r="CN55" s="688"/>
      <c r="CO55" s="688"/>
      <c r="CP55" s="688"/>
      <c r="CQ55" s="6" t="s">
        <v>77</v>
      </c>
    </row>
    <row r="56" spans="1:96" hidden="1" outlineLevel="1" x14ac:dyDescent="0.2">
      <c r="B56" s="104" t="s">
        <v>120</v>
      </c>
      <c r="D56" s="693"/>
      <c r="E56" s="693"/>
      <c r="F56" s="696">
        <f t="shared" ref="F56:AK56" si="11">IF($D$121=F54,1,IF($D$121&lt;F54,E56+1,))</f>
        <v>0</v>
      </c>
      <c r="G56" s="696">
        <f t="shared" si="11"/>
        <v>0</v>
      </c>
      <c r="H56" s="696">
        <f t="shared" si="11"/>
        <v>0</v>
      </c>
      <c r="I56" s="696">
        <f t="shared" si="11"/>
        <v>0</v>
      </c>
      <c r="J56" s="696">
        <f t="shared" si="11"/>
        <v>0</v>
      </c>
      <c r="K56" s="696">
        <f t="shared" si="11"/>
        <v>0</v>
      </c>
      <c r="L56" s="696">
        <f t="shared" si="11"/>
        <v>0</v>
      </c>
      <c r="M56" s="696">
        <f t="shared" si="11"/>
        <v>0</v>
      </c>
      <c r="N56" s="696">
        <f t="shared" si="11"/>
        <v>0</v>
      </c>
      <c r="O56" s="696">
        <f t="shared" si="11"/>
        <v>0</v>
      </c>
      <c r="P56" s="696">
        <f t="shared" si="11"/>
        <v>0</v>
      </c>
      <c r="Q56" s="696">
        <f t="shared" si="11"/>
        <v>0</v>
      </c>
      <c r="R56" s="696">
        <f t="shared" si="11"/>
        <v>0</v>
      </c>
      <c r="S56" s="696">
        <f t="shared" si="11"/>
        <v>0</v>
      </c>
      <c r="T56" s="696">
        <f t="shared" si="11"/>
        <v>0</v>
      </c>
      <c r="U56" s="696">
        <f t="shared" si="11"/>
        <v>0</v>
      </c>
      <c r="V56" s="696">
        <f t="shared" si="11"/>
        <v>0</v>
      </c>
      <c r="W56" s="696">
        <f t="shared" si="11"/>
        <v>0</v>
      </c>
      <c r="X56" s="696">
        <f t="shared" si="11"/>
        <v>1</v>
      </c>
      <c r="Y56" s="696">
        <f t="shared" si="11"/>
        <v>2</v>
      </c>
      <c r="Z56" s="696">
        <f t="shared" si="11"/>
        <v>3</v>
      </c>
      <c r="AA56" s="696">
        <f t="shared" si="11"/>
        <v>4</v>
      </c>
      <c r="AB56" s="696">
        <f t="shared" si="11"/>
        <v>5</v>
      </c>
      <c r="AC56" s="696">
        <f t="shared" si="11"/>
        <v>6</v>
      </c>
      <c r="AD56" s="696">
        <f t="shared" si="11"/>
        <v>7</v>
      </c>
      <c r="AE56" s="696">
        <f t="shared" si="11"/>
        <v>8</v>
      </c>
      <c r="AF56" s="696">
        <f t="shared" si="11"/>
        <v>9</v>
      </c>
      <c r="AG56" s="696">
        <f t="shared" si="11"/>
        <v>10</v>
      </c>
      <c r="AH56" s="696">
        <f t="shared" si="11"/>
        <v>11</v>
      </c>
      <c r="AI56" s="696">
        <f t="shared" si="11"/>
        <v>12</v>
      </c>
      <c r="AJ56" s="696">
        <f t="shared" si="11"/>
        <v>13</v>
      </c>
      <c r="AK56" s="696">
        <f t="shared" si="11"/>
        <v>14</v>
      </c>
      <c r="AL56" s="696">
        <f t="shared" ref="AL56:BQ56" si="12">IF($D$121=AL54,1,IF($D$121&lt;AL54,AK56+1,))</f>
        <v>15</v>
      </c>
      <c r="AM56" s="696">
        <f t="shared" si="12"/>
        <v>16</v>
      </c>
      <c r="AN56" s="696">
        <f t="shared" si="12"/>
        <v>17</v>
      </c>
      <c r="AO56" s="696">
        <f t="shared" si="12"/>
        <v>18</v>
      </c>
      <c r="AP56" s="696">
        <f t="shared" si="12"/>
        <v>19</v>
      </c>
      <c r="AQ56" s="696">
        <f t="shared" si="12"/>
        <v>20</v>
      </c>
      <c r="AR56" s="696">
        <f t="shared" si="12"/>
        <v>21</v>
      </c>
      <c r="AS56" s="696">
        <f t="shared" si="12"/>
        <v>22</v>
      </c>
      <c r="AT56" s="696">
        <f t="shared" si="12"/>
        <v>23</v>
      </c>
      <c r="AU56" s="696">
        <f t="shared" si="12"/>
        <v>24</v>
      </c>
      <c r="AV56" s="696">
        <f t="shared" si="12"/>
        <v>25</v>
      </c>
      <c r="AW56" s="696">
        <f t="shared" si="12"/>
        <v>26</v>
      </c>
      <c r="AX56" s="696">
        <f t="shared" si="12"/>
        <v>27</v>
      </c>
      <c r="AY56" s="696">
        <f t="shared" si="12"/>
        <v>28</v>
      </c>
      <c r="AZ56" s="696">
        <f t="shared" si="12"/>
        <v>29</v>
      </c>
      <c r="BA56" s="696">
        <f t="shared" si="12"/>
        <v>30</v>
      </c>
      <c r="BB56" s="696">
        <f t="shared" si="12"/>
        <v>31</v>
      </c>
      <c r="BC56" s="696">
        <f t="shared" si="12"/>
        <v>32</v>
      </c>
      <c r="BD56" s="696">
        <f t="shared" si="12"/>
        <v>33</v>
      </c>
      <c r="BE56" s="696">
        <f t="shared" si="12"/>
        <v>34</v>
      </c>
      <c r="BF56" s="696">
        <f t="shared" si="12"/>
        <v>35</v>
      </c>
      <c r="BG56" s="696">
        <f t="shared" si="12"/>
        <v>36</v>
      </c>
      <c r="BH56" s="696">
        <f t="shared" si="12"/>
        <v>37</v>
      </c>
      <c r="BI56" s="696">
        <f t="shared" si="12"/>
        <v>38</v>
      </c>
      <c r="BJ56" s="696">
        <f t="shared" si="12"/>
        <v>39</v>
      </c>
      <c r="BK56" s="696">
        <f t="shared" si="12"/>
        <v>40</v>
      </c>
      <c r="BL56" s="696">
        <f t="shared" si="12"/>
        <v>41</v>
      </c>
      <c r="BM56" s="696">
        <f t="shared" si="12"/>
        <v>42</v>
      </c>
      <c r="BN56" s="696">
        <f t="shared" si="12"/>
        <v>43</v>
      </c>
      <c r="BO56" s="696">
        <f t="shared" si="12"/>
        <v>44</v>
      </c>
      <c r="BP56" s="696">
        <f t="shared" si="12"/>
        <v>45</v>
      </c>
      <c r="BQ56" s="696">
        <f t="shared" si="12"/>
        <v>46</v>
      </c>
      <c r="BR56" s="696">
        <f t="shared" ref="BR56:CP56" si="13">IF($D$121=BR54,1,IF($D$121&lt;BR54,BQ56+1,))</f>
        <v>47</v>
      </c>
      <c r="BS56" s="696">
        <f t="shared" si="13"/>
        <v>48</v>
      </c>
      <c r="BT56" s="696">
        <f t="shared" si="13"/>
        <v>49</v>
      </c>
      <c r="BU56" s="696">
        <f t="shared" si="13"/>
        <v>50</v>
      </c>
      <c r="BV56" s="696">
        <f t="shared" si="13"/>
        <v>51</v>
      </c>
      <c r="BW56" s="696">
        <f t="shared" si="13"/>
        <v>52</v>
      </c>
      <c r="BX56" s="696">
        <f t="shared" si="13"/>
        <v>53</v>
      </c>
      <c r="BY56" s="696">
        <f t="shared" si="13"/>
        <v>54</v>
      </c>
      <c r="BZ56" s="696">
        <f t="shared" si="13"/>
        <v>55</v>
      </c>
      <c r="CA56" s="696">
        <f t="shared" si="13"/>
        <v>56</v>
      </c>
      <c r="CB56" s="696">
        <f t="shared" si="13"/>
        <v>57</v>
      </c>
      <c r="CC56" s="696">
        <f t="shared" si="13"/>
        <v>58</v>
      </c>
      <c r="CD56" s="696">
        <f t="shared" si="13"/>
        <v>59</v>
      </c>
      <c r="CE56" s="696">
        <f t="shared" si="13"/>
        <v>60</v>
      </c>
      <c r="CF56" s="696">
        <f t="shared" si="13"/>
        <v>61</v>
      </c>
      <c r="CG56" s="696">
        <f t="shared" si="13"/>
        <v>62</v>
      </c>
      <c r="CH56" s="696">
        <f t="shared" si="13"/>
        <v>63</v>
      </c>
      <c r="CI56" s="696">
        <f t="shared" si="13"/>
        <v>64</v>
      </c>
      <c r="CJ56" s="696">
        <f t="shared" si="13"/>
        <v>65</v>
      </c>
      <c r="CK56" s="696">
        <f t="shared" si="13"/>
        <v>66</v>
      </c>
      <c r="CL56" s="696">
        <f t="shared" si="13"/>
        <v>67</v>
      </c>
      <c r="CM56" s="696">
        <f t="shared" si="13"/>
        <v>68</v>
      </c>
      <c r="CN56" s="696">
        <f t="shared" si="13"/>
        <v>69</v>
      </c>
      <c r="CO56" s="696">
        <f t="shared" si="13"/>
        <v>70</v>
      </c>
      <c r="CP56" s="696">
        <f t="shared" si="13"/>
        <v>71</v>
      </c>
      <c r="CQ56" s="6" t="s">
        <v>77</v>
      </c>
    </row>
    <row r="57" spans="1:96" hidden="1" outlineLevel="1" x14ac:dyDescent="0.2">
      <c r="B57" s="104" t="s">
        <v>668</v>
      </c>
      <c r="D57" s="693"/>
      <c r="E57" s="693"/>
      <c r="F57" s="696">
        <f>IF(F56&lt;=0,0,IF(F56&lt;=10,1,IF(F56&lt;=20,2,3)))</f>
        <v>0</v>
      </c>
      <c r="G57" s="696">
        <f t="shared" ref="G57:BR57" si="14">IF(G56&lt;=0,0,IF(G56&lt;=10,1,IF(G56&lt;=20,2,3)))</f>
        <v>0</v>
      </c>
      <c r="H57" s="696">
        <f t="shared" si="14"/>
        <v>0</v>
      </c>
      <c r="I57" s="696">
        <f t="shared" si="14"/>
        <v>0</v>
      </c>
      <c r="J57" s="696">
        <f t="shared" si="14"/>
        <v>0</v>
      </c>
      <c r="K57" s="696">
        <f t="shared" si="14"/>
        <v>0</v>
      </c>
      <c r="L57" s="696">
        <f t="shared" si="14"/>
        <v>0</v>
      </c>
      <c r="M57" s="696">
        <f t="shared" si="14"/>
        <v>0</v>
      </c>
      <c r="N57" s="696">
        <f t="shared" si="14"/>
        <v>0</v>
      </c>
      <c r="O57" s="696">
        <f t="shared" si="14"/>
        <v>0</v>
      </c>
      <c r="P57" s="696">
        <f t="shared" si="14"/>
        <v>0</v>
      </c>
      <c r="Q57" s="696">
        <f t="shared" si="14"/>
        <v>0</v>
      </c>
      <c r="R57" s="696">
        <f t="shared" si="14"/>
        <v>0</v>
      </c>
      <c r="S57" s="696">
        <f t="shared" si="14"/>
        <v>0</v>
      </c>
      <c r="T57" s="696">
        <f t="shared" si="14"/>
        <v>0</v>
      </c>
      <c r="U57" s="696">
        <f t="shared" si="14"/>
        <v>0</v>
      </c>
      <c r="V57" s="696">
        <f t="shared" si="14"/>
        <v>0</v>
      </c>
      <c r="W57" s="696">
        <f t="shared" si="14"/>
        <v>0</v>
      </c>
      <c r="X57" s="696">
        <f t="shared" si="14"/>
        <v>1</v>
      </c>
      <c r="Y57" s="696">
        <f t="shared" si="14"/>
        <v>1</v>
      </c>
      <c r="Z57" s="696">
        <f t="shared" si="14"/>
        <v>1</v>
      </c>
      <c r="AA57" s="696">
        <f t="shared" si="14"/>
        <v>1</v>
      </c>
      <c r="AB57" s="696">
        <f t="shared" si="14"/>
        <v>1</v>
      </c>
      <c r="AC57" s="696">
        <f t="shared" si="14"/>
        <v>1</v>
      </c>
      <c r="AD57" s="696">
        <f t="shared" si="14"/>
        <v>1</v>
      </c>
      <c r="AE57" s="696">
        <f t="shared" si="14"/>
        <v>1</v>
      </c>
      <c r="AF57" s="696">
        <f t="shared" si="14"/>
        <v>1</v>
      </c>
      <c r="AG57" s="696">
        <f t="shared" si="14"/>
        <v>1</v>
      </c>
      <c r="AH57" s="696">
        <f t="shared" si="14"/>
        <v>2</v>
      </c>
      <c r="AI57" s="696">
        <f t="shared" si="14"/>
        <v>2</v>
      </c>
      <c r="AJ57" s="696">
        <f t="shared" si="14"/>
        <v>2</v>
      </c>
      <c r="AK57" s="696">
        <f t="shared" si="14"/>
        <v>2</v>
      </c>
      <c r="AL57" s="696">
        <f t="shared" si="14"/>
        <v>2</v>
      </c>
      <c r="AM57" s="696">
        <f t="shared" si="14"/>
        <v>2</v>
      </c>
      <c r="AN57" s="696">
        <f t="shared" si="14"/>
        <v>2</v>
      </c>
      <c r="AO57" s="696">
        <f t="shared" si="14"/>
        <v>2</v>
      </c>
      <c r="AP57" s="696">
        <f t="shared" si="14"/>
        <v>2</v>
      </c>
      <c r="AQ57" s="696">
        <f t="shared" si="14"/>
        <v>2</v>
      </c>
      <c r="AR57" s="696">
        <f t="shared" si="14"/>
        <v>3</v>
      </c>
      <c r="AS57" s="696">
        <f t="shared" si="14"/>
        <v>3</v>
      </c>
      <c r="AT57" s="696">
        <f t="shared" si="14"/>
        <v>3</v>
      </c>
      <c r="AU57" s="696">
        <f t="shared" si="14"/>
        <v>3</v>
      </c>
      <c r="AV57" s="696">
        <f t="shared" si="14"/>
        <v>3</v>
      </c>
      <c r="AW57" s="696">
        <f t="shared" si="14"/>
        <v>3</v>
      </c>
      <c r="AX57" s="696">
        <f t="shared" si="14"/>
        <v>3</v>
      </c>
      <c r="AY57" s="696">
        <f t="shared" si="14"/>
        <v>3</v>
      </c>
      <c r="AZ57" s="696">
        <f t="shared" si="14"/>
        <v>3</v>
      </c>
      <c r="BA57" s="696">
        <f t="shared" si="14"/>
        <v>3</v>
      </c>
      <c r="BB57" s="696">
        <f t="shared" si="14"/>
        <v>3</v>
      </c>
      <c r="BC57" s="696">
        <f t="shared" si="14"/>
        <v>3</v>
      </c>
      <c r="BD57" s="696">
        <f t="shared" si="14"/>
        <v>3</v>
      </c>
      <c r="BE57" s="696">
        <f t="shared" si="14"/>
        <v>3</v>
      </c>
      <c r="BF57" s="696">
        <f t="shared" si="14"/>
        <v>3</v>
      </c>
      <c r="BG57" s="696">
        <f t="shared" si="14"/>
        <v>3</v>
      </c>
      <c r="BH57" s="696">
        <f t="shared" si="14"/>
        <v>3</v>
      </c>
      <c r="BI57" s="696">
        <f t="shared" si="14"/>
        <v>3</v>
      </c>
      <c r="BJ57" s="696">
        <f t="shared" si="14"/>
        <v>3</v>
      </c>
      <c r="BK57" s="696">
        <f t="shared" si="14"/>
        <v>3</v>
      </c>
      <c r="BL57" s="696">
        <f t="shared" si="14"/>
        <v>3</v>
      </c>
      <c r="BM57" s="696">
        <f t="shared" si="14"/>
        <v>3</v>
      </c>
      <c r="BN57" s="696">
        <f t="shared" si="14"/>
        <v>3</v>
      </c>
      <c r="BO57" s="696">
        <f t="shared" si="14"/>
        <v>3</v>
      </c>
      <c r="BP57" s="696">
        <f t="shared" si="14"/>
        <v>3</v>
      </c>
      <c r="BQ57" s="696">
        <f t="shared" si="14"/>
        <v>3</v>
      </c>
      <c r="BR57" s="696">
        <f t="shared" si="14"/>
        <v>3</v>
      </c>
      <c r="BS57" s="696">
        <f t="shared" ref="BS57:CP57" si="15">IF(BS56&lt;=0,0,IF(BS56&lt;=10,1,IF(BS56&lt;=20,2,3)))</f>
        <v>3</v>
      </c>
      <c r="BT57" s="696">
        <f t="shared" si="15"/>
        <v>3</v>
      </c>
      <c r="BU57" s="696">
        <f t="shared" si="15"/>
        <v>3</v>
      </c>
      <c r="BV57" s="696">
        <f t="shared" si="15"/>
        <v>3</v>
      </c>
      <c r="BW57" s="696">
        <f t="shared" si="15"/>
        <v>3</v>
      </c>
      <c r="BX57" s="696">
        <f t="shared" si="15"/>
        <v>3</v>
      </c>
      <c r="BY57" s="696">
        <f t="shared" si="15"/>
        <v>3</v>
      </c>
      <c r="BZ57" s="696">
        <f t="shared" si="15"/>
        <v>3</v>
      </c>
      <c r="CA57" s="696">
        <f t="shared" si="15"/>
        <v>3</v>
      </c>
      <c r="CB57" s="696">
        <f t="shared" si="15"/>
        <v>3</v>
      </c>
      <c r="CC57" s="696">
        <f t="shared" si="15"/>
        <v>3</v>
      </c>
      <c r="CD57" s="696">
        <f t="shared" si="15"/>
        <v>3</v>
      </c>
      <c r="CE57" s="696">
        <f t="shared" si="15"/>
        <v>3</v>
      </c>
      <c r="CF57" s="696">
        <f t="shared" si="15"/>
        <v>3</v>
      </c>
      <c r="CG57" s="696">
        <f t="shared" si="15"/>
        <v>3</v>
      </c>
      <c r="CH57" s="696">
        <f t="shared" si="15"/>
        <v>3</v>
      </c>
      <c r="CI57" s="696">
        <f t="shared" si="15"/>
        <v>3</v>
      </c>
      <c r="CJ57" s="696">
        <f t="shared" si="15"/>
        <v>3</v>
      </c>
      <c r="CK57" s="696">
        <f t="shared" si="15"/>
        <v>3</v>
      </c>
      <c r="CL57" s="696">
        <f t="shared" si="15"/>
        <v>3</v>
      </c>
      <c r="CM57" s="696">
        <f t="shared" si="15"/>
        <v>3</v>
      </c>
      <c r="CN57" s="696">
        <f t="shared" si="15"/>
        <v>3</v>
      </c>
      <c r="CO57" s="696">
        <f t="shared" si="15"/>
        <v>3</v>
      </c>
      <c r="CP57" s="696">
        <f t="shared" si="15"/>
        <v>3</v>
      </c>
      <c r="CQ57" s="6"/>
    </row>
    <row r="58" spans="1:96" ht="5.0999999999999996" hidden="1" customHeight="1" outlineLevel="1" x14ac:dyDescent="0.2">
      <c r="B58" s="687"/>
      <c r="D58" s="688"/>
      <c r="E58" s="688"/>
      <c r="F58" s="688"/>
      <c r="G58" s="688"/>
      <c r="H58" s="688"/>
      <c r="I58" s="688"/>
      <c r="J58" s="688"/>
      <c r="K58" s="688"/>
      <c r="L58" s="688"/>
      <c r="M58" s="688"/>
      <c r="N58" s="688"/>
      <c r="O58" s="688"/>
      <c r="P58" s="688"/>
      <c r="Q58" s="688"/>
      <c r="R58" s="688"/>
      <c r="S58" s="688"/>
      <c r="T58" s="688"/>
      <c r="U58" s="688"/>
      <c r="V58" s="688"/>
      <c r="W58" s="688"/>
      <c r="X58" s="688"/>
      <c r="Y58" s="688"/>
      <c r="Z58" s="688"/>
      <c r="AA58" s="688"/>
      <c r="AB58" s="688"/>
      <c r="AC58" s="688"/>
      <c r="AD58" s="688"/>
      <c r="AE58" s="688"/>
      <c r="AF58" s="688"/>
      <c r="AG58" s="688"/>
      <c r="AH58" s="688"/>
      <c r="AI58" s="688"/>
      <c r="AJ58" s="688"/>
      <c r="AK58" s="688"/>
      <c r="AL58" s="688"/>
      <c r="AM58" s="688"/>
      <c r="AN58" s="688"/>
      <c r="AO58" s="688"/>
      <c r="AP58" s="688"/>
      <c r="AQ58" s="688"/>
      <c r="AR58" s="688"/>
      <c r="AS58" s="688"/>
      <c r="AT58" s="688"/>
      <c r="AU58" s="688"/>
      <c r="AV58" s="688"/>
      <c r="AW58" s="688"/>
      <c r="AX58" s="688"/>
      <c r="AY58" s="688"/>
      <c r="AZ58" s="688"/>
      <c r="BA58" s="688"/>
      <c r="BB58" s="688"/>
      <c r="BC58" s="688"/>
      <c r="BD58" s="688"/>
      <c r="BE58" s="688"/>
      <c r="BF58" s="688"/>
      <c r="BG58" s="688"/>
      <c r="BH58" s="688"/>
      <c r="BI58" s="688"/>
      <c r="BJ58" s="688"/>
      <c r="BK58" s="688"/>
      <c r="BL58" s="688"/>
      <c r="BM58" s="688"/>
      <c r="BN58" s="688"/>
      <c r="BO58" s="688"/>
      <c r="BP58" s="688"/>
      <c r="BQ58" s="688"/>
      <c r="BR58" s="688"/>
      <c r="BS58" s="688"/>
      <c r="BT58" s="688"/>
      <c r="BU58" s="688"/>
      <c r="BV58" s="688"/>
      <c r="BW58" s="688"/>
      <c r="BX58" s="688"/>
      <c r="BY58" s="688"/>
      <c r="BZ58" s="688"/>
      <c r="CA58" s="688"/>
      <c r="CB58" s="688"/>
      <c r="CC58" s="688"/>
      <c r="CD58" s="688"/>
      <c r="CE58" s="688"/>
      <c r="CF58" s="688"/>
      <c r="CG58" s="688"/>
      <c r="CH58" s="688"/>
      <c r="CI58" s="688"/>
      <c r="CJ58" s="688"/>
      <c r="CK58" s="688"/>
      <c r="CL58" s="688"/>
      <c r="CM58" s="688"/>
      <c r="CN58" s="688"/>
      <c r="CO58" s="688"/>
      <c r="CP58" s="688"/>
      <c r="CQ58" s="6" t="s">
        <v>77</v>
      </c>
    </row>
    <row r="59" spans="1:96" hidden="1" outlineLevel="1" x14ac:dyDescent="0.2">
      <c r="B59" s="104" t="s">
        <v>233</v>
      </c>
      <c r="D59" s="693"/>
      <c r="E59" s="693"/>
      <c r="F59" s="693"/>
      <c r="G59" s="693"/>
      <c r="H59" s="693"/>
      <c r="I59" s="693"/>
      <c r="J59" s="693"/>
      <c r="K59" s="693"/>
      <c r="L59" s="693"/>
      <c r="M59" s="693"/>
      <c r="N59" s="693"/>
      <c r="O59" s="693"/>
      <c r="P59" s="693"/>
      <c r="Q59" s="693"/>
      <c r="R59" s="693"/>
      <c r="S59" s="693"/>
      <c r="T59" s="693"/>
      <c r="U59" s="693"/>
      <c r="V59" s="693"/>
      <c r="W59" s="693"/>
      <c r="X59" s="697"/>
      <c r="Y59" s="697"/>
      <c r="Z59" s="697"/>
      <c r="AA59" s="697"/>
      <c r="AB59" s="697"/>
      <c r="AC59" s="697"/>
      <c r="AD59" s="697"/>
      <c r="AE59" s="697"/>
      <c r="AF59" s="697"/>
      <c r="AG59" s="697"/>
      <c r="AH59" s="697"/>
      <c r="AI59" s="697"/>
      <c r="AJ59" s="697"/>
      <c r="AK59" s="697"/>
      <c r="AL59" s="697"/>
      <c r="AM59" s="697"/>
      <c r="AN59" s="697"/>
      <c r="AO59" s="697"/>
      <c r="AP59" s="697"/>
      <c r="AQ59" s="697"/>
      <c r="AR59" s="697"/>
      <c r="AS59" s="697"/>
      <c r="AT59" s="697"/>
      <c r="AU59" s="697"/>
      <c r="AV59" s="697"/>
      <c r="AW59" s="697"/>
      <c r="AX59" s="697"/>
      <c r="AY59" s="697"/>
      <c r="AZ59" s="697"/>
      <c r="BA59" s="697"/>
      <c r="BB59" s="697"/>
      <c r="BC59" s="697"/>
      <c r="BD59" s="697"/>
      <c r="BE59" s="697"/>
      <c r="BF59" s="697"/>
      <c r="BG59" s="697"/>
      <c r="BH59" s="697"/>
      <c r="BI59" s="697"/>
      <c r="BJ59" s="697"/>
      <c r="BK59" s="697"/>
      <c r="BL59" s="697"/>
      <c r="BM59" s="697"/>
      <c r="BN59" s="697"/>
      <c r="BO59" s="697"/>
      <c r="BP59" s="697"/>
      <c r="BQ59" s="697"/>
      <c r="BR59" s="697"/>
      <c r="BS59" s="697"/>
      <c r="BT59" s="697"/>
      <c r="BU59" s="697"/>
      <c r="BV59" s="697"/>
      <c r="BW59" s="697"/>
      <c r="BX59" s="697"/>
      <c r="BY59" s="697"/>
      <c r="BZ59" s="697"/>
      <c r="CA59" s="697"/>
      <c r="CB59" s="697"/>
      <c r="CC59" s="697"/>
      <c r="CD59" s="697"/>
      <c r="CE59" s="697"/>
      <c r="CF59" s="697"/>
      <c r="CG59" s="697"/>
      <c r="CH59" s="697"/>
      <c r="CI59" s="697"/>
      <c r="CJ59" s="697"/>
      <c r="CK59" s="697"/>
      <c r="CL59" s="697"/>
      <c r="CM59" s="697"/>
      <c r="CN59" s="697"/>
      <c r="CO59" s="697"/>
      <c r="CP59" s="697"/>
      <c r="CQ59" s="6" t="s">
        <v>77</v>
      </c>
    </row>
    <row r="60" spans="1:96" hidden="1" outlineLevel="1" x14ac:dyDescent="0.2">
      <c r="A60" s="472"/>
      <c r="B60" s="698" t="s">
        <v>17</v>
      </c>
      <c r="D60" s="693"/>
      <c r="E60" s="693"/>
      <c r="F60" s="693"/>
      <c r="G60" s="693"/>
      <c r="H60" s="693"/>
      <c r="I60" s="693"/>
      <c r="J60" s="693"/>
      <c r="K60" s="629">
        <f>+APA!K107</f>
        <v>142.50299999999999</v>
      </c>
      <c r="L60" s="629">
        <f>+APA!L107</f>
        <v>161.55399999999997</v>
      </c>
      <c r="M60" s="629">
        <f>+APA!M107</f>
        <v>227.05899999999997</v>
      </c>
      <c r="N60" s="629">
        <f>+APA!N107</f>
        <v>336.07599999999996</v>
      </c>
      <c r="O60" s="629">
        <f>+APA!O107</f>
        <v>327.60200000000009</v>
      </c>
      <c r="P60" s="629">
        <f>+APA!P107</f>
        <v>368.54900000000004</v>
      </c>
      <c r="Q60" s="629">
        <f>+APA!Q107</f>
        <v>354.125</v>
      </c>
      <c r="R60" s="629">
        <f>+APA!R107</f>
        <v>405.28399999999999</v>
      </c>
      <c r="S60" s="629">
        <f>+APA!S107</f>
        <v>516.0440000000001</v>
      </c>
      <c r="T60" s="629">
        <f>+APA!T107</f>
        <v>540.99299999999994</v>
      </c>
      <c r="U60" s="629">
        <f>+APA!U107</f>
        <v>613.05899999999997</v>
      </c>
      <c r="V60" s="629">
        <f>+APA!V107</f>
        <v>809.6339999999999</v>
      </c>
      <c r="W60" s="629">
        <f>+APA!W107</f>
        <v>900.10099999999966</v>
      </c>
      <c r="X60" s="629">
        <f>+APA!X107</f>
        <v>915.06293262188956</v>
      </c>
      <c r="Y60" s="629">
        <f>+APA!Y107</f>
        <v>958.76570193394423</v>
      </c>
      <c r="Z60" s="629">
        <f>+APA!Z107</f>
        <v>1015.6874367890252</v>
      </c>
      <c r="AA60" s="629">
        <f>+APA!AA107</f>
        <v>988.20810854925389</v>
      </c>
      <c r="AB60" s="629">
        <f>+APA!AB107</f>
        <v>1031.7459013114005</v>
      </c>
      <c r="AC60" s="629">
        <f>+APA!AC107</f>
        <v>1075.8229244099036</v>
      </c>
      <c r="AD60" s="629">
        <f>+APA!AD107</f>
        <v>1121.7369239570307</v>
      </c>
      <c r="AE60" s="629">
        <f>+APA!AE107</f>
        <v>1156.5626338229204</v>
      </c>
      <c r="AF60" s="629">
        <f>+APA!AF107</f>
        <v>1170.1664231867699</v>
      </c>
      <c r="AG60" s="629">
        <f>+APA!AG107</f>
        <v>1172.1254936286027</v>
      </c>
      <c r="AH60" s="629">
        <f>+APA!AH107</f>
        <v>1218.0822848465918</v>
      </c>
      <c r="AI60" s="629">
        <f>+APA!AI107</f>
        <v>1112.9636656455855</v>
      </c>
      <c r="AJ60" s="629">
        <f>+APA!AJ107</f>
        <v>1048.234616508315</v>
      </c>
      <c r="AK60" s="629">
        <f>+APA!AK107</f>
        <v>1053.7418084164042</v>
      </c>
      <c r="AL60" s="629">
        <f>+APA!AL107</f>
        <v>1092.4698033876546</v>
      </c>
      <c r="AM60" s="629">
        <f>+APA!AM107</f>
        <v>1131.5338347809748</v>
      </c>
      <c r="AN60" s="629">
        <f>+APA!AN107</f>
        <v>1158.6363216160844</v>
      </c>
      <c r="AO60" s="629">
        <f>+APA!AO107</f>
        <v>1140.8889688649745</v>
      </c>
      <c r="AP60" s="629">
        <f>+APA!AP107</f>
        <v>631.77547881657642</v>
      </c>
      <c r="AQ60" s="629">
        <f>+APA!AQ107</f>
        <v>659.96754377721902</v>
      </c>
      <c r="AR60" s="629">
        <f>+APA!AR107</f>
        <v>576.50192695423164</v>
      </c>
      <c r="AS60" s="629">
        <f>+APA!AS107</f>
        <v>468.60810063655475</v>
      </c>
      <c r="AT60" s="629">
        <f>+APA!AT107</f>
        <v>459.82647141385064</v>
      </c>
      <c r="AU60" s="629">
        <f>+APA!AU107</f>
        <v>484.27726618679549</v>
      </c>
      <c r="AV60" s="629">
        <f>+APA!AV107</f>
        <v>508.82106593480751</v>
      </c>
      <c r="AW60" s="629">
        <f>+APA!AW107</f>
        <v>488.87833806114878</v>
      </c>
      <c r="AX60" s="629">
        <f>+APA!AX107</f>
        <v>512.63224858646288</v>
      </c>
      <c r="AY60" s="629">
        <f>+APA!AY107</f>
        <v>536.51966331478047</v>
      </c>
      <c r="AZ60" s="629">
        <f>+APA!AZ107</f>
        <v>560.56065556272597</v>
      </c>
      <c r="BA60" s="629">
        <f>+APA!BA107</f>
        <v>411.14057392705615</v>
      </c>
      <c r="BB60" s="629">
        <f>+APA!BB107</f>
        <v>431.52572965607601</v>
      </c>
      <c r="BC60" s="629">
        <f>+APA!BC107</f>
        <v>452.03182168095003</v>
      </c>
      <c r="BD60" s="629">
        <f>+APA!BD107</f>
        <v>472.67730616715619</v>
      </c>
      <c r="BE60" s="629">
        <f>+APA!BE107</f>
        <v>493.48036632432826</v>
      </c>
      <c r="BF60" s="629">
        <f>+APA!BF107</f>
        <v>514.45593323853086</v>
      </c>
      <c r="BG60" s="629">
        <f>+APA!BG107</f>
        <v>535.62408474807444</v>
      </c>
      <c r="BH60" s="629">
        <f>+APA!BH107</f>
        <v>556.99784141723467</v>
      </c>
      <c r="BI60" s="629">
        <f>+APA!BI107</f>
        <v>578.59768016309886</v>
      </c>
      <c r="BJ60" s="629">
        <f>+APA!BJ107</f>
        <v>600.43672060816584</v>
      </c>
      <c r="BK60" s="629">
        <f>+APA!BK107</f>
        <v>622.53403790966945</v>
      </c>
      <c r="BL60" s="629">
        <f>+APA!BL107</f>
        <v>644.90479487784171</v>
      </c>
      <c r="BM60" s="629">
        <f>+APA!BM107</f>
        <v>667.56522929090613</v>
      </c>
      <c r="BN60" s="629">
        <f>+APA!BN107</f>
        <v>690.53109435513443</v>
      </c>
      <c r="BO60" s="629">
        <f>+APA!BO107</f>
        <v>713.81888278027873</v>
      </c>
      <c r="BP60" s="629">
        <f>+APA!BP107</f>
        <v>737.44465868407065</v>
      </c>
      <c r="BQ60" s="629">
        <f>+APA!BQ107</f>
        <v>761.4244658242352</v>
      </c>
      <c r="BR60" s="629">
        <f>+APA!BR107</f>
        <v>785.77358157731237</v>
      </c>
      <c r="BS60" s="629">
        <f>+APA!BS107</f>
        <v>770.23923657514592</v>
      </c>
      <c r="BT60" s="629">
        <f>+APA!BT107</f>
        <v>758.75326681985018</v>
      </c>
      <c r="BU60" s="629">
        <f>+APA!BU107</f>
        <v>782.52383389189993</v>
      </c>
      <c r="BV60" s="629">
        <f>+APA!BV107</f>
        <v>806.68752834528141</v>
      </c>
      <c r="BW60" s="629">
        <f>+APA!BW107</f>
        <v>831.25925559891198</v>
      </c>
      <c r="BX60" s="629">
        <f>+APA!BX107</f>
        <v>856.25512036071132</v>
      </c>
      <c r="BY60" s="629">
        <f>+APA!BY107</f>
        <v>881.68825467759848</v>
      </c>
      <c r="BZ60" s="629">
        <f>+APA!BZ107</f>
        <v>907.57682428363921</v>
      </c>
      <c r="CA60" s="629">
        <f>+APA!CA107</f>
        <v>933.9349094519664</v>
      </c>
      <c r="CB60" s="629">
        <f>+APA!CB107</f>
        <v>960.78012634578749</v>
      </c>
      <c r="CC60" s="629">
        <f>+APA!CC107</f>
        <v>983.45526968777222</v>
      </c>
      <c r="CD60" s="629">
        <f>+APA!CD107</f>
        <v>955.17879086696985</v>
      </c>
      <c r="CE60" s="629">
        <f>+APA!CE107</f>
        <v>982.16336804846719</v>
      </c>
      <c r="CF60" s="629">
        <f>+APA!CF107</f>
        <v>1009.6642987143487</v>
      </c>
      <c r="CG60" s="629">
        <f>+APA!CG107</f>
        <v>1037.6980650015487</v>
      </c>
      <c r="CH60" s="629">
        <f>+APA!CH107</f>
        <v>546.11778878341147</v>
      </c>
      <c r="CI60" s="629">
        <f>+APA!CI107</f>
        <v>563.23049501702144</v>
      </c>
      <c r="CJ60" s="629">
        <f>+APA!CJ107</f>
        <v>580.64715067169413</v>
      </c>
      <c r="CK60" s="629">
        <f>+APA!CK107</f>
        <v>598.37664899410288</v>
      </c>
      <c r="CL60" s="629">
        <f>+APA!CL107</f>
        <v>616.4283571573618</v>
      </c>
      <c r="CM60" s="629">
        <f>+APA!CM107</f>
        <v>634.81320932712492</v>
      </c>
      <c r="CN60" s="629">
        <f>+APA!CN107</f>
        <v>653.54185996423826</v>
      </c>
      <c r="CO60" s="629">
        <f>+APA!CO107</f>
        <v>672.62543786868821</v>
      </c>
      <c r="CP60" s="629">
        <f>+APA!CP107</f>
        <v>661.29682687021455</v>
      </c>
      <c r="CQ60" s="6" t="s">
        <v>77</v>
      </c>
      <c r="CR60" s="472"/>
    </row>
    <row r="61" spans="1:96" hidden="1" outlineLevel="1" x14ac:dyDescent="0.2">
      <c r="A61" s="472"/>
      <c r="B61" s="698" t="s">
        <v>194</v>
      </c>
      <c r="D61" s="693"/>
      <c r="E61" s="693"/>
      <c r="F61" s="693"/>
      <c r="G61" s="693"/>
      <c r="H61" s="693"/>
      <c r="I61" s="693"/>
      <c r="J61" s="693"/>
      <c r="K61" s="629">
        <f>+APA!K215+APA!K216</f>
        <v>-14.448</v>
      </c>
      <c r="L61" s="629">
        <f>+APA!L215+APA!L216</f>
        <v>1.2429999999999986</v>
      </c>
      <c r="M61" s="629">
        <f>+APA!M215+APA!M216</f>
        <v>0.16300000000000026</v>
      </c>
      <c r="N61" s="629">
        <f>+APA!N215+APA!N216</f>
        <v>0.56600000000000072</v>
      </c>
      <c r="O61" s="629">
        <f>+APA!O215+APA!O216</f>
        <v>-0.17799999999999727</v>
      </c>
      <c r="P61" s="629">
        <f>+APA!P215+APA!P216</f>
        <v>0</v>
      </c>
      <c r="Q61" s="629">
        <f>+APA!Q215+APA!Q216</f>
        <v>0.44200000000000017</v>
      </c>
      <c r="R61" s="629">
        <f>+APA!R215+APA!R216</f>
        <v>0</v>
      </c>
      <c r="S61" s="629">
        <f>+APA!S215+APA!S216</f>
        <v>-0.14099999999999824</v>
      </c>
      <c r="T61" s="629">
        <f>+APA!T215+APA!T216</f>
        <v>0.14100000000000534</v>
      </c>
      <c r="U61" s="629">
        <f>+APA!U215+APA!U216</f>
        <v>0</v>
      </c>
      <c r="V61" s="629">
        <f>+APA!V215+APA!V216</f>
        <v>-0.59300000000000352</v>
      </c>
      <c r="W61" s="629">
        <f>+APA!W215+APA!W216</f>
        <v>-17.88900000000001</v>
      </c>
      <c r="X61" s="629">
        <f>+APA!X215+APA!X216</f>
        <v>-51.272999999999996</v>
      </c>
      <c r="Y61" s="629">
        <f>+APA!Y215+APA!Y216</f>
        <v>-37</v>
      </c>
      <c r="Z61" s="629">
        <f>+APA!Z215+APA!Z216</f>
        <v>-45</v>
      </c>
      <c r="AA61" s="629">
        <f>+APA!AA215+APA!AA216</f>
        <v>-50</v>
      </c>
      <c r="AB61" s="629">
        <f>+APA!AB215+APA!AB216</f>
        <v>-50</v>
      </c>
      <c r="AC61" s="629">
        <f>+APA!AC215+APA!AC216</f>
        <v>-112.39509894823459</v>
      </c>
      <c r="AD61" s="629">
        <f>+APA!AD215+APA!AD216</f>
        <v>-124.01091050238811</v>
      </c>
      <c r="AE61" s="629">
        <f>+APA!AE215+APA!AE216</f>
        <v>-133.44097084732056</v>
      </c>
      <c r="AF61" s="629">
        <f>+APA!AF215+APA!AF216</f>
        <v>-138.43455995305547</v>
      </c>
      <c r="AG61" s="629">
        <f>+APA!AG215+APA!AG216</f>
        <v>-140.9521677600851</v>
      </c>
      <c r="AH61" s="629">
        <f>+APA!AH215+APA!AH216</f>
        <v>-149.50113331208448</v>
      </c>
      <c r="AI61" s="629">
        <f>+APA!AI215+APA!AI216</f>
        <v>-130.27717091806488</v>
      </c>
      <c r="AJ61" s="629">
        <f>+APA!AJ215+APA!AJ216</f>
        <v>-118.42292446430469</v>
      </c>
      <c r="AK61" s="629">
        <f>+APA!AK215+APA!AK216</f>
        <v>-117.9487844488024</v>
      </c>
      <c r="AL61" s="629">
        <f>+APA!AL215+APA!AL216</f>
        <v>-126.41816213791212</v>
      </c>
      <c r="AM61" s="629">
        <f>+APA!AM215+APA!AM216</f>
        <v>-134.6590687602544</v>
      </c>
      <c r="AN61" s="629">
        <f>+APA!AN215+APA!AN216</f>
        <v>-140.4066645007853</v>
      </c>
      <c r="AO61" s="629">
        <f>+APA!AO215+APA!AO216</f>
        <v>-139.87539441861674</v>
      </c>
      <c r="AP61" s="629">
        <f>+APA!AP215+APA!AP216</f>
        <v>-34.655839962017204</v>
      </c>
      <c r="AQ61" s="629">
        <f>+APA!AQ215+APA!AQ216</f>
        <v>-41.711025389415596</v>
      </c>
      <c r="AR61" s="629">
        <f>+APA!AR215+APA!AR216</f>
        <v>-25.395390977887118</v>
      </c>
      <c r="AS61" s="629">
        <f>+APA!AS215+APA!AS216</f>
        <v>-3.1202050008346744</v>
      </c>
      <c r="AT61" s="629">
        <f>+APA!AT215+APA!AT216</f>
        <v>-1.5499592968001301</v>
      </c>
      <c r="AU61" s="629">
        <f>+APA!AU215+APA!AU216</f>
        <v>-6.9404692351928166</v>
      </c>
      <c r="AV61" s="629">
        <f>+APA!AV215+APA!AV216</f>
        <v>-9.7351670336273806</v>
      </c>
      <c r="AW61" s="629">
        <f>+APA!AW215+APA!AW216</f>
        <v>-3.8927221794716136</v>
      </c>
      <c r="AX61" s="629">
        <f>+APA!AX215+APA!AX216</f>
        <v>-7.1494103268457643</v>
      </c>
      <c r="AY61" s="629">
        <f>+APA!AY215+APA!AY216</f>
        <v>-10.466864494814093</v>
      </c>
      <c r="AZ61" s="629">
        <f>+APA!AZ215+APA!AZ216</f>
        <v>-13.850399697006166</v>
      </c>
      <c r="BA61" s="629">
        <f>+APA!BA215+APA!BA216</f>
        <v>0</v>
      </c>
      <c r="BB61" s="629">
        <f>+APA!BB215+APA!BB216</f>
        <v>0</v>
      </c>
      <c r="BC61" s="629">
        <f>+APA!BC215+APA!BC216</f>
        <v>0</v>
      </c>
      <c r="BD61" s="629">
        <f>+APA!BD215+APA!BD216</f>
        <v>0</v>
      </c>
      <c r="BE61" s="629">
        <f>+APA!BE215+APA!BE216</f>
        <v>0</v>
      </c>
      <c r="BF61" s="629">
        <f>+APA!BF215+APA!BF216</f>
        <v>0</v>
      </c>
      <c r="BG61" s="629">
        <f>+APA!BG215+APA!BG216</f>
        <v>0</v>
      </c>
      <c r="BH61" s="629">
        <f>+APA!BH215+APA!BH216</f>
        <v>0</v>
      </c>
      <c r="BI61" s="629">
        <f>+APA!BI215+APA!BI216</f>
        <v>0</v>
      </c>
      <c r="BJ61" s="629">
        <f>+APA!BJ215+APA!BJ216</f>
        <v>0</v>
      </c>
      <c r="BK61" s="629">
        <f>+APA!BK215+APA!BK216</f>
        <v>0</v>
      </c>
      <c r="BL61" s="629">
        <f>+APA!BL215+APA!BL216</f>
        <v>0</v>
      </c>
      <c r="BM61" s="629">
        <f>+APA!BM215+APA!BM216</f>
        <v>0</v>
      </c>
      <c r="BN61" s="629">
        <f>+APA!BN215+APA!BN216</f>
        <v>0</v>
      </c>
      <c r="BO61" s="629">
        <f>+APA!BO215+APA!BO216</f>
        <v>0</v>
      </c>
      <c r="BP61" s="629">
        <f>+APA!BP215+APA!BP216</f>
        <v>0</v>
      </c>
      <c r="BQ61" s="629">
        <f>+APA!BQ215+APA!BQ216</f>
        <v>-25.966114838497678</v>
      </c>
      <c r="BR61" s="629">
        <f>+APA!BR215+APA!BR216</f>
        <v>-29.62999615353948</v>
      </c>
      <c r="BS61" s="629">
        <f>+APA!BS215+APA!BS216</f>
        <v>-24.963565454115038</v>
      </c>
      <c r="BT61" s="629">
        <f>+APA!BT215+APA!BT216</f>
        <v>-21.093481091846591</v>
      </c>
      <c r="BU61" s="629">
        <f>+APA!BU215+APA!BU216</f>
        <v>-24.584050539897273</v>
      </c>
      <c r="BV61" s="629">
        <f>+APA!BV215+APA!BV216</f>
        <v>-28.202164594954635</v>
      </c>
      <c r="BW61" s="629">
        <f>+APA!BW215+APA!BW216</f>
        <v>-31.952110458542471</v>
      </c>
      <c r="BX61" s="629">
        <f>+APA!BX215+APA!BX216</f>
        <v>-35.838446962872645</v>
      </c>
      <c r="BY61" s="629">
        <f>+APA!BY215+APA!BY216</f>
        <v>-39.865131961575216</v>
      </c>
      <c r="BZ61" s="629">
        <f>+APA!BZ215+APA!BZ216</f>
        <v>-44.03719674565729</v>
      </c>
      <c r="CA61" s="629">
        <f>+APA!CA215+APA!CA216</f>
        <v>-48.358844027415756</v>
      </c>
      <c r="CB61" s="629">
        <f>+APA!CB215+APA!CB216</f>
        <v>-52.835038672758635</v>
      </c>
      <c r="CC61" s="629">
        <f>+APA!CC215+APA!CC216</f>
        <v>-56.489061885350836</v>
      </c>
      <c r="CD61" s="629">
        <f>+APA!CD215+APA!CD216</f>
        <v>-49.486478690793618</v>
      </c>
      <c r="CE61" s="629">
        <f>+APA!CE215+APA!CE216</f>
        <v>-54.005248230136864</v>
      </c>
      <c r="CF61" s="629">
        <f>+APA!CF215+APA!CF216</f>
        <v>-58.686979393513468</v>
      </c>
      <c r="CG61" s="629">
        <f>+APA!CG215+APA!CG216</f>
        <v>-63.536453704307185</v>
      </c>
      <c r="CH61" s="629">
        <f>+APA!CH215+APA!CH216</f>
        <v>0</v>
      </c>
      <c r="CI61" s="629">
        <f>+APA!CI215+APA!CI216</f>
        <v>0</v>
      </c>
      <c r="CJ61" s="629">
        <f>+APA!CJ215+APA!CJ216</f>
        <v>0</v>
      </c>
      <c r="CK61" s="629">
        <f>+APA!CK215+APA!CK216</f>
        <v>0</v>
      </c>
      <c r="CL61" s="629">
        <f>+APA!CL215+APA!CL216</f>
        <v>0</v>
      </c>
      <c r="CM61" s="629">
        <f>+APA!CM215+APA!CM216</f>
        <v>0</v>
      </c>
      <c r="CN61" s="629">
        <f>+APA!CN215+APA!CN216</f>
        <v>0</v>
      </c>
      <c r="CO61" s="629">
        <f>+APA!CO215+APA!CO216</f>
        <v>0</v>
      </c>
      <c r="CP61" s="629">
        <f>+APA!CP215+APA!CP216</f>
        <v>0</v>
      </c>
      <c r="CQ61" s="6" t="s">
        <v>77</v>
      </c>
      <c r="CR61" s="472"/>
    </row>
    <row r="62" spans="1:96" hidden="1" outlineLevel="1" x14ac:dyDescent="0.2">
      <c r="B62" s="699" t="s">
        <v>117</v>
      </c>
      <c r="D62" s="699"/>
      <c r="E62" s="699"/>
      <c r="F62" s="699"/>
      <c r="G62" s="699"/>
      <c r="H62" s="699"/>
      <c r="I62" s="699"/>
      <c r="J62" s="699"/>
      <c r="K62" s="630">
        <f t="shared" ref="K62:U62" si="16">+K60+K61</f>
        <v>128.05499999999998</v>
      </c>
      <c r="L62" s="630">
        <f t="shared" si="16"/>
        <v>162.79699999999997</v>
      </c>
      <c r="M62" s="630">
        <f t="shared" si="16"/>
        <v>227.22199999999998</v>
      </c>
      <c r="N62" s="630">
        <f t="shared" si="16"/>
        <v>336.64199999999994</v>
      </c>
      <c r="O62" s="630">
        <f t="shared" si="16"/>
        <v>327.42400000000009</v>
      </c>
      <c r="P62" s="631">
        <f t="shared" si="16"/>
        <v>368.54900000000004</v>
      </c>
      <c r="Q62" s="631">
        <f t="shared" si="16"/>
        <v>354.56700000000001</v>
      </c>
      <c r="R62" s="631">
        <f t="shared" si="16"/>
        <v>405.28399999999999</v>
      </c>
      <c r="S62" s="631">
        <f t="shared" si="16"/>
        <v>515.90300000000013</v>
      </c>
      <c r="T62" s="631">
        <f t="shared" si="16"/>
        <v>541.1339999999999</v>
      </c>
      <c r="U62" s="631">
        <f t="shared" si="16"/>
        <v>613.05899999999997</v>
      </c>
      <c r="V62" s="631">
        <f t="shared" ref="V62:BD62" si="17">+V60+V61</f>
        <v>809.04099999999994</v>
      </c>
      <c r="W62" s="631">
        <f t="shared" si="17"/>
        <v>882.21199999999965</v>
      </c>
      <c r="X62" s="631">
        <f t="shared" si="17"/>
        <v>863.78993262188953</v>
      </c>
      <c r="Y62" s="631">
        <f t="shared" si="17"/>
        <v>921.76570193394423</v>
      </c>
      <c r="Z62" s="631">
        <f t="shared" si="17"/>
        <v>970.68743678902524</v>
      </c>
      <c r="AA62" s="631">
        <f t="shared" si="17"/>
        <v>938.20810854925389</v>
      </c>
      <c r="AB62" s="631">
        <f t="shared" si="17"/>
        <v>981.74590131140053</v>
      </c>
      <c r="AC62" s="631">
        <f t="shared" si="17"/>
        <v>963.42782546166904</v>
      </c>
      <c r="AD62" s="631">
        <f t="shared" si="17"/>
        <v>997.72601345464261</v>
      </c>
      <c r="AE62" s="631">
        <f t="shared" si="17"/>
        <v>1023.1216629755997</v>
      </c>
      <c r="AF62" s="631">
        <f t="shared" si="17"/>
        <v>1031.7318632337144</v>
      </c>
      <c r="AG62" s="631">
        <f t="shared" si="17"/>
        <v>1031.1733258685176</v>
      </c>
      <c r="AH62" s="631">
        <f t="shared" si="17"/>
        <v>1068.5811515345074</v>
      </c>
      <c r="AI62" s="631">
        <f t="shared" si="17"/>
        <v>982.68649472752054</v>
      </c>
      <c r="AJ62" s="631">
        <f t="shared" si="17"/>
        <v>929.81169204401021</v>
      </c>
      <c r="AK62" s="631">
        <f t="shared" si="17"/>
        <v>935.79302396760181</v>
      </c>
      <c r="AL62" s="631">
        <f t="shared" si="17"/>
        <v>966.05164124974249</v>
      </c>
      <c r="AM62" s="631">
        <f t="shared" si="17"/>
        <v>996.87476602072036</v>
      </c>
      <c r="AN62" s="631">
        <f t="shared" si="17"/>
        <v>1018.2296571152991</v>
      </c>
      <c r="AO62" s="631">
        <f t="shared" si="17"/>
        <v>1001.0135744463578</v>
      </c>
      <c r="AP62" s="631">
        <f t="shared" si="17"/>
        <v>597.11963885455918</v>
      </c>
      <c r="AQ62" s="631">
        <f t="shared" si="17"/>
        <v>618.25651838780345</v>
      </c>
      <c r="AR62" s="631">
        <f t="shared" si="17"/>
        <v>551.1065359763445</v>
      </c>
      <c r="AS62" s="631">
        <f t="shared" si="17"/>
        <v>465.48789563572007</v>
      </c>
      <c r="AT62" s="631">
        <f t="shared" si="17"/>
        <v>458.27651211705052</v>
      </c>
      <c r="AU62" s="631">
        <f t="shared" si="17"/>
        <v>477.33679695160265</v>
      </c>
      <c r="AV62" s="631">
        <f t="shared" si="17"/>
        <v>499.08589890118014</v>
      </c>
      <c r="AW62" s="631">
        <f t="shared" si="17"/>
        <v>484.98561588167718</v>
      </c>
      <c r="AX62" s="631">
        <f t="shared" si="17"/>
        <v>505.4828382596171</v>
      </c>
      <c r="AY62" s="631">
        <f t="shared" si="17"/>
        <v>526.05279881996637</v>
      </c>
      <c r="AZ62" s="631">
        <f t="shared" si="17"/>
        <v>546.71025586571977</v>
      </c>
      <c r="BA62" s="631">
        <f t="shared" si="17"/>
        <v>411.14057392705615</v>
      </c>
      <c r="BB62" s="631">
        <f t="shared" si="17"/>
        <v>431.52572965607601</v>
      </c>
      <c r="BC62" s="631">
        <f t="shared" si="17"/>
        <v>452.03182168095003</v>
      </c>
      <c r="BD62" s="631">
        <f t="shared" si="17"/>
        <v>472.67730616715619</v>
      </c>
      <c r="BE62" s="631">
        <f t="shared" ref="BE62:CP62" si="18">+BE60+BE61</f>
        <v>493.48036632432826</v>
      </c>
      <c r="BF62" s="631">
        <f t="shared" si="18"/>
        <v>514.45593323853086</v>
      </c>
      <c r="BG62" s="631">
        <f t="shared" si="18"/>
        <v>535.62408474807444</v>
      </c>
      <c r="BH62" s="631">
        <f t="shared" si="18"/>
        <v>556.99784141723467</v>
      </c>
      <c r="BI62" s="631">
        <f t="shared" si="18"/>
        <v>578.59768016309886</v>
      </c>
      <c r="BJ62" s="631">
        <f t="shared" si="18"/>
        <v>600.43672060816584</v>
      </c>
      <c r="BK62" s="631">
        <f t="shared" si="18"/>
        <v>622.53403790966945</v>
      </c>
      <c r="BL62" s="631">
        <f t="shared" si="18"/>
        <v>644.90479487784171</v>
      </c>
      <c r="BM62" s="631">
        <f t="shared" si="18"/>
        <v>667.56522929090613</v>
      </c>
      <c r="BN62" s="631">
        <f t="shared" si="18"/>
        <v>690.53109435513443</v>
      </c>
      <c r="BO62" s="631">
        <f t="shared" si="18"/>
        <v>713.81888278027873</v>
      </c>
      <c r="BP62" s="631">
        <f t="shared" si="18"/>
        <v>737.44465868407065</v>
      </c>
      <c r="BQ62" s="631">
        <f t="shared" si="18"/>
        <v>735.45835098573752</v>
      </c>
      <c r="BR62" s="631">
        <f t="shared" si="18"/>
        <v>756.14358542377295</v>
      </c>
      <c r="BS62" s="631">
        <f t="shared" si="18"/>
        <v>745.27567112103088</v>
      </c>
      <c r="BT62" s="631">
        <f t="shared" si="18"/>
        <v>737.65978572800361</v>
      </c>
      <c r="BU62" s="631">
        <f t="shared" si="18"/>
        <v>757.93978335200268</v>
      </c>
      <c r="BV62" s="631">
        <f t="shared" si="18"/>
        <v>778.48536375032677</v>
      </c>
      <c r="BW62" s="631">
        <f t="shared" si="18"/>
        <v>799.30714514036947</v>
      </c>
      <c r="BX62" s="631">
        <f t="shared" si="18"/>
        <v>820.41667339783862</v>
      </c>
      <c r="BY62" s="631">
        <f t="shared" si="18"/>
        <v>841.82312271602325</v>
      </c>
      <c r="BZ62" s="631">
        <f t="shared" si="18"/>
        <v>863.53962753798191</v>
      </c>
      <c r="CA62" s="631">
        <f t="shared" si="18"/>
        <v>885.57606542455062</v>
      </c>
      <c r="CB62" s="631">
        <f t="shared" si="18"/>
        <v>907.94508767302887</v>
      </c>
      <c r="CC62" s="631">
        <f t="shared" si="18"/>
        <v>926.96620780242142</v>
      </c>
      <c r="CD62" s="631">
        <f t="shared" si="18"/>
        <v>905.69231217617619</v>
      </c>
      <c r="CE62" s="631">
        <f t="shared" si="18"/>
        <v>928.15811981833031</v>
      </c>
      <c r="CF62" s="631">
        <f t="shared" si="18"/>
        <v>950.97731932083525</v>
      </c>
      <c r="CG62" s="631">
        <f t="shared" si="18"/>
        <v>974.16161129724151</v>
      </c>
      <c r="CH62" s="631">
        <f t="shared" si="18"/>
        <v>546.11778878341147</v>
      </c>
      <c r="CI62" s="631">
        <f t="shared" si="18"/>
        <v>563.23049501702144</v>
      </c>
      <c r="CJ62" s="631">
        <f t="shared" si="18"/>
        <v>580.64715067169413</v>
      </c>
      <c r="CK62" s="631">
        <f t="shared" si="18"/>
        <v>598.37664899410288</v>
      </c>
      <c r="CL62" s="631">
        <f t="shared" si="18"/>
        <v>616.4283571573618</v>
      </c>
      <c r="CM62" s="631">
        <f t="shared" si="18"/>
        <v>634.81320932712492</v>
      </c>
      <c r="CN62" s="631">
        <f t="shared" si="18"/>
        <v>653.54185996423826</v>
      </c>
      <c r="CO62" s="631">
        <f t="shared" si="18"/>
        <v>672.62543786868821</v>
      </c>
      <c r="CP62" s="631">
        <f t="shared" si="18"/>
        <v>661.29682687021455</v>
      </c>
      <c r="CQ62" s="6" t="s">
        <v>77</v>
      </c>
    </row>
    <row r="63" spans="1:96" hidden="1" outlineLevel="1" x14ac:dyDescent="0.2">
      <c r="B63" s="474" t="s">
        <v>123</v>
      </c>
      <c r="K63" s="625">
        <f>-APA!K103-APA!K104</f>
        <v>36.373000000000005</v>
      </c>
      <c r="L63" s="625">
        <f>-APA!L103-APA!L104</f>
        <v>38.847999999999999</v>
      </c>
      <c r="M63" s="625">
        <f>-APA!M103-APA!M104</f>
        <v>69.783000000000001</v>
      </c>
      <c r="N63" s="625">
        <f>-APA!N103-APA!N104</f>
        <v>94.458999999999989</v>
      </c>
      <c r="O63" s="625">
        <f>-APA!O103-APA!O104</f>
        <v>95.64</v>
      </c>
      <c r="P63" s="632">
        <f>-APA!P103-APA!P104</f>
        <v>91.426000000000002</v>
      </c>
      <c r="Q63" s="632">
        <f>-APA!Q103-APA!Q104</f>
        <v>100.35</v>
      </c>
      <c r="R63" s="632">
        <f>-APA!R103-APA!R104</f>
        <v>110.04900000000001</v>
      </c>
      <c r="S63" s="632">
        <f>-APA!S103-APA!S104</f>
        <v>130.46100000000001</v>
      </c>
      <c r="T63" s="632">
        <f>-APA!T103-APA!T104</f>
        <v>156.22800000000001</v>
      </c>
      <c r="U63" s="632">
        <f>-APA!U103-APA!U104</f>
        <v>208.2</v>
      </c>
      <c r="V63" s="629">
        <f>-APA!V103-APA!V104</f>
        <v>520.89</v>
      </c>
      <c r="W63" s="632">
        <f>-APA!W103-APA!W104</f>
        <v>570.02099999999996</v>
      </c>
      <c r="X63" s="632">
        <f>-APA!X103-APA!X104</f>
        <v>570.02099999999996</v>
      </c>
      <c r="Y63" s="632">
        <f>-APA!Y103-APA!Y104</f>
        <v>594.91832074339641</v>
      </c>
      <c r="Z63" s="632">
        <f>-APA!Z103-APA!Z104</f>
        <v>604.3578875068265</v>
      </c>
      <c r="AA63" s="632">
        <f>-APA!AA103-APA!AA104</f>
        <v>590.43450072981477</v>
      </c>
      <c r="AB63" s="632">
        <f>-APA!AB103-APA!AB104</f>
        <v>577.77495238777942</v>
      </c>
      <c r="AC63" s="632">
        <f>-APA!AC103-APA!AC104</f>
        <v>566.17991164647924</v>
      </c>
      <c r="AD63" s="632">
        <f>-APA!AD103-APA!AD104</f>
        <v>553.34365861621131</v>
      </c>
      <c r="AE63" s="632">
        <f>-APA!AE103-APA!AE104</f>
        <v>539.3179558624056</v>
      </c>
      <c r="AF63" s="632">
        <f>-APA!AF103-APA!AF104</f>
        <v>525.93844101586524</v>
      </c>
      <c r="AG63" s="632">
        <f>-APA!AG103-APA!AG104</f>
        <v>513.16373193458617</v>
      </c>
      <c r="AH63" s="632">
        <f>-APA!AH103-APA!AH104</f>
        <v>500.96830179539825</v>
      </c>
      <c r="AI63" s="632">
        <f>-APA!AI103-APA!AI104</f>
        <v>489.32770389695645</v>
      </c>
      <c r="AJ63" s="632">
        <f>-APA!AJ103-APA!AJ104</f>
        <v>478.21852596033102</v>
      </c>
      <c r="AK63" s="632">
        <f>-APA!AK103-APA!AK104</f>
        <v>467.61834636312102</v>
      </c>
      <c r="AL63" s="632">
        <f>-APA!AL103-APA!AL104</f>
        <v>457.50569222528696</v>
      </c>
      <c r="AM63" s="632">
        <f>-APA!AM103-APA!AM104</f>
        <v>447.85999926835643</v>
      </c>
      <c r="AN63" s="632">
        <f>-APA!AN103-APA!AN104</f>
        <v>438.66157337297079</v>
      </c>
      <c r="AO63" s="632">
        <f>-APA!AO103-APA!AO104</f>
        <v>429.89155376291791</v>
      </c>
      <c r="AP63" s="632">
        <f>-APA!AP103-APA!AP104</f>
        <v>421.53187774683528</v>
      </c>
      <c r="AQ63" s="632">
        <f>-APA!AQ103-APA!AQ104</f>
        <v>413.56524695167752</v>
      </c>
      <c r="AR63" s="632">
        <f>-APA!AR103-APA!AR104</f>
        <v>405.97509498483396</v>
      </c>
      <c r="AS63" s="632">
        <f>-APA!AS103-APA!AS104</f>
        <v>398.74555646444941</v>
      </c>
      <c r="AT63" s="632">
        <f>-APA!AT103-APA!AT104</f>
        <v>391.86143736006079</v>
      </c>
      <c r="AU63" s="632">
        <f>-APA!AU103-APA!AU104</f>
        <v>385.30818658811029</v>
      </c>
      <c r="AV63" s="632">
        <f>-APA!AV103-APA!AV104</f>
        <v>379.07186880924144</v>
      </c>
      <c r="AW63" s="632">
        <f>-APA!AW103-APA!AW104</f>
        <v>373.13913837653212</v>
      </c>
      <c r="AX63" s="632">
        <f>-APA!AX103-APA!AX104</f>
        <v>367.49721438596714</v>
      </c>
      <c r="AY63" s="632">
        <f>-APA!AY103-APA!AY104</f>
        <v>362.13385678251717</v>
      </c>
      <c r="AZ63" s="632">
        <f>-APA!AZ103-APA!AZ104</f>
        <v>357.03734347715937</v>
      </c>
      <c r="BA63" s="632">
        <f>-APA!BA103-APA!BA104</f>
        <v>352.19644843206959</v>
      </c>
      <c r="BB63" s="632">
        <f>-APA!BB103-APA!BB104</f>
        <v>347.60042067302072</v>
      </c>
      <c r="BC63" s="632">
        <f>-APA!BC103-APA!BC104</f>
        <v>343.23896418975988</v>
      </c>
      <c r="BD63" s="632">
        <f>-APA!BD103-APA!BD104</f>
        <v>339.10221868679218</v>
      </c>
      <c r="BE63" s="632">
        <f>-APA!BE103-APA!BE104</f>
        <v>335.1807411485924</v>
      </c>
      <c r="BF63" s="632">
        <f>-APA!BF103-APA!BF104</f>
        <v>331.46548818478516</v>
      </c>
      <c r="BG63" s="632">
        <f>-APA!BG103-APA!BG104</f>
        <v>327.94779912229473</v>
      </c>
      <c r="BH63" s="632">
        <f>-APA!BH103-APA!BH104</f>
        <v>324.61937981285905</v>
      </c>
      <c r="BI63" s="632">
        <f>-APA!BI103-APA!BI104</f>
        <v>321.4722871256422</v>
      </c>
      <c r="BJ63" s="632">
        <f>-APA!BJ103-APA!BJ104</f>
        <v>318.49891409595881</v>
      </c>
      <c r="BK63" s="632">
        <f>-APA!BK103-APA!BK104</f>
        <v>315.69197570235031</v>
      </c>
      <c r="BL63" s="632">
        <f>-APA!BL103-APA!BL104</f>
        <v>313.04449524542781</v>
      </c>
      <c r="BM63" s="632">
        <f>-APA!BM103-APA!BM104</f>
        <v>310.54979130302138</v>
      </c>
      <c r="BN63" s="632">
        <f>-APA!BN103-APA!BN104</f>
        <v>308.20146523725214</v>
      </c>
      <c r="BO63" s="632">
        <f>-APA!BO103-APA!BO104</f>
        <v>305.99338923017581</v>
      </c>
      <c r="BP63" s="632">
        <f>-APA!BP103-APA!BP104</f>
        <v>303.9196948256328</v>
      </c>
      <c r="BQ63" s="632">
        <f>-APA!BQ103-APA!BQ104</f>
        <v>301.9747619558899</v>
      </c>
      <c r="BR63" s="632">
        <f>-APA!BR103-APA!BR104</f>
        <v>300.15320843255995</v>
      </c>
      <c r="BS63" s="632">
        <f>-APA!BS103-APA!BS104</f>
        <v>298.44987988215689</v>
      </c>
      <c r="BT63" s="632">
        <f>-APA!BT103-APA!BT104</f>
        <v>296.85984010747427</v>
      </c>
      <c r="BU63" s="632">
        <f>-APA!BU103-APA!BU104</f>
        <v>295.37836185677008</v>
      </c>
      <c r="BV63" s="632">
        <f>-APA!BV103-APA!BV104</f>
        <v>294.00091798350377</v>
      </c>
      <c r="BW63" s="632">
        <f>-APA!BW103-APA!BW104</f>
        <v>292.72317298010256</v>
      </c>
      <c r="BX63" s="632">
        <f>-APA!BX103-APA!BX104</f>
        <v>291.54097486992993</v>
      </c>
      <c r="BY63" s="632">
        <f>-APA!BY103-APA!BY104</f>
        <v>290.45034744230293</v>
      </c>
      <c r="BZ63" s="632">
        <f>-APA!BZ103-APA!BZ104</f>
        <v>289.44748281604291</v>
      </c>
      <c r="CA63" s="632">
        <f>-APA!CA103-APA!CA104</f>
        <v>288.52873431765943</v>
      </c>
      <c r="CB63" s="632">
        <f>-APA!CB103-APA!CB104</f>
        <v>287.69060966085607</v>
      </c>
      <c r="CC63" s="632">
        <f>-APA!CC103-APA!CC104</f>
        <v>286.929764414609</v>
      </c>
      <c r="CD63" s="632">
        <f>-APA!CD103-APA!CD104</f>
        <v>286.24299574760886</v>
      </c>
      <c r="CE63" s="632">
        <f>-APA!CE103-APA!CE104</f>
        <v>285.62723643737263</v>
      </c>
      <c r="CF63" s="632">
        <f>-APA!CF103-APA!CF104</f>
        <v>285.0795491328285</v>
      </c>
      <c r="CG63" s="632">
        <f>-APA!CG103-APA!CG104</f>
        <v>284.59712085964884</v>
      </c>
      <c r="CH63" s="632">
        <f>-APA!CH103-APA!CH104</f>
        <v>284.17725775805991</v>
      </c>
      <c r="CI63" s="632">
        <f>-APA!CI103-APA!CI104</f>
        <v>283.81738004329384</v>
      </c>
      <c r="CJ63" s="632">
        <f>-APA!CJ103-APA!CJ104</f>
        <v>283.51501717926186</v>
      </c>
      <c r="CK63" s="632">
        <f>-APA!CK103-APA!CK104</f>
        <v>283.26780325642784</v>
      </c>
      <c r="CL63" s="632">
        <f>-APA!CL103-APA!CL104</f>
        <v>283.07347256524201</v>
      </c>
      <c r="CM63" s="632">
        <f>-APA!CM103-APA!CM104</f>
        <v>282.92985535686216</v>
      </c>
      <c r="CN63" s="632">
        <f>-APA!CN103-APA!CN104</f>
        <v>282.83487378323645</v>
      </c>
      <c r="CO63" s="632">
        <f>-APA!CO103-APA!CO104</f>
        <v>282.78653800896041</v>
      </c>
      <c r="CP63" s="632">
        <f>-APA!CP103-APA!CP104</f>
        <v>282.78294248764007</v>
      </c>
      <c r="CQ63" s="6" t="s">
        <v>77</v>
      </c>
    </row>
    <row r="64" spans="1:96" hidden="1" outlineLevel="1" x14ac:dyDescent="0.2">
      <c r="B64" s="474" t="s">
        <v>83</v>
      </c>
      <c r="K64" s="625">
        <f>+APA!K223</f>
        <v>-12.824999999999999</v>
      </c>
      <c r="L64" s="625">
        <f>+APA!L223</f>
        <v>-31.975999999999999</v>
      </c>
      <c r="M64" s="625">
        <f>+APA!M223</f>
        <v>-130.279</v>
      </c>
      <c r="N64" s="625">
        <f>+APA!N223</f>
        <v>-193.80799999999999</v>
      </c>
      <c r="O64" s="625">
        <f>+APA!O223</f>
        <v>-301.72899999999998</v>
      </c>
      <c r="P64" s="632">
        <f>+APA!P223</f>
        <v>-135.42599999999999</v>
      </c>
      <c r="Q64" s="632">
        <f>+APA!Q223</f>
        <v>-231.05099999999999</v>
      </c>
      <c r="R64" s="632">
        <f>+APA!R223</f>
        <v>-249.11199999999999</v>
      </c>
      <c r="S64" s="632">
        <f>+APA!S223</f>
        <v>-397.45100000000002</v>
      </c>
      <c r="T64" s="632">
        <f>+APA!T223</f>
        <v>-446.75400000000002</v>
      </c>
      <c r="U64" s="632">
        <f>+APA!U223</f>
        <v>-2814.5590000000002</v>
      </c>
      <c r="V64" s="632">
        <f>+APA!V223</f>
        <v>-455.97500000000002</v>
      </c>
      <c r="W64" s="632">
        <f>+APA!W223</f>
        <v>-340.75299999999999</v>
      </c>
      <c r="X64" s="632">
        <f>+APA!X223</f>
        <v>-786.8</v>
      </c>
      <c r="Y64" s="632">
        <f>+APA!Y223</f>
        <v>-555.57650000000001</v>
      </c>
      <c r="Z64" s="632">
        <f>+APA!Z223</f>
        <v>-186.95771945405014</v>
      </c>
      <c r="AA64" s="632">
        <f>+APA!AA223</f>
        <v>-197.78895243761337</v>
      </c>
      <c r="AB64" s="632">
        <f>+APA!AB223</f>
        <v>-206.2788197325826</v>
      </c>
      <c r="AC64" s="632">
        <f>+APA!AC223</f>
        <v>-178.47949073124602</v>
      </c>
      <c r="AD64" s="632">
        <f>+APA!AD223</f>
        <v>-150.66807987495798</v>
      </c>
      <c r="AE64" s="632">
        <f>+APA!AE223</f>
        <v>-151.51509324529883</v>
      </c>
      <c r="AF64" s="632">
        <f>+APA!AF223</f>
        <v>-152.13669695358624</v>
      </c>
      <c r="AG64" s="632">
        <f>+APA!AG223</f>
        <v>-152.7593003794818</v>
      </c>
      <c r="AH64" s="632">
        <f>+APA!AH223</f>
        <v>-153.38290499415905</v>
      </c>
      <c r="AI64" s="632">
        <f>+APA!AI223</f>
        <v>-154.00751227092582</v>
      </c>
      <c r="AJ64" s="632">
        <f>+APA!AJ223</f>
        <v>-154.63312368522716</v>
      </c>
      <c r="AK64" s="632">
        <f>+APA!AK223</f>
        <v>-155.25974071464864</v>
      </c>
      <c r="AL64" s="632">
        <f>+APA!AL223</f>
        <v>-155.88736483891927</v>
      </c>
      <c r="AM64" s="632">
        <f>+APA!AM223</f>
        <v>-156.51599753991468</v>
      </c>
      <c r="AN64" s="632">
        <f>+APA!AN223</f>
        <v>-157.14564030166031</v>
      </c>
      <c r="AO64" s="632">
        <f>+APA!AO223</f>
        <v>-157.77629461033436</v>
      </c>
      <c r="AP64" s="632">
        <f>+APA!AP223</f>
        <v>-158.407961954271</v>
      </c>
      <c r="AQ64" s="632">
        <f>+APA!AQ223</f>
        <v>-159.04064382396345</v>
      </c>
      <c r="AR64" s="632">
        <f>+APA!AR223</f>
        <v>-159.67434171206716</v>
      </c>
      <c r="AS64" s="632">
        <f>+APA!AS223</f>
        <v>-160.3090571134029</v>
      </c>
      <c r="AT64" s="632">
        <f>+APA!AT223</f>
        <v>-160.94479152495984</v>
      </c>
      <c r="AU64" s="632">
        <f>+APA!AU223</f>
        <v>-161.58154644589879</v>
      </c>
      <c r="AV64" s="632">
        <f>+APA!AV223</f>
        <v>-162.21932337755536</v>
      </c>
      <c r="AW64" s="632">
        <f>+APA!AW223</f>
        <v>-162.85812382344295</v>
      </c>
      <c r="AX64" s="632">
        <f>+APA!AX223</f>
        <v>-163.49794928925598</v>
      </c>
      <c r="AY64" s="632">
        <f>+APA!AY223</f>
        <v>-164.13880128287323</v>
      </c>
      <c r="AZ64" s="632">
        <f>+APA!AZ223</f>
        <v>-164.78068131436061</v>
      </c>
      <c r="BA64" s="632">
        <f>+APA!BA223</f>
        <v>-165.42359089597468</v>
      </c>
      <c r="BB64" s="632">
        <f>+APA!BB223</f>
        <v>-166.06753154216574</v>
      </c>
      <c r="BC64" s="632">
        <f>+APA!BC223</f>
        <v>-166.71250476958079</v>
      </c>
      <c r="BD64" s="632">
        <f>+APA!BD223</f>
        <v>-167.35851209706703</v>
      </c>
      <c r="BE64" s="632">
        <f>+APA!BE223</f>
        <v>-168.00555504567484</v>
      </c>
      <c r="BF64" s="632">
        <f>+APA!BF223</f>
        <v>-168.65363513866095</v>
      </c>
      <c r="BG64" s="632">
        <f>+APA!BG223</f>
        <v>-169.30275390149177</v>
      </c>
      <c r="BH64" s="632">
        <f>+APA!BH223</f>
        <v>-169.9529128618465</v>
      </c>
      <c r="BI64" s="632">
        <f>+APA!BI223</f>
        <v>-170.60411354962034</v>
      </c>
      <c r="BJ64" s="632">
        <f>+APA!BJ223</f>
        <v>-171.25635749692771</v>
      </c>
      <c r="BK64" s="632">
        <f>+APA!BK223</f>
        <v>-171.90964623810547</v>
      </c>
      <c r="BL64" s="632">
        <f>+APA!BL223</f>
        <v>-172.5639813097161</v>
      </c>
      <c r="BM64" s="632">
        <f>+APA!BM223</f>
        <v>-173.21936425055094</v>
      </c>
      <c r="BN64" s="632">
        <f>+APA!BN223</f>
        <v>-173.87579660163345</v>
      </c>
      <c r="BO64" s="632">
        <f>+APA!BO223</f>
        <v>-174.53327990622239</v>
      </c>
      <c r="BP64" s="632">
        <f>+APA!BP223</f>
        <v>-175.1918157098151</v>
      </c>
      <c r="BQ64" s="632">
        <f>+APA!BQ223</f>
        <v>-175.85140556015068</v>
      </c>
      <c r="BR64" s="632">
        <f>+APA!BR223</f>
        <v>-176.5120510072133</v>
      </c>
      <c r="BS64" s="632">
        <f>+APA!BS223</f>
        <v>-177.17375360323535</v>
      </c>
      <c r="BT64" s="632">
        <f>+APA!BT223</f>
        <v>-177.83651490270088</v>
      </c>
      <c r="BU64" s="632">
        <f>+APA!BU223</f>
        <v>-178.5003364623486</v>
      </c>
      <c r="BV64" s="632">
        <f>+APA!BV223</f>
        <v>-179.16521984117537</v>
      </c>
      <c r="BW64" s="632">
        <f>+APA!BW223</f>
        <v>-179.83116660043936</v>
      </c>
      <c r="BX64" s="632">
        <f>+APA!BX223</f>
        <v>-180.49817830366339</v>
      </c>
      <c r="BY64" s="632">
        <f>+APA!BY223</f>
        <v>-181.16625651663807</v>
      </c>
      <c r="BZ64" s="632">
        <f>+APA!BZ223</f>
        <v>-181.83540280742523</v>
      </c>
      <c r="CA64" s="632">
        <f>+APA!CA223</f>
        <v>-182.50561874636108</v>
      </c>
      <c r="CB64" s="632">
        <f>+APA!CB223</f>
        <v>-183.17690590605969</v>
      </c>
      <c r="CC64" s="632">
        <f>+APA!CC223</f>
        <v>-183.84926586141606</v>
      </c>
      <c r="CD64" s="632">
        <f>+APA!CD223</f>
        <v>-184.52270018960957</v>
      </c>
      <c r="CE64" s="632">
        <f>+APA!CE223</f>
        <v>-185.19721047010722</v>
      </c>
      <c r="CF64" s="632">
        <f>+APA!CF223</f>
        <v>-185.87279828466697</v>
      </c>
      <c r="CG64" s="632">
        <f>+APA!CG223</f>
        <v>-186.54946521734109</v>
      </c>
      <c r="CH64" s="632">
        <f>+APA!CH223</f>
        <v>-187.2272128544794</v>
      </c>
      <c r="CI64" s="632">
        <f>+APA!CI223</f>
        <v>-187.90604278473262</v>
      </c>
      <c r="CJ64" s="632">
        <f>+APA!CJ223</f>
        <v>-188.58595659905569</v>
      </c>
      <c r="CK64" s="632">
        <f>+APA!CK223</f>
        <v>-189.26695589071124</v>
      </c>
      <c r="CL64" s="632">
        <f>+APA!CL223</f>
        <v>-189.94904225527273</v>
      </c>
      <c r="CM64" s="632">
        <f>+APA!CM223</f>
        <v>-190.63221729062784</v>
      </c>
      <c r="CN64" s="632">
        <f>+APA!CN223</f>
        <v>-191.31648259698196</v>
      </c>
      <c r="CO64" s="632">
        <f>+APA!CO223</f>
        <v>-192.00183977686137</v>
      </c>
      <c r="CP64" s="632">
        <f>+APA!CP223</f>
        <v>-192.68829043511673</v>
      </c>
      <c r="CQ64" s="6" t="s">
        <v>77</v>
      </c>
    </row>
    <row r="65" spans="1:96" hidden="1" outlineLevel="1" x14ac:dyDescent="0.2">
      <c r="B65" s="474" t="s">
        <v>124</v>
      </c>
      <c r="K65" s="625">
        <f>+APA!K220</f>
        <v>6.1009999999999991</v>
      </c>
      <c r="L65" s="625">
        <f>+APA!L220</f>
        <v>-17.645999999999987</v>
      </c>
      <c r="M65" s="625">
        <f>+APA!M220</f>
        <v>-33.646999999999991</v>
      </c>
      <c r="N65" s="625">
        <f>+APA!N220</f>
        <v>-77.45999999999998</v>
      </c>
      <c r="O65" s="625">
        <f>+APA!O220</f>
        <v>-11.585000000000093</v>
      </c>
      <c r="P65" s="632">
        <f>+APA!P220</f>
        <v>-20.564999999999998</v>
      </c>
      <c r="Q65" s="632">
        <f>+APA!Q220</f>
        <v>6.2660000000000196</v>
      </c>
      <c r="R65" s="632">
        <f>+APA!R220</f>
        <v>-16.011999999999944</v>
      </c>
      <c r="S65" s="632">
        <f>+APA!S220</f>
        <v>-2.4470000000001164</v>
      </c>
      <c r="T65" s="632">
        <f>+APA!T220</f>
        <v>-3.1249999999999432</v>
      </c>
      <c r="U65" s="632">
        <f>+APA!U220</f>
        <v>-64.317999999999984</v>
      </c>
      <c r="V65" s="632">
        <f>+APA!V220</f>
        <v>-9.1550000000002001</v>
      </c>
      <c r="W65" s="632">
        <f>+APA!W220</f>
        <v>-27.325999999999567</v>
      </c>
      <c r="X65" s="632">
        <f>+APA!X220</f>
        <v>0</v>
      </c>
      <c r="Y65" s="632">
        <f>+APA!Y220</f>
        <v>0</v>
      </c>
      <c r="Z65" s="632">
        <f>+APA!Z220</f>
        <v>0</v>
      </c>
      <c r="AA65" s="632">
        <f>+APA!AA220</f>
        <v>0</v>
      </c>
      <c r="AB65" s="632">
        <f>+APA!AB220</f>
        <v>0</v>
      </c>
      <c r="AC65" s="632">
        <f>+APA!AC220</f>
        <v>0</v>
      </c>
      <c r="AD65" s="632">
        <f>+APA!AD220</f>
        <v>0</v>
      </c>
      <c r="AE65" s="632">
        <f>+APA!AE220</f>
        <v>0</v>
      </c>
      <c r="AF65" s="632">
        <f>+APA!AF220</f>
        <v>0</v>
      </c>
      <c r="AG65" s="632">
        <f>+APA!AG220</f>
        <v>0</v>
      </c>
      <c r="AH65" s="632">
        <f>+APA!AH220</f>
        <v>0</v>
      </c>
      <c r="AI65" s="632">
        <f>+APA!AI220</f>
        <v>0</v>
      </c>
      <c r="AJ65" s="632">
        <f>+APA!AJ220</f>
        <v>0</v>
      </c>
      <c r="AK65" s="632">
        <f>+APA!AK220</f>
        <v>0</v>
      </c>
      <c r="AL65" s="632">
        <f>+APA!AL220</f>
        <v>0</v>
      </c>
      <c r="AM65" s="632">
        <f>+APA!AM220</f>
        <v>0</v>
      </c>
      <c r="AN65" s="632">
        <f>+APA!AN220</f>
        <v>0</v>
      </c>
      <c r="AO65" s="632">
        <f>+APA!AO220</f>
        <v>0</v>
      </c>
      <c r="AP65" s="632">
        <f>+APA!AP220</f>
        <v>0</v>
      </c>
      <c r="AQ65" s="632">
        <f>+APA!AQ220</f>
        <v>0</v>
      </c>
      <c r="AR65" s="632">
        <f>+APA!AR220</f>
        <v>0</v>
      </c>
      <c r="AS65" s="632">
        <f>+APA!AS220</f>
        <v>0</v>
      </c>
      <c r="AT65" s="632">
        <f>+APA!AT220</f>
        <v>0</v>
      </c>
      <c r="AU65" s="632">
        <f>+APA!AU220</f>
        <v>0</v>
      </c>
      <c r="AV65" s="632">
        <f>+APA!AV220</f>
        <v>0</v>
      </c>
      <c r="AW65" s="632">
        <f>+APA!AW220</f>
        <v>0</v>
      </c>
      <c r="AX65" s="632">
        <f>+APA!AX220</f>
        <v>0</v>
      </c>
      <c r="AY65" s="632">
        <f>+APA!AY220</f>
        <v>0</v>
      </c>
      <c r="AZ65" s="632">
        <f>+APA!AZ220</f>
        <v>0</v>
      </c>
      <c r="BA65" s="632">
        <f>+APA!BA220</f>
        <v>0</v>
      </c>
      <c r="BB65" s="632">
        <f>+APA!BB220</f>
        <v>0</v>
      </c>
      <c r="BC65" s="632">
        <f>+APA!BC220</f>
        <v>0</v>
      </c>
      <c r="BD65" s="632">
        <f>+APA!BD220</f>
        <v>0</v>
      </c>
      <c r="BE65" s="632">
        <f>+APA!BE220</f>
        <v>0</v>
      </c>
      <c r="BF65" s="632">
        <f>+APA!BF220</f>
        <v>0</v>
      </c>
      <c r="BG65" s="632">
        <f>+APA!BG220</f>
        <v>0</v>
      </c>
      <c r="BH65" s="632">
        <f>+APA!BH220</f>
        <v>0</v>
      </c>
      <c r="BI65" s="632">
        <f>+APA!BI220</f>
        <v>0</v>
      </c>
      <c r="BJ65" s="632">
        <f>+APA!BJ220</f>
        <v>0</v>
      </c>
      <c r="BK65" s="632">
        <f>+APA!BK220</f>
        <v>0</v>
      </c>
      <c r="BL65" s="632">
        <f>+APA!BL220</f>
        <v>0</v>
      </c>
      <c r="BM65" s="632">
        <f>+APA!BM220</f>
        <v>0</v>
      </c>
      <c r="BN65" s="632">
        <f>+APA!BN220</f>
        <v>0</v>
      </c>
      <c r="BO65" s="632">
        <f>+APA!BO220</f>
        <v>0</v>
      </c>
      <c r="BP65" s="632">
        <f>+APA!BP220</f>
        <v>0</v>
      </c>
      <c r="BQ65" s="632">
        <f>+APA!BQ220</f>
        <v>0</v>
      </c>
      <c r="BR65" s="632">
        <f>+APA!BR220</f>
        <v>0</v>
      </c>
      <c r="BS65" s="632">
        <f>+APA!BS220</f>
        <v>0</v>
      </c>
      <c r="BT65" s="632">
        <f>+APA!BT220</f>
        <v>0</v>
      </c>
      <c r="BU65" s="632">
        <f>+APA!BU220</f>
        <v>0</v>
      </c>
      <c r="BV65" s="632">
        <f>+APA!BV220</f>
        <v>0</v>
      </c>
      <c r="BW65" s="632">
        <f>+APA!BW220</f>
        <v>0</v>
      </c>
      <c r="BX65" s="632">
        <f>+APA!BX220</f>
        <v>0</v>
      </c>
      <c r="BY65" s="632">
        <f>+APA!BY220</f>
        <v>0</v>
      </c>
      <c r="BZ65" s="632">
        <f>+APA!BZ220</f>
        <v>0</v>
      </c>
      <c r="CA65" s="632">
        <f>+APA!CA220</f>
        <v>0</v>
      </c>
      <c r="CB65" s="632">
        <f>+APA!CB220</f>
        <v>0</v>
      </c>
      <c r="CC65" s="632">
        <f>+APA!CC220</f>
        <v>0</v>
      </c>
      <c r="CD65" s="632">
        <f>+APA!CD220</f>
        <v>0</v>
      </c>
      <c r="CE65" s="632">
        <f>+APA!CE220</f>
        <v>0</v>
      </c>
      <c r="CF65" s="632">
        <f>+APA!CF220</f>
        <v>0</v>
      </c>
      <c r="CG65" s="632">
        <f>+APA!CG220</f>
        <v>0</v>
      </c>
      <c r="CH65" s="632">
        <f>+APA!CH220</f>
        <v>0</v>
      </c>
      <c r="CI65" s="632">
        <f>+APA!CI220</f>
        <v>0</v>
      </c>
      <c r="CJ65" s="632">
        <f>+APA!CJ220</f>
        <v>0</v>
      </c>
      <c r="CK65" s="632">
        <f>+APA!CK220</f>
        <v>0</v>
      </c>
      <c r="CL65" s="632">
        <f>+APA!CL220</f>
        <v>0</v>
      </c>
      <c r="CM65" s="632">
        <f>+APA!CM220</f>
        <v>0</v>
      </c>
      <c r="CN65" s="632">
        <f>+APA!CN220</f>
        <v>0</v>
      </c>
      <c r="CO65" s="632">
        <f>+APA!CO220</f>
        <v>0</v>
      </c>
      <c r="CP65" s="632">
        <f>+APA!CP220</f>
        <v>0</v>
      </c>
      <c r="CQ65" s="6" t="s">
        <v>77</v>
      </c>
    </row>
    <row r="66" spans="1:96" hidden="1" outlineLevel="1" x14ac:dyDescent="0.2">
      <c r="B66" s="683" t="s">
        <v>119</v>
      </c>
      <c r="D66" s="35"/>
      <c r="E66" s="35"/>
      <c r="F66" s="35"/>
      <c r="G66" s="35"/>
      <c r="H66" s="35"/>
      <c r="I66" s="35"/>
      <c r="J66" s="35"/>
      <c r="K66" s="35">
        <f>SUM(K62:K65)</f>
        <v>157.70400000000001</v>
      </c>
      <c r="L66" s="35">
        <f t="shared" ref="L66:U66" si="19">SUM(L62:L65)</f>
        <v>152.023</v>
      </c>
      <c r="M66" s="35">
        <f t="shared" si="19"/>
        <v>133.07900000000001</v>
      </c>
      <c r="N66" s="35">
        <f t="shared" si="19"/>
        <v>159.83299999999997</v>
      </c>
      <c r="O66" s="35">
        <f t="shared" si="19"/>
        <v>109.75</v>
      </c>
      <c r="P66" s="35">
        <f t="shared" si="19"/>
        <v>303.98400000000004</v>
      </c>
      <c r="Q66" s="35">
        <f t="shared" si="19"/>
        <v>230.13200000000006</v>
      </c>
      <c r="R66" s="35">
        <f t="shared" si="19"/>
        <v>250.20900000000006</v>
      </c>
      <c r="S66" s="35">
        <f>SUM(S62:S65)</f>
        <v>246.46600000000001</v>
      </c>
      <c r="T66" s="35">
        <f t="shared" si="19"/>
        <v>247.48299999999989</v>
      </c>
      <c r="U66" s="35">
        <f t="shared" si="19"/>
        <v>-2057.6180000000004</v>
      </c>
      <c r="V66" s="35">
        <f t="shared" ref="V66:BD66" si="20">SUM(V62:V65)</f>
        <v>864.80099999999982</v>
      </c>
      <c r="W66" s="35">
        <f t="shared" si="20"/>
        <v>1084.1540000000002</v>
      </c>
      <c r="X66" s="35">
        <f t="shared" si="20"/>
        <v>647.01093262188965</v>
      </c>
      <c r="Y66" s="35">
        <f t="shared" si="20"/>
        <v>961.10752267734063</v>
      </c>
      <c r="Z66" s="35">
        <f t="shared" si="20"/>
        <v>1388.0876048418015</v>
      </c>
      <c r="AA66" s="35">
        <f t="shared" si="20"/>
        <v>1330.8536568414552</v>
      </c>
      <c r="AB66" s="35">
        <f t="shared" si="20"/>
        <v>1353.2420339665973</v>
      </c>
      <c r="AC66" s="35">
        <f t="shared" si="20"/>
        <v>1351.1282463769023</v>
      </c>
      <c r="AD66" s="35">
        <f t="shared" si="20"/>
        <v>1400.4015921958958</v>
      </c>
      <c r="AE66" s="35">
        <f t="shared" si="20"/>
        <v>1410.9245255927065</v>
      </c>
      <c r="AF66" s="35">
        <f t="shared" si="20"/>
        <v>1405.5336072959935</v>
      </c>
      <c r="AG66" s="35">
        <f t="shared" si="20"/>
        <v>1391.577757423622</v>
      </c>
      <c r="AH66" s="35">
        <f t="shared" si="20"/>
        <v>1416.1665483357465</v>
      </c>
      <c r="AI66" s="35">
        <f t="shared" si="20"/>
        <v>1318.0066863535512</v>
      </c>
      <c r="AJ66" s="35">
        <f t="shared" si="20"/>
        <v>1253.3970943191141</v>
      </c>
      <c r="AK66" s="35">
        <f t="shared" si="20"/>
        <v>1248.1516296160742</v>
      </c>
      <c r="AL66" s="35">
        <f t="shared" si="20"/>
        <v>1267.6699686361103</v>
      </c>
      <c r="AM66" s="35">
        <f t="shared" si="20"/>
        <v>1288.218767749162</v>
      </c>
      <c r="AN66" s="35">
        <f t="shared" si="20"/>
        <v>1299.7455901866097</v>
      </c>
      <c r="AO66" s="35">
        <f t="shared" si="20"/>
        <v>1273.1288335989414</v>
      </c>
      <c r="AP66" s="35">
        <f t="shared" si="20"/>
        <v>860.24355464712335</v>
      </c>
      <c r="AQ66" s="35">
        <f t="shared" si="20"/>
        <v>872.78112151551738</v>
      </c>
      <c r="AR66" s="35">
        <f t="shared" si="20"/>
        <v>797.40728924911127</v>
      </c>
      <c r="AS66" s="35">
        <f t="shared" si="20"/>
        <v>703.92439498676652</v>
      </c>
      <c r="AT66" s="35">
        <f t="shared" si="20"/>
        <v>689.19315795215152</v>
      </c>
      <c r="AU66" s="35">
        <f t="shared" si="20"/>
        <v>701.06343709381417</v>
      </c>
      <c r="AV66" s="35">
        <f t="shared" si="20"/>
        <v>715.9384443328662</v>
      </c>
      <c r="AW66" s="35">
        <f t="shared" si="20"/>
        <v>695.2666304347664</v>
      </c>
      <c r="AX66" s="35">
        <f t="shared" si="20"/>
        <v>709.48210335632825</v>
      </c>
      <c r="AY66" s="35">
        <f t="shared" si="20"/>
        <v>724.04785431961034</v>
      </c>
      <c r="AZ66" s="35">
        <f t="shared" si="20"/>
        <v>738.96691802851842</v>
      </c>
      <c r="BA66" s="35">
        <f t="shared" si="20"/>
        <v>597.91343146315103</v>
      </c>
      <c r="BB66" s="35">
        <f t="shared" si="20"/>
        <v>613.05861878693099</v>
      </c>
      <c r="BC66" s="35">
        <f t="shared" si="20"/>
        <v>628.55828110112907</v>
      </c>
      <c r="BD66" s="35">
        <f t="shared" si="20"/>
        <v>644.42101275688128</v>
      </c>
      <c r="BE66" s="35">
        <f t="shared" ref="BE66:CP66" si="21">SUM(BE62:BE65)</f>
        <v>660.65555242724577</v>
      </c>
      <c r="BF66" s="35">
        <f t="shared" si="21"/>
        <v>677.26778628465513</v>
      </c>
      <c r="BG66" s="35">
        <f t="shared" si="21"/>
        <v>694.26912996887745</v>
      </c>
      <c r="BH66" s="35">
        <f t="shared" si="21"/>
        <v>711.66430836824725</v>
      </c>
      <c r="BI66" s="35">
        <f t="shared" si="21"/>
        <v>729.46585373912069</v>
      </c>
      <c r="BJ66" s="35">
        <f t="shared" si="21"/>
        <v>747.67927720719695</v>
      </c>
      <c r="BK66" s="35">
        <f t="shared" si="21"/>
        <v>766.31636737391432</v>
      </c>
      <c r="BL66" s="35">
        <f t="shared" si="21"/>
        <v>785.38530881355337</v>
      </c>
      <c r="BM66" s="35">
        <f t="shared" si="21"/>
        <v>804.89565634337657</v>
      </c>
      <c r="BN66" s="35">
        <f t="shared" si="21"/>
        <v>824.85676299075317</v>
      </c>
      <c r="BO66" s="35">
        <f t="shared" si="21"/>
        <v>845.2789921042322</v>
      </c>
      <c r="BP66" s="35">
        <f t="shared" si="21"/>
        <v>866.17253779988846</v>
      </c>
      <c r="BQ66" s="35">
        <f t="shared" si="21"/>
        <v>861.58170738147669</v>
      </c>
      <c r="BR66" s="35">
        <f t="shared" si="21"/>
        <v>879.78474284911954</v>
      </c>
      <c r="BS66" s="35">
        <f t="shared" si="21"/>
        <v>866.55179739995242</v>
      </c>
      <c r="BT66" s="35">
        <f t="shared" si="21"/>
        <v>856.68311093277703</v>
      </c>
      <c r="BU66" s="35">
        <f t="shared" si="21"/>
        <v>874.81780874642425</v>
      </c>
      <c r="BV66" s="35">
        <f t="shared" si="21"/>
        <v>893.32106189265517</v>
      </c>
      <c r="BW66" s="35">
        <f t="shared" si="21"/>
        <v>912.19915152003261</v>
      </c>
      <c r="BX66" s="35">
        <f t="shared" si="21"/>
        <v>931.4594699641051</v>
      </c>
      <c r="BY66" s="35">
        <f t="shared" si="21"/>
        <v>951.10721364168819</v>
      </c>
      <c r="BZ66" s="35">
        <f t="shared" si="21"/>
        <v>971.15170754659971</v>
      </c>
      <c r="CA66" s="35">
        <f t="shared" si="21"/>
        <v>991.59918099584911</v>
      </c>
      <c r="CB66" s="35">
        <f t="shared" si="21"/>
        <v>1012.4587914278253</v>
      </c>
      <c r="CC66" s="35">
        <f t="shared" si="21"/>
        <v>1030.0467063556143</v>
      </c>
      <c r="CD66" s="35">
        <f t="shared" si="21"/>
        <v>1007.4126077341755</v>
      </c>
      <c r="CE66" s="35">
        <f t="shared" si="21"/>
        <v>1028.5881457855958</v>
      </c>
      <c r="CF66" s="35">
        <f t="shared" si="21"/>
        <v>1050.1840701689969</v>
      </c>
      <c r="CG66" s="35">
        <f t="shared" si="21"/>
        <v>1072.2092669395493</v>
      </c>
      <c r="CH66" s="35">
        <f t="shared" si="21"/>
        <v>643.067833686992</v>
      </c>
      <c r="CI66" s="35">
        <f t="shared" si="21"/>
        <v>659.1418322755826</v>
      </c>
      <c r="CJ66" s="35">
        <f t="shared" si="21"/>
        <v>675.5762112519003</v>
      </c>
      <c r="CK66" s="35">
        <f t="shared" si="21"/>
        <v>692.37749635981959</v>
      </c>
      <c r="CL66" s="35">
        <f t="shared" si="21"/>
        <v>709.55278746733109</v>
      </c>
      <c r="CM66" s="35">
        <f t="shared" si="21"/>
        <v>727.11084739335922</v>
      </c>
      <c r="CN66" s="35">
        <f t="shared" si="21"/>
        <v>745.06025115049272</v>
      </c>
      <c r="CO66" s="35">
        <f t="shared" si="21"/>
        <v>763.41013610078721</v>
      </c>
      <c r="CP66" s="35">
        <f t="shared" si="21"/>
        <v>751.39147892273786</v>
      </c>
      <c r="CQ66" s="6" t="s">
        <v>77</v>
      </c>
    </row>
    <row r="67" spans="1:96" hidden="1" outlineLevel="1" x14ac:dyDescent="0.2">
      <c r="B67" s="683" t="s">
        <v>599</v>
      </c>
      <c r="D67" s="35"/>
      <c r="E67" s="35"/>
      <c r="F67" s="35"/>
      <c r="G67" s="35"/>
      <c r="H67" s="35"/>
      <c r="I67" s="35"/>
      <c r="J67" s="35"/>
      <c r="K67" s="35">
        <f>IF(K56&gt;0,NPV($D$52,K66:CP66),)</f>
        <v>0</v>
      </c>
      <c r="L67" s="35">
        <f t="shared" ref="L67:BW67" si="22">IF(L56&gt;0,NPV($D$52,L66:CQ66),)</f>
        <v>0</v>
      </c>
      <c r="M67" s="35">
        <f t="shared" si="22"/>
        <v>0</v>
      </c>
      <c r="N67" s="35">
        <f t="shared" si="22"/>
        <v>0</v>
      </c>
      <c r="O67" s="35">
        <f t="shared" si="22"/>
        <v>0</v>
      </c>
      <c r="P67" s="35">
        <f t="shared" si="22"/>
        <v>0</v>
      </c>
      <c r="Q67" s="35">
        <f t="shared" si="22"/>
        <v>0</v>
      </c>
      <c r="R67" s="35">
        <f t="shared" si="22"/>
        <v>0</v>
      </c>
      <c r="S67" s="35">
        <f t="shared" si="22"/>
        <v>0</v>
      </c>
      <c r="T67" s="35">
        <f t="shared" si="22"/>
        <v>0</v>
      </c>
      <c r="U67" s="35">
        <f t="shared" si="22"/>
        <v>0</v>
      </c>
      <c r="V67" s="35">
        <f t="shared" si="22"/>
        <v>0</v>
      </c>
      <c r="W67" s="35">
        <f t="shared" si="22"/>
        <v>0</v>
      </c>
      <c r="X67" s="35">
        <f t="shared" si="22"/>
        <v>16339.850668591942</v>
      </c>
      <c r="Y67" s="35">
        <f t="shared" si="22"/>
        <v>16781.570610282117</v>
      </c>
      <c r="Z67" s="35">
        <f t="shared" si="22"/>
        <v>16938.625940707312</v>
      </c>
      <c r="AA67" s="35">
        <f t="shared" si="22"/>
        <v>16679.165849305344</v>
      </c>
      <c r="AB67" s="35">
        <f t="shared" si="22"/>
        <v>16459.651774827107</v>
      </c>
      <c r="AC67" s="35">
        <f t="shared" si="22"/>
        <v>16203.123011449032</v>
      </c>
      <c r="AD67" s="35">
        <f t="shared" si="22"/>
        <v>15931.615420158638</v>
      </c>
      <c r="AE67" s="35">
        <f t="shared" si="22"/>
        <v>15592.743822170925</v>
      </c>
      <c r="AF67" s="35">
        <f t="shared" si="22"/>
        <v>15220.770138832095</v>
      </c>
      <c r="AG67" s="35">
        <f t="shared" si="22"/>
        <v>14829.402616468977</v>
      </c>
      <c r="AH67" s="35">
        <f t="shared" si="22"/>
        <v>14425.913967300663</v>
      </c>
      <c r="AI67" s="35">
        <f t="shared" si="22"/>
        <v>13970.951914949665</v>
      </c>
      <c r="AJ67" s="35">
        <f t="shared" si="22"/>
        <v>13583.835418588629</v>
      </c>
      <c r="AK67" s="35">
        <f t="shared" si="22"/>
        <v>13235.534785170383</v>
      </c>
      <c r="AL67" s="35">
        <f t="shared" si="22"/>
        <v>12869.272204047558</v>
      </c>
      <c r="AM67" s="35">
        <f t="shared" si="22"/>
        <v>12459.087059639647</v>
      </c>
      <c r="AN67" s="35">
        <f t="shared" si="22"/>
        <v>12001.02231365552</v>
      </c>
      <c r="AO67" s="35">
        <f t="shared" si="22"/>
        <v>11500.909705507094</v>
      </c>
      <c r="AP67" s="35">
        <f t="shared" si="22"/>
        <v>10994.091148117051</v>
      </c>
      <c r="AQ67" s="35">
        <f t="shared" si="22"/>
        <v>10866.38834373295</v>
      </c>
      <c r="AR67" s="35">
        <f t="shared" si="22"/>
        <v>10717.639082852924</v>
      </c>
      <c r="AS67" s="35">
        <f t="shared" si="22"/>
        <v>10634.35243068312</v>
      </c>
      <c r="AT67" s="35">
        <f t="shared" si="22"/>
        <v>10638.999249376731</v>
      </c>
      <c r="AU67" s="35">
        <f t="shared" si="22"/>
        <v>10658.686924518357</v>
      </c>
      <c r="AV67" s="35">
        <f t="shared" si="22"/>
        <v>10667.816118294499</v>
      </c>
      <c r="AW67" s="35">
        <f t="shared" si="22"/>
        <v>10662.678586713906</v>
      </c>
      <c r="AX67" s="35">
        <f t="shared" si="22"/>
        <v>10677.870553219427</v>
      </c>
      <c r="AY67" s="35">
        <f t="shared" si="22"/>
        <v>10679.859293690548</v>
      </c>
      <c r="AZ67" s="35">
        <f t="shared" si="22"/>
        <v>10667.414793782227</v>
      </c>
      <c r="BA67" s="35">
        <f t="shared" si="22"/>
        <v>10639.222048091036</v>
      </c>
      <c r="BB67" s="35">
        <f t="shared" si="22"/>
        <v>10750.204294890324</v>
      </c>
      <c r="BC67" s="35">
        <f t="shared" si="22"/>
        <v>10853.436146462864</v>
      </c>
      <c r="BD67" s="35">
        <f t="shared" si="22"/>
        <v>10948.046715842238</v>
      </c>
      <c r="BE67" s="35">
        <f t="shared" si="22"/>
        <v>11033.098494159236</v>
      </c>
      <c r="BF67" s="35">
        <f t="shared" si="22"/>
        <v>11107.582767275595</v>
      </c>
      <c r="BG67" s="35">
        <f t="shared" si="22"/>
        <v>11170.417723848605</v>
      </c>
      <c r="BH67" s="35">
        <f t="shared" si="22"/>
        <v>11220.438055367487</v>
      </c>
      <c r="BI67" s="35">
        <f t="shared" si="22"/>
        <v>11256.396083454616</v>
      </c>
      <c r="BJ67" s="35">
        <f t="shared" si="22"/>
        <v>11276.948464159894</v>
      </c>
      <c r="BK67" s="35">
        <f t="shared" si="22"/>
        <v>11280.656834855534</v>
      </c>
      <c r="BL67" s="35">
        <f t="shared" si="22"/>
        <v>11265.975205627296</v>
      </c>
      <c r="BM67" s="35">
        <f t="shared" si="22"/>
        <v>11231.246392051939</v>
      </c>
      <c r="BN67" s="35">
        <f t="shared" si="22"/>
        <v>11174.693236018986</v>
      </c>
      <c r="BO67" s="35">
        <f t="shared" si="22"/>
        <v>11094.41081362522</v>
      </c>
      <c r="BP67" s="35">
        <f t="shared" si="22"/>
        <v>10988.356911766941</v>
      </c>
      <c r="BQ67" s="35">
        <f t="shared" si="22"/>
        <v>10854.343049737377</v>
      </c>
      <c r="BR67" s="35">
        <f t="shared" si="22"/>
        <v>10715.990620169245</v>
      </c>
      <c r="BS67" s="35">
        <f t="shared" si="22"/>
        <v>10550.216676662525</v>
      </c>
      <c r="BT67" s="35">
        <f t="shared" si="22"/>
        <v>10386.630093543465</v>
      </c>
      <c r="BU67" s="35">
        <f t="shared" si="22"/>
        <v>10222.012356539473</v>
      </c>
      <c r="BV67" s="35">
        <f t="shared" si="22"/>
        <v>10028.291375168337</v>
      </c>
      <c r="BW67" s="35">
        <f t="shared" si="22"/>
        <v>9803.1594331266806</v>
      </c>
      <c r="BX67" s="35">
        <f t="shared" ref="BX67:CP67" si="23">IF(BX56&gt;0,NPV($D$52,BX66:FC66),)</f>
        <v>9544.148768889705</v>
      </c>
      <c r="BY67" s="35">
        <f t="shared" si="23"/>
        <v>9248.6198006462218</v>
      </c>
      <c r="BZ67" s="35">
        <f t="shared" si="23"/>
        <v>8913.7518737620485</v>
      </c>
      <c r="CA67" s="35">
        <f t="shared" si="23"/>
        <v>8536.5270672474089</v>
      </c>
      <c r="CB67" s="35">
        <f t="shared" si="23"/>
        <v>8113.7201454964716</v>
      </c>
      <c r="CC67" s="35">
        <f t="shared" si="23"/>
        <v>7641.8818167090812</v>
      </c>
      <c r="CD67" s="35">
        <f t="shared" si="23"/>
        <v>7121.0167938609884</v>
      </c>
      <c r="CE67" s="35">
        <f t="shared" si="23"/>
        <v>6588.080422000472</v>
      </c>
      <c r="CF67" s="35">
        <f t="shared" si="23"/>
        <v>5998.4587455761803</v>
      </c>
      <c r="CG67" s="35">
        <f t="shared" si="23"/>
        <v>5347.9544134325251</v>
      </c>
      <c r="CH67" s="35">
        <f t="shared" si="23"/>
        <v>4632.0815171496124</v>
      </c>
      <c r="CI67" s="35">
        <f t="shared" si="23"/>
        <v>4297.651152821185</v>
      </c>
      <c r="CJ67" s="35">
        <f t="shared" si="23"/>
        <v>3924.8635591490856</v>
      </c>
      <c r="CK67" s="35">
        <f t="shared" si="23"/>
        <v>3510.8025980041921</v>
      </c>
      <c r="CL67" s="35">
        <f t="shared" si="23"/>
        <v>3052.3513020477421</v>
      </c>
      <c r="CM67" s="35">
        <f t="shared" si="23"/>
        <v>2546.1779192755689</v>
      </c>
      <c r="CN67" s="35">
        <f t="shared" si="23"/>
        <v>1988.7199388778324</v>
      </c>
      <c r="CO67" s="35">
        <f t="shared" si="23"/>
        <v>1376.1689034925828</v>
      </c>
      <c r="CP67" s="35">
        <f t="shared" si="23"/>
        <v>704.45345933781869</v>
      </c>
      <c r="CQ67" s="6" t="s">
        <v>77</v>
      </c>
    </row>
    <row r="68" spans="1:96" ht="11.25" customHeight="1" collapsed="1" x14ac:dyDescent="0.2">
      <c r="B68" s="487"/>
      <c r="D68" s="688"/>
      <c r="E68" s="688"/>
      <c r="F68" s="688"/>
      <c r="G68" s="688"/>
      <c r="H68" s="688"/>
      <c r="I68" s="688"/>
      <c r="J68" s="688"/>
      <c r="K68" s="688"/>
      <c r="L68" s="688"/>
      <c r="M68" s="688"/>
      <c r="N68" s="688"/>
      <c r="O68" s="688"/>
      <c r="P68" s="688"/>
      <c r="Q68" s="688"/>
      <c r="R68" s="688"/>
      <c r="S68" s="550"/>
      <c r="T68" s="550"/>
      <c r="U68" s="550"/>
      <c r="V68" s="550"/>
      <c r="W68" s="550"/>
      <c r="X68" s="550"/>
      <c r="Y68" s="550"/>
      <c r="Z68" s="550"/>
      <c r="AA68" s="550"/>
      <c r="AB68" s="550"/>
      <c r="AC68" s="550"/>
      <c r="AD68" s="688"/>
      <c r="AE68" s="688"/>
      <c r="AF68" s="688"/>
      <c r="AG68" s="688"/>
      <c r="AH68" s="688"/>
      <c r="AI68" s="688"/>
      <c r="AJ68" s="688"/>
      <c r="AK68" s="688"/>
      <c r="AL68" s="688"/>
      <c r="AM68" s="688"/>
      <c r="AN68" s="688"/>
      <c r="AO68" s="688"/>
      <c r="AP68" s="688"/>
      <c r="AQ68" s="688"/>
      <c r="AR68" s="688"/>
      <c r="AS68" s="688"/>
      <c r="AT68" s="487"/>
      <c r="AU68" s="487"/>
      <c r="AV68" s="487"/>
      <c r="AW68" s="487"/>
      <c r="AX68" s="487"/>
      <c r="AY68" s="487"/>
      <c r="AZ68" s="487"/>
      <c r="BA68" s="487"/>
      <c r="BB68" s="487"/>
      <c r="BC68" s="487"/>
      <c r="BD68" s="487"/>
      <c r="BE68" s="487"/>
      <c r="BF68" s="487"/>
      <c r="BG68" s="487"/>
      <c r="BH68" s="487"/>
      <c r="BI68" s="487"/>
      <c r="BJ68" s="487"/>
      <c r="BK68" s="487"/>
      <c r="BL68" s="487"/>
      <c r="BM68" s="487"/>
      <c r="BN68" s="487"/>
      <c r="BO68" s="487"/>
      <c r="BP68" s="487"/>
      <c r="BQ68" s="487"/>
      <c r="BR68" s="487"/>
      <c r="BS68" s="487"/>
      <c r="BT68" s="487"/>
      <c r="BU68" s="487"/>
      <c r="BV68" s="487"/>
      <c r="BW68" s="487"/>
      <c r="BX68" s="487"/>
      <c r="BY68" s="487"/>
      <c r="BZ68" s="487"/>
      <c r="CA68" s="487"/>
      <c r="CB68" s="487"/>
      <c r="CC68" s="487"/>
      <c r="CD68" s="487"/>
      <c r="CE68" s="487"/>
      <c r="CF68" s="487"/>
      <c r="CG68" s="487"/>
      <c r="CH68" s="487"/>
      <c r="CI68" s="487"/>
      <c r="CJ68" s="487"/>
      <c r="CK68" s="487"/>
      <c r="CL68" s="487"/>
      <c r="CM68" s="487"/>
      <c r="CN68" s="487"/>
      <c r="CO68" s="487"/>
      <c r="CP68" s="487"/>
      <c r="CQ68" s="6" t="s">
        <v>77</v>
      </c>
    </row>
    <row r="69" spans="1:96" x14ac:dyDescent="0.2">
      <c r="A69" s="233"/>
      <c r="B69" s="728" t="s">
        <v>600</v>
      </c>
      <c r="C69" s="312"/>
      <c r="D69" s="728"/>
      <c r="E69" s="728"/>
      <c r="F69" s="728">
        <f t="shared" ref="F69:BQ69" si="24">Fiscal_Year</f>
        <v>36707</v>
      </c>
      <c r="G69" s="728">
        <f t="shared" si="24"/>
        <v>37072</v>
      </c>
      <c r="H69" s="728">
        <f t="shared" si="24"/>
        <v>37437</v>
      </c>
      <c r="I69" s="728">
        <f t="shared" si="24"/>
        <v>37802</v>
      </c>
      <c r="J69" s="728">
        <f t="shared" si="24"/>
        <v>38168</v>
      </c>
      <c r="K69" s="728">
        <f t="shared" si="24"/>
        <v>38533</v>
      </c>
      <c r="L69" s="728">
        <f t="shared" si="24"/>
        <v>38898</v>
      </c>
      <c r="M69" s="728">
        <f t="shared" si="24"/>
        <v>39263</v>
      </c>
      <c r="N69" s="728">
        <f t="shared" si="24"/>
        <v>39629</v>
      </c>
      <c r="O69" s="728">
        <f t="shared" si="24"/>
        <v>39994</v>
      </c>
      <c r="P69" s="728">
        <f t="shared" si="24"/>
        <v>40359</v>
      </c>
      <c r="Q69" s="728">
        <f t="shared" si="24"/>
        <v>40724</v>
      </c>
      <c r="R69" s="728">
        <f t="shared" si="24"/>
        <v>41090</v>
      </c>
      <c r="S69" s="728">
        <f t="shared" si="24"/>
        <v>41455</v>
      </c>
      <c r="T69" s="728">
        <f t="shared" si="24"/>
        <v>41820</v>
      </c>
      <c r="U69" s="728">
        <f t="shared" si="24"/>
        <v>42185</v>
      </c>
      <c r="V69" s="728">
        <f t="shared" si="24"/>
        <v>42551</v>
      </c>
      <c r="W69" s="728">
        <f t="shared" si="24"/>
        <v>42916</v>
      </c>
      <c r="X69" s="728">
        <f t="shared" si="24"/>
        <v>43281</v>
      </c>
      <c r="Y69" s="728">
        <f t="shared" si="24"/>
        <v>43646</v>
      </c>
      <c r="Z69" s="728">
        <f t="shared" si="24"/>
        <v>44012</v>
      </c>
      <c r="AA69" s="728">
        <f t="shared" si="24"/>
        <v>44377</v>
      </c>
      <c r="AB69" s="728">
        <f t="shared" si="24"/>
        <v>44742</v>
      </c>
      <c r="AC69" s="728">
        <f t="shared" si="24"/>
        <v>45107</v>
      </c>
      <c r="AD69" s="728">
        <f t="shared" si="24"/>
        <v>45473</v>
      </c>
      <c r="AE69" s="728">
        <f t="shared" si="24"/>
        <v>45838</v>
      </c>
      <c r="AF69" s="728">
        <f t="shared" si="24"/>
        <v>46203</v>
      </c>
      <c r="AG69" s="728">
        <f t="shared" si="24"/>
        <v>46568</v>
      </c>
      <c r="AH69" s="728">
        <f t="shared" si="24"/>
        <v>46934</v>
      </c>
      <c r="AI69" s="728">
        <f t="shared" si="24"/>
        <v>47299</v>
      </c>
      <c r="AJ69" s="728">
        <f t="shared" si="24"/>
        <v>47664</v>
      </c>
      <c r="AK69" s="728">
        <f t="shared" si="24"/>
        <v>48029</v>
      </c>
      <c r="AL69" s="728">
        <f t="shared" si="24"/>
        <v>48395</v>
      </c>
      <c r="AM69" s="728">
        <f t="shared" si="24"/>
        <v>48760</v>
      </c>
      <c r="AN69" s="728">
        <f t="shared" si="24"/>
        <v>49125</v>
      </c>
      <c r="AO69" s="728">
        <f t="shared" si="24"/>
        <v>49490</v>
      </c>
      <c r="AP69" s="728">
        <f t="shared" si="24"/>
        <v>49856</v>
      </c>
      <c r="AQ69" s="728">
        <f t="shared" si="24"/>
        <v>50221</v>
      </c>
      <c r="AR69" s="728">
        <f t="shared" si="24"/>
        <v>50586</v>
      </c>
      <c r="AS69" s="728">
        <f t="shared" si="24"/>
        <v>50951</v>
      </c>
      <c r="AT69" s="728">
        <f t="shared" si="24"/>
        <v>51317</v>
      </c>
      <c r="AU69" s="728">
        <f t="shared" si="24"/>
        <v>51682</v>
      </c>
      <c r="AV69" s="728">
        <f t="shared" si="24"/>
        <v>52047</v>
      </c>
      <c r="AW69" s="728">
        <f t="shared" si="24"/>
        <v>52412</v>
      </c>
      <c r="AX69" s="728">
        <f t="shared" si="24"/>
        <v>52778</v>
      </c>
      <c r="AY69" s="728">
        <f t="shared" si="24"/>
        <v>53143</v>
      </c>
      <c r="AZ69" s="728">
        <f t="shared" si="24"/>
        <v>53508</v>
      </c>
      <c r="BA69" s="728">
        <f t="shared" si="24"/>
        <v>53873</v>
      </c>
      <c r="BB69" s="728">
        <f t="shared" si="24"/>
        <v>54239</v>
      </c>
      <c r="BC69" s="728">
        <f t="shared" si="24"/>
        <v>54604</v>
      </c>
      <c r="BD69" s="728">
        <f t="shared" si="24"/>
        <v>54969</v>
      </c>
      <c r="BE69" s="728">
        <f t="shared" si="24"/>
        <v>55334</v>
      </c>
      <c r="BF69" s="728">
        <f t="shared" si="24"/>
        <v>55700</v>
      </c>
      <c r="BG69" s="728">
        <f t="shared" si="24"/>
        <v>56065</v>
      </c>
      <c r="BH69" s="728">
        <f t="shared" si="24"/>
        <v>56430</v>
      </c>
      <c r="BI69" s="728">
        <f t="shared" si="24"/>
        <v>56795</v>
      </c>
      <c r="BJ69" s="728">
        <f t="shared" si="24"/>
        <v>57161</v>
      </c>
      <c r="BK69" s="728">
        <f t="shared" si="24"/>
        <v>57526</v>
      </c>
      <c r="BL69" s="728">
        <f t="shared" si="24"/>
        <v>57891</v>
      </c>
      <c r="BM69" s="728">
        <f t="shared" si="24"/>
        <v>58256</v>
      </c>
      <c r="BN69" s="728">
        <f t="shared" si="24"/>
        <v>58622</v>
      </c>
      <c r="BO69" s="728">
        <f t="shared" si="24"/>
        <v>58987</v>
      </c>
      <c r="BP69" s="728">
        <f t="shared" si="24"/>
        <v>59352</v>
      </c>
      <c r="BQ69" s="728">
        <f t="shared" si="24"/>
        <v>59717</v>
      </c>
      <c r="BR69" s="728">
        <f t="shared" ref="BR69:CP69" si="25">Fiscal_Year</f>
        <v>60083</v>
      </c>
      <c r="BS69" s="728">
        <f t="shared" si="25"/>
        <v>60448</v>
      </c>
      <c r="BT69" s="728">
        <f t="shared" si="25"/>
        <v>60813</v>
      </c>
      <c r="BU69" s="728">
        <f t="shared" si="25"/>
        <v>61178</v>
      </c>
      <c r="BV69" s="728">
        <f t="shared" si="25"/>
        <v>61544</v>
      </c>
      <c r="BW69" s="728">
        <f t="shared" si="25"/>
        <v>61909</v>
      </c>
      <c r="BX69" s="728">
        <f t="shared" si="25"/>
        <v>62274</v>
      </c>
      <c r="BY69" s="728">
        <f t="shared" si="25"/>
        <v>62639</v>
      </c>
      <c r="BZ69" s="728">
        <f t="shared" si="25"/>
        <v>63005</v>
      </c>
      <c r="CA69" s="728">
        <f t="shared" si="25"/>
        <v>63370</v>
      </c>
      <c r="CB69" s="728">
        <f t="shared" si="25"/>
        <v>63735</v>
      </c>
      <c r="CC69" s="728">
        <f t="shared" si="25"/>
        <v>64100</v>
      </c>
      <c r="CD69" s="728">
        <f t="shared" si="25"/>
        <v>64466</v>
      </c>
      <c r="CE69" s="728">
        <f t="shared" si="25"/>
        <v>64831</v>
      </c>
      <c r="CF69" s="728">
        <f t="shared" si="25"/>
        <v>65196</v>
      </c>
      <c r="CG69" s="728">
        <f t="shared" si="25"/>
        <v>65561</v>
      </c>
      <c r="CH69" s="728">
        <f t="shared" si="25"/>
        <v>65927</v>
      </c>
      <c r="CI69" s="728">
        <f t="shared" si="25"/>
        <v>66292</v>
      </c>
      <c r="CJ69" s="728">
        <f t="shared" si="25"/>
        <v>66657</v>
      </c>
      <c r="CK69" s="728">
        <f t="shared" si="25"/>
        <v>67022</v>
      </c>
      <c r="CL69" s="728">
        <f t="shared" si="25"/>
        <v>67388</v>
      </c>
      <c r="CM69" s="728">
        <f t="shared" si="25"/>
        <v>67753</v>
      </c>
      <c r="CN69" s="728">
        <f t="shared" si="25"/>
        <v>68118</v>
      </c>
      <c r="CO69" s="728">
        <f t="shared" si="25"/>
        <v>68483</v>
      </c>
      <c r="CP69" s="728">
        <f t="shared" si="25"/>
        <v>68849</v>
      </c>
      <c r="CQ69" s="6" t="s">
        <v>77</v>
      </c>
      <c r="CR69" s="233"/>
    </row>
    <row r="70" spans="1:96" ht="5.0999999999999996" customHeight="1" x14ac:dyDescent="0.2">
      <c r="B70" s="687"/>
      <c r="D70" s="688"/>
      <c r="E70" s="688"/>
      <c r="F70" s="688"/>
      <c r="G70" s="688"/>
      <c r="H70" s="688"/>
      <c r="I70" s="688"/>
      <c r="J70" s="688"/>
      <c r="K70" s="688"/>
      <c r="L70" s="688"/>
      <c r="M70" s="688"/>
      <c r="N70" s="688"/>
      <c r="O70" s="688"/>
      <c r="P70" s="688"/>
      <c r="Q70" s="688"/>
      <c r="R70" s="688"/>
      <c r="S70" s="688"/>
      <c r="T70" s="688"/>
      <c r="U70" s="688"/>
      <c r="V70" s="688"/>
      <c r="W70" s="688"/>
      <c r="X70" s="688"/>
      <c r="Y70" s="688"/>
      <c r="Z70" s="688"/>
      <c r="AA70" s="688"/>
      <c r="AB70" s="688"/>
      <c r="AC70" s="688"/>
      <c r="AD70" s="688"/>
      <c r="AE70" s="688"/>
      <c r="AF70" s="688"/>
      <c r="AG70" s="688"/>
      <c r="AH70" s="688"/>
      <c r="AI70" s="688"/>
      <c r="AJ70" s="688"/>
      <c r="AK70" s="688"/>
      <c r="AL70" s="688"/>
      <c r="AM70" s="688"/>
      <c r="AN70" s="688"/>
      <c r="AO70" s="688"/>
      <c r="AP70" s="688"/>
      <c r="AQ70" s="688"/>
      <c r="AR70" s="688"/>
      <c r="AS70" s="688"/>
      <c r="AT70" s="688"/>
      <c r="AU70" s="688"/>
      <c r="AV70" s="688"/>
      <c r="AW70" s="688"/>
      <c r="AX70" s="688"/>
      <c r="AY70" s="688"/>
      <c r="AZ70" s="688"/>
      <c r="BA70" s="688"/>
      <c r="BB70" s="688"/>
      <c r="BC70" s="688"/>
      <c r="BD70" s="688"/>
      <c r="BE70" s="688"/>
      <c r="BF70" s="688"/>
      <c r="BG70" s="688"/>
      <c r="BH70" s="688"/>
      <c r="BI70" s="688"/>
      <c r="BJ70" s="688"/>
      <c r="BK70" s="688"/>
      <c r="BL70" s="688"/>
      <c r="BM70" s="688"/>
      <c r="BN70" s="688"/>
      <c r="BO70" s="688"/>
      <c r="BP70" s="688"/>
      <c r="BQ70" s="688"/>
      <c r="BR70" s="688"/>
      <c r="BS70" s="688"/>
      <c r="BT70" s="688"/>
      <c r="BU70" s="688"/>
      <c r="BV70" s="688"/>
      <c r="BW70" s="688"/>
      <c r="BX70" s="688"/>
      <c r="BY70" s="688"/>
      <c r="BZ70" s="688"/>
      <c r="CA70" s="688"/>
      <c r="CB70" s="688"/>
      <c r="CC70" s="688"/>
      <c r="CD70" s="688"/>
      <c r="CE70" s="688"/>
      <c r="CF70" s="688"/>
      <c r="CG70" s="688"/>
      <c r="CH70" s="688"/>
      <c r="CI70" s="688"/>
      <c r="CJ70" s="688"/>
      <c r="CK70" s="688"/>
      <c r="CL70" s="688"/>
      <c r="CM70" s="688"/>
      <c r="CN70" s="688"/>
      <c r="CO70" s="688"/>
      <c r="CP70" s="688"/>
      <c r="CQ70" s="6" t="s">
        <v>77</v>
      </c>
    </row>
    <row r="71" spans="1:96" ht="11.25" customHeight="1" outlineLevel="1" x14ac:dyDescent="0.2">
      <c r="A71" s="233"/>
      <c r="B71" s="474" t="s">
        <v>604</v>
      </c>
      <c r="D71" s="661">
        <v>10</v>
      </c>
      <c r="E71" s="662"/>
      <c r="F71" s="6" t="s">
        <v>649</v>
      </c>
      <c r="G71" s="664">
        <f>AVERAGEIF(K76:CP76,"&lt;&gt;0")</f>
        <v>302.94501313407818</v>
      </c>
      <c r="H71" s="474" t="s">
        <v>650</v>
      </c>
      <c r="I71" s="549"/>
      <c r="K71" s="474"/>
      <c r="M71" s="474"/>
      <c r="N71" s="474"/>
      <c r="O71" s="474"/>
      <c r="V71" s="304"/>
      <c r="CQ71" s="6" t="s">
        <v>77</v>
      </c>
      <c r="CR71" s="233"/>
    </row>
    <row r="72" spans="1:96" ht="11.25" customHeight="1" outlineLevel="1" x14ac:dyDescent="0.2">
      <c r="A72" s="233"/>
      <c r="B72" s="474" t="s">
        <v>605</v>
      </c>
      <c r="D72" s="681">
        <v>2.5000000000000001E-2</v>
      </c>
      <c r="E72" s="472"/>
      <c r="I72" s="549"/>
      <c r="K72" s="474"/>
      <c r="L72" s="474"/>
      <c r="M72" s="474"/>
      <c r="N72" s="474"/>
      <c r="O72" s="474"/>
      <c r="V72" s="304"/>
      <c r="CQ72" s="6" t="s">
        <v>77</v>
      </c>
      <c r="CR72" s="233"/>
    </row>
    <row r="73" spans="1:96" ht="11.25" customHeight="1" outlineLevel="1" x14ac:dyDescent="0.2">
      <c r="A73" s="233"/>
      <c r="D73" s="700"/>
      <c r="E73" s="472"/>
      <c r="I73" s="549"/>
      <c r="K73" s="474"/>
      <c r="L73" s="474"/>
      <c r="M73" s="474"/>
      <c r="N73" s="474"/>
      <c r="O73" s="474"/>
      <c r="CQ73" s="6" t="s">
        <v>77</v>
      </c>
      <c r="CR73" s="233"/>
    </row>
    <row r="74" spans="1:96" s="233" customFormat="1" outlineLevel="1" x14ac:dyDescent="0.2">
      <c r="A74" s="104"/>
      <c r="B74" s="551" t="s">
        <v>606</v>
      </c>
      <c r="C74" s="104"/>
      <c r="D74" s="386"/>
      <c r="E74" s="386"/>
      <c r="F74" s="386"/>
      <c r="G74" s="386"/>
      <c r="H74" s="386"/>
      <c r="I74" s="386"/>
      <c r="J74" s="386"/>
      <c r="K74" s="552">
        <f>APA!K250</f>
        <v>0</v>
      </c>
      <c r="L74" s="552">
        <f>APA!L250</f>
        <v>0</v>
      </c>
      <c r="M74" s="552">
        <f>APA!M250</f>
        <v>0</v>
      </c>
      <c r="N74" s="552">
        <f>APA!N250</f>
        <v>0</v>
      </c>
      <c r="O74" s="552">
        <f>APA!O250</f>
        <v>0</v>
      </c>
      <c r="P74" s="552">
        <f>APA!P250</f>
        <v>0</v>
      </c>
      <c r="Q74" s="552">
        <f>APA!Q250</f>
        <v>0</v>
      </c>
      <c r="R74" s="552">
        <f>APA!R250</f>
        <v>0</v>
      </c>
      <c r="S74" s="552">
        <f>APA!S250</f>
        <v>0</v>
      </c>
      <c r="T74" s="331">
        <f>APA!T250</f>
        <v>0</v>
      </c>
      <c r="U74" s="331">
        <f>APA!U250</f>
        <v>208.63</v>
      </c>
      <c r="V74" s="331">
        <f>APA!V250</f>
        <v>369.58299999999986</v>
      </c>
      <c r="W74" s="331">
        <f>APA!W250</f>
        <v>425.98400000000009</v>
      </c>
      <c r="X74" s="331">
        <f>APA!X250</f>
        <v>340.60605829849351</v>
      </c>
      <c r="Y74" s="331">
        <f>APA!Y250</f>
        <v>335.40135122327433</v>
      </c>
      <c r="Z74" s="331">
        <f>APA!Z250</f>
        <v>354.84460943000545</v>
      </c>
      <c r="AA74" s="331">
        <f>APA!AA250</f>
        <v>306.18719538010521</v>
      </c>
      <c r="AB74" s="331">
        <f>APA!AB250</f>
        <v>272.95585376038252</v>
      </c>
      <c r="AC74" s="331">
        <f>APA!AC250</f>
        <v>249.48529595295724</v>
      </c>
      <c r="AD74" s="331">
        <f>APA!AD250</f>
        <v>278.10575097160893</v>
      </c>
      <c r="AE74" s="331">
        <f>APA!AE250</f>
        <v>297.32363395588447</v>
      </c>
      <c r="AF74" s="331">
        <f>APA!AF250</f>
        <v>300.20580116920689</v>
      </c>
      <c r="AG74" s="331">
        <f>APA!AG250</f>
        <v>294.33458119886359</v>
      </c>
      <c r="AH74" s="331">
        <f>APA!AH250</f>
        <v>311.81954646163194</v>
      </c>
      <c r="AI74" s="331">
        <f>APA!AI250</f>
        <v>221.3674033354016</v>
      </c>
      <c r="AJ74" s="331">
        <f>APA!AJ250</f>
        <v>164.27707471903693</v>
      </c>
      <c r="AK74" s="331">
        <f>APA!AK250</f>
        <v>151.36241805304712</v>
      </c>
      <c r="AL74" s="331">
        <f>APA!AL250</f>
        <v>169.02310978606215</v>
      </c>
      <c r="AM74" s="331">
        <f>APA!AM250</f>
        <v>187.52580634505557</v>
      </c>
      <c r="AN74" s="331">
        <f>APA!AN250</f>
        <v>196.81807101852439</v>
      </c>
      <c r="AO74" s="331">
        <f>APA!AO250</f>
        <v>182.77830151415515</v>
      </c>
      <c r="AP74" s="331">
        <f>APA!AP250</f>
        <v>-220.71844544980326</v>
      </c>
      <c r="AQ74" s="331">
        <f>APA!AQ250</f>
        <v>-196.15338030769703</v>
      </c>
      <c r="AR74" s="331">
        <f>APA!AR250</f>
        <v>-259.49967452608985</v>
      </c>
      <c r="AS74" s="331">
        <f>APA!AS250</f>
        <v>-343.95499090858965</v>
      </c>
      <c r="AT74" s="331">
        <f>APA!AT250</f>
        <v>-349.65861017391427</v>
      </c>
      <c r="AU74" s="331">
        <f>APA!AU250</f>
        <v>-328.76067331581839</v>
      </c>
      <c r="AV74" s="331">
        <f>APA!AV250</f>
        <v>-317.62503770787868</v>
      </c>
      <c r="AW74" s="331">
        <f>APA!AW250</f>
        <v>-342.03729268566894</v>
      </c>
      <c r="AX74" s="331">
        <f>APA!AX250</f>
        <v>-331.56333183925693</v>
      </c>
      <c r="AY74" s="331">
        <f>APA!AY250</f>
        <v>-320.74016549570297</v>
      </c>
      <c r="AZ74" s="331">
        <f>APA!AZ250</f>
        <v>-309.56476050246113</v>
      </c>
      <c r="BA74" s="331">
        <f>APA!BA250</f>
        <v>-454.36298143303634</v>
      </c>
      <c r="BB74" s="331">
        <f>APA!BB250</f>
        <v>-442.96360567985624</v>
      </c>
      <c r="BC74" s="331">
        <f>APA!BC250</f>
        <v>-431.21083369975133</v>
      </c>
      <c r="BD74" s="331">
        <f>APA!BD250</f>
        <v>-419.0960727019405</v>
      </c>
      <c r="BE74" s="331">
        <f>APA!BE250</f>
        <v>-406.61058557597744</v>
      </c>
      <c r="BF74" s="331">
        <f>APA!BF250</f>
        <v>-393.7484877143014</v>
      </c>
      <c r="BG74" s="331">
        <f>APA!BG250</f>
        <v>-380.49836504427958</v>
      </c>
      <c r="BH74" s="331">
        <f>APA!BH250</f>
        <v>-366.85549424697979</v>
      </c>
      <c r="BI74" s="331">
        <f>APA!BI250</f>
        <v>-352.80734463771819</v>
      </c>
      <c r="BJ74" s="331">
        <f>APA!BJ250</f>
        <v>-338.34840666474099</v>
      </c>
      <c r="BK74" s="331">
        <f>APA!BK250</f>
        <v>-323.46689330283209</v>
      </c>
      <c r="BL74" s="331">
        <f>APA!BL250</f>
        <v>-308.15462155621276</v>
      </c>
      <c r="BM74" s="331">
        <f>APA!BM250</f>
        <v>-292.40203818840604</v>
      </c>
      <c r="BN74" s="331">
        <f>APA!BN250</f>
        <v>-276.19979175511435</v>
      </c>
      <c r="BO74" s="331">
        <f>APA!BO250</f>
        <v>-259.53752049315</v>
      </c>
      <c r="BP74" s="331">
        <f>APA!BP250</f>
        <v>-242.40503187409291</v>
      </c>
      <c r="BQ74" s="331">
        <f>APA!BQ250</f>
        <v>-250.7580201841393</v>
      </c>
      <c r="BR74" s="331">
        <f>APA!BR250</f>
        <v>-236.31824501541735</v>
      </c>
      <c r="BS74" s="331">
        <f>APA!BS250</f>
        <v>-253.31555476534584</v>
      </c>
      <c r="BT74" s="331">
        <f>APA!BT250</f>
        <v>-266.94971113198312</v>
      </c>
      <c r="BU74" s="331">
        <f>APA!BU250</f>
        <v>-252.58159041566807</v>
      </c>
      <c r="BV74" s="331">
        <f>APA!BV250</f>
        <v>-237.84602316612296</v>
      </c>
      <c r="BW74" s="331">
        <f>APA!BW250</f>
        <v>-222.73672983858495</v>
      </c>
      <c r="BX74" s="331">
        <f>APA!BX250</f>
        <v>-207.24631970362361</v>
      </c>
      <c r="BY74" s="331">
        <f>APA!BY250</f>
        <v>-191.36959795286759</v>
      </c>
      <c r="BZ74" s="331">
        <f>APA!BZ250</f>
        <v>-175.09724120326689</v>
      </c>
      <c r="CA74" s="331">
        <f>APA!CA250</f>
        <v>-158.42302175091118</v>
      </c>
      <c r="CB74" s="331">
        <f>APA!CB250</f>
        <v>-141.33778377284318</v>
      </c>
      <c r="CC74" s="331">
        <f>APA!CC250</f>
        <v>-127.52536137374608</v>
      </c>
      <c r="CD74" s="331">
        <f>APA!CD250</f>
        <v>-153.93607421876919</v>
      </c>
      <c r="CE74" s="331">
        <f>APA!CE250</f>
        <v>-136.53827370827776</v>
      </c>
      <c r="CF74" s="331">
        <f>APA!CF250</f>
        <v>-118.72121180794812</v>
      </c>
      <c r="CG74" s="331">
        <f>APA!CG250</f>
        <v>-100.47600408975927</v>
      </c>
      <c r="CH74" s="331">
        <f>APA!CH250</f>
        <v>-533.39855459347484</v>
      </c>
      <c r="CI74" s="331">
        <f>APA!CI250</f>
        <v>-521.10680308669635</v>
      </c>
      <c r="CJ74" s="331">
        <f>APA!CJ250</f>
        <v>-508.45580265706485</v>
      </c>
      <c r="CK74" s="331">
        <f>APA!CK250</f>
        <v>-495.43902919728907</v>
      </c>
      <c r="CL74" s="331">
        <f>APA!CL250</f>
        <v>-482.04938447832916</v>
      </c>
      <c r="CM74" s="331">
        <f>APA!CM250</f>
        <v>-468.27810732258251</v>
      </c>
      <c r="CN74" s="331">
        <f>APA!CN250</f>
        <v>-454.1166243611558</v>
      </c>
      <c r="CO74" s="331">
        <f>APA!CO250</f>
        <v>-439.55579987806624</v>
      </c>
      <c r="CP74" s="331">
        <f>APA!CP250</f>
        <v>-455.36465884327265</v>
      </c>
      <c r="CQ74" s="6" t="s">
        <v>77</v>
      </c>
      <c r="CR74" s="104"/>
    </row>
    <row r="75" spans="1:96" s="98" customFormat="1" outlineLevel="1" x14ac:dyDescent="0.2">
      <c r="A75" s="25"/>
      <c r="B75" s="554" t="s">
        <v>634</v>
      </c>
      <c r="C75" s="25"/>
      <c r="D75" s="555"/>
      <c r="E75" s="555"/>
      <c r="F75" s="555"/>
      <c r="G75" s="555"/>
      <c r="H75" s="555"/>
      <c r="I75" s="555"/>
      <c r="J75" s="555"/>
      <c r="K75" s="659">
        <f>1-APA!K151</f>
        <v>0.40929377789446053</v>
      </c>
      <c r="L75" s="659">
        <f>1-APA!L151</f>
        <v>0.38032532920216877</v>
      </c>
      <c r="M75" s="659">
        <f>1-APA!M151</f>
        <v>0.29435483870967738</v>
      </c>
      <c r="N75" s="659">
        <f>1-APA!N151</f>
        <v>0.3086477618936021</v>
      </c>
      <c r="O75" s="659">
        <f>1-APA!O151</f>
        <v>0.35617860851505712</v>
      </c>
      <c r="P75" s="659">
        <f>1-APA!P151</f>
        <v>0.36861384229805283</v>
      </c>
      <c r="Q75" s="659">
        <f>1-APA!Q151</f>
        <v>0.34625617635879891</v>
      </c>
      <c r="R75" s="659">
        <f>1-APA!R151</f>
        <v>0.33269780743565303</v>
      </c>
      <c r="S75" s="659">
        <f>1-APA!S151</f>
        <v>0.36629775080328453</v>
      </c>
      <c r="T75" s="659">
        <f>1-APA!T151</f>
        <v>0.31109844165716449</v>
      </c>
      <c r="U75" s="659">
        <f>1-APA!U151</f>
        <v>0.3200930398998032</v>
      </c>
      <c r="V75" s="659">
        <f>1-APA!V151</f>
        <v>0.46375500710686135</v>
      </c>
      <c r="W75" s="659">
        <f>1-APA!W151</f>
        <v>0.5022883295194509</v>
      </c>
      <c r="X75" s="659">
        <f>1-APA!X151</f>
        <v>0.43665498247371048</v>
      </c>
      <c r="Y75" s="659">
        <f>1-APA!Y151</f>
        <v>0.42965779467680609</v>
      </c>
      <c r="Z75" s="659">
        <f>1-APA!Z151</f>
        <v>0.43889574682976096</v>
      </c>
      <c r="AA75" s="659">
        <f>1-APA!AA151</f>
        <v>0.42296595499134448</v>
      </c>
      <c r="AB75" s="659">
        <f>1-APA!AB151</f>
        <v>0.40490359438228996</v>
      </c>
      <c r="AC75" s="659">
        <f>1-APA!AC151</f>
        <v>0.39194941019092788</v>
      </c>
      <c r="AD75" s="659">
        <f>1-APA!AD151</f>
        <v>0.41023826374144845</v>
      </c>
      <c r="AE75" s="659">
        <f>1-APA!AE151</f>
        <v>0.42169789498033772</v>
      </c>
      <c r="AF75" s="659">
        <f>1-APA!AF151</f>
        <v>0.42363112391930835</v>
      </c>
      <c r="AG75" s="659">
        <f>1-APA!AG151</f>
        <v>0.42062572421784472</v>
      </c>
      <c r="AH75" s="659">
        <f>1-APA!AH151</f>
        <v>0.43078324225865217</v>
      </c>
      <c r="AI75" s="659">
        <f>1-APA!AI151</f>
        <v>0.37671403639990031</v>
      </c>
      <c r="AJ75" s="659">
        <f>1-APA!AJ151</f>
        <v>0.33713376640593939</v>
      </c>
      <c r="AK75" s="659">
        <f>1-APA!AK151</f>
        <v>0.32786664874311067</v>
      </c>
      <c r="AL75" s="659">
        <f>1-APA!AL151</f>
        <v>0.34158546220700547</v>
      </c>
      <c r="AM75" s="659">
        <f>1-APA!AM151</f>
        <v>0.35533780299123263</v>
      </c>
      <c r="AN75" s="659">
        <f>1-APA!AN151</f>
        <v>0.36216354126801886</v>
      </c>
      <c r="AO75" s="659">
        <f>1-APA!AO151</f>
        <v>0.35283458451980332</v>
      </c>
      <c r="AP75" s="659">
        <f>1-APA!AP151</f>
        <v>-0.15982370679656688</v>
      </c>
      <c r="AQ75" s="659">
        <f>1-APA!AQ151</f>
        <v>-0.10521662245800179</v>
      </c>
      <c r="AR75" s="659">
        <f>1-APA!AR151</f>
        <v>-0.25250501002004011</v>
      </c>
      <c r="AS75" s="659">
        <f>1-APA!AS151</f>
        <v>-0.52346130408287639</v>
      </c>
      <c r="AT75" s="659">
        <f>1-APA!AT151</f>
        <v>-0.54416306361951805</v>
      </c>
      <c r="AU75" s="659">
        <f>1-APA!AU151</f>
        <v>-0.46156094709149365</v>
      </c>
      <c r="AV75" s="659">
        <f>1-APA!AV151</f>
        <v>-0.42045454545454541</v>
      </c>
      <c r="AW75" s="659">
        <f>1-APA!AW151</f>
        <v>-0.50647785477553486</v>
      </c>
      <c r="AX75" s="659">
        <f>1-APA!AX151</f>
        <v>-0.4649868151186638</v>
      </c>
      <c r="AY75" s="659">
        <f>1-APA!AY151</f>
        <v>-0.42490738102023351</v>
      </c>
      <c r="AZ75" s="659">
        <f>1-APA!AZ151</f>
        <v>-0.38542532557495135</v>
      </c>
      <c r="BA75" s="659">
        <f>1-APA!BA151</f>
        <v>-1.0946795140343526</v>
      </c>
      <c r="BB75" s="659">
        <f>1-APA!BB151</f>
        <v>-1.0088388911209321</v>
      </c>
      <c r="BC75" s="659">
        <f>1-APA!BC151</f>
        <v>-0.92752505782575168</v>
      </c>
      <c r="BD75" s="659">
        <f>1-APA!BD151</f>
        <v>-0.85048112509252416</v>
      </c>
      <c r="BE75" s="659">
        <f>1-APA!BE151</f>
        <v>-0.77746178457163184</v>
      </c>
      <c r="BF75" s="659">
        <f>1-APA!BF151</f>
        <v>-0.7082336863682952</v>
      </c>
      <c r="BG75" s="659">
        <f>1-APA!BG151</f>
        <v>-0.64203612479474548</v>
      </c>
      <c r="BH75" s="659">
        <f>1-APA!BH151</f>
        <v>-0.5792798483891346</v>
      </c>
      <c r="BI75" s="659">
        <f>1-APA!BI151</f>
        <v>-0.51975683890577518</v>
      </c>
      <c r="BJ75" s="659">
        <f>1-APA!BJ151</f>
        <v>-0.46284376828554707</v>
      </c>
      <c r="BK75" s="659">
        <f>1-APA!BK151</f>
        <v>-0.40884756269371647</v>
      </c>
      <c r="BL75" s="659">
        <f>1-APA!BL151</f>
        <v>-0.35722041259500537</v>
      </c>
      <c r="BM75" s="659">
        <f>1-APA!BM151</f>
        <v>-0.30787339785508783</v>
      </c>
      <c r="BN75" s="659">
        <f>1-APA!BN151</f>
        <v>-0.26071608673726687</v>
      </c>
      <c r="BO75" s="659">
        <f>1-APA!BO151</f>
        <v>-0.21595330739299623</v>
      </c>
      <c r="BP75" s="659">
        <f>1-APA!BP151</f>
        <v>-0.17288294628196099</v>
      </c>
      <c r="BQ75" s="659">
        <f>1-APA!BQ151</f>
        <v>-0.19104335397808492</v>
      </c>
      <c r="BR75" s="659">
        <f>1-APA!BR151</f>
        <v>-0.1560693641618498</v>
      </c>
      <c r="BS75" s="659">
        <f>1-APA!BS151</f>
        <v>-0.19417243850011956</v>
      </c>
      <c r="BT75" s="659">
        <f>1-APA!BT151</f>
        <v>-0.22669283611383717</v>
      </c>
      <c r="BU75" s="659">
        <f>1-APA!BU151</f>
        <v>-0.18934348239771648</v>
      </c>
      <c r="BV75" s="659">
        <f>1-APA!BV151</f>
        <v>-0.15366866635902166</v>
      </c>
      <c r="BW75" s="659">
        <f>1-APA!BW151</f>
        <v>-0.11931945377210651</v>
      </c>
      <c r="BX75" s="659">
        <f>1-APA!BX151</f>
        <v>-8.6012163336229408E-2</v>
      </c>
      <c r="BY75" s="659">
        <f>1-APA!BY151</f>
        <v>-5.3962900505902134E-2</v>
      </c>
      <c r="BZ75" s="659">
        <f>1-APA!BZ151</f>
        <v>-2.3122570083896177E-2</v>
      </c>
      <c r="CA75" s="659">
        <f>1-APA!CA151</f>
        <v>6.7540723083036047E-3</v>
      </c>
      <c r="CB75" s="659">
        <f>1-APA!CB151</f>
        <v>3.5493827160493874E-2</v>
      </c>
      <c r="CC75" s="659">
        <f>1-APA!CC151</f>
        <v>5.7848125117769045E-2</v>
      </c>
      <c r="CD75" s="659">
        <f>1-APA!CD151</f>
        <v>1.7488701120062844E-2</v>
      </c>
      <c r="CE75" s="659">
        <f>1-APA!CE151</f>
        <v>4.5983590917763717E-2</v>
      </c>
      <c r="CF75" s="659">
        <f>1-APA!CF151</f>
        <v>7.3731011485735354E-2</v>
      </c>
      <c r="CG75" s="659">
        <f>1-APA!CG151</f>
        <v>0.10039582583663187</v>
      </c>
      <c r="CH75" s="659">
        <f>1-APA!CH151</f>
        <v>-1.6399155227032733</v>
      </c>
      <c r="CI75" s="659">
        <f>1-APA!CI151</f>
        <v>-1.4950099800399204</v>
      </c>
      <c r="CJ75" s="659">
        <f>1-APA!CJ151</f>
        <v>-1.3618327822390173</v>
      </c>
      <c r="CK75" s="659">
        <f>1-APA!CK151</f>
        <v>-1.2391401701746529</v>
      </c>
      <c r="CL75" s="659">
        <f>1-APA!CL151</f>
        <v>-1.1258503401360547</v>
      </c>
      <c r="CM75" s="659">
        <f>1-APA!CM151</f>
        <v>-1.0210185933710592</v>
      </c>
      <c r="CN75" s="659">
        <f>1-APA!CN151</f>
        <v>-0.92381685263562918</v>
      </c>
      <c r="CO75" s="659">
        <f>1-APA!CO151</f>
        <v>-0.83284457478005858</v>
      </c>
      <c r="CP75" s="659">
        <f>1-APA!CP151</f>
        <v>-0.92307692307692313</v>
      </c>
      <c r="CQ75" s="6" t="s">
        <v>77</v>
      </c>
      <c r="CR75" s="25"/>
    </row>
    <row r="76" spans="1:96" s="233" customFormat="1" outlineLevel="1" x14ac:dyDescent="0.2">
      <c r="A76" s="104"/>
      <c r="B76" s="682" t="s">
        <v>635</v>
      </c>
      <c r="C76" s="104"/>
      <c r="D76" s="553"/>
      <c r="E76" s="553"/>
      <c r="F76" s="553"/>
      <c r="G76" s="553"/>
      <c r="H76" s="553"/>
      <c r="I76" s="553"/>
      <c r="J76" s="553"/>
      <c r="K76" s="553">
        <f>IF(AND(K56&gt;0,K56&lt;=$D$71),IF(K74&lt;0,0,K74),)</f>
        <v>0</v>
      </c>
      <c r="L76" s="553">
        <f t="shared" ref="L76:BW76" si="26">IF(AND(L56&gt;0,L56&lt;=$D$71),IF(L74&lt;0,0,L74),)</f>
        <v>0</v>
      </c>
      <c r="M76" s="553">
        <f t="shared" si="26"/>
        <v>0</v>
      </c>
      <c r="N76" s="553">
        <f t="shared" si="26"/>
        <v>0</v>
      </c>
      <c r="O76" s="553">
        <f t="shared" si="26"/>
        <v>0</v>
      </c>
      <c r="P76" s="553">
        <f t="shared" si="26"/>
        <v>0</v>
      </c>
      <c r="Q76" s="553">
        <f t="shared" si="26"/>
        <v>0</v>
      </c>
      <c r="R76" s="553">
        <f t="shared" si="26"/>
        <v>0</v>
      </c>
      <c r="S76" s="553">
        <f t="shared" si="26"/>
        <v>0</v>
      </c>
      <c r="T76" s="553">
        <f t="shared" si="26"/>
        <v>0</v>
      </c>
      <c r="U76" s="553">
        <f t="shared" si="26"/>
        <v>0</v>
      </c>
      <c r="V76" s="553">
        <f t="shared" si="26"/>
        <v>0</v>
      </c>
      <c r="W76" s="553">
        <f t="shared" si="26"/>
        <v>0</v>
      </c>
      <c r="X76" s="553">
        <f t="shared" si="26"/>
        <v>340.60605829849351</v>
      </c>
      <c r="Y76" s="553">
        <f t="shared" si="26"/>
        <v>335.40135122327433</v>
      </c>
      <c r="Z76" s="553">
        <f t="shared" si="26"/>
        <v>354.84460943000545</v>
      </c>
      <c r="AA76" s="553">
        <f t="shared" si="26"/>
        <v>306.18719538010521</v>
      </c>
      <c r="AB76" s="553">
        <f t="shared" si="26"/>
        <v>272.95585376038252</v>
      </c>
      <c r="AC76" s="553">
        <f t="shared" si="26"/>
        <v>249.48529595295724</v>
      </c>
      <c r="AD76" s="553">
        <f t="shared" si="26"/>
        <v>278.10575097160893</v>
      </c>
      <c r="AE76" s="553">
        <f t="shared" si="26"/>
        <v>297.32363395588447</v>
      </c>
      <c r="AF76" s="553">
        <f t="shared" si="26"/>
        <v>300.20580116920689</v>
      </c>
      <c r="AG76" s="553">
        <f t="shared" si="26"/>
        <v>294.33458119886359</v>
      </c>
      <c r="AH76" s="553">
        <f t="shared" si="26"/>
        <v>0</v>
      </c>
      <c r="AI76" s="553">
        <f t="shared" si="26"/>
        <v>0</v>
      </c>
      <c r="AJ76" s="553">
        <f t="shared" si="26"/>
        <v>0</v>
      </c>
      <c r="AK76" s="553">
        <f t="shared" si="26"/>
        <v>0</v>
      </c>
      <c r="AL76" s="553">
        <f t="shared" si="26"/>
        <v>0</v>
      </c>
      <c r="AM76" s="553">
        <f t="shared" si="26"/>
        <v>0</v>
      </c>
      <c r="AN76" s="553">
        <f t="shared" si="26"/>
        <v>0</v>
      </c>
      <c r="AO76" s="553">
        <f t="shared" si="26"/>
        <v>0</v>
      </c>
      <c r="AP76" s="553">
        <f t="shared" si="26"/>
        <v>0</v>
      </c>
      <c r="AQ76" s="553">
        <f t="shared" si="26"/>
        <v>0</v>
      </c>
      <c r="AR76" s="553">
        <f t="shared" si="26"/>
        <v>0</v>
      </c>
      <c r="AS76" s="553">
        <f t="shared" si="26"/>
        <v>0</v>
      </c>
      <c r="AT76" s="553">
        <f t="shared" si="26"/>
        <v>0</v>
      </c>
      <c r="AU76" s="553">
        <f t="shared" si="26"/>
        <v>0</v>
      </c>
      <c r="AV76" s="553">
        <f t="shared" si="26"/>
        <v>0</v>
      </c>
      <c r="AW76" s="553">
        <f t="shared" si="26"/>
        <v>0</v>
      </c>
      <c r="AX76" s="553">
        <f t="shared" si="26"/>
        <v>0</v>
      </c>
      <c r="AY76" s="553">
        <f t="shared" si="26"/>
        <v>0</v>
      </c>
      <c r="AZ76" s="553">
        <f t="shared" si="26"/>
        <v>0</v>
      </c>
      <c r="BA76" s="553">
        <f t="shared" si="26"/>
        <v>0</v>
      </c>
      <c r="BB76" s="553">
        <f t="shared" si="26"/>
        <v>0</v>
      </c>
      <c r="BC76" s="553">
        <f t="shared" si="26"/>
        <v>0</v>
      </c>
      <c r="BD76" s="553">
        <f t="shared" si="26"/>
        <v>0</v>
      </c>
      <c r="BE76" s="553">
        <f t="shared" si="26"/>
        <v>0</v>
      </c>
      <c r="BF76" s="553">
        <f t="shared" si="26"/>
        <v>0</v>
      </c>
      <c r="BG76" s="553">
        <f t="shared" si="26"/>
        <v>0</v>
      </c>
      <c r="BH76" s="553">
        <f t="shared" si="26"/>
        <v>0</v>
      </c>
      <c r="BI76" s="553">
        <f t="shared" si="26"/>
        <v>0</v>
      </c>
      <c r="BJ76" s="553">
        <f t="shared" si="26"/>
        <v>0</v>
      </c>
      <c r="BK76" s="553">
        <f t="shared" si="26"/>
        <v>0</v>
      </c>
      <c r="BL76" s="553">
        <f t="shared" si="26"/>
        <v>0</v>
      </c>
      <c r="BM76" s="553">
        <f t="shared" si="26"/>
        <v>0</v>
      </c>
      <c r="BN76" s="553">
        <f t="shared" si="26"/>
        <v>0</v>
      </c>
      <c r="BO76" s="553">
        <f t="shared" si="26"/>
        <v>0</v>
      </c>
      <c r="BP76" s="553">
        <f t="shared" si="26"/>
        <v>0</v>
      </c>
      <c r="BQ76" s="553">
        <f t="shared" si="26"/>
        <v>0</v>
      </c>
      <c r="BR76" s="553">
        <f t="shared" si="26"/>
        <v>0</v>
      </c>
      <c r="BS76" s="553">
        <f t="shared" si="26"/>
        <v>0</v>
      </c>
      <c r="BT76" s="553">
        <f t="shared" si="26"/>
        <v>0</v>
      </c>
      <c r="BU76" s="553">
        <f t="shared" si="26"/>
        <v>0</v>
      </c>
      <c r="BV76" s="553">
        <f t="shared" si="26"/>
        <v>0</v>
      </c>
      <c r="BW76" s="553">
        <f t="shared" si="26"/>
        <v>0</v>
      </c>
      <c r="BX76" s="553">
        <f t="shared" ref="BX76:CP76" si="27">IF(AND(BX56&gt;0,BX56&lt;=$D$71),IF(BX74&lt;0,0,BX74),)</f>
        <v>0</v>
      </c>
      <c r="BY76" s="553">
        <f t="shared" si="27"/>
        <v>0</v>
      </c>
      <c r="BZ76" s="553">
        <f t="shared" si="27"/>
        <v>0</v>
      </c>
      <c r="CA76" s="553">
        <f t="shared" si="27"/>
        <v>0</v>
      </c>
      <c r="CB76" s="553">
        <f t="shared" si="27"/>
        <v>0</v>
      </c>
      <c r="CC76" s="553">
        <f t="shared" si="27"/>
        <v>0</v>
      </c>
      <c r="CD76" s="553">
        <f t="shared" si="27"/>
        <v>0</v>
      </c>
      <c r="CE76" s="553">
        <f t="shared" si="27"/>
        <v>0</v>
      </c>
      <c r="CF76" s="553">
        <f t="shared" si="27"/>
        <v>0</v>
      </c>
      <c r="CG76" s="553">
        <f t="shared" si="27"/>
        <v>0</v>
      </c>
      <c r="CH76" s="553">
        <f t="shared" si="27"/>
        <v>0</v>
      </c>
      <c r="CI76" s="553">
        <f t="shared" si="27"/>
        <v>0</v>
      </c>
      <c r="CJ76" s="553">
        <f t="shared" si="27"/>
        <v>0</v>
      </c>
      <c r="CK76" s="553">
        <f t="shared" si="27"/>
        <v>0</v>
      </c>
      <c r="CL76" s="553">
        <f t="shared" si="27"/>
        <v>0</v>
      </c>
      <c r="CM76" s="553">
        <f t="shared" si="27"/>
        <v>0</v>
      </c>
      <c r="CN76" s="553">
        <f t="shared" si="27"/>
        <v>0</v>
      </c>
      <c r="CO76" s="553">
        <f t="shared" si="27"/>
        <v>0</v>
      </c>
      <c r="CP76" s="553">
        <f t="shared" si="27"/>
        <v>0</v>
      </c>
      <c r="CQ76" s="6" t="s">
        <v>77</v>
      </c>
      <c r="CR76" s="104"/>
    </row>
    <row r="77" spans="1:96" outlineLevel="1" x14ac:dyDescent="0.2">
      <c r="A77" s="472"/>
      <c r="B77" s="698" t="s">
        <v>607</v>
      </c>
      <c r="D77" s="693"/>
      <c r="E77" s="693"/>
      <c r="F77" s="693"/>
      <c r="G77" s="693"/>
      <c r="H77" s="693"/>
      <c r="I77" s="693"/>
      <c r="J77" s="693"/>
      <c r="K77" s="684">
        <v>1</v>
      </c>
      <c r="L77" s="701">
        <f t="shared" ref="L77:BW77" si="28">K77</f>
        <v>1</v>
      </c>
      <c r="M77" s="701">
        <f t="shared" si="28"/>
        <v>1</v>
      </c>
      <c r="N77" s="701">
        <f t="shared" si="28"/>
        <v>1</v>
      </c>
      <c r="O77" s="701">
        <f t="shared" si="28"/>
        <v>1</v>
      </c>
      <c r="P77" s="701">
        <f t="shared" si="28"/>
        <v>1</v>
      </c>
      <c r="Q77" s="701">
        <f t="shared" si="28"/>
        <v>1</v>
      </c>
      <c r="R77" s="701">
        <f t="shared" si="28"/>
        <v>1</v>
      </c>
      <c r="S77" s="701">
        <f t="shared" si="28"/>
        <v>1</v>
      </c>
      <c r="T77" s="701">
        <f t="shared" si="28"/>
        <v>1</v>
      </c>
      <c r="U77" s="701">
        <f t="shared" si="28"/>
        <v>1</v>
      </c>
      <c r="V77" s="701">
        <f t="shared" si="28"/>
        <v>1</v>
      </c>
      <c r="W77" s="701">
        <f t="shared" si="28"/>
        <v>1</v>
      </c>
      <c r="X77" s="701">
        <f t="shared" si="28"/>
        <v>1</v>
      </c>
      <c r="Y77" s="701">
        <f t="shared" si="28"/>
        <v>1</v>
      </c>
      <c r="Z77" s="701">
        <f t="shared" si="28"/>
        <v>1</v>
      </c>
      <c r="AA77" s="701">
        <f t="shared" si="28"/>
        <v>1</v>
      </c>
      <c r="AB77" s="701">
        <f t="shared" si="28"/>
        <v>1</v>
      </c>
      <c r="AC77" s="701">
        <f t="shared" si="28"/>
        <v>1</v>
      </c>
      <c r="AD77" s="701">
        <f t="shared" si="28"/>
        <v>1</v>
      </c>
      <c r="AE77" s="701">
        <f t="shared" si="28"/>
        <v>1</v>
      </c>
      <c r="AF77" s="701">
        <f t="shared" si="28"/>
        <v>1</v>
      </c>
      <c r="AG77" s="701">
        <f t="shared" si="28"/>
        <v>1</v>
      </c>
      <c r="AH77" s="701">
        <f t="shared" si="28"/>
        <v>1</v>
      </c>
      <c r="AI77" s="701">
        <f t="shared" si="28"/>
        <v>1</v>
      </c>
      <c r="AJ77" s="701">
        <f t="shared" si="28"/>
        <v>1</v>
      </c>
      <c r="AK77" s="701">
        <f t="shared" si="28"/>
        <v>1</v>
      </c>
      <c r="AL77" s="701">
        <f t="shared" si="28"/>
        <v>1</v>
      </c>
      <c r="AM77" s="701">
        <f t="shared" si="28"/>
        <v>1</v>
      </c>
      <c r="AN77" s="701">
        <f t="shared" si="28"/>
        <v>1</v>
      </c>
      <c r="AO77" s="701">
        <f t="shared" si="28"/>
        <v>1</v>
      </c>
      <c r="AP77" s="701">
        <f t="shared" si="28"/>
        <v>1</v>
      </c>
      <c r="AQ77" s="701">
        <f t="shared" si="28"/>
        <v>1</v>
      </c>
      <c r="AR77" s="701">
        <f t="shared" si="28"/>
        <v>1</v>
      </c>
      <c r="AS77" s="701">
        <f t="shared" si="28"/>
        <v>1</v>
      </c>
      <c r="AT77" s="701">
        <f t="shared" si="28"/>
        <v>1</v>
      </c>
      <c r="AU77" s="701">
        <f t="shared" si="28"/>
        <v>1</v>
      </c>
      <c r="AV77" s="701">
        <f t="shared" si="28"/>
        <v>1</v>
      </c>
      <c r="AW77" s="701">
        <f t="shared" si="28"/>
        <v>1</v>
      </c>
      <c r="AX77" s="701">
        <f t="shared" si="28"/>
        <v>1</v>
      </c>
      <c r="AY77" s="701">
        <f t="shared" si="28"/>
        <v>1</v>
      </c>
      <c r="AZ77" s="701">
        <f t="shared" si="28"/>
        <v>1</v>
      </c>
      <c r="BA77" s="701">
        <f t="shared" si="28"/>
        <v>1</v>
      </c>
      <c r="BB77" s="701">
        <f t="shared" si="28"/>
        <v>1</v>
      </c>
      <c r="BC77" s="701">
        <f t="shared" si="28"/>
        <v>1</v>
      </c>
      <c r="BD77" s="701">
        <f t="shared" si="28"/>
        <v>1</v>
      </c>
      <c r="BE77" s="701">
        <f t="shared" si="28"/>
        <v>1</v>
      </c>
      <c r="BF77" s="701">
        <f t="shared" si="28"/>
        <v>1</v>
      </c>
      <c r="BG77" s="701">
        <f t="shared" si="28"/>
        <v>1</v>
      </c>
      <c r="BH77" s="701">
        <f t="shared" si="28"/>
        <v>1</v>
      </c>
      <c r="BI77" s="701">
        <f t="shared" si="28"/>
        <v>1</v>
      </c>
      <c r="BJ77" s="701">
        <f t="shared" si="28"/>
        <v>1</v>
      </c>
      <c r="BK77" s="701">
        <f t="shared" si="28"/>
        <v>1</v>
      </c>
      <c r="BL77" s="701">
        <f t="shared" si="28"/>
        <v>1</v>
      </c>
      <c r="BM77" s="701">
        <f t="shared" si="28"/>
        <v>1</v>
      </c>
      <c r="BN77" s="701">
        <f t="shared" si="28"/>
        <v>1</v>
      </c>
      <c r="BO77" s="701">
        <f t="shared" si="28"/>
        <v>1</v>
      </c>
      <c r="BP77" s="701">
        <f t="shared" si="28"/>
        <v>1</v>
      </c>
      <c r="BQ77" s="701">
        <f t="shared" si="28"/>
        <v>1</v>
      </c>
      <c r="BR77" s="701">
        <f t="shared" si="28"/>
        <v>1</v>
      </c>
      <c r="BS77" s="701">
        <f t="shared" si="28"/>
        <v>1</v>
      </c>
      <c r="BT77" s="701">
        <f t="shared" si="28"/>
        <v>1</v>
      </c>
      <c r="BU77" s="701">
        <f t="shared" si="28"/>
        <v>1</v>
      </c>
      <c r="BV77" s="701">
        <f t="shared" si="28"/>
        <v>1</v>
      </c>
      <c r="BW77" s="701">
        <f t="shared" si="28"/>
        <v>1</v>
      </c>
      <c r="BX77" s="701">
        <f t="shared" ref="BX77:CO77" si="29">BW77</f>
        <v>1</v>
      </c>
      <c r="BY77" s="701">
        <f t="shared" si="29"/>
        <v>1</v>
      </c>
      <c r="BZ77" s="701">
        <f t="shared" si="29"/>
        <v>1</v>
      </c>
      <c r="CA77" s="701">
        <f t="shared" si="29"/>
        <v>1</v>
      </c>
      <c r="CB77" s="701">
        <f t="shared" si="29"/>
        <v>1</v>
      </c>
      <c r="CC77" s="701">
        <f t="shared" si="29"/>
        <v>1</v>
      </c>
      <c r="CD77" s="701">
        <f t="shared" si="29"/>
        <v>1</v>
      </c>
      <c r="CE77" s="701">
        <f t="shared" si="29"/>
        <v>1</v>
      </c>
      <c r="CF77" s="701">
        <f t="shared" si="29"/>
        <v>1</v>
      </c>
      <c r="CG77" s="701">
        <f t="shared" si="29"/>
        <v>1</v>
      </c>
      <c r="CH77" s="701">
        <f t="shared" si="29"/>
        <v>1</v>
      </c>
      <c r="CI77" s="701">
        <f t="shared" si="29"/>
        <v>1</v>
      </c>
      <c r="CJ77" s="701">
        <f t="shared" si="29"/>
        <v>1</v>
      </c>
      <c r="CK77" s="701">
        <f t="shared" si="29"/>
        <v>1</v>
      </c>
      <c r="CL77" s="701">
        <f t="shared" si="29"/>
        <v>1</v>
      </c>
      <c r="CM77" s="701">
        <f t="shared" si="29"/>
        <v>1</v>
      </c>
      <c r="CN77" s="701">
        <f t="shared" si="29"/>
        <v>1</v>
      </c>
      <c r="CO77" s="701">
        <f t="shared" si="29"/>
        <v>1</v>
      </c>
      <c r="CP77" s="701">
        <f>CO77</f>
        <v>1</v>
      </c>
      <c r="CQ77" s="6" t="s">
        <v>77</v>
      </c>
      <c r="CR77" s="472"/>
    </row>
    <row r="78" spans="1:96" outlineLevel="1" x14ac:dyDescent="0.2">
      <c r="B78" s="683" t="s">
        <v>636</v>
      </c>
      <c r="D78" s="683"/>
      <c r="E78" s="35"/>
      <c r="F78" s="702" t="s">
        <v>637</v>
      </c>
      <c r="G78" s="35"/>
      <c r="H78" s="35"/>
      <c r="I78" s="35"/>
      <c r="J78" s="35"/>
      <c r="K78" s="35">
        <f>MIN(APA!K192,K76/K77)</f>
        <v>0</v>
      </c>
      <c r="L78" s="35">
        <f>MIN(APA!L192,L76/L77)</f>
        <v>0</v>
      </c>
      <c r="M78" s="35">
        <f>MIN(APA!M192,M76/M77)</f>
        <v>0</v>
      </c>
      <c r="N78" s="35">
        <f>MIN(APA!N192,N76/N77)</f>
        <v>0</v>
      </c>
      <c r="O78" s="35">
        <f>MIN(APA!O192,O76/O77)</f>
        <v>0</v>
      </c>
      <c r="P78" s="35">
        <f>MIN(APA!P192,P76/P77)</f>
        <v>0</v>
      </c>
      <c r="Q78" s="35">
        <f>MIN(APA!Q192,Q76/Q77)</f>
        <v>0</v>
      </c>
      <c r="R78" s="35">
        <f>MIN(APA!R192,R76/R77)</f>
        <v>0</v>
      </c>
      <c r="S78" s="35">
        <f>MIN(APA!S192,S76/S77)</f>
        <v>0</v>
      </c>
      <c r="T78" s="35">
        <f>MIN(APA!T192,T76/T77)</f>
        <v>0</v>
      </c>
      <c r="U78" s="35">
        <f>MIN(APA!U192,U76/U77)</f>
        <v>0</v>
      </c>
      <c r="V78" s="35">
        <f>MIN(APA!V192,V76/V77)</f>
        <v>0</v>
      </c>
      <c r="W78" s="35">
        <f>MIN(APA!W192,W76/W77)</f>
        <v>0</v>
      </c>
      <c r="X78" s="35">
        <f>MIN(APA!X192,X76/X77)</f>
        <v>340.60605829849351</v>
      </c>
      <c r="Y78" s="35">
        <f>MIN(APA!Y192,Y76/Y77)</f>
        <v>335.40135122327433</v>
      </c>
      <c r="Z78" s="35">
        <f>MIN(APA!Z192,Z76/Z77)</f>
        <v>62.663987829050122</v>
      </c>
      <c r="AA78" s="35">
        <f t="shared" ref="AA78:AK78" si="30">AA76/AA77</f>
        <v>306.18719538010521</v>
      </c>
      <c r="AB78" s="35">
        <f t="shared" si="30"/>
        <v>272.95585376038252</v>
      </c>
      <c r="AC78" s="35">
        <f t="shared" si="30"/>
        <v>249.48529595295724</v>
      </c>
      <c r="AD78" s="35">
        <f t="shared" si="30"/>
        <v>278.10575097160893</v>
      </c>
      <c r="AE78" s="35">
        <f t="shared" si="30"/>
        <v>297.32363395588447</v>
      </c>
      <c r="AF78" s="35">
        <f t="shared" si="30"/>
        <v>300.20580116920689</v>
      </c>
      <c r="AG78" s="35">
        <f t="shared" si="30"/>
        <v>294.33458119886359</v>
      </c>
      <c r="AH78" s="35">
        <f t="shared" si="30"/>
        <v>0</v>
      </c>
      <c r="AI78" s="35">
        <f t="shared" si="30"/>
        <v>0</v>
      </c>
      <c r="AJ78" s="35">
        <f t="shared" si="30"/>
        <v>0</v>
      </c>
      <c r="AK78" s="35">
        <f t="shared" si="30"/>
        <v>0</v>
      </c>
      <c r="AL78" s="35">
        <f>AL76/AL77</f>
        <v>0</v>
      </c>
      <c r="AM78" s="35">
        <f>AM76/AM77</f>
        <v>0</v>
      </c>
      <c r="AN78" s="334">
        <f t="shared" ref="AN78:CP78" si="31">AN76/AN77</f>
        <v>0</v>
      </c>
      <c r="AO78" s="35">
        <f t="shared" si="31"/>
        <v>0</v>
      </c>
      <c r="AP78" s="35">
        <f t="shared" si="31"/>
        <v>0</v>
      </c>
      <c r="AQ78" s="35">
        <f t="shared" si="31"/>
        <v>0</v>
      </c>
      <c r="AR78" s="35">
        <f t="shared" si="31"/>
        <v>0</v>
      </c>
      <c r="AS78" s="35">
        <f t="shared" si="31"/>
        <v>0</v>
      </c>
      <c r="AT78" s="35">
        <f t="shared" si="31"/>
        <v>0</v>
      </c>
      <c r="AU78" s="35">
        <f t="shared" si="31"/>
        <v>0</v>
      </c>
      <c r="AV78" s="35">
        <f t="shared" si="31"/>
        <v>0</v>
      </c>
      <c r="AW78" s="35">
        <f t="shared" si="31"/>
        <v>0</v>
      </c>
      <c r="AX78" s="35">
        <f t="shared" si="31"/>
        <v>0</v>
      </c>
      <c r="AY78" s="35">
        <f t="shared" si="31"/>
        <v>0</v>
      </c>
      <c r="AZ78" s="35">
        <f t="shared" si="31"/>
        <v>0</v>
      </c>
      <c r="BA78" s="35">
        <f t="shared" si="31"/>
        <v>0</v>
      </c>
      <c r="BB78" s="35">
        <f t="shared" si="31"/>
        <v>0</v>
      </c>
      <c r="BC78" s="35">
        <f t="shared" si="31"/>
        <v>0</v>
      </c>
      <c r="BD78" s="35">
        <f t="shared" si="31"/>
        <v>0</v>
      </c>
      <c r="BE78" s="35">
        <f t="shared" si="31"/>
        <v>0</v>
      </c>
      <c r="BF78" s="35">
        <f t="shared" si="31"/>
        <v>0</v>
      </c>
      <c r="BG78" s="35">
        <f t="shared" si="31"/>
        <v>0</v>
      </c>
      <c r="BH78" s="35">
        <f t="shared" si="31"/>
        <v>0</v>
      </c>
      <c r="BI78" s="35">
        <f t="shared" si="31"/>
        <v>0</v>
      </c>
      <c r="BJ78" s="35">
        <f t="shared" si="31"/>
        <v>0</v>
      </c>
      <c r="BK78" s="35">
        <f t="shared" si="31"/>
        <v>0</v>
      </c>
      <c r="BL78" s="35">
        <f t="shared" si="31"/>
        <v>0</v>
      </c>
      <c r="BM78" s="35">
        <f t="shared" si="31"/>
        <v>0</v>
      </c>
      <c r="BN78" s="35">
        <f t="shared" si="31"/>
        <v>0</v>
      </c>
      <c r="BO78" s="35">
        <f t="shared" si="31"/>
        <v>0</v>
      </c>
      <c r="BP78" s="35">
        <f t="shared" si="31"/>
        <v>0</v>
      </c>
      <c r="BQ78" s="35">
        <f t="shared" si="31"/>
        <v>0</v>
      </c>
      <c r="BR78" s="35">
        <f t="shared" si="31"/>
        <v>0</v>
      </c>
      <c r="BS78" s="35">
        <f t="shared" si="31"/>
        <v>0</v>
      </c>
      <c r="BT78" s="35">
        <f t="shared" si="31"/>
        <v>0</v>
      </c>
      <c r="BU78" s="35">
        <f t="shared" si="31"/>
        <v>0</v>
      </c>
      <c r="BV78" s="35">
        <f t="shared" si="31"/>
        <v>0</v>
      </c>
      <c r="BW78" s="35">
        <f t="shared" si="31"/>
        <v>0</v>
      </c>
      <c r="BX78" s="35">
        <f t="shared" si="31"/>
        <v>0</v>
      </c>
      <c r="BY78" s="35">
        <f t="shared" si="31"/>
        <v>0</v>
      </c>
      <c r="BZ78" s="35">
        <f t="shared" si="31"/>
        <v>0</v>
      </c>
      <c r="CA78" s="35">
        <f t="shared" si="31"/>
        <v>0</v>
      </c>
      <c r="CB78" s="35">
        <f t="shared" si="31"/>
        <v>0</v>
      </c>
      <c r="CC78" s="35">
        <f t="shared" si="31"/>
        <v>0</v>
      </c>
      <c r="CD78" s="35">
        <f t="shared" si="31"/>
        <v>0</v>
      </c>
      <c r="CE78" s="35">
        <f t="shared" si="31"/>
        <v>0</v>
      </c>
      <c r="CF78" s="35">
        <f t="shared" si="31"/>
        <v>0</v>
      </c>
      <c r="CG78" s="35">
        <f t="shared" si="31"/>
        <v>0</v>
      </c>
      <c r="CH78" s="35">
        <f t="shared" si="31"/>
        <v>0</v>
      </c>
      <c r="CI78" s="35">
        <f t="shared" si="31"/>
        <v>0</v>
      </c>
      <c r="CJ78" s="35">
        <f t="shared" si="31"/>
        <v>0</v>
      </c>
      <c r="CK78" s="35">
        <f t="shared" si="31"/>
        <v>0</v>
      </c>
      <c r="CL78" s="35">
        <f t="shared" si="31"/>
        <v>0</v>
      </c>
      <c r="CM78" s="35">
        <f t="shared" si="31"/>
        <v>0</v>
      </c>
      <c r="CN78" s="35">
        <f t="shared" si="31"/>
        <v>0</v>
      </c>
      <c r="CO78" s="35">
        <f t="shared" si="31"/>
        <v>0</v>
      </c>
      <c r="CP78" s="35">
        <f t="shared" si="31"/>
        <v>0</v>
      </c>
      <c r="CQ78" s="6" t="s">
        <v>77</v>
      </c>
    </row>
    <row r="79" spans="1:96" outlineLevel="1" x14ac:dyDescent="0.2">
      <c r="A79" s="472"/>
      <c r="B79" s="554" t="s">
        <v>632</v>
      </c>
      <c r="C79" s="25"/>
      <c r="D79" s="329">
        <v>0.65</v>
      </c>
      <c r="F79" s="661">
        <v>50</v>
      </c>
      <c r="G79" s="693"/>
      <c r="H79" s="693"/>
      <c r="I79" s="693"/>
      <c r="J79" s="693"/>
      <c r="K79" s="555">
        <f t="shared" ref="K79:T81" si="32">K$78*$D79</f>
        <v>0</v>
      </c>
      <c r="L79" s="555">
        <f t="shared" si="32"/>
        <v>0</v>
      </c>
      <c r="M79" s="555">
        <f t="shared" si="32"/>
        <v>0</v>
      </c>
      <c r="N79" s="555">
        <f t="shared" si="32"/>
        <v>0</v>
      </c>
      <c r="O79" s="555">
        <f t="shared" si="32"/>
        <v>0</v>
      </c>
      <c r="P79" s="555">
        <f t="shared" si="32"/>
        <v>0</v>
      </c>
      <c r="Q79" s="555">
        <f t="shared" si="32"/>
        <v>0</v>
      </c>
      <c r="R79" s="555">
        <f t="shared" si="32"/>
        <v>0</v>
      </c>
      <c r="S79" s="555">
        <f t="shared" si="32"/>
        <v>0</v>
      </c>
      <c r="T79" s="555">
        <f t="shared" si="32"/>
        <v>0</v>
      </c>
      <c r="U79" s="555">
        <f t="shared" ref="U79:AD81" si="33">U$78*$D79</f>
        <v>0</v>
      </c>
      <c r="V79" s="555">
        <f t="shared" si="33"/>
        <v>0</v>
      </c>
      <c r="W79" s="555">
        <f t="shared" si="33"/>
        <v>0</v>
      </c>
      <c r="X79" s="555">
        <f t="shared" si="33"/>
        <v>221.39393789402078</v>
      </c>
      <c r="Y79" s="555">
        <f t="shared" si="33"/>
        <v>218.01087829512832</v>
      </c>
      <c r="Z79" s="555">
        <f t="shared" si="33"/>
        <v>40.731592088882579</v>
      </c>
      <c r="AA79" s="555">
        <f t="shared" si="33"/>
        <v>199.0216769970684</v>
      </c>
      <c r="AB79" s="555">
        <f t="shared" si="33"/>
        <v>177.42130494424865</v>
      </c>
      <c r="AC79" s="555">
        <f t="shared" si="33"/>
        <v>162.16544236942221</v>
      </c>
      <c r="AD79" s="555">
        <f t="shared" si="33"/>
        <v>180.7687381315458</v>
      </c>
      <c r="AE79" s="555">
        <f t="shared" ref="AE79:AN81" si="34">AE$78*$D79</f>
        <v>193.26036207132492</v>
      </c>
      <c r="AF79" s="555">
        <f t="shared" si="34"/>
        <v>195.13377075998449</v>
      </c>
      <c r="AG79" s="555">
        <f t="shared" si="34"/>
        <v>191.31747777926134</v>
      </c>
      <c r="AH79" s="555">
        <f t="shared" si="34"/>
        <v>0</v>
      </c>
      <c r="AI79" s="555">
        <f t="shared" si="34"/>
        <v>0</v>
      </c>
      <c r="AJ79" s="555">
        <f t="shared" si="34"/>
        <v>0</v>
      </c>
      <c r="AK79" s="555">
        <f t="shared" si="34"/>
        <v>0</v>
      </c>
      <c r="AL79" s="555">
        <f t="shared" si="34"/>
        <v>0</v>
      </c>
      <c r="AM79" s="555">
        <f t="shared" si="34"/>
        <v>0</v>
      </c>
      <c r="AN79" s="555">
        <f t="shared" si="34"/>
        <v>0</v>
      </c>
      <c r="AO79" s="555">
        <f t="shared" ref="AO79:AX81" si="35">AO$78*$D79</f>
        <v>0</v>
      </c>
      <c r="AP79" s="555">
        <f t="shared" si="35"/>
        <v>0</v>
      </c>
      <c r="AQ79" s="555">
        <f t="shared" si="35"/>
        <v>0</v>
      </c>
      <c r="AR79" s="555">
        <f t="shared" si="35"/>
        <v>0</v>
      </c>
      <c r="AS79" s="555">
        <f t="shared" si="35"/>
        <v>0</v>
      </c>
      <c r="AT79" s="555">
        <f t="shared" si="35"/>
        <v>0</v>
      </c>
      <c r="AU79" s="555">
        <f t="shared" si="35"/>
        <v>0</v>
      </c>
      <c r="AV79" s="555">
        <f t="shared" si="35"/>
        <v>0</v>
      </c>
      <c r="AW79" s="555">
        <f t="shared" si="35"/>
        <v>0</v>
      </c>
      <c r="AX79" s="555">
        <f t="shared" si="35"/>
        <v>0</v>
      </c>
      <c r="AY79" s="555">
        <f t="shared" ref="AY79:BH81" si="36">AY$78*$D79</f>
        <v>0</v>
      </c>
      <c r="AZ79" s="555">
        <f t="shared" si="36"/>
        <v>0</v>
      </c>
      <c r="BA79" s="555">
        <f t="shared" si="36"/>
        <v>0</v>
      </c>
      <c r="BB79" s="555">
        <f t="shared" si="36"/>
        <v>0</v>
      </c>
      <c r="BC79" s="555">
        <f t="shared" si="36"/>
        <v>0</v>
      </c>
      <c r="BD79" s="555">
        <f t="shared" si="36"/>
        <v>0</v>
      </c>
      <c r="BE79" s="555">
        <f t="shared" si="36"/>
        <v>0</v>
      </c>
      <c r="BF79" s="555">
        <f t="shared" si="36"/>
        <v>0</v>
      </c>
      <c r="BG79" s="555">
        <f t="shared" si="36"/>
        <v>0</v>
      </c>
      <c r="BH79" s="555">
        <f t="shared" si="36"/>
        <v>0</v>
      </c>
      <c r="BI79" s="555">
        <f t="shared" ref="BI79:BW81" si="37">BI$78*$D79</f>
        <v>0</v>
      </c>
      <c r="BJ79" s="555">
        <f t="shared" si="37"/>
        <v>0</v>
      </c>
      <c r="BK79" s="555">
        <f t="shared" si="37"/>
        <v>0</v>
      </c>
      <c r="BL79" s="555">
        <f t="shared" si="37"/>
        <v>0</v>
      </c>
      <c r="BM79" s="555">
        <f t="shared" si="37"/>
        <v>0</v>
      </c>
      <c r="BN79" s="555">
        <f t="shared" si="37"/>
        <v>0</v>
      </c>
      <c r="BO79" s="555">
        <f t="shared" si="37"/>
        <v>0</v>
      </c>
      <c r="BP79" s="555">
        <f t="shared" si="37"/>
        <v>0</v>
      </c>
      <c r="BQ79" s="555">
        <f t="shared" si="37"/>
        <v>0</v>
      </c>
      <c r="BR79" s="555">
        <f t="shared" si="37"/>
        <v>0</v>
      </c>
      <c r="BS79" s="555">
        <f t="shared" si="37"/>
        <v>0</v>
      </c>
      <c r="BT79" s="555">
        <f t="shared" si="37"/>
        <v>0</v>
      </c>
      <c r="BU79" s="555">
        <f t="shared" si="37"/>
        <v>0</v>
      </c>
      <c r="BV79" s="555">
        <f t="shared" si="37"/>
        <v>0</v>
      </c>
      <c r="BW79" s="555">
        <f t="shared" si="37"/>
        <v>0</v>
      </c>
      <c r="BX79" s="555">
        <f t="shared" ref="BX79:CO81" si="38">BX$78*$D79</f>
        <v>0</v>
      </c>
      <c r="BY79" s="555">
        <f t="shared" si="38"/>
        <v>0</v>
      </c>
      <c r="BZ79" s="555">
        <f t="shared" si="38"/>
        <v>0</v>
      </c>
      <c r="CA79" s="555">
        <f t="shared" si="38"/>
        <v>0</v>
      </c>
      <c r="CB79" s="555">
        <f t="shared" si="38"/>
        <v>0</v>
      </c>
      <c r="CC79" s="555">
        <f t="shared" si="38"/>
        <v>0</v>
      </c>
      <c r="CD79" s="555">
        <f t="shared" si="38"/>
        <v>0</v>
      </c>
      <c r="CE79" s="555">
        <f t="shared" si="38"/>
        <v>0</v>
      </c>
      <c r="CF79" s="555">
        <f t="shared" si="38"/>
        <v>0</v>
      </c>
      <c r="CG79" s="555">
        <f t="shared" si="38"/>
        <v>0</v>
      </c>
      <c r="CH79" s="555">
        <f t="shared" si="38"/>
        <v>0</v>
      </c>
      <c r="CI79" s="555">
        <f t="shared" si="38"/>
        <v>0</v>
      </c>
      <c r="CJ79" s="555">
        <f t="shared" si="38"/>
        <v>0</v>
      </c>
      <c r="CK79" s="555">
        <f t="shared" si="38"/>
        <v>0</v>
      </c>
      <c r="CL79" s="555">
        <f t="shared" si="38"/>
        <v>0</v>
      </c>
      <c r="CM79" s="555">
        <f t="shared" si="38"/>
        <v>0</v>
      </c>
      <c r="CN79" s="555">
        <f t="shared" si="38"/>
        <v>0</v>
      </c>
      <c r="CO79" s="555">
        <f t="shared" si="38"/>
        <v>0</v>
      </c>
      <c r="CP79" s="555">
        <f>CP$78*$D79</f>
        <v>0</v>
      </c>
      <c r="CQ79" s="6" t="s">
        <v>77</v>
      </c>
      <c r="CR79" s="472"/>
    </row>
    <row r="80" spans="1:96" outlineLevel="1" x14ac:dyDescent="0.2">
      <c r="A80" s="472"/>
      <c r="B80" s="554" t="s">
        <v>597</v>
      </c>
      <c r="C80" s="25"/>
      <c r="D80" s="329">
        <v>0.25</v>
      </c>
      <c r="F80" s="661">
        <v>25</v>
      </c>
      <c r="G80" s="693"/>
      <c r="H80" s="693"/>
      <c r="I80" s="693"/>
      <c r="J80" s="693"/>
      <c r="K80" s="555">
        <f t="shared" si="32"/>
        <v>0</v>
      </c>
      <c r="L80" s="555">
        <f t="shared" si="32"/>
        <v>0</v>
      </c>
      <c r="M80" s="555">
        <f t="shared" si="32"/>
        <v>0</v>
      </c>
      <c r="N80" s="555">
        <f t="shared" si="32"/>
        <v>0</v>
      </c>
      <c r="O80" s="555">
        <f t="shared" si="32"/>
        <v>0</v>
      </c>
      <c r="P80" s="555">
        <f t="shared" si="32"/>
        <v>0</v>
      </c>
      <c r="Q80" s="555">
        <f t="shared" si="32"/>
        <v>0</v>
      </c>
      <c r="R80" s="555">
        <f t="shared" si="32"/>
        <v>0</v>
      </c>
      <c r="S80" s="555">
        <f t="shared" si="32"/>
        <v>0</v>
      </c>
      <c r="T80" s="555">
        <f t="shared" si="32"/>
        <v>0</v>
      </c>
      <c r="U80" s="555">
        <f t="shared" si="33"/>
        <v>0</v>
      </c>
      <c r="V80" s="555">
        <f t="shared" si="33"/>
        <v>0</v>
      </c>
      <c r="W80" s="555">
        <f t="shared" si="33"/>
        <v>0</v>
      </c>
      <c r="X80" s="555">
        <f t="shared" si="33"/>
        <v>85.151514574623377</v>
      </c>
      <c r="Y80" s="555">
        <f t="shared" si="33"/>
        <v>83.850337805818583</v>
      </c>
      <c r="Z80" s="555">
        <f t="shared" si="33"/>
        <v>15.66599695726253</v>
      </c>
      <c r="AA80" s="555">
        <f t="shared" si="33"/>
        <v>76.546798845026302</v>
      </c>
      <c r="AB80" s="555">
        <f t="shared" si="33"/>
        <v>68.238963440095631</v>
      </c>
      <c r="AC80" s="555">
        <f t="shared" si="33"/>
        <v>62.371323988239311</v>
      </c>
      <c r="AD80" s="555">
        <f t="shared" si="33"/>
        <v>69.526437742902232</v>
      </c>
      <c r="AE80" s="555">
        <f t="shared" si="34"/>
        <v>74.330908488971119</v>
      </c>
      <c r="AF80" s="555">
        <f t="shared" si="34"/>
        <v>75.051450292301723</v>
      </c>
      <c r="AG80" s="555">
        <f t="shared" si="34"/>
        <v>73.583645299715897</v>
      </c>
      <c r="AH80" s="555">
        <f t="shared" si="34"/>
        <v>0</v>
      </c>
      <c r="AI80" s="555">
        <f t="shared" si="34"/>
        <v>0</v>
      </c>
      <c r="AJ80" s="555">
        <f t="shared" si="34"/>
        <v>0</v>
      </c>
      <c r="AK80" s="555">
        <f t="shared" si="34"/>
        <v>0</v>
      </c>
      <c r="AL80" s="555">
        <f t="shared" si="34"/>
        <v>0</v>
      </c>
      <c r="AM80" s="555">
        <f t="shared" si="34"/>
        <v>0</v>
      </c>
      <c r="AN80" s="555">
        <f t="shared" si="34"/>
        <v>0</v>
      </c>
      <c r="AO80" s="555">
        <f t="shared" si="35"/>
        <v>0</v>
      </c>
      <c r="AP80" s="555">
        <f t="shared" si="35"/>
        <v>0</v>
      </c>
      <c r="AQ80" s="555">
        <f t="shared" si="35"/>
        <v>0</v>
      </c>
      <c r="AR80" s="555">
        <f t="shared" si="35"/>
        <v>0</v>
      </c>
      <c r="AS80" s="555">
        <f t="shared" si="35"/>
        <v>0</v>
      </c>
      <c r="AT80" s="555">
        <f t="shared" si="35"/>
        <v>0</v>
      </c>
      <c r="AU80" s="555">
        <f t="shared" si="35"/>
        <v>0</v>
      </c>
      <c r="AV80" s="555">
        <f t="shared" si="35"/>
        <v>0</v>
      </c>
      <c r="AW80" s="555">
        <f t="shared" si="35"/>
        <v>0</v>
      </c>
      <c r="AX80" s="555">
        <f t="shared" si="35"/>
        <v>0</v>
      </c>
      <c r="AY80" s="555">
        <f t="shared" si="36"/>
        <v>0</v>
      </c>
      <c r="AZ80" s="555">
        <f t="shared" si="36"/>
        <v>0</v>
      </c>
      <c r="BA80" s="555">
        <f t="shared" si="36"/>
        <v>0</v>
      </c>
      <c r="BB80" s="555">
        <f t="shared" si="36"/>
        <v>0</v>
      </c>
      <c r="BC80" s="555">
        <f t="shared" si="36"/>
        <v>0</v>
      </c>
      <c r="BD80" s="555">
        <f t="shared" si="36"/>
        <v>0</v>
      </c>
      <c r="BE80" s="555">
        <f t="shared" si="36"/>
        <v>0</v>
      </c>
      <c r="BF80" s="555">
        <f t="shared" si="36"/>
        <v>0</v>
      </c>
      <c r="BG80" s="555">
        <f t="shared" si="36"/>
        <v>0</v>
      </c>
      <c r="BH80" s="555">
        <f t="shared" si="36"/>
        <v>0</v>
      </c>
      <c r="BI80" s="555">
        <f t="shared" si="37"/>
        <v>0</v>
      </c>
      <c r="BJ80" s="555">
        <f t="shared" si="37"/>
        <v>0</v>
      </c>
      <c r="BK80" s="555">
        <f t="shared" si="37"/>
        <v>0</v>
      </c>
      <c r="BL80" s="555">
        <f t="shared" si="37"/>
        <v>0</v>
      </c>
      <c r="BM80" s="555">
        <f t="shared" si="37"/>
        <v>0</v>
      </c>
      <c r="BN80" s="555">
        <f t="shared" si="37"/>
        <v>0</v>
      </c>
      <c r="BO80" s="555">
        <f t="shared" si="37"/>
        <v>0</v>
      </c>
      <c r="BP80" s="555">
        <f t="shared" si="37"/>
        <v>0</v>
      </c>
      <c r="BQ80" s="555">
        <f t="shared" si="37"/>
        <v>0</v>
      </c>
      <c r="BR80" s="555">
        <f t="shared" si="37"/>
        <v>0</v>
      </c>
      <c r="BS80" s="555">
        <f t="shared" si="37"/>
        <v>0</v>
      </c>
      <c r="BT80" s="555">
        <f t="shared" si="37"/>
        <v>0</v>
      </c>
      <c r="BU80" s="555">
        <f t="shared" si="37"/>
        <v>0</v>
      </c>
      <c r="BV80" s="555">
        <f t="shared" si="37"/>
        <v>0</v>
      </c>
      <c r="BW80" s="555">
        <f t="shared" si="37"/>
        <v>0</v>
      </c>
      <c r="BX80" s="555">
        <f t="shared" si="38"/>
        <v>0</v>
      </c>
      <c r="BY80" s="555">
        <f t="shared" si="38"/>
        <v>0</v>
      </c>
      <c r="BZ80" s="555">
        <f t="shared" si="38"/>
        <v>0</v>
      </c>
      <c r="CA80" s="555">
        <f t="shared" si="38"/>
        <v>0</v>
      </c>
      <c r="CB80" s="555">
        <f t="shared" si="38"/>
        <v>0</v>
      </c>
      <c r="CC80" s="555">
        <f t="shared" si="38"/>
        <v>0</v>
      </c>
      <c r="CD80" s="555">
        <f t="shared" si="38"/>
        <v>0</v>
      </c>
      <c r="CE80" s="555">
        <f t="shared" si="38"/>
        <v>0</v>
      </c>
      <c r="CF80" s="555">
        <f t="shared" si="38"/>
        <v>0</v>
      </c>
      <c r="CG80" s="555">
        <f t="shared" si="38"/>
        <v>0</v>
      </c>
      <c r="CH80" s="555">
        <f t="shared" si="38"/>
        <v>0</v>
      </c>
      <c r="CI80" s="555">
        <f t="shared" si="38"/>
        <v>0</v>
      </c>
      <c r="CJ80" s="555">
        <f t="shared" si="38"/>
        <v>0</v>
      </c>
      <c r="CK80" s="555">
        <f t="shared" si="38"/>
        <v>0</v>
      </c>
      <c r="CL80" s="555">
        <f t="shared" si="38"/>
        <v>0</v>
      </c>
      <c r="CM80" s="555">
        <f t="shared" si="38"/>
        <v>0</v>
      </c>
      <c r="CN80" s="555">
        <f t="shared" si="38"/>
        <v>0</v>
      </c>
      <c r="CO80" s="555">
        <f t="shared" si="38"/>
        <v>0</v>
      </c>
      <c r="CP80" s="555">
        <f>CP$78*$D80</f>
        <v>0</v>
      </c>
      <c r="CQ80" s="6" t="s">
        <v>77</v>
      </c>
      <c r="CR80" s="472"/>
    </row>
    <row r="81" spans="1:96" outlineLevel="1" x14ac:dyDescent="0.2">
      <c r="A81" s="472"/>
      <c r="B81" s="554" t="s">
        <v>633</v>
      </c>
      <c r="C81" s="25"/>
      <c r="D81" s="330">
        <f>1-SUM(D79:D80)</f>
        <v>9.9999999999999978E-2</v>
      </c>
      <c r="F81" s="661">
        <v>40</v>
      </c>
      <c r="G81" s="693"/>
      <c r="H81" s="693"/>
      <c r="I81" s="693"/>
      <c r="J81" s="693"/>
      <c r="K81" s="555">
        <f t="shared" si="32"/>
        <v>0</v>
      </c>
      <c r="L81" s="555">
        <f t="shared" si="32"/>
        <v>0</v>
      </c>
      <c r="M81" s="555">
        <f t="shared" si="32"/>
        <v>0</v>
      </c>
      <c r="N81" s="555">
        <f t="shared" si="32"/>
        <v>0</v>
      </c>
      <c r="O81" s="555">
        <f t="shared" si="32"/>
        <v>0</v>
      </c>
      <c r="P81" s="555">
        <f t="shared" si="32"/>
        <v>0</v>
      </c>
      <c r="Q81" s="555">
        <f t="shared" si="32"/>
        <v>0</v>
      </c>
      <c r="R81" s="555">
        <f t="shared" si="32"/>
        <v>0</v>
      </c>
      <c r="S81" s="555">
        <f t="shared" si="32"/>
        <v>0</v>
      </c>
      <c r="T81" s="555">
        <f t="shared" si="32"/>
        <v>0</v>
      </c>
      <c r="U81" s="555">
        <f t="shared" si="33"/>
        <v>0</v>
      </c>
      <c r="V81" s="555">
        <f t="shared" si="33"/>
        <v>0</v>
      </c>
      <c r="W81" s="555">
        <f t="shared" si="33"/>
        <v>0</v>
      </c>
      <c r="X81" s="555">
        <f t="shared" si="33"/>
        <v>34.060605829849344</v>
      </c>
      <c r="Y81" s="555">
        <f t="shared" si="33"/>
        <v>33.540135122327428</v>
      </c>
      <c r="Z81" s="555">
        <f t="shared" si="33"/>
        <v>6.2663987829050107</v>
      </c>
      <c r="AA81" s="555">
        <f t="shared" si="33"/>
        <v>30.618719538010513</v>
      </c>
      <c r="AB81" s="555">
        <f t="shared" si="33"/>
        <v>27.295585376038247</v>
      </c>
      <c r="AC81" s="555">
        <f t="shared" si="33"/>
        <v>24.948529595295717</v>
      </c>
      <c r="AD81" s="555">
        <f t="shared" si="33"/>
        <v>27.810575097160886</v>
      </c>
      <c r="AE81" s="555">
        <f t="shared" si="34"/>
        <v>29.73236339558844</v>
      </c>
      <c r="AF81" s="555">
        <f t="shared" si="34"/>
        <v>30.020580116920684</v>
      </c>
      <c r="AG81" s="555">
        <f t="shared" si="34"/>
        <v>29.433458119886353</v>
      </c>
      <c r="AH81" s="555">
        <f t="shared" si="34"/>
        <v>0</v>
      </c>
      <c r="AI81" s="555">
        <f t="shared" si="34"/>
        <v>0</v>
      </c>
      <c r="AJ81" s="555">
        <f t="shared" si="34"/>
        <v>0</v>
      </c>
      <c r="AK81" s="555">
        <f t="shared" si="34"/>
        <v>0</v>
      </c>
      <c r="AL81" s="555">
        <f t="shared" si="34"/>
        <v>0</v>
      </c>
      <c r="AM81" s="555">
        <f t="shared" si="34"/>
        <v>0</v>
      </c>
      <c r="AN81" s="555">
        <f t="shared" si="34"/>
        <v>0</v>
      </c>
      <c r="AO81" s="555">
        <f t="shared" si="35"/>
        <v>0</v>
      </c>
      <c r="AP81" s="555">
        <f t="shared" si="35"/>
        <v>0</v>
      </c>
      <c r="AQ81" s="555">
        <f t="shared" si="35"/>
        <v>0</v>
      </c>
      <c r="AR81" s="555">
        <f t="shared" si="35"/>
        <v>0</v>
      </c>
      <c r="AS81" s="555">
        <f t="shared" si="35"/>
        <v>0</v>
      </c>
      <c r="AT81" s="555">
        <f t="shared" si="35"/>
        <v>0</v>
      </c>
      <c r="AU81" s="555">
        <f t="shared" si="35"/>
        <v>0</v>
      </c>
      <c r="AV81" s="555">
        <f t="shared" si="35"/>
        <v>0</v>
      </c>
      <c r="AW81" s="555">
        <f t="shared" si="35"/>
        <v>0</v>
      </c>
      <c r="AX81" s="555">
        <f t="shared" si="35"/>
        <v>0</v>
      </c>
      <c r="AY81" s="555">
        <f t="shared" si="36"/>
        <v>0</v>
      </c>
      <c r="AZ81" s="555">
        <f t="shared" si="36"/>
        <v>0</v>
      </c>
      <c r="BA81" s="555">
        <f t="shared" si="36"/>
        <v>0</v>
      </c>
      <c r="BB81" s="555">
        <f t="shared" si="36"/>
        <v>0</v>
      </c>
      <c r="BC81" s="555">
        <f t="shared" si="36"/>
        <v>0</v>
      </c>
      <c r="BD81" s="555">
        <f t="shared" si="36"/>
        <v>0</v>
      </c>
      <c r="BE81" s="555">
        <f t="shared" si="36"/>
        <v>0</v>
      </c>
      <c r="BF81" s="555">
        <f t="shared" si="36"/>
        <v>0</v>
      </c>
      <c r="BG81" s="555">
        <f t="shared" si="36"/>
        <v>0</v>
      </c>
      <c r="BH81" s="555">
        <f t="shared" si="36"/>
        <v>0</v>
      </c>
      <c r="BI81" s="555">
        <f t="shared" si="37"/>
        <v>0</v>
      </c>
      <c r="BJ81" s="555">
        <f t="shared" si="37"/>
        <v>0</v>
      </c>
      <c r="BK81" s="555">
        <f t="shared" si="37"/>
        <v>0</v>
      </c>
      <c r="BL81" s="555">
        <f t="shared" si="37"/>
        <v>0</v>
      </c>
      <c r="BM81" s="555">
        <f t="shared" si="37"/>
        <v>0</v>
      </c>
      <c r="BN81" s="555">
        <f t="shared" si="37"/>
        <v>0</v>
      </c>
      <c r="BO81" s="555">
        <f t="shared" si="37"/>
        <v>0</v>
      </c>
      <c r="BP81" s="555">
        <f t="shared" si="37"/>
        <v>0</v>
      </c>
      <c r="BQ81" s="555">
        <f t="shared" si="37"/>
        <v>0</v>
      </c>
      <c r="BR81" s="555">
        <f t="shared" si="37"/>
        <v>0</v>
      </c>
      <c r="BS81" s="555">
        <f t="shared" si="37"/>
        <v>0</v>
      </c>
      <c r="BT81" s="555">
        <f t="shared" si="37"/>
        <v>0</v>
      </c>
      <c r="BU81" s="555">
        <f t="shared" si="37"/>
        <v>0</v>
      </c>
      <c r="BV81" s="555">
        <f t="shared" si="37"/>
        <v>0</v>
      </c>
      <c r="BW81" s="555">
        <f t="shared" si="37"/>
        <v>0</v>
      </c>
      <c r="BX81" s="555">
        <f t="shared" si="38"/>
        <v>0</v>
      </c>
      <c r="BY81" s="555">
        <f t="shared" si="38"/>
        <v>0</v>
      </c>
      <c r="BZ81" s="555">
        <f t="shared" si="38"/>
        <v>0</v>
      </c>
      <c r="CA81" s="555">
        <f t="shared" si="38"/>
        <v>0</v>
      </c>
      <c r="CB81" s="555">
        <f t="shared" si="38"/>
        <v>0</v>
      </c>
      <c r="CC81" s="555">
        <f t="shared" si="38"/>
        <v>0</v>
      </c>
      <c r="CD81" s="555">
        <f t="shared" si="38"/>
        <v>0</v>
      </c>
      <c r="CE81" s="555">
        <f t="shared" si="38"/>
        <v>0</v>
      </c>
      <c r="CF81" s="555">
        <f t="shared" si="38"/>
        <v>0</v>
      </c>
      <c r="CG81" s="555">
        <f t="shared" si="38"/>
        <v>0</v>
      </c>
      <c r="CH81" s="555">
        <f t="shared" si="38"/>
        <v>0</v>
      </c>
      <c r="CI81" s="555">
        <f t="shared" si="38"/>
        <v>0</v>
      </c>
      <c r="CJ81" s="555">
        <f t="shared" si="38"/>
        <v>0</v>
      </c>
      <c r="CK81" s="555">
        <f t="shared" si="38"/>
        <v>0</v>
      </c>
      <c r="CL81" s="555">
        <f t="shared" si="38"/>
        <v>0</v>
      </c>
      <c r="CM81" s="555">
        <f t="shared" si="38"/>
        <v>0</v>
      </c>
      <c r="CN81" s="555">
        <f t="shared" si="38"/>
        <v>0</v>
      </c>
      <c r="CO81" s="555">
        <f t="shared" si="38"/>
        <v>0</v>
      </c>
      <c r="CP81" s="555">
        <f>CP$78*$D81</f>
        <v>0</v>
      </c>
      <c r="CQ81" s="6" t="s">
        <v>77</v>
      </c>
      <c r="CR81" s="472"/>
    </row>
    <row r="82" spans="1:96" outlineLevel="1" x14ac:dyDescent="0.2">
      <c r="A82" s="472"/>
      <c r="B82" s="703" t="s">
        <v>294</v>
      </c>
      <c r="D82" s="693"/>
      <c r="E82" s="693"/>
      <c r="F82" s="693"/>
      <c r="G82" s="693"/>
      <c r="H82" s="693"/>
      <c r="I82" s="693"/>
      <c r="J82" s="693"/>
      <c r="K82" s="693"/>
      <c r="L82" s="693"/>
      <c r="M82" s="693"/>
      <c r="N82" s="693"/>
      <c r="O82" s="693"/>
      <c r="P82" s="693"/>
      <c r="Q82" s="693"/>
      <c r="R82" s="693"/>
      <c r="S82" s="693"/>
      <c r="T82" s="693"/>
      <c r="U82" s="693"/>
      <c r="V82" s="693"/>
      <c r="W82" s="693"/>
      <c r="X82" s="693"/>
      <c r="Y82" s="693"/>
      <c r="Z82" s="693"/>
      <c r="AA82" s="693"/>
      <c r="AB82" s="693"/>
      <c r="AC82" s="693"/>
      <c r="AD82" s="693"/>
      <c r="AE82" s="693"/>
      <c r="AF82" s="693"/>
      <c r="AG82" s="693"/>
      <c r="AH82" s="693"/>
      <c r="AI82" s="693"/>
      <c r="AJ82" s="693"/>
      <c r="AK82" s="693"/>
      <c r="AL82" s="693"/>
      <c r="AM82" s="693"/>
      <c r="AN82" s="693"/>
      <c r="AO82" s="693"/>
      <c r="AP82" s="693"/>
      <c r="AQ82" s="693"/>
      <c r="AR82" s="693"/>
      <c r="AS82" s="693"/>
      <c r="AT82" s="693"/>
      <c r="AU82" s="693"/>
      <c r="AV82" s="693"/>
      <c r="AW82" s="693"/>
      <c r="AX82" s="693"/>
      <c r="AY82" s="693"/>
      <c r="AZ82" s="693"/>
      <c r="BA82" s="693"/>
      <c r="BB82" s="693"/>
      <c r="BC82" s="693"/>
      <c r="BD82" s="693"/>
      <c r="BE82" s="693"/>
      <c r="BF82" s="693"/>
      <c r="BG82" s="693"/>
      <c r="BH82" s="693"/>
      <c r="BI82" s="693"/>
      <c r="BJ82" s="693"/>
      <c r="BK82" s="693"/>
      <c r="BL82" s="693"/>
      <c r="BM82" s="693"/>
      <c r="BN82" s="693"/>
      <c r="BO82" s="693"/>
      <c r="BP82" s="693"/>
      <c r="BQ82" s="693"/>
      <c r="BR82" s="693"/>
      <c r="BS82" s="693"/>
      <c r="BT82" s="693"/>
      <c r="BU82" s="693"/>
      <c r="BV82" s="693"/>
      <c r="BW82" s="693"/>
      <c r="BX82" s="693"/>
      <c r="BY82" s="693"/>
      <c r="BZ82" s="693"/>
      <c r="CA82" s="693"/>
      <c r="CB82" s="693"/>
      <c r="CC82" s="693"/>
      <c r="CD82" s="693"/>
      <c r="CE82" s="693"/>
      <c r="CF82" s="693"/>
      <c r="CG82" s="693"/>
      <c r="CH82" s="693"/>
      <c r="CI82" s="693"/>
      <c r="CJ82" s="693"/>
      <c r="CK82" s="693"/>
      <c r="CL82" s="693"/>
      <c r="CM82" s="693"/>
      <c r="CN82" s="693"/>
      <c r="CO82" s="693"/>
      <c r="CP82" s="693"/>
      <c r="CQ82" s="6" t="s">
        <v>77</v>
      </c>
      <c r="CR82" s="472"/>
    </row>
    <row r="83" spans="1:96" outlineLevel="1" x14ac:dyDescent="0.2">
      <c r="A83" s="472"/>
      <c r="B83" s="551" t="s">
        <v>639</v>
      </c>
      <c r="D83" s="233" t="s">
        <v>643</v>
      </c>
      <c r="E83" s="693"/>
      <c r="F83" s="551" t="s">
        <v>638</v>
      </c>
      <c r="G83" s="693"/>
      <c r="H83" s="693"/>
      <c r="I83" s="693"/>
      <c r="J83" s="693"/>
      <c r="K83" s="693"/>
      <c r="L83" s="693"/>
      <c r="M83" s="693"/>
      <c r="N83" s="693"/>
      <c r="O83" s="693"/>
      <c r="P83" s="693"/>
      <c r="Q83" s="693"/>
      <c r="R83" s="693"/>
      <c r="S83" s="693"/>
      <c r="T83" s="693"/>
      <c r="U83" s="693"/>
      <c r="V83" s="693"/>
      <c r="W83" s="693"/>
      <c r="X83" s="693"/>
      <c r="Y83" s="693"/>
      <c r="Z83" s="693"/>
      <c r="AA83" s="693"/>
      <c r="AB83" s="693"/>
      <c r="AC83" s="693"/>
      <c r="AD83" s="693"/>
      <c r="AE83" s="693"/>
      <c r="AF83" s="693"/>
      <c r="AG83" s="693"/>
      <c r="AH83" s="693"/>
      <c r="AI83" s="693"/>
      <c r="AJ83" s="693"/>
      <c r="AK83" s="693"/>
      <c r="AL83" s="693"/>
      <c r="AM83" s="693"/>
      <c r="AN83" s="693"/>
      <c r="AO83" s="693"/>
      <c r="AP83" s="693"/>
      <c r="AQ83" s="693"/>
      <c r="AR83" s="693"/>
      <c r="AS83" s="693"/>
      <c r="AT83" s="693"/>
      <c r="AU83" s="693"/>
      <c r="AV83" s="693"/>
      <c r="AW83" s="693"/>
      <c r="AX83" s="693"/>
      <c r="AY83" s="693"/>
      <c r="AZ83" s="693"/>
      <c r="BA83" s="693"/>
      <c r="BB83" s="693"/>
      <c r="BC83" s="693"/>
      <c r="BD83" s="693"/>
      <c r="BE83" s="693"/>
      <c r="BF83" s="693"/>
      <c r="BG83" s="693"/>
      <c r="BH83" s="693"/>
      <c r="BI83" s="693"/>
      <c r="BJ83" s="693"/>
      <c r="BK83" s="693"/>
      <c r="BL83" s="693"/>
      <c r="BM83" s="693"/>
      <c r="BN83" s="693"/>
      <c r="BO83" s="693"/>
      <c r="BP83" s="693"/>
      <c r="BQ83" s="693"/>
      <c r="BR83" s="693"/>
      <c r="BS83" s="693"/>
      <c r="BT83" s="693"/>
      <c r="BU83" s="693"/>
      <c r="BV83" s="693"/>
      <c r="BW83" s="693"/>
      <c r="BX83" s="693"/>
      <c r="BY83" s="693"/>
      <c r="BZ83" s="693"/>
      <c r="CA83" s="693"/>
      <c r="CB83" s="693"/>
      <c r="CC83" s="693"/>
      <c r="CD83" s="693"/>
      <c r="CE83" s="693"/>
      <c r="CF83" s="693"/>
      <c r="CG83" s="693"/>
      <c r="CH83" s="693"/>
      <c r="CI83" s="693"/>
      <c r="CJ83" s="693"/>
      <c r="CK83" s="693"/>
      <c r="CL83" s="693"/>
      <c r="CM83" s="693"/>
      <c r="CN83" s="693"/>
      <c r="CO83" s="693"/>
      <c r="CP83" s="693"/>
      <c r="CQ83" s="6" t="s">
        <v>77</v>
      </c>
      <c r="CR83" s="472"/>
    </row>
    <row r="84" spans="1:96" outlineLevel="1" x14ac:dyDescent="0.2">
      <c r="A84" s="472"/>
      <c r="B84" s="554" t="s">
        <v>632</v>
      </c>
      <c r="D84" s="660">
        <v>2.5000000000000001E-2</v>
      </c>
      <c r="E84" s="693"/>
      <c r="F84" s="660">
        <f>$D$52+D84</f>
        <v>9.1630405405405402E-2</v>
      </c>
      <c r="G84" s="693"/>
      <c r="H84" s="693"/>
      <c r="I84" s="693"/>
      <c r="J84" s="693"/>
      <c r="K84" s="693">
        <f t="shared" ref="K84:T84" si="39">(K79/($F84-$D$72))*(1-((1+$D$72)/(1+$F84))^$F79)</f>
        <v>0</v>
      </c>
      <c r="L84" s="693">
        <f t="shared" si="39"/>
        <v>0</v>
      </c>
      <c r="M84" s="693">
        <f t="shared" si="39"/>
        <v>0</v>
      </c>
      <c r="N84" s="693">
        <f t="shared" si="39"/>
        <v>0</v>
      </c>
      <c r="O84" s="693">
        <f t="shared" si="39"/>
        <v>0</v>
      </c>
      <c r="P84" s="693">
        <f t="shared" si="39"/>
        <v>0</v>
      </c>
      <c r="Q84" s="693">
        <f t="shared" si="39"/>
        <v>0</v>
      </c>
      <c r="R84" s="693">
        <f t="shared" si="39"/>
        <v>0</v>
      </c>
      <c r="S84" s="693">
        <f t="shared" si="39"/>
        <v>0</v>
      </c>
      <c r="T84" s="693">
        <f t="shared" si="39"/>
        <v>0</v>
      </c>
      <c r="U84" s="693">
        <f t="shared" ref="U84:AZ84" si="40">((U79*($F84-$D$72))*(1-((1+$D$72)/(1+$F84))^$F79)/($D$52-$D$72))*(1-((1+$D$72)/(1+$D$52))^$F79)</f>
        <v>0</v>
      </c>
      <c r="V84" s="693">
        <f t="shared" si="40"/>
        <v>0</v>
      </c>
      <c r="W84" s="693">
        <f t="shared" si="40"/>
        <v>0</v>
      </c>
      <c r="X84" s="693">
        <f t="shared" si="40"/>
        <v>292.81402314637052</v>
      </c>
      <c r="Y84" s="693">
        <f t="shared" si="40"/>
        <v>288.33961295646805</v>
      </c>
      <c r="Z84" s="693">
        <f t="shared" si="40"/>
        <v>53.871309495438062</v>
      </c>
      <c r="AA84" s="693">
        <f t="shared" si="40"/>
        <v>263.22463247726961</v>
      </c>
      <c r="AB84" s="693">
        <f t="shared" si="40"/>
        <v>234.65613641812163</v>
      </c>
      <c r="AC84" s="693">
        <f t="shared" si="40"/>
        <v>214.47884276863854</v>
      </c>
      <c r="AD84" s="693">
        <f t="shared" si="40"/>
        <v>239.0834273733752</v>
      </c>
      <c r="AE84" s="693">
        <f t="shared" si="40"/>
        <v>255.60475897003869</v>
      </c>
      <c r="AF84" s="693">
        <f t="shared" si="40"/>
        <v>258.08251577016551</v>
      </c>
      <c r="AG84" s="693">
        <f t="shared" si="40"/>
        <v>253.03511423866686</v>
      </c>
      <c r="AH84" s="693">
        <f t="shared" si="40"/>
        <v>0</v>
      </c>
      <c r="AI84" s="693">
        <f t="shared" si="40"/>
        <v>0</v>
      </c>
      <c r="AJ84" s="693">
        <f t="shared" si="40"/>
        <v>0</v>
      </c>
      <c r="AK84" s="693">
        <f t="shared" si="40"/>
        <v>0</v>
      </c>
      <c r="AL84" s="693">
        <f t="shared" si="40"/>
        <v>0</v>
      </c>
      <c r="AM84" s="693">
        <f t="shared" si="40"/>
        <v>0</v>
      </c>
      <c r="AN84" s="693">
        <f t="shared" si="40"/>
        <v>0</v>
      </c>
      <c r="AO84" s="693">
        <f t="shared" si="40"/>
        <v>0</v>
      </c>
      <c r="AP84" s="693">
        <f t="shared" si="40"/>
        <v>0</v>
      </c>
      <c r="AQ84" s="693">
        <f t="shared" si="40"/>
        <v>0</v>
      </c>
      <c r="AR84" s="693">
        <f t="shared" si="40"/>
        <v>0</v>
      </c>
      <c r="AS84" s="693">
        <f t="shared" si="40"/>
        <v>0</v>
      </c>
      <c r="AT84" s="693">
        <f t="shared" si="40"/>
        <v>0</v>
      </c>
      <c r="AU84" s="693">
        <f t="shared" si="40"/>
        <v>0</v>
      </c>
      <c r="AV84" s="693">
        <f t="shared" si="40"/>
        <v>0</v>
      </c>
      <c r="AW84" s="693">
        <f t="shared" si="40"/>
        <v>0</v>
      </c>
      <c r="AX84" s="693">
        <f t="shared" si="40"/>
        <v>0</v>
      </c>
      <c r="AY84" s="693">
        <f t="shared" si="40"/>
        <v>0</v>
      </c>
      <c r="AZ84" s="693">
        <f t="shared" si="40"/>
        <v>0</v>
      </c>
      <c r="BA84" s="693">
        <f t="shared" ref="BA84:CF84" si="41">((BA79*($F84-$D$72))*(1-((1+$D$72)/(1+$F84))^$F79)/($D$52-$D$72))*(1-((1+$D$72)/(1+$D$52))^$F79)</f>
        <v>0</v>
      </c>
      <c r="BB84" s="693">
        <f t="shared" si="41"/>
        <v>0</v>
      </c>
      <c r="BC84" s="693">
        <f t="shared" si="41"/>
        <v>0</v>
      </c>
      <c r="BD84" s="693">
        <f t="shared" si="41"/>
        <v>0</v>
      </c>
      <c r="BE84" s="693">
        <f t="shared" si="41"/>
        <v>0</v>
      </c>
      <c r="BF84" s="693">
        <f t="shared" si="41"/>
        <v>0</v>
      </c>
      <c r="BG84" s="693">
        <f t="shared" si="41"/>
        <v>0</v>
      </c>
      <c r="BH84" s="693">
        <f t="shared" si="41"/>
        <v>0</v>
      </c>
      <c r="BI84" s="693">
        <f t="shared" si="41"/>
        <v>0</v>
      </c>
      <c r="BJ84" s="693">
        <f t="shared" si="41"/>
        <v>0</v>
      </c>
      <c r="BK84" s="693">
        <f t="shared" si="41"/>
        <v>0</v>
      </c>
      <c r="BL84" s="693">
        <f t="shared" si="41"/>
        <v>0</v>
      </c>
      <c r="BM84" s="693">
        <f t="shared" si="41"/>
        <v>0</v>
      </c>
      <c r="BN84" s="693">
        <f t="shared" si="41"/>
        <v>0</v>
      </c>
      <c r="BO84" s="693">
        <f t="shared" si="41"/>
        <v>0</v>
      </c>
      <c r="BP84" s="693">
        <f t="shared" si="41"/>
        <v>0</v>
      </c>
      <c r="BQ84" s="693">
        <f t="shared" si="41"/>
        <v>0</v>
      </c>
      <c r="BR84" s="693">
        <f t="shared" si="41"/>
        <v>0</v>
      </c>
      <c r="BS84" s="693">
        <f t="shared" si="41"/>
        <v>0</v>
      </c>
      <c r="BT84" s="693">
        <f t="shared" si="41"/>
        <v>0</v>
      </c>
      <c r="BU84" s="693">
        <f t="shared" si="41"/>
        <v>0</v>
      </c>
      <c r="BV84" s="693">
        <f t="shared" si="41"/>
        <v>0</v>
      </c>
      <c r="BW84" s="693">
        <f t="shared" si="41"/>
        <v>0</v>
      </c>
      <c r="BX84" s="693">
        <f t="shared" si="41"/>
        <v>0</v>
      </c>
      <c r="BY84" s="693">
        <f t="shared" si="41"/>
        <v>0</v>
      </c>
      <c r="BZ84" s="693">
        <f t="shared" si="41"/>
        <v>0</v>
      </c>
      <c r="CA84" s="693">
        <f t="shared" si="41"/>
        <v>0</v>
      </c>
      <c r="CB84" s="693">
        <f t="shared" si="41"/>
        <v>0</v>
      </c>
      <c r="CC84" s="693">
        <f t="shared" si="41"/>
        <v>0</v>
      </c>
      <c r="CD84" s="693">
        <f t="shared" si="41"/>
        <v>0</v>
      </c>
      <c r="CE84" s="693">
        <f t="shared" si="41"/>
        <v>0</v>
      </c>
      <c r="CF84" s="693">
        <f t="shared" si="41"/>
        <v>0</v>
      </c>
      <c r="CG84" s="693">
        <f t="shared" ref="CG84:CP84" si="42">((CG79*($F84-$D$72))*(1-((1+$D$72)/(1+$F84))^$F79)/($D$52-$D$72))*(1-((1+$D$72)/(1+$D$52))^$F79)</f>
        <v>0</v>
      </c>
      <c r="CH84" s="693">
        <f t="shared" si="42"/>
        <v>0</v>
      </c>
      <c r="CI84" s="693">
        <f t="shared" si="42"/>
        <v>0</v>
      </c>
      <c r="CJ84" s="693">
        <f t="shared" si="42"/>
        <v>0</v>
      </c>
      <c r="CK84" s="693">
        <f t="shared" si="42"/>
        <v>0</v>
      </c>
      <c r="CL84" s="693">
        <f t="shared" si="42"/>
        <v>0</v>
      </c>
      <c r="CM84" s="693">
        <f t="shared" si="42"/>
        <v>0</v>
      </c>
      <c r="CN84" s="693">
        <f t="shared" si="42"/>
        <v>0</v>
      </c>
      <c r="CO84" s="693">
        <f t="shared" si="42"/>
        <v>0</v>
      </c>
      <c r="CP84" s="693">
        <f t="shared" si="42"/>
        <v>0</v>
      </c>
      <c r="CQ84" s="6" t="s">
        <v>77</v>
      </c>
      <c r="CR84" s="472"/>
    </row>
    <row r="85" spans="1:96" outlineLevel="1" x14ac:dyDescent="0.2">
      <c r="A85" s="472"/>
      <c r="B85" s="554" t="s">
        <v>597</v>
      </c>
      <c r="D85" s="660">
        <v>0.02</v>
      </c>
      <c r="E85" s="693"/>
      <c r="F85" s="660">
        <f>$D$52+D85</f>
        <v>8.6630405405405411E-2</v>
      </c>
      <c r="G85" s="693"/>
      <c r="H85" s="693"/>
      <c r="I85" s="693"/>
      <c r="J85" s="693"/>
      <c r="K85" s="693">
        <f t="shared" ref="K85:T85" si="43">(K80/($F85-$D$72))*(1-((1+$D$72)/(1+$F85))^$F80)</f>
        <v>0</v>
      </c>
      <c r="L85" s="693">
        <f t="shared" si="43"/>
        <v>0</v>
      </c>
      <c r="M85" s="693">
        <f t="shared" si="43"/>
        <v>0</v>
      </c>
      <c r="N85" s="693">
        <f t="shared" si="43"/>
        <v>0</v>
      </c>
      <c r="O85" s="693">
        <f t="shared" si="43"/>
        <v>0</v>
      </c>
      <c r="P85" s="693">
        <f t="shared" si="43"/>
        <v>0</v>
      </c>
      <c r="Q85" s="693">
        <f t="shared" si="43"/>
        <v>0</v>
      </c>
      <c r="R85" s="693">
        <f t="shared" si="43"/>
        <v>0</v>
      </c>
      <c r="S85" s="693">
        <f t="shared" si="43"/>
        <v>0</v>
      </c>
      <c r="T85" s="693">
        <f t="shared" si="43"/>
        <v>0</v>
      </c>
      <c r="U85" s="693">
        <f t="shared" ref="U85:AZ85" si="44">((U80*($F85-$D$72))*(1-((1+$D$72)/(1+$F85))^$F80)/($D$52-$D$72))*(1-((1+$D$72)/(1+$D$52))^$F80)</f>
        <v>0</v>
      </c>
      <c r="V85" s="693">
        <f t="shared" si="44"/>
        <v>0</v>
      </c>
      <c r="W85" s="693">
        <f t="shared" si="44"/>
        <v>0</v>
      </c>
      <c r="X85" s="693">
        <f t="shared" si="44"/>
        <v>61.006341048009688</v>
      </c>
      <c r="Y85" s="693">
        <f t="shared" si="44"/>
        <v>60.074120005107538</v>
      </c>
      <c r="Z85" s="693">
        <f t="shared" si="44"/>
        <v>11.223818601538563</v>
      </c>
      <c r="AA85" s="693">
        <f t="shared" si="44"/>
        <v>54.84153910592638</v>
      </c>
      <c r="AB85" s="693">
        <f t="shared" si="44"/>
        <v>48.889435463192413</v>
      </c>
      <c r="AC85" s="693">
        <f t="shared" si="44"/>
        <v>44.685596983807542</v>
      </c>
      <c r="AD85" s="693">
        <f t="shared" si="44"/>
        <v>49.811839448605213</v>
      </c>
      <c r="AE85" s="693">
        <f t="shared" si="44"/>
        <v>53.253976471699502</v>
      </c>
      <c r="AF85" s="693">
        <f t="shared" si="44"/>
        <v>53.770204740954917</v>
      </c>
      <c r="AG85" s="693">
        <f t="shared" si="44"/>
        <v>52.718603810343296</v>
      </c>
      <c r="AH85" s="693">
        <f t="shared" si="44"/>
        <v>0</v>
      </c>
      <c r="AI85" s="693">
        <f t="shared" si="44"/>
        <v>0</v>
      </c>
      <c r="AJ85" s="693">
        <f t="shared" si="44"/>
        <v>0</v>
      </c>
      <c r="AK85" s="693">
        <f t="shared" si="44"/>
        <v>0</v>
      </c>
      <c r="AL85" s="693">
        <f t="shared" si="44"/>
        <v>0</v>
      </c>
      <c r="AM85" s="693">
        <f t="shared" si="44"/>
        <v>0</v>
      </c>
      <c r="AN85" s="693">
        <f t="shared" si="44"/>
        <v>0</v>
      </c>
      <c r="AO85" s="693">
        <f t="shared" si="44"/>
        <v>0</v>
      </c>
      <c r="AP85" s="693">
        <f t="shared" si="44"/>
        <v>0</v>
      </c>
      <c r="AQ85" s="693">
        <f t="shared" si="44"/>
        <v>0</v>
      </c>
      <c r="AR85" s="693">
        <f t="shared" si="44"/>
        <v>0</v>
      </c>
      <c r="AS85" s="693">
        <f t="shared" si="44"/>
        <v>0</v>
      </c>
      <c r="AT85" s="693">
        <f t="shared" si="44"/>
        <v>0</v>
      </c>
      <c r="AU85" s="693">
        <f t="shared" si="44"/>
        <v>0</v>
      </c>
      <c r="AV85" s="693">
        <f t="shared" si="44"/>
        <v>0</v>
      </c>
      <c r="AW85" s="693">
        <f t="shared" si="44"/>
        <v>0</v>
      </c>
      <c r="AX85" s="693">
        <f t="shared" si="44"/>
        <v>0</v>
      </c>
      <c r="AY85" s="693">
        <f t="shared" si="44"/>
        <v>0</v>
      </c>
      <c r="AZ85" s="693">
        <f t="shared" si="44"/>
        <v>0</v>
      </c>
      <c r="BA85" s="693">
        <f t="shared" ref="BA85:CF85" si="45">((BA80*($F85-$D$72))*(1-((1+$D$72)/(1+$F85))^$F80)/($D$52-$D$72))*(1-((1+$D$72)/(1+$D$52))^$F80)</f>
        <v>0</v>
      </c>
      <c r="BB85" s="693">
        <f t="shared" si="45"/>
        <v>0</v>
      </c>
      <c r="BC85" s="693">
        <f t="shared" si="45"/>
        <v>0</v>
      </c>
      <c r="BD85" s="693">
        <f t="shared" si="45"/>
        <v>0</v>
      </c>
      <c r="BE85" s="693">
        <f t="shared" si="45"/>
        <v>0</v>
      </c>
      <c r="BF85" s="693">
        <f t="shared" si="45"/>
        <v>0</v>
      </c>
      <c r="BG85" s="693">
        <f t="shared" si="45"/>
        <v>0</v>
      </c>
      <c r="BH85" s="693">
        <f t="shared" si="45"/>
        <v>0</v>
      </c>
      <c r="BI85" s="693">
        <f t="shared" si="45"/>
        <v>0</v>
      </c>
      <c r="BJ85" s="693">
        <f t="shared" si="45"/>
        <v>0</v>
      </c>
      <c r="BK85" s="693">
        <f t="shared" si="45"/>
        <v>0</v>
      </c>
      <c r="BL85" s="693">
        <f t="shared" si="45"/>
        <v>0</v>
      </c>
      <c r="BM85" s="693">
        <f t="shared" si="45"/>
        <v>0</v>
      </c>
      <c r="BN85" s="693">
        <f t="shared" si="45"/>
        <v>0</v>
      </c>
      <c r="BO85" s="693">
        <f t="shared" si="45"/>
        <v>0</v>
      </c>
      <c r="BP85" s="693">
        <f t="shared" si="45"/>
        <v>0</v>
      </c>
      <c r="BQ85" s="693">
        <f t="shared" si="45"/>
        <v>0</v>
      </c>
      <c r="BR85" s="693">
        <f t="shared" si="45"/>
        <v>0</v>
      </c>
      <c r="BS85" s="693">
        <f t="shared" si="45"/>
        <v>0</v>
      </c>
      <c r="BT85" s="693">
        <f t="shared" si="45"/>
        <v>0</v>
      </c>
      <c r="BU85" s="693">
        <f t="shared" si="45"/>
        <v>0</v>
      </c>
      <c r="BV85" s="693">
        <f t="shared" si="45"/>
        <v>0</v>
      </c>
      <c r="BW85" s="693">
        <f t="shared" si="45"/>
        <v>0</v>
      </c>
      <c r="BX85" s="693">
        <f t="shared" si="45"/>
        <v>0</v>
      </c>
      <c r="BY85" s="693">
        <f t="shared" si="45"/>
        <v>0</v>
      </c>
      <c r="BZ85" s="693">
        <f t="shared" si="45"/>
        <v>0</v>
      </c>
      <c r="CA85" s="693">
        <f t="shared" si="45"/>
        <v>0</v>
      </c>
      <c r="CB85" s="693">
        <f t="shared" si="45"/>
        <v>0</v>
      </c>
      <c r="CC85" s="693">
        <f t="shared" si="45"/>
        <v>0</v>
      </c>
      <c r="CD85" s="693">
        <f t="shared" si="45"/>
        <v>0</v>
      </c>
      <c r="CE85" s="693">
        <f t="shared" si="45"/>
        <v>0</v>
      </c>
      <c r="CF85" s="693">
        <f t="shared" si="45"/>
        <v>0</v>
      </c>
      <c r="CG85" s="693">
        <f t="shared" ref="CG85:CP85" si="46">((CG80*($F85-$D$72))*(1-((1+$D$72)/(1+$F85))^$F80)/($D$52-$D$72))*(1-((1+$D$72)/(1+$D$52))^$F80)</f>
        <v>0</v>
      </c>
      <c r="CH85" s="693">
        <f t="shared" si="46"/>
        <v>0</v>
      </c>
      <c r="CI85" s="693">
        <f t="shared" si="46"/>
        <v>0</v>
      </c>
      <c r="CJ85" s="693">
        <f t="shared" si="46"/>
        <v>0</v>
      </c>
      <c r="CK85" s="693">
        <f t="shared" si="46"/>
        <v>0</v>
      </c>
      <c r="CL85" s="693">
        <f t="shared" si="46"/>
        <v>0</v>
      </c>
      <c r="CM85" s="693">
        <f t="shared" si="46"/>
        <v>0</v>
      </c>
      <c r="CN85" s="693">
        <f t="shared" si="46"/>
        <v>0</v>
      </c>
      <c r="CO85" s="693">
        <f t="shared" si="46"/>
        <v>0</v>
      </c>
      <c r="CP85" s="693">
        <f t="shared" si="46"/>
        <v>0</v>
      </c>
      <c r="CQ85" s="6" t="s">
        <v>77</v>
      </c>
      <c r="CR85" s="472"/>
    </row>
    <row r="86" spans="1:96" outlineLevel="1" x14ac:dyDescent="0.2">
      <c r="A86" s="472"/>
      <c r="B86" s="554" t="s">
        <v>633</v>
      </c>
      <c r="D86" s="660">
        <v>2.5000000000000001E-2</v>
      </c>
      <c r="E86" s="693"/>
      <c r="F86" s="660">
        <f>$D$52+D86</f>
        <v>9.1630405405405402E-2</v>
      </c>
      <c r="G86" s="693"/>
      <c r="H86" s="693"/>
      <c r="I86" s="693"/>
      <c r="J86" s="693"/>
      <c r="K86" s="693">
        <f t="shared" ref="K86:T86" si="47">(K81/($F86-$D$72))*(1-((1+$D$72)/(1+$F86))^$F81)</f>
        <v>0</v>
      </c>
      <c r="L86" s="693">
        <f t="shared" si="47"/>
        <v>0</v>
      </c>
      <c r="M86" s="693">
        <f t="shared" si="47"/>
        <v>0</v>
      </c>
      <c r="N86" s="693">
        <f t="shared" si="47"/>
        <v>0</v>
      </c>
      <c r="O86" s="693">
        <f t="shared" si="47"/>
        <v>0</v>
      </c>
      <c r="P86" s="693">
        <f t="shared" si="47"/>
        <v>0</v>
      </c>
      <c r="Q86" s="693">
        <f t="shared" si="47"/>
        <v>0</v>
      </c>
      <c r="R86" s="693">
        <f t="shared" si="47"/>
        <v>0</v>
      </c>
      <c r="S86" s="693">
        <f t="shared" si="47"/>
        <v>0</v>
      </c>
      <c r="T86" s="693">
        <f t="shared" si="47"/>
        <v>0</v>
      </c>
      <c r="U86" s="693">
        <f t="shared" ref="U86:AZ86" si="48">((U81*($F86-$D$72))*(1-((1+$D$72)/(1+$F86))^$F81)/($D$52-$D$72))*(1-((1+$D$72)/(1+$D$52))^$F81)</f>
        <v>0</v>
      </c>
      <c r="V86" s="693">
        <f t="shared" si="48"/>
        <v>0</v>
      </c>
      <c r="W86" s="693">
        <f t="shared" si="48"/>
        <v>0</v>
      </c>
      <c r="X86" s="693">
        <f t="shared" si="48"/>
        <v>39.928495006595128</v>
      </c>
      <c r="Y86" s="693">
        <f t="shared" si="48"/>
        <v>39.318358705726531</v>
      </c>
      <c r="Z86" s="693">
        <f t="shared" si="48"/>
        <v>7.3459607196206829</v>
      </c>
      <c r="AA86" s="693">
        <f t="shared" si="48"/>
        <v>35.893647819686976</v>
      </c>
      <c r="AB86" s="693">
        <f t="shared" si="48"/>
        <v>31.998011128566439</v>
      </c>
      <c r="AC86" s="693">
        <f t="shared" si="48"/>
        <v>29.246609539007782</v>
      </c>
      <c r="AD86" s="693">
        <f t="shared" si="48"/>
        <v>32.601722190284335</v>
      </c>
      <c r="AE86" s="693">
        <f t="shared" si="48"/>
        <v>34.854592114584115</v>
      </c>
      <c r="AF86" s="693">
        <f t="shared" si="48"/>
        <v>35.19246220344926</v>
      </c>
      <c r="AG86" s="693">
        <f t="shared" si="48"/>
        <v>34.504192069795238</v>
      </c>
      <c r="AH86" s="693">
        <f t="shared" si="48"/>
        <v>0</v>
      </c>
      <c r="AI86" s="693">
        <f t="shared" si="48"/>
        <v>0</v>
      </c>
      <c r="AJ86" s="693">
        <f t="shared" si="48"/>
        <v>0</v>
      </c>
      <c r="AK86" s="693">
        <f t="shared" si="48"/>
        <v>0</v>
      </c>
      <c r="AL86" s="693">
        <f t="shared" si="48"/>
        <v>0</v>
      </c>
      <c r="AM86" s="693">
        <f t="shared" si="48"/>
        <v>0</v>
      </c>
      <c r="AN86" s="693">
        <f t="shared" si="48"/>
        <v>0</v>
      </c>
      <c r="AO86" s="693">
        <f t="shared" si="48"/>
        <v>0</v>
      </c>
      <c r="AP86" s="693">
        <f t="shared" si="48"/>
        <v>0</v>
      </c>
      <c r="AQ86" s="693">
        <f t="shared" si="48"/>
        <v>0</v>
      </c>
      <c r="AR86" s="693">
        <f t="shared" si="48"/>
        <v>0</v>
      </c>
      <c r="AS86" s="693">
        <f t="shared" si="48"/>
        <v>0</v>
      </c>
      <c r="AT86" s="693">
        <f t="shared" si="48"/>
        <v>0</v>
      </c>
      <c r="AU86" s="693">
        <f t="shared" si="48"/>
        <v>0</v>
      </c>
      <c r="AV86" s="693">
        <f t="shared" si="48"/>
        <v>0</v>
      </c>
      <c r="AW86" s="693">
        <f t="shared" si="48"/>
        <v>0</v>
      </c>
      <c r="AX86" s="693">
        <f t="shared" si="48"/>
        <v>0</v>
      </c>
      <c r="AY86" s="693">
        <f t="shared" si="48"/>
        <v>0</v>
      </c>
      <c r="AZ86" s="693">
        <f t="shared" si="48"/>
        <v>0</v>
      </c>
      <c r="BA86" s="693">
        <f t="shared" ref="BA86:CF86" si="49">((BA81*($F86-$D$72))*(1-((1+$D$72)/(1+$F86))^$F81)/($D$52-$D$72))*(1-((1+$D$72)/(1+$D$52))^$F81)</f>
        <v>0</v>
      </c>
      <c r="BB86" s="693">
        <f t="shared" si="49"/>
        <v>0</v>
      </c>
      <c r="BC86" s="693">
        <f t="shared" si="49"/>
        <v>0</v>
      </c>
      <c r="BD86" s="693">
        <f t="shared" si="49"/>
        <v>0</v>
      </c>
      <c r="BE86" s="693">
        <f t="shared" si="49"/>
        <v>0</v>
      </c>
      <c r="BF86" s="693">
        <f t="shared" si="49"/>
        <v>0</v>
      </c>
      <c r="BG86" s="693">
        <f t="shared" si="49"/>
        <v>0</v>
      </c>
      <c r="BH86" s="693">
        <f t="shared" si="49"/>
        <v>0</v>
      </c>
      <c r="BI86" s="693">
        <f t="shared" si="49"/>
        <v>0</v>
      </c>
      <c r="BJ86" s="693">
        <f t="shared" si="49"/>
        <v>0</v>
      </c>
      <c r="BK86" s="693">
        <f t="shared" si="49"/>
        <v>0</v>
      </c>
      <c r="BL86" s="693">
        <f t="shared" si="49"/>
        <v>0</v>
      </c>
      <c r="BM86" s="693">
        <f t="shared" si="49"/>
        <v>0</v>
      </c>
      <c r="BN86" s="693">
        <f t="shared" si="49"/>
        <v>0</v>
      </c>
      <c r="BO86" s="693">
        <f t="shared" si="49"/>
        <v>0</v>
      </c>
      <c r="BP86" s="693">
        <f t="shared" si="49"/>
        <v>0</v>
      </c>
      <c r="BQ86" s="693">
        <f t="shared" si="49"/>
        <v>0</v>
      </c>
      <c r="BR86" s="693">
        <f t="shared" si="49"/>
        <v>0</v>
      </c>
      <c r="BS86" s="693">
        <f t="shared" si="49"/>
        <v>0</v>
      </c>
      <c r="BT86" s="693">
        <f t="shared" si="49"/>
        <v>0</v>
      </c>
      <c r="BU86" s="693">
        <f t="shared" si="49"/>
        <v>0</v>
      </c>
      <c r="BV86" s="693">
        <f t="shared" si="49"/>
        <v>0</v>
      </c>
      <c r="BW86" s="693">
        <f t="shared" si="49"/>
        <v>0</v>
      </c>
      <c r="BX86" s="693">
        <f t="shared" si="49"/>
        <v>0</v>
      </c>
      <c r="BY86" s="693">
        <f t="shared" si="49"/>
        <v>0</v>
      </c>
      <c r="BZ86" s="693">
        <f t="shared" si="49"/>
        <v>0</v>
      </c>
      <c r="CA86" s="693">
        <f t="shared" si="49"/>
        <v>0</v>
      </c>
      <c r="CB86" s="693">
        <f t="shared" si="49"/>
        <v>0</v>
      </c>
      <c r="CC86" s="693">
        <f t="shared" si="49"/>
        <v>0</v>
      </c>
      <c r="CD86" s="693">
        <f t="shared" si="49"/>
        <v>0</v>
      </c>
      <c r="CE86" s="693">
        <f t="shared" si="49"/>
        <v>0</v>
      </c>
      <c r="CF86" s="693">
        <f t="shared" si="49"/>
        <v>0</v>
      </c>
      <c r="CG86" s="693">
        <f t="shared" ref="CG86:CP86" si="50">((CG81*($F86-$D$72))*(1-((1+$D$72)/(1+$F86))^$F81)/($D$52-$D$72))*(1-((1+$D$72)/(1+$D$52))^$F81)</f>
        <v>0</v>
      </c>
      <c r="CH86" s="693">
        <f t="shared" si="50"/>
        <v>0</v>
      </c>
      <c r="CI86" s="693">
        <f t="shared" si="50"/>
        <v>0</v>
      </c>
      <c r="CJ86" s="693">
        <f t="shared" si="50"/>
        <v>0</v>
      </c>
      <c r="CK86" s="693">
        <f t="shared" si="50"/>
        <v>0</v>
      </c>
      <c r="CL86" s="693">
        <f t="shared" si="50"/>
        <v>0</v>
      </c>
      <c r="CM86" s="693">
        <f t="shared" si="50"/>
        <v>0</v>
      </c>
      <c r="CN86" s="693">
        <f t="shared" si="50"/>
        <v>0</v>
      </c>
      <c r="CO86" s="693">
        <f t="shared" si="50"/>
        <v>0</v>
      </c>
      <c r="CP86" s="693">
        <f t="shared" si="50"/>
        <v>0</v>
      </c>
      <c r="CQ86" s="6" t="s">
        <v>77</v>
      </c>
      <c r="CR86" s="472"/>
    </row>
    <row r="87" spans="1:96" outlineLevel="1" x14ac:dyDescent="0.2">
      <c r="B87" s="683" t="s">
        <v>640</v>
      </c>
      <c r="D87" s="35"/>
      <c r="E87" s="35"/>
      <c r="F87" s="35"/>
      <c r="G87" s="35"/>
      <c r="H87" s="35"/>
      <c r="I87" s="35"/>
      <c r="J87" s="35"/>
      <c r="K87" s="35">
        <f t="shared" ref="K87:BV87" si="51">SUM(K84:K86)</f>
        <v>0</v>
      </c>
      <c r="L87" s="35">
        <f t="shared" si="51"/>
        <v>0</v>
      </c>
      <c r="M87" s="35">
        <f t="shared" si="51"/>
        <v>0</v>
      </c>
      <c r="N87" s="35">
        <f t="shared" si="51"/>
        <v>0</v>
      </c>
      <c r="O87" s="35">
        <f t="shared" si="51"/>
        <v>0</v>
      </c>
      <c r="P87" s="35">
        <f t="shared" si="51"/>
        <v>0</v>
      </c>
      <c r="Q87" s="35">
        <f t="shared" si="51"/>
        <v>0</v>
      </c>
      <c r="R87" s="35">
        <f t="shared" si="51"/>
        <v>0</v>
      </c>
      <c r="S87" s="35">
        <f t="shared" si="51"/>
        <v>0</v>
      </c>
      <c r="T87" s="35">
        <f t="shared" si="51"/>
        <v>0</v>
      </c>
      <c r="U87" s="35">
        <f>SUM(U84:U86)</f>
        <v>0</v>
      </c>
      <c r="V87" s="35">
        <f>SUM(V84:V86)</f>
        <v>0</v>
      </c>
      <c r="W87" s="35">
        <f>SUM(W84:W86)</f>
        <v>0</v>
      </c>
      <c r="X87" s="35">
        <f t="shared" si="51"/>
        <v>393.74885920097535</v>
      </c>
      <c r="Y87" s="35">
        <f t="shared" si="51"/>
        <v>387.73209166730214</v>
      </c>
      <c r="Z87" s="35">
        <f t="shared" si="51"/>
        <v>72.441088816597301</v>
      </c>
      <c r="AA87" s="35">
        <f t="shared" si="51"/>
        <v>353.95981940288294</v>
      </c>
      <c r="AB87" s="35">
        <f t="shared" si="51"/>
        <v>315.54358300988048</v>
      </c>
      <c r="AC87" s="35">
        <f t="shared" si="51"/>
        <v>288.41104929145388</v>
      </c>
      <c r="AD87" s="35">
        <f t="shared" si="51"/>
        <v>321.49698901226475</v>
      </c>
      <c r="AE87" s="35">
        <f t="shared" si="51"/>
        <v>343.71332755632233</v>
      </c>
      <c r="AF87" s="35">
        <f t="shared" si="51"/>
        <v>347.04518271456971</v>
      </c>
      <c r="AG87" s="35">
        <f t="shared" si="51"/>
        <v>340.2579101188054</v>
      </c>
      <c r="AH87" s="35">
        <f t="shared" si="51"/>
        <v>0</v>
      </c>
      <c r="AI87" s="35">
        <f t="shared" si="51"/>
        <v>0</v>
      </c>
      <c r="AJ87" s="35">
        <f t="shared" si="51"/>
        <v>0</v>
      </c>
      <c r="AK87" s="35">
        <f t="shared" si="51"/>
        <v>0</v>
      </c>
      <c r="AL87" s="35">
        <f t="shared" si="51"/>
        <v>0</v>
      </c>
      <c r="AM87" s="35">
        <f t="shared" si="51"/>
        <v>0</v>
      </c>
      <c r="AN87" s="35">
        <f t="shared" si="51"/>
        <v>0</v>
      </c>
      <c r="AO87" s="35">
        <f t="shared" si="51"/>
        <v>0</v>
      </c>
      <c r="AP87" s="35">
        <f t="shared" si="51"/>
        <v>0</v>
      </c>
      <c r="AQ87" s="35">
        <f t="shared" si="51"/>
        <v>0</v>
      </c>
      <c r="AR87" s="35">
        <f t="shared" si="51"/>
        <v>0</v>
      </c>
      <c r="AS87" s="35">
        <f t="shared" si="51"/>
        <v>0</v>
      </c>
      <c r="AT87" s="35">
        <f t="shared" si="51"/>
        <v>0</v>
      </c>
      <c r="AU87" s="35">
        <f t="shared" si="51"/>
        <v>0</v>
      </c>
      <c r="AV87" s="35">
        <f t="shared" si="51"/>
        <v>0</v>
      </c>
      <c r="AW87" s="35">
        <f t="shared" si="51"/>
        <v>0</v>
      </c>
      <c r="AX87" s="35">
        <f t="shared" si="51"/>
        <v>0</v>
      </c>
      <c r="AY87" s="35">
        <f t="shared" si="51"/>
        <v>0</v>
      </c>
      <c r="AZ87" s="35">
        <f t="shared" si="51"/>
        <v>0</v>
      </c>
      <c r="BA87" s="35">
        <f t="shared" si="51"/>
        <v>0</v>
      </c>
      <c r="BB87" s="35">
        <f t="shared" si="51"/>
        <v>0</v>
      </c>
      <c r="BC87" s="35">
        <f t="shared" si="51"/>
        <v>0</v>
      </c>
      <c r="BD87" s="35">
        <f t="shared" si="51"/>
        <v>0</v>
      </c>
      <c r="BE87" s="35">
        <f t="shared" si="51"/>
        <v>0</v>
      </c>
      <c r="BF87" s="35">
        <f t="shared" si="51"/>
        <v>0</v>
      </c>
      <c r="BG87" s="35">
        <f t="shared" si="51"/>
        <v>0</v>
      </c>
      <c r="BH87" s="35">
        <f t="shared" si="51"/>
        <v>0</v>
      </c>
      <c r="BI87" s="35">
        <f t="shared" si="51"/>
        <v>0</v>
      </c>
      <c r="BJ87" s="35">
        <f t="shared" si="51"/>
        <v>0</v>
      </c>
      <c r="BK87" s="35">
        <f t="shared" si="51"/>
        <v>0</v>
      </c>
      <c r="BL87" s="35">
        <f t="shared" si="51"/>
        <v>0</v>
      </c>
      <c r="BM87" s="35">
        <f t="shared" si="51"/>
        <v>0</v>
      </c>
      <c r="BN87" s="35">
        <f t="shared" si="51"/>
        <v>0</v>
      </c>
      <c r="BO87" s="35">
        <f t="shared" si="51"/>
        <v>0</v>
      </c>
      <c r="BP87" s="35">
        <f t="shared" si="51"/>
        <v>0</v>
      </c>
      <c r="BQ87" s="35">
        <f t="shared" si="51"/>
        <v>0</v>
      </c>
      <c r="BR87" s="35">
        <f t="shared" si="51"/>
        <v>0</v>
      </c>
      <c r="BS87" s="35">
        <f t="shared" si="51"/>
        <v>0</v>
      </c>
      <c r="BT87" s="35">
        <f t="shared" si="51"/>
        <v>0</v>
      </c>
      <c r="BU87" s="35">
        <f t="shared" si="51"/>
        <v>0</v>
      </c>
      <c r="BV87" s="35">
        <f t="shared" si="51"/>
        <v>0</v>
      </c>
      <c r="BW87" s="35">
        <f t="shared" ref="BW87:CO87" si="52">SUM(BW84:BW86)</f>
        <v>0</v>
      </c>
      <c r="BX87" s="35">
        <f t="shared" si="52"/>
        <v>0</v>
      </c>
      <c r="BY87" s="35">
        <f t="shared" si="52"/>
        <v>0</v>
      </c>
      <c r="BZ87" s="35">
        <f t="shared" si="52"/>
        <v>0</v>
      </c>
      <c r="CA87" s="35">
        <f t="shared" si="52"/>
        <v>0</v>
      </c>
      <c r="CB87" s="35">
        <f t="shared" si="52"/>
        <v>0</v>
      </c>
      <c r="CC87" s="35">
        <f t="shared" si="52"/>
        <v>0</v>
      </c>
      <c r="CD87" s="35">
        <f t="shared" si="52"/>
        <v>0</v>
      </c>
      <c r="CE87" s="35">
        <f t="shared" si="52"/>
        <v>0</v>
      </c>
      <c r="CF87" s="35">
        <f t="shared" si="52"/>
        <v>0</v>
      </c>
      <c r="CG87" s="35">
        <f t="shared" si="52"/>
        <v>0</v>
      </c>
      <c r="CH87" s="35">
        <f t="shared" si="52"/>
        <v>0</v>
      </c>
      <c r="CI87" s="35">
        <f t="shared" si="52"/>
        <v>0</v>
      </c>
      <c r="CJ87" s="35">
        <f t="shared" si="52"/>
        <v>0</v>
      </c>
      <c r="CK87" s="35">
        <f t="shared" si="52"/>
        <v>0</v>
      </c>
      <c r="CL87" s="35">
        <f t="shared" si="52"/>
        <v>0</v>
      </c>
      <c r="CM87" s="35">
        <f t="shared" si="52"/>
        <v>0</v>
      </c>
      <c r="CN87" s="35">
        <f t="shared" si="52"/>
        <v>0</v>
      </c>
      <c r="CO87" s="35">
        <f t="shared" si="52"/>
        <v>0</v>
      </c>
      <c r="CP87" s="35">
        <f>SUM(CP84:CP86)</f>
        <v>0</v>
      </c>
      <c r="CQ87" s="6" t="s">
        <v>77</v>
      </c>
    </row>
    <row r="88" spans="1:96" outlineLevel="1" x14ac:dyDescent="0.2">
      <c r="A88" s="472"/>
      <c r="D88" s="556"/>
      <c r="E88" s="693"/>
      <c r="F88" s="693"/>
      <c r="G88" s="693"/>
      <c r="H88" s="693"/>
      <c r="I88" s="693"/>
      <c r="J88" s="693"/>
      <c r="K88" s="693"/>
      <c r="L88" s="693"/>
      <c r="M88" s="693"/>
      <c r="N88" s="693"/>
      <c r="O88" s="693"/>
      <c r="P88" s="693"/>
      <c r="Q88" s="693"/>
      <c r="R88" s="693"/>
      <c r="S88" s="693"/>
      <c r="T88" s="693"/>
      <c r="U88" s="693"/>
      <c r="V88" s="693"/>
      <c r="W88" s="693"/>
      <c r="X88" s="693"/>
      <c r="Y88" s="693"/>
      <c r="Z88" s="693"/>
      <c r="AA88" s="693"/>
      <c r="AB88" s="693"/>
      <c r="AC88" s="693"/>
      <c r="AD88" s="693"/>
      <c r="AE88" s="693"/>
      <c r="AF88" s="693"/>
      <c r="AG88" s="693"/>
      <c r="AH88" s="693"/>
      <c r="AI88" s="693"/>
      <c r="AJ88" s="693"/>
      <c r="AK88" s="693"/>
      <c r="AL88" s="693"/>
      <c r="AM88" s="693"/>
      <c r="AN88" s="693"/>
      <c r="AO88" s="693"/>
      <c r="AP88" s="693"/>
      <c r="AQ88" s="693"/>
      <c r="AR88" s="693"/>
      <c r="AS88" s="693"/>
      <c r="AT88" s="693"/>
      <c r="AU88" s="693"/>
      <c r="AV88" s="693"/>
      <c r="AW88" s="693"/>
      <c r="AX88" s="693"/>
      <c r="AY88" s="693"/>
      <c r="AZ88" s="693"/>
      <c r="BA88" s="693"/>
      <c r="BB88" s="693"/>
      <c r="BC88" s="693"/>
      <c r="BD88" s="693"/>
      <c r="BE88" s="693"/>
      <c r="BF88" s="693"/>
      <c r="BG88" s="693"/>
      <c r="BH88" s="693"/>
      <c r="BI88" s="693"/>
      <c r="BJ88" s="693"/>
      <c r="BK88" s="693"/>
      <c r="BL88" s="693"/>
      <c r="BM88" s="693"/>
      <c r="BN88" s="693"/>
      <c r="BO88" s="693"/>
      <c r="BP88" s="693"/>
      <c r="BQ88" s="693"/>
      <c r="BR88" s="693"/>
      <c r="BS88" s="693"/>
      <c r="BT88" s="693"/>
      <c r="BU88" s="693"/>
      <c r="BV88" s="693"/>
      <c r="BW88" s="693"/>
      <c r="BX88" s="693"/>
      <c r="BY88" s="693"/>
      <c r="BZ88" s="693"/>
      <c r="CA88" s="693"/>
      <c r="CB88" s="693"/>
      <c r="CC88" s="693"/>
      <c r="CD88" s="693"/>
      <c r="CE88" s="693"/>
      <c r="CF88" s="693"/>
      <c r="CG88" s="693"/>
      <c r="CH88" s="693"/>
      <c r="CI88" s="693"/>
      <c r="CJ88" s="693"/>
      <c r="CK88" s="693"/>
      <c r="CL88" s="693"/>
      <c r="CM88" s="693"/>
      <c r="CN88" s="693"/>
      <c r="CO88" s="693"/>
      <c r="CP88" s="693"/>
      <c r="CQ88" s="6" t="s">
        <v>77</v>
      </c>
      <c r="CR88" s="472"/>
    </row>
    <row r="89" spans="1:96" outlineLevel="1" x14ac:dyDescent="0.2">
      <c r="A89" s="472"/>
      <c r="B89" s="233" t="s">
        <v>641</v>
      </c>
      <c r="D89" s="556"/>
      <c r="E89" s="693"/>
      <c r="F89" s="693"/>
      <c r="G89" s="693"/>
      <c r="H89" s="693"/>
      <c r="I89" s="693"/>
      <c r="J89" s="693"/>
      <c r="K89" s="693"/>
      <c r="L89" s="693"/>
      <c r="M89" s="693"/>
      <c r="N89" s="693"/>
      <c r="O89" s="693"/>
      <c r="P89" s="693"/>
      <c r="Q89" s="693"/>
      <c r="R89" s="693"/>
      <c r="S89" s="693"/>
      <c r="T89" s="693"/>
      <c r="U89" s="693"/>
      <c r="V89" s="693"/>
      <c r="W89" s="693"/>
      <c r="X89" s="693"/>
      <c r="Y89" s="693"/>
      <c r="Z89" s="693"/>
      <c r="AA89" s="693"/>
      <c r="AB89" s="693"/>
      <c r="AC89" s="693"/>
      <c r="AD89" s="693"/>
      <c r="AE89" s="693"/>
      <c r="AF89" s="693"/>
      <c r="AG89" s="693"/>
      <c r="AH89" s="693"/>
      <c r="AI89" s="693"/>
      <c r="AJ89" s="693"/>
      <c r="AK89" s="693"/>
      <c r="AL89" s="693"/>
      <c r="AM89" s="693"/>
      <c r="AN89" s="693"/>
      <c r="AO89" s="693"/>
      <c r="AP89" s="693"/>
      <c r="AQ89" s="693"/>
      <c r="AR89" s="693"/>
      <c r="AS89" s="693"/>
      <c r="AT89" s="693"/>
      <c r="AU89" s="693"/>
      <c r="AV89" s="693"/>
      <c r="AW89" s="693"/>
      <c r="AX89" s="693"/>
      <c r="AY89" s="693"/>
      <c r="AZ89" s="693"/>
      <c r="BA89" s="693"/>
      <c r="BB89" s="693"/>
      <c r="BC89" s="693"/>
      <c r="BD89" s="693"/>
      <c r="BE89" s="693"/>
      <c r="BF89" s="693"/>
      <c r="BG89" s="693"/>
      <c r="BH89" s="693"/>
      <c r="BI89" s="693"/>
      <c r="BJ89" s="693"/>
      <c r="BK89" s="693"/>
      <c r="BL89" s="693"/>
      <c r="BM89" s="693"/>
      <c r="BN89" s="693"/>
      <c r="BO89" s="693"/>
      <c r="BP89" s="693"/>
      <c r="BQ89" s="693"/>
      <c r="BR89" s="693"/>
      <c r="BS89" s="693"/>
      <c r="BT89" s="693"/>
      <c r="BU89" s="693"/>
      <c r="BV89" s="693"/>
      <c r="BW89" s="693"/>
      <c r="BX89" s="693"/>
      <c r="BY89" s="693"/>
      <c r="BZ89" s="693"/>
      <c r="CA89" s="693"/>
      <c r="CB89" s="693"/>
      <c r="CC89" s="693"/>
      <c r="CD89" s="693"/>
      <c r="CE89" s="693"/>
      <c r="CF89" s="693"/>
      <c r="CG89" s="693"/>
      <c r="CH89" s="693"/>
      <c r="CI89" s="693"/>
      <c r="CJ89" s="693"/>
      <c r="CK89" s="693"/>
      <c r="CL89" s="693"/>
      <c r="CM89" s="693"/>
      <c r="CN89" s="693"/>
      <c r="CO89" s="693"/>
      <c r="CP89" s="693"/>
      <c r="CQ89" s="6" t="s">
        <v>77</v>
      </c>
      <c r="CR89" s="472"/>
    </row>
    <row r="90" spans="1:96" outlineLevel="1" x14ac:dyDescent="0.2">
      <c r="A90" s="472"/>
      <c r="B90" s="554" t="s">
        <v>632</v>
      </c>
      <c r="D90" s="556"/>
      <c r="E90" s="693"/>
      <c r="F90" s="693"/>
      <c r="G90" s="693"/>
      <c r="H90" s="693"/>
      <c r="I90" s="693"/>
      <c r="J90" s="693"/>
      <c r="K90" s="693">
        <f>IF(K56&gt;0,NPV($D$52,K84:CP84),)</f>
        <v>0</v>
      </c>
      <c r="L90" s="693">
        <f t="shared" ref="L90:BW90" si="53">IF(L56&gt;0,NPV($D$52,L84:CQ84),)</f>
        <v>0</v>
      </c>
      <c r="M90" s="693">
        <f t="shared" si="53"/>
        <v>0</v>
      </c>
      <c r="N90" s="693">
        <f t="shared" si="53"/>
        <v>0</v>
      </c>
      <c r="O90" s="693">
        <f t="shared" si="53"/>
        <v>0</v>
      </c>
      <c r="P90" s="693">
        <f t="shared" si="53"/>
        <v>0</v>
      </c>
      <c r="Q90" s="693">
        <f t="shared" si="53"/>
        <v>0</v>
      </c>
      <c r="R90" s="693">
        <f t="shared" si="53"/>
        <v>0</v>
      </c>
      <c r="S90" s="693">
        <f t="shared" si="53"/>
        <v>0</v>
      </c>
      <c r="T90" s="693">
        <f t="shared" si="53"/>
        <v>0</v>
      </c>
      <c r="U90" s="693">
        <f t="shared" si="53"/>
        <v>0</v>
      </c>
      <c r="V90" s="693">
        <f t="shared" si="53"/>
        <v>0</v>
      </c>
      <c r="W90" s="693">
        <f t="shared" si="53"/>
        <v>0</v>
      </c>
      <c r="X90" s="693">
        <f t="shared" si="53"/>
        <v>1673.2842042883867</v>
      </c>
      <c r="Y90" s="693">
        <f t="shared" si="53"/>
        <v>1491.9617860322123</v>
      </c>
      <c r="Z90" s="693">
        <f t="shared" si="53"/>
        <v>1303.0321917284436</v>
      </c>
      <c r="AA90" s="693">
        <f t="shared" si="53"/>
        <v>1335.9824454241655</v>
      </c>
      <c r="AB90" s="693">
        <f t="shared" si="53"/>
        <v>1161.774864900013</v>
      </c>
      <c r="AC90" s="693">
        <f t="shared" si="53"/>
        <v>1004.5282587199895</v>
      </c>
      <c r="AD90" s="693">
        <f t="shared" si="53"/>
        <v>856.98154107104972</v>
      </c>
      <c r="AE90" s="693">
        <f t="shared" si="53"/>
        <v>674.99914120418748</v>
      </c>
      <c r="AF90" s="693">
        <f t="shared" si="53"/>
        <v>464.36984866088443</v>
      </c>
      <c r="AG90" s="693">
        <f t="shared" si="53"/>
        <v>237.22848416504041</v>
      </c>
      <c r="AH90" s="693">
        <f t="shared" si="53"/>
        <v>0</v>
      </c>
      <c r="AI90" s="693">
        <f t="shared" si="53"/>
        <v>0</v>
      </c>
      <c r="AJ90" s="693">
        <f t="shared" si="53"/>
        <v>0</v>
      </c>
      <c r="AK90" s="693">
        <f t="shared" si="53"/>
        <v>0</v>
      </c>
      <c r="AL90" s="693">
        <f t="shared" si="53"/>
        <v>0</v>
      </c>
      <c r="AM90" s="693">
        <f t="shared" si="53"/>
        <v>0</v>
      </c>
      <c r="AN90" s="693">
        <f t="shared" si="53"/>
        <v>0</v>
      </c>
      <c r="AO90" s="693">
        <f t="shared" si="53"/>
        <v>0</v>
      </c>
      <c r="AP90" s="693">
        <f t="shared" si="53"/>
        <v>0</v>
      </c>
      <c r="AQ90" s="693">
        <f t="shared" si="53"/>
        <v>0</v>
      </c>
      <c r="AR90" s="693">
        <f t="shared" si="53"/>
        <v>0</v>
      </c>
      <c r="AS90" s="693">
        <f t="shared" si="53"/>
        <v>0</v>
      </c>
      <c r="AT90" s="693">
        <f t="shared" si="53"/>
        <v>0</v>
      </c>
      <c r="AU90" s="693">
        <f t="shared" si="53"/>
        <v>0</v>
      </c>
      <c r="AV90" s="693">
        <f t="shared" si="53"/>
        <v>0</v>
      </c>
      <c r="AW90" s="693">
        <f t="shared" si="53"/>
        <v>0</v>
      </c>
      <c r="AX90" s="693">
        <f t="shared" si="53"/>
        <v>0</v>
      </c>
      <c r="AY90" s="693">
        <f t="shared" si="53"/>
        <v>0</v>
      </c>
      <c r="AZ90" s="693">
        <f t="shared" si="53"/>
        <v>0</v>
      </c>
      <c r="BA90" s="693">
        <f t="shared" si="53"/>
        <v>0</v>
      </c>
      <c r="BB90" s="693">
        <f t="shared" si="53"/>
        <v>0</v>
      </c>
      <c r="BC90" s="693">
        <f t="shared" si="53"/>
        <v>0</v>
      </c>
      <c r="BD90" s="693">
        <f t="shared" si="53"/>
        <v>0</v>
      </c>
      <c r="BE90" s="693">
        <f t="shared" si="53"/>
        <v>0</v>
      </c>
      <c r="BF90" s="693">
        <f t="shared" si="53"/>
        <v>0</v>
      </c>
      <c r="BG90" s="693">
        <f t="shared" si="53"/>
        <v>0</v>
      </c>
      <c r="BH90" s="693">
        <f t="shared" si="53"/>
        <v>0</v>
      </c>
      <c r="BI90" s="693">
        <f t="shared" si="53"/>
        <v>0</v>
      </c>
      <c r="BJ90" s="693">
        <f t="shared" si="53"/>
        <v>0</v>
      </c>
      <c r="BK90" s="693">
        <f t="shared" si="53"/>
        <v>0</v>
      </c>
      <c r="BL90" s="693">
        <f t="shared" si="53"/>
        <v>0</v>
      </c>
      <c r="BM90" s="693">
        <f t="shared" si="53"/>
        <v>0</v>
      </c>
      <c r="BN90" s="693">
        <f t="shared" si="53"/>
        <v>0</v>
      </c>
      <c r="BO90" s="693">
        <f t="shared" si="53"/>
        <v>0</v>
      </c>
      <c r="BP90" s="693">
        <f t="shared" si="53"/>
        <v>0</v>
      </c>
      <c r="BQ90" s="693">
        <f t="shared" si="53"/>
        <v>0</v>
      </c>
      <c r="BR90" s="693">
        <f t="shared" si="53"/>
        <v>0</v>
      </c>
      <c r="BS90" s="693">
        <f t="shared" si="53"/>
        <v>0</v>
      </c>
      <c r="BT90" s="693">
        <f t="shared" si="53"/>
        <v>0</v>
      </c>
      <c r="BU90" s="693">
        <f t="shared" si="53"/>
        <v>0</v>
      </c>
      <c r="BV90" s="693">
        <f t="shared" si="53"/>
        <v>0</v>
      </c>
      <c r="BW90" s="693">
        <f t="shared" si="53"/>
        <v>0</v>
      </c>
      <c r="BX90" s="693">
        <f t="shared" ref="BX90:CP90" si="54">IF(BX56&gt;0,NPV($D$52,BX84:FC84),)</f>
        <v>0</v>
      </c>
      <c r="BY90" s="693">
        <f t="shared" si="54"/>
        <v>0</v>
      </c>
      <c r="BZ90" s="693">
        <f t="shared" si="54"/>
        <v>0</v>
      </c>
      <c r="CA90" s="693">
        <f t="shared" si="54"/>
        <v>0</v>
      </c>
      <c r="CB90" s="693">
        <f t="shared" si="54"/>
        <v>0</v>
      </c>
      <c r="CC90" s="693">
        <f t="shared" si="54"/>
        <v>0</v>
      </c>
      <c r="CD90" s="693">
        <f t="shared" si="54"/>
        <v>0</v>
      </c>
      <c r="CE90" s="693">
        <f t="shared" si="54"/>
        <v>0</v>
      </c>
      <c r="CF90" s="693">
        <f t="shared" si="54"/>
        <v>0</v>
      </c>
      <c r="CG90" s="693">
        <f t="shared" si="54"/>
        <v>0</v>
      </c>
      <c r="CH90" s="693">
        <f t="shared" si="54"/>
        <v>0</v>
      </c>
      <c r="CI90" s="693">
        <f t="shared" si="54"/>
        <v>0</v>
      </c>
      <c r="CJ90" s="693">
        <f t="shared" si="54"/>
        <v>0</v>
      </c>
      <c r="CK90" s="693">
        <f t="shared" si="54"/>
        <v>0</v>
      </c>
      <c r="CL90" s="693">
        <f t="shared" si="54"/>
        <v>0</v>
      </c>
      <c r="CM90" s="693">
        <f t="shared" si="54"/>
        <v>0</v>
      </c>
      <c r="CN90" s="693">
        <f t="shared" si="54"/>
        <v>0</v>
      </c>
      <c r="CO90" s="693">
        <f t="shared" si="54"/>
        <v>0</v>
      </c>
      <c r="CP90" s="693">
        <f t="shared" si="54"/>
        <v>0</v>
      </c>
      <c r="CQ90" s="6" t="s">
        <v>77</v>
      </c>
      <c r="CR90" s="472"/>
    </row>
    <row r="91" spans="1:96" outlineLevel="1" x14ac:dyDescent="0.2">
      <c r="A91" s="472"/>
      <c r="B91" s="554" t="s">
        <v>597</v>
      </c>
      <c r="D91" s="556"/>
      <c r="E91" s="693"/>
      <c r="F91" s="693"/>
      <c r="G91" s="693"/>
      <c r="H91" s="693"/>
      <c r="I91" s="693"/>
      <c r="J91" s="693"/>
      <c r="K91" s="693">
        <f>IF(K56&gt;0,NPV($D$52,K85:CP85),)</f>
        <v>0</v>
      </c>
      <c r="L91" s="693">
        <f t="shared" ref="L91:BW91" si="55">IF(L56&gt;0,NPV($D$52,L85:CQ85),)</f>
        <v>0</v>
      </c>
      <c r="M91" s="693">
        <f t="shared" si="55"/>
        <v>0</v>
      </c>
      <c r="N91" s="693">
        <f t="shared" si="55"/>
        <v>0</v>
      </c>
      <c r="O91" s="693">
        <f t="shared" si="55"/>
        <v>0</v>
      </c>
      <c r="P91" s="693">
        <f t="shared" si="55"/>
        <v>0</v>
      </c>
      <c r="Q91" s="693">
        <f t="shared" si="55"/>
        <v>0</v>
      </c>
      <c r="R91" s="693">
        <f t="shared" si="55"/>
        <v>0</v>
      </c>
      <c r="S91" s="693">
        <f t="shared" si="55"/>
        <v>0</v>
      </c>
      <c r="T91" s="693">
        <f t="shared" si="55"/>
        <v>0</v>
      </c>
      <c r="U91" s="693">
        <f t="shared" si="55"/>
        <v>0</v>
      </c>
      <c r="V91" s="693">
        <f t="shared" si="55"/>
        <v>0</v>
      </c>
      <c r="W91" s="693">
        <f t="shared" si="55"/>
        <v>0</v>
      </c>
      <c r="X91" s="693">
        <f t="shared" si="55"/>
        <v>348.62041694648286</v>
      </c>
      <c r="Y91" s="693">
        <f t="shared" si="55"/>
        <v>310.84279561221888</v>
      </c>
      <c r="Z91" s="693">
        <f t="shared" si="55"/>
        <v>271.480257096103</v>
      </c>
      <c r="AA91" s="693">
        <f t="shared" si="55"/>
        <v>278.34527808444153</v>
      </c>
      <c r="AB91" s="693">
        <f t="shared" si="55"/>
        <v>242.04999769996184</v>
      </c>
      <c r="AC91" s="693">
        <f t="shared" si="55"/>
        <v>209.28845171189533</v>
      </c>
      <c r="AD91" s="693">
        <f t="shared" si="55"/>
        <v>178.54782911232098</v>
      </c>
      <c r="AE91" s="693">
        <f t="shared" si="55"/>
        <v>140.63270390172477</v>
      </c>
      <c r="AF91" s="693">
        <f t="shared" si="55"/>
        <v>96.749141504255533</v>
      </c>
      <c r="AG91" s="693">
        <f t="shared" si="55"/>
        <v>49.4253712843541</v>
      </c>
      <c r="AH91" s="693">
        <f t="shared" si="55"/>
        <v>0</v>
      </c>
      <c r="AI91" s="693">
        <f t="shared" si="55"/>
        <v>0</v>
      </c>
      <c r="AJ91" s="693">
        <f t="shared" si="55"/>
        <v>0</v>
      </c>
      <c r="AK91" s="693">
        <f t="shared" si="55"/>
        <v>0</v>
      </c>
      <c r="AL91" s="693">
        <f t="shared" si="55"/>
        <v>0</v>
      </c>
      <c r="AM91" s="693">
        <f t="shared" si="55"/>
        <v>0</v>
      </c>
      <c r="AN91" s="693">
        <f t="shared" si="55"/>
        <v>0</v>
      </c>
      <c r="AO91" s="693">
        <f t="shared" si="55"/>
        <v>0</v>
      </c>
      <c r="AP91" s="693">
        <f t="shared" si="55"/>
        <v>0</v>
      </c>
      <c r="AQ91" s="693">
        <f t="shared" si="55"/>
        <v>0</v>
      </c>
      <c r="AR91" s="693">
        <f t="shared" si="55"/>
        <v>0</v>
      </c>
      <c r="AS91" s="693">
        <f t="shared" si="55"/>
        <v>0</v>
      </c>
      <c r="AT91" s="693">
        <f t="shared" si="55"/>
        <v>0</v>
      </c>
      <c r="AU91" s="693">
        <f t="shared" si="55"/>
        <v>0</v>
      </c>
      <c r="AV91" s="693">
        <f t="shared" si="55"/>
        <v>0</v>
      </c>
      <c r="AW91" s="693">
        <f t="shared" si="55"/>
        <v>0</v>
      </c>
      <c r="AX91" s="693">
        <f t="shared" si="55"/>
        <v>0</v>
      </c>
      <c r="AY91" s="693">
        <f t="shared" si="55"/>
        <v>0</v>
      </c>
      <c r="AZ91" s="693">
        <f t="shared" si="55"/>
        <v>0</v>
      </c>
      <c r="BA91" s="693">
        <f t="shared" si="55"/>
        <v>0</v>
      </c>
      <c r="BB91" s="693">
        <f t="shared" si="55"/>
        <v>0</v>
      </c>
      <c r="BC91" s="693">
        <f t="shared" si="55"/>
        <v>0</v>
      </c>
      <c r="BD91" s="693">
        <f t="shared" si="55"/>
        <v>0</v>
      </c>
      <c r="BE91" s="693">
        <f t="shared" si="55"/>
        <v>0</v>
      </c>
      <c r="BF91" s="693">
        <f t="shared" si="55"/>
        <v>0</v>
      </c>
      <c r="BG91" s="693">
        <f t="shared" si="55"/>
        <v>0</v>
      </c>
      <c r="BH91" s="693">
        <f t="shared" si="55"/>
        <v>0</v>
      </c>
      <c r="BI91" s="693">
        <f t="shared" si="55"/>
        <v>0</v>
      </c>
      <c r="BJ91" s="693">
        <f t="shared" si="55"/>
        <v>0</v>
      </c>
      <c r="BK91" s="693">
        <f t="shared" si="55"/>
        <v>0</v>
      </c>
      <c r="BL91" s="693">
        <f t="shared" si="55"/>
        <v>0</v>
      </c>
      <c r="BM91" s="693">
        <f t="shared" si="55"/>
        <v>0</v>
      </c>
      <c r="BN91" s="693">
        <f t="shared" si="55"/>
        <v>0</v>
      </c>
      <c r="BO91" s="693">
        <f t="shared" si="55"/>
        <v>0</v>
      </c>
      <c r="BP91" s="693">
        <f t="shared" si="55"/>
        <v>0</v>
      </c>
      <c r="BQ91" s="693">
        <f t="shared" si="55"/>
        <v>0</v>
      </c>
      <c r="BR91" s="693">
        <f t="shared" si="55"/>
        <v>0</v>
      </c>
      <c r="BS91" s="693">
        <f t="shared" si="55"/>
        <v>0</v>
      </c>
      <c r="BT91" s="693">
        <f t="shared" si="55"/>
        <v>0</v>
      </c>
      <c r="BU91" s="693">
        <f t="shared" si="55"/>
        <v>0</v>
      </c>
      <c r="BV91" s="693">
        <f t="shared" si="55"/>
        <v>0</v>
      </c>
      <c r="BW91" s="693">
        <f t="shared" si="55"/>
        <v>0</v>
      </c>
      <c r="BX91" s="693">
        <f t="shared" ref="BX91:CP91" si="56">IF(BX56&gt;0,NPV($D$52,BX85:FC85),)</f>
        <v>0</v>
      </c>
      <c r="BY91" s="693">
        <f t="shared" si="56"/>
        <v>0</v>
      </c>
      <c r="BZ91" s="693">
        <f t="shared" si="56"/>
        <v>0</v>
      </c>
      <c r="CA91" s="693">
        <f t="shared" si="56"/>
        <v>0</v>
      </c>
      <c r="CB91" s="693">
        <f t="shared" si="56"/>
        <v>0</v>
      </c>
      <c r="CC91" s="693">
        <f t="shared" si="56"/>
        <v>0</v>
      </c>
      <c r="CD91" s="693">
        <f t="shared" si="56"/>
        <v>0</v>
      </c>
      <c r="CE91" s="693">
        <f t="shared" si="56"/>
        <v>0</v>
      </c>
      <c r="CF91" s="693">
        <f t="shared" si="56"/>
        <v>0</v>
      </c>
      <c r="CG91" s="693">
        <f t="shared" si="56"/>
        <v>0</v>
      </c>
      <c r="CH91" s="693">
        <f t="shared" si="56"/>
        <v>0</v>
      </c>
      <c r="CI91" s="693">
        <f t="shared" si="56"/>
        <v>0</v>
      </c>
      <c r="CJ91" s="693">
        <f t="shared" si="56"/>
        <v>0</v>
      </c>
      <c r="CK91" s="693">
        <f t="shared" si="56"/>
        <v>0</v>
      </c>
      <c r="CL91" s="693">
        <f t="shared" si="56"/>
        <v>0</v>
      </c>
      <c r="CM91" s="693">
        <f t="shared" si="56"/>
        <v>0</v>
      </c>
      <c r="CN91" s="693">
        <f t="shared" si="56"/>
        <v>0</v>
      </c>
      <c r="CO91" s="693">
        <f t="shared" si="56"/>
        <v>0</v>
      </c>
      <c r="CP91" s="693">
        <f t="shared" si="56"/>
        <v>0</v>
      </c>
      <c r="CQ91" s="6" t="s">
        <v>77</v>
      </c>
      <c r="CR91" s="472"/>
    </row>
    <row r="92" spans="1:96" outlineLevel="1" x14ac:dyDescent="0.2">
      <c r="A92" s="472"/>
      <c r="B92" s="554" t="s">
        <v>633</v>
      </c>
      <c r="D92" s="556"/>
      <c r="E92" s="693"/>
      <c r="F92" s="693"/>
      <c r="G92" s="693"/>
      <c r="H92" s="693"/>
      <c r="I92" s="693"/>
      <c r="J92" s="693"/>
      <c r="K92" s="693">
        <f>IF(K56&gt;0,NPV($D$52,K86:CP86),)</f>
        <v>0</v>
      </c>
      <c r="L92" s="693">
        <f t="shared" ref="L92:BW92" si="57">IF(L56&gt;0,NPV($D$52,L86:CQ86),)</f>
        <v>0</v>
      </c>
      <c r="M92" s="693">
        <f t="shared" si="57"/>
        <v>0</v>
      </c>
      <c r="N92" s="693">
        <f t="shared" si="57"/>
        <v>0</v>
      </c>
      <c r="O92" s="693">
        <f t="shared" si="57"/>
        <v>0</v>
      </c>
      <c r="P92" s="693">
        <f t="shared" si="57"/>
        <v>0</v>
      </c>
      <c r="Q92" s="693">
        <f t="shared" si="57"/>
        <v>0</v>
      </c>
      <c r="R92" s="693">
        <f t="shared" si="57"/>
        <v>0</v>
      </c>
      <c r="S92" s="693">
        <f t="shared" si="57"/>
        <v>0</v>
      </c>
      <c r="T92" s="693">
        <f t="shared" si="57"/>
        <v>0</v>
      </c>
      <c r="U92" s="693">
        <f t="shared" si="57"/>
        <v>0</v>
      </c>
      <c r="V92" s="693">
        <f t="shared" si="57"/>
        <v>0</v>
      </c>
      <c r="W92" s="693">
        <f t="shared" si="57"/>
        <v>0</v>
      </c>
      <c r="X92" s="693">
        <f t="shared" si="57"/>
        <v>228.17117594858425</v>
      </c>
      <c r="Y92" s="693">
        <f t="shared" si="57"/>
        <v>203.44581889727141</v>
      </c>
      <c r="Z92" s="693">
        <f t="shared" si="57"/>
        <v>177.68313758270475</v>
      </c>
      <c r="AA92" s="693">
        <f t="shared" si="57"/>
        <v>182.17627635392412</v>
      </c>
      <c r="AB92" s="693">
        <f t="shared" si="57"/>
        <v>158.42110768294629</v>
      </c>
      <c r="AC92" s="693">
        <f t="shared" si="57"/>
        <v>136.97875918406797</v>
      </c>
      <c r="AD92" s="693">
        <f t="shared" si="57"/>
        <v>116.85909990142402</v>
      </c>
      <c r="AE92" s="693">
        <f t="shared" si="57"/>
        <v>92.043746912882327</v>
      </c>
      <c r="AF92" s="693">
        <f t="shared" si="57"/>
        <v>63.322066970136099</v>
      </c>
      <c r="AG92" s="693">
        <f t="shared" si="57"/>
        <v>32.348779760015248</v>
      </c>
      <c r="AH92" s="693">
        <f t="shared" si="57"/>
        <v>0</v>
      </c>
      <c r="AI92" s="693">
        <f t="shared" si="57"/>
        <v>0</v>
      </c>
      <c r="AJ92" s="693">
        <f t="shared" si="57"/>
        <v>0</v>
      </c>
      <c r="AK92" s="693">
        <f t="shared" si="57"/>
        <v>0</v>
      </c>
      <c r="AL92" s="693">
        <f t="shared" si="57"/>
        <v>0</v>
      </c>
      <c r="AM92" s="693">
        <f t="shared" si="57"/>
        <v>0</v>
      </c>
      <c r="AN92" s="693">
        <f t="shared" si="57"/>
        <v>0</v>
      </c>
      <c r="AO92" s="693">
        <f t="shared" si="57"/>
        <v>0</v>
      </c>
      <c r="AP92" s="693">
        <f t="shared" si="57"/>
        <v>0</v>
      </c>
      <c r="AQ92" s="693">
        <f t="shared" si="57"/>
        <v>0</v>
      </c>
      <c r="AR92" s="693">
        <f t="shared" si="57"/>
        <v>0</v>
      </c>
      <c r="AS92" s="693">
        <f t="shared" si="57"/>
        <v>0</v>
      </c>
      <c r="AT92" s="693">
        <f t="shared" si="57"/>
        <v>0</v>
      </c>
      <c r="AU92" s="693">
        <f t="shared" si="57"/>
        <v>0</v>
      </c>
      <c r="AV92" s="693">
        <f t="shared" si="57"/>
        <v>0</v>
      </c>
      <c r="AW92" s="693">
        <f t="shared" si="57"/>
        <v>0</v>
      </c>
      <c r="AX92" s="693">
        <f t="shared" si="57"/>
        <v>0</v>
      </c>
      <c r="AY92" s="693">
        <f t="shared" si="57"/>
        <v>0</v>
      </c>
      <c r="AZ92" s="693">
        <f t="shared" si="57"/>
        <v>0</v>
      </c>
      <c r="BA92" s="693">
        <f t="shared" si="57"/>
        <v>0</v>
      </c>
      <c r="BB92" s="693">
        <f t="shared" si="57"/>
        <v>0</v>
      </c>
      <c r="BC92" s="693">
        <f t="shared" si="57"/>
        <v>0</v>
      </c>
      <c r="BD92" s="693">
        <f t="shared" si="57"/>
        <v>0</v>
      </c>
      <c r="BE92" s="693">
        <f t="shared" si="57"/>
        <v>0</v>
      </c>
      <c r="BF92" s="693">
        <f t="shared" si="57"/>
        <v>0</v>
      </c>
      <c r="BG92" s="693">
        <f t="shared" si="57"/>
        <v>0</v>
      </c>
      <c r="BH92" s="693">
        <f t="shared" si="57"/>
        <v>0</v>
      </c>
      <c r="BI92" s="693">
        <f t="shared" si="57"/>
        <v>0</v>
      </c>
      <c r="BJ92" s="693">
        <f t="shared" si="57"/>
        <v>0</v>
      </c>
      <c r="BK92" s="693">
        <f t="shared" si="57"/>
        <v>0</v>
      </c>
      <c r="BL92" s="693">
        <f t="shared" si="57"/>
        <v>0</v>
      </c>
      <c r="BM92" s="693">
        <f t="shared" si="57"/>
        <v>0</v>
      </c>
      <c r="BN92" s="693">
        <f t="shared" si="57"/>
        <v>0</v>
      </c>
      <c r="BO92" s="693">
        <f t="shared" si="57"/>
        <v>0</v>
      </c>
      <c r="BP92" s="693">
        <f t="shared" si="57"/>
        <v>0</v>
      </c>
      <c r="BQ92" s="693">
        <f t="shared" si="57"/>
        <v>0</v>
      </c>
      <c r="BR92" s="693">
        <f t="shared" si="57"/>
        <v>0</v>
      </c>
      <c r="BS92" s="693">
        <f t="shared" si="57"/>
        <v>0</v>
      </c>
      <c r="BT92" s="693">
        <f t="shared" si="57"/>
        <v>0</v>
      </c>
      <c r="BU92" s="693">
        <f t="shared" si="57"/>
        <v>0</v>
      </c>
      <c r="BV92" s="693">
        <f t="shared" si="57"/>
        <v>0</v>
      </c>
      <c r="BW92" s="693">
        <f t="shared" si="57"/>
        <v>0</v>
      </c>
      <c r="BX92" s="693">
        <f t="shared" ref="BX92:CP92" si="58">IF(BX56&gt;0,NPV($D$52,BX86:FC86),)</f>
        <v>0</v>
      </c>
      <c r="BY92" s="693">
        <f t="shared" si="58"/>
        <v>0</v>
      </c>
      <c r="BZ92" s="693">
        <f t="shared" si="58"/>
        <v>0</v>
      </c>
      <c r="CA92" s="693">
        <f t="shared" si="58"/>
        <v>0</v>
      </c>
      <c r="CB92" s="693">
        <f t="shared" si="58"/>
        <v>0</v>
      </c>
      <c r="CC92" s="693">
        <f t="shared" si="58"/>
        <v>0</v>
      </c>
      <c r="CD92" s="693">
        <f t="shared" si="58"/>
        <v>0</v>
      </c>
      <c r="CE92" s="693">
        <f t="shared" si="58"/>
        <v>0</v>
      </c>
      <c r="CF92" s="693">
        <f t="shared" si="58"/>
        <v>0</v>
      </c>
      <c r="CG92" s="693">
        <f t="shared" si="58"/>
        <v>0</v>
      </c>
      <c r="CH92" s="693">
        <f t="shared" si="58"/>
        <v>0</v>
      </c>
      <c r="CI92" s="693">
        <f t="shared" si="58"/>
        <v>0</v>
      </c>
      <c r="CJ92" s="693">
        <f t="shared" si="58"/>
        <v>0</v>
      </c>
      <c r="CK92" s="693">
        <f t="shared" si="58"/>
        <v>0</v>
      </c>
      <c r="CL92" s="693">
        <f t="shared" si="58"/>
        <v>0</v>
      </c>
      <c r="CM92" s="693">
        <f t="shared" si="58"/>
        <v>0</v>
      </c>
      <c r="CN92" s="693">
        <f t="shared" si="58"/>
        <v>0</v>
      </c>
      <c r="CO92" s="693">
        <f t="shared" si="58"/>
        <v>0</v>
      </c>
      <c r="CP92" s="693">
        <f t="shared" si="58"/>
        <v>0</v>
      </c>
      <c r="CQ92" s="6" t="s">
        <v>77</v>
      </c>
      <c r="CR92" s="472"/>
    </row>
    <row r="93" spans="1:96" outlineLevel="1" x14ac:dyDescent="0.2">
      <c r="B93" s="683" t="s">
        <v>644</v>
      </c>
      <c r="D93" s="35"/>
      <c r="E93" s="35"/>
      <c r="F93" s="35"/>
      <c r="G93" s="35"/>
      <c r="H93" s="35"/>
      <c r="I93" s="35"/>
      <c r="J93" s="35"/>
      <c r="K93" s="35">
        <f t="shared" ref="K93:BV93" si="59">SUM(K90:K92)</f>
        <v>0</v>
      </c>
      <c r="L93" s="35">
        <f t="shared" si="59"/>
        <v>0</v>
      </c>
      <c r="M93" s="35">
        <f t="shared" si="59"/>
        <v>0</v>
      </c>
      <c r="N93" s="35">
        <f t="shared" si="59"/>
        <v>0</v>
      </c>
      <c r="O93" s="35">
        <f t="shared" si="59"/>
        <v>0</v>
      </c>
      <c r="P93" s="35">
        <f t="shared" si="59"/>
        <v>0</v>
      </c>
      <c r="Q93" s="35">
        <f t="shared" si="59"/>
        <v>0</v>
      </c>
      <c r="R93" s="35">
        <f t="shared" si="59"/>
        <v>0</v>
      </c>
      <c r="S93" s="35">
        <f t="shared" si="59"/>
        <v>0</v>
      </c>
      <c r="T93" s="35">
        <f t="shared" si="59"/>
        <v>0</v>
      </c>
      <c r="U93" s="35">
        <f t="shared" si="59"/>
        <v>0</v>
      </c>
      <c r="V93" s="35">
        <f t="shared" si="59"/>
        <v>0</v>
      </c>
      <c r="W93" s="35">
        <f t="shared" si="59"/>
        <v>0</v>
      </c>
      <c r="X93" s="35">
        <f t="shared" si="59"/>
        <v>2250.0757971834537</v>
      </c>
      <c r="Y93" s="35">
        <f t="shared" si="59"/>
        <v>2006.2504005417027</v>
      </c>
      <c r="Z93" s="35">
        <f t="shared" si="59"/>
        <v>1752.1955864072515</v>
      </c>
      <c r="AA93" s="35">
        <f t="shared" si="59"/>
        <v>1796.5039998625311</v>
      </c>
      <c r="AB93" s="35">
        <f t="shared" si="59"/>
        <v>1562.245970282921</v>
      </c>
      <c r="AC93" s="35">
        <f t="shared" si="59"/>
        <v>1350.7954696159527</v>
      </c>
      <c r="AD93" s="35">
        <f t="shared" si="59"/>
        <v>1152.3884700847948</v>
      </c>
      <c r="AE93" s="35">
        <f t="shared" si="59"/>
        <v>907.67559201879453</v>
      </c>
      <c r="AF93" s="35">
        <f t="shared" si="59"/>
        <v>624.44105713527608</v>
      </c>
      <c r="AG93" s="35">
        <f t="shared" si="59"/>
        <v>319.00263520940979</v>
      </c>
      <c r="AH93" s="35">
        <f t="shared" si="59"/>
        <v>0</v>
      </c>
      <c r="AI93" s="35">
        <f t="shared" si="59"/>
        <v>0</v>
      </c>
      <c r="AJ93" s="35">
        <f t="shared" si="59"/>
        <v>0</v>
      </c>
      <c r="AK93" s="35">
        <f t="shared" si="59"/>
        <v>0</v>
      </c>
      <c r="AL93" s="35">
        <f t="shared" si="59"/>
        <v>0</v>
      </c>
      <c r="AM93" s="35">
        <f t="shared" si="59"/>
        <v>0</v>
      </c>
      <c r="AN93" s="35">
        <f t="shared" si="59"/>
        <v>0</v>
      </c>
      <c r="AO93" s="35">
        <f t="shared" si="59"/>
        <v>0</v>
      </c>
      <c r="AP93" s="35">
        <f t="shared" si="59"/>
        <v>0</v>
      </c>
      <c r="AQ93" s="35">
        <f t="shared" si="59"/>
        <v>0</v>
      </c>
      <c r="AR93" s="35">
        <f t="shared" si="59"/>
        <v>0</v>
      </c>
      <c r="AS93" s="35">
        <f t="shared" si="59"/>
        <v>0</v>
      </c>
      <c r="AT93" s="35">
        <f t="shared" si="59"/>
        <v>0</v>
      </c>
      <c r="AU93" s="35">
        <f t="shared" si="59"/>
        <v>0</v>
      </c>
      <c r="AV93" s="35">
        <f t="shared" si="59"/>
        <v>0</v>
      </c>
      <c r="AW93" s="35">
        <f t="shared" si="59"/>
        <v>0</v>
      </c>
      <c r="AX93" s="35">
        <f t="shared" si="59"/>
        <v>0</v>
      </c>
      <c r="AY93" s="35">
        <f t="shared" si="59"/>
        <v>0</v>
      </c>
      <c r="AZ93" s="35">
        <f t="shared" si="59"/>
        <v>0</v>
      </c>
      <c r="BA93" s="35">
        <f t="shared" si="59"/>
        <v>0</v>
      </c>
      <c r="BB93" s="35">
        <f t="shared" si="59"/>
        <v>0</v>
      </c>
      <c r="BC93" s="35">
        <f t="shared" si="59"/>
        <v>0</v>
      </c>
      <c r="BD93" s="35">
        <f t="shared" si="59"/>
        <v>0</v>
      </c>
      <c r="BE93" s="35">
        <f t="shared" si="59"/>
        <v>0</v>
      </c>
      <c r="BF93" s="35">
        <f t="shared" si="59"/>
        <v>0</v>
      </c>
      <c r="BG93" s="35">
        <f t="shared" si="59"/>
        <v>0</v>
      </c>
      <c r="BH93" s="35">
        <f t="shared" si="59"/>
        <v>0</v>
      </c>
      <c r="BI93" s="35">
        <f t="shared" si="59"/>
        <v>0</v>
      </c>
      <c r="BJ93" s="35">
        <f t="shared" si="59"/>
        <v>0</v>
      </c>
      <c r="BK93" s="35">
        <f t="shared" si="59"/>
        <v>0</v>
      </c>
      <c r="BL93" s="35">
        <f t="shared" si="59"/>
        <v>0</v>
      </c>
      <c r="BM93" s="35">
        <f t="shared" si="59"/>
        <v>0</v>
      </c>
      <c r="BN93" s="35">
        <f t="shared" si="59"/>
        <v>0</v>
      </c>
      <c r="BO93" s="35">
        <f t="shared" si="59"/>
        <v>0</v>
      </c>
      <c r="BP93" s="35">
        <f t="shared" si="59"/>
        <v>0</v>
      </c>
      <c r="BQ93" s="35">
        <f t="shared" si="59"/>
        <v>0</v>
      </c>
      <c r="BR93" s="35">
        <f t="shared" si="59"/>
        <v>0</v>
      </c>
      <c r="BS93" s="35">
        <f t="shared" si="59"/>
        <v>0</v>
      </c>
      <c r="BT93" s="35">
        <f t="shared" si="59"/>
        <v>0</v>
      </c>
      <c r="BU93" s="35">
        <f t="shared" si="59"/>
        <v>0</v>
      </c>
      <c r="BV93" s="35">
        <f t="shared" si="59"/>
        <v>0</v>
      </c>
      <c r="BW93" s="35">
        <f t="shared" ref="BW93:CO93" si="60">SUM(BW90:BW92)</f>
        <v>0</v>
      </c>
      <c r="BX93" s="35">
        <f t="shared" si="60"/>
        <v>0</v>
      </c>
      <c r="BY93" s="35">
        <f t="shared" si="60"/>
        <v>0</v>
      </c>
      <c r="BZ93" s="35">
        <f t="shared" si="60"/>
        <v>0</v>
      </c>
      <c r="CA93" s="35">
        <f t="shared" si="60"/>
        <v>0</v>
      </c>
      <c r="CB93" s="35">
        <f t="shared" si="60"/>
        <v>0</v>
      </c>
      <c r="CC93" s="35">
        <f t="shared" si="60"/>
        <v>0</v>
      </c>
      <c r="CD93" s="35">
        <f t="shared" si="60"/>
        <v>0</v>
      </c>
      <c r="CE93" s="35">
        <f t="shared" si="60"/>
        <v>0</v>
      </c>
      <c r="CF93" s="35">
        <f t="shared" si="60"/>
        <v>0</v>
      </c>
      <c r="CG93" s="35">
        <f t="shared" si="60"/>
        <v>0</v>
      </c>
      <c r="CH93" s="35">
        <f t="shared" si="60"/>
        <v>0</v>
      </c>
      <c r="CI93" s="35">
        <f t="shared" si="60"/>
        <v>0</v>
      </c>
      <c r="CJ93" s="35">
        <f t="shared" si="60"/>
        <v>0</v>
      </c>
      <c r="CK93" s="35">
        <f t="shared" si="60"/>
        <v>0</v>
      </c>
      <c r="CL93" s="35">
        <f t="shared" si="60"/>
        <v>0</v>
      </c>
      <c r="CM93" s="35">
        <f t="shared" si="60"/>
        <v>0</v>
      </c>
      <c r="CN93" s="35">
        <f t="shared" si="60"/>
        <v>0</v>
      </c>
      <c r="CO93" s="35">
        <f t="shared" si="60"/>
        <v>0</v>
      </c>
      <c r="CP93" s="35">
        <f>SUM(CP90:CP92)</f>
        <v>0</v>
      </c>
      <c r="CQ93" s="6" t="s">
        <v>77</v>
      </c>
    </row>
    <row r="94" spans="1:96" x14ac:dyDescent="0.2">
      <c r="T94" s="704"/>
      <c r="CQ94" s="6" t="s">
        <v>77</v>
      </c>
    </row>
    <row r="95" spans="1:96" x14ac:dyDescent="0.2">
      <c r="A95" s="233"/>
      <c r="B95" s="728" t="s">
        <v>127</v>
      </c>
      <c r="C95" s="312"/>
      <c r="D95" s="728"/>
      <c r="E95" s="728"/>
      <c r="F95" s="728">
        <f t="shared" ref="F95:BQ95" si="61">Fiscal_Year</f>
        <v>36707</v>
      </c>
      <c r="G95" s="728">
        <f t="shared" si="61"/>
        <v>37072</v>
      </c>
      <c r="H95" s="728">
        <f t="shared" si="61"/>
        <v>37437</v>
      </c>
      <c r="I95" s="728">
        <f t="shared" si="61"/>
        <v>37802</v>
      </c>
      <c r="J95" s="728">
        <f t="shared" si="61"/>
        <v>38168</v>
      </c>
      <c r="K95" s="728">
        <f t="shared" si="61"/>
        <v>38533</v>
      </c>
      <c r="L95" s="728">
        <f t="shared" si="61"/>
        <v>38898</v>
      </c>
      <c r="M95" s="728">
        <f t="shared" si="61"/>
        <v>39263</v>
      </c>
      <c r="N95" s="728">
        <f t="shared" si="61"/>
        <v>39629</v>
      </c>
      <c r="O95" s="728">
        <f t="shared" si="61"/>
        <v>39994</v>
      </c>
      <c r="P95" s="728">
        <f t="shared" si="61"/>
        <v>40359</v>
      </c>
      <c r="Q95" s="728">
        <f t="shared" si="61"/>
        <v>40724</v>
      </c>
      <c r="R95" s="728">
        <f t="shared" si="61"/>
        <v>41090</v>
      </c>
      <c r="S95" s="728">
        <f t="shared" si="61"/>
        <v>41455</v>
      </c>
      <c r="T95" s="728">
        <f t="shared" si="61"/>
        <v>41820</v>
      </c>
      <c r="U95" s="728">
        <f t="shared" si="61"/>
        <v>42185</v>
      </c>
      <c r="V95" s="728">
        <f t="shared" si="61"/>
        <v>42551</v>
      </c>
      <c r="W95" s="728">
        <f t="shared" si="61"/>
        <v>42916</v>
      </c>
      <c r="X95" s="728">
        <f t="shared" si="61"/>
        <v>43281</v>
      </c>
      <c r="Y95" s="728">
        <f t="shared" si="61"/>
        <v>43646</v>
      </c>
      <c r="Z95" s="728">
        <f t="shared" si="61"/>
        <v>44012</v>
      </c>
      <c r="AA95" s="728">
        <f t="shared" si="61"/>
        <v>44377</v>
      </c>
      <c r="AB95" s="728">
        <f t="shared" si="61"/>
        <v>44742</v>
      </c>
      <c r="AC95" s="728">
        <f t="shared" si="61"/>
        <v>45107</v>
      </c>
      <c r="AD95" s="728">
        <f t="shared" si="61"/>
        <v>45473</v>
      </c>
      <c r="AE95" s="728">
        <f t="shared" si="61"/>
        <v>45838</v>
      </c>
      <c r="AF95" s="728">
        <f t="shared" si="61"/>
        <v>46203</v>
      </c>
      <c r="AG95" s="728">
        <f t="shared" si="61"/>
        <v>46568</v>
      </c>
      <c r="AH95" s="728">
        <f t="shared" si="61"/>
        <v>46934</v>
      </c>
      <c r="AI95" s="728">
        <f t="shared" si="61"/>
        <v>47299</v>
      </c>
      <c r="AJ95" s="728">
        <f t="shared" si="61"/>
        <v>47664</v>
      </c>
      <c r="AK95" s="728">
        <f t="shared" si="61"/>
        <v>48029</v>
      </c>
      <c r="AL95" s="728">
        <f t="shared" si="61"/>
        <v>48395</v>
      </c>
      <c r="AM95" s="728">
        <f t="shared" si="61"/>
        <v>48760</v>
      </c>
      <c r="AN95" s="728">
        <f t="shared" si="61"/>
        <v>49125</v>
      </c>
      <c r="AO95" s="728">
        <f t="shared" si="61"/>
        <v>49490</v>
      </c>
      <c r="AP95" s="728">
        <f t="shared" si="61"/>
        <v>49856</v>
      </c>
      <c r="AQ95" s="728">
        <f t="shared" si="61"/>
        <v>50221</v>
      </c>
      <c r="AR95" s="728">
        <f t="shared" si="61"/>
        <v>50586</v>
      </c>
      <c r="AS95" s="728">
        <f t="shared" si="61"/>
        <v>50951</v>
      </c>
      <c r="AT95" s="728">
        <f t="shared" si="61"/>
        <v>51317</v>
      </c>
      <c r="AU95" s="728">
        <f t="shared" si="61"/>
        <v>51682</v>
      </c>
      <c r="AV95" s="728">
        <f t="shared" si="61"/>
        <v>52047</v>
      </c>
      <c r="AW95" s="728">
        <f t="shared" si="61"/>
        <v>52412</v>
      </c>
      <c r="AX95" s="728">
        <f t="shared" si="61"/>
        <v>52778</v>
      </c>
      <c r="AY95" s="728">
        <f t="shared" si="61"/>
        <v>53143</v>
      </c>
      <c r="AZ95" s="728">
        <f t="shared" si="61"/>
        <v>53508</v>
      </c>
      <c r="BA95" s="728">
        <f t="shared" si="61"/>
        <v>53873</v>
      </c>
      <c r="BB95" s="728">
        <f t="shared" si="61"/>
        <v>54239</v>
      </c>
      <c r="BC95" s="728">
        <f t="shared" si="61"/>
        <v>54604</v>
      </c>
      <c r="BD95" s="728">
        <f t="shared" si="61"/>
        <v>54969</v>
      </c>
      <c r="BE95" s="728">
        <f t="shared" si="61"/>
        <v>55334</v>
      </c>
      <c r="BF95" s="728">
        <f t="shared" si="61"/>
        <v>55700</v>
      </c>
      <c r="BG95" s="728">
        <f t="shared" si="61"/>
        <v>56065</v>
      </c>
      <c r="BH95" s="728">
        <f t="shared" si="61"/>
        <v>56430</v>
      </c>
      <c r="BI95" s="728">
        <f t="shared" si="61"/>
        <v>56795</v>
      </c>
      <c r="BJ95" s="728">
        <f t="shared" si="61"/>
        <v>57161</v>
      </c>
      <c r="BK95" s="728">
        <f t="shared" si="61"/>
        <v>57526</v>
      </c>
      <c r="BL95" s="728">
        <f t="shared" si="61"/>
        <v>57891</v>
      </c>
      <c r="BM95" s="728">
        <f t="shared" si="61"/>
        <v>58256</v>
      </c>
      <c r="BN95" s="728">
        <f t="shared" si="61"/>
        <v>58622</v>
      </c>
      <c r="BO95" s="728">
        <f t="shared" si="61"/>
        <v>58987</v>
      </c>
      <c r="BP95" s="728">
        <f t="shared" si="61"/>
        <v>59352</v>
      </c>
      <c r="BQ95" s="728">
        <f t="shared" si="61"/>
        <v>59717</v>
      </c>
      <c r="BR95" s="728">
        <f t="shared" ref="BR95:CP95" si="62">Fiscal_Year</f>
        <v>60083</v>
      </c>
      <c r="BS95" s="728">
        <f t="shared" si="62"/>
        <v>60448</v>
      </c>
      <c r="BT95" s="728">
        <f t="shared" si="62"/>
        <v>60813</v>
      </c>
      <c r="BU95" s="728">
        <f t="shared" si="62"/>
        <v>61178</v>
      </c>
      <c r="BV95" s="728">
        <f t="shared" si="62"/>
        <v>61544</v>
      </c>
      <c r="BW95" s="728">
        <f t="shared" si="62"/>
        <v>61909</v>
      </c>
      <c r="BX95" s="728">
        <f t="shared" si="62"/>
        <v>62274</v>
      </c>
      <c r="BY95" s="728">
        <f t="shared" si="62"/>
        <v>62639</v>
      </c>
      <c r="BZ95" s="728">
        <f t="shared" si="62"/>
        <v>63005</v>
      </c>
      <c r="CA95" s="728">
        <f t="shared" si="62"/>
        <v>63370</v>
      </c>
      <c r="CB95" s="728">
        <f t="shared" si="62"/>
        <v>63735</v>
      </c>
      <c r="CC95" s="728">
        <f t="shared" si="62"/>
        <v>64100</v>
      </c>
      <c r="CD95" s="728">
        <f t="shared" si="62"/>
        <v>64466</v>
      </c>
      <c r="CE95" s="728">
        <f t="shared" si="62"/>
        <v>64831</v>
      </c>
      <c r="CF95" s="728">
        <f t="shared" si="62"/>
        <v>65196</v>
      </c>
      <c r="CG95" s="728">
        <f t="shared" si="62"/>
        <v>65561</v>
      </c>
      <c r="CH95" s="728">
        <f t="shared" si="62"/>
        <v>65927</v>
      </c>
      <c r="CI95" s="728">
        <f t="shared" si="62"/>
        <v>66292</v>
      </c>
      <c r="CJ95" s="728">
        <f t="shared" si="62"/>
        <v>66657</v>
      </c>
      <c r="CK95" s="728">
        <f t="shared" si="62"/>
        <v>67022</v>
      </c>
      <c r="CL95" s="728">
        <f t="shared" si="62"/>
        <v>67388</v>
      </c>
      <c r="CM95" s="728">
        <f t="shared" si="62"/>
        <v>67753</v>
      </c>
      <c r="CN95" s="728">
        <f t="shared" si="62"/>
        <v>68118</v>
      </c>
      <c r="CO95" s="728">
        <f t="shared" si="62"/>
        <v>68483</v>
      </c>
      <c r="CP95" s="728">
        <f t="shared" si="62"/>
        <v>68849</v>
      </c>
      <c r="CQ95" s="6" t="s">
        <v>77</v>
      </c>
      <c r="CR95" s="233"/>
    </row>
    <row r="96" spans="1:96" ht="5.0999999999999996" customHeight="1" x14ac:dyDescent="0.2">
      <c r="B96" s="687"/>
      <c r="D96" s="688"/>
      <c r="E96" s="688"/>
      <c r="F96" s="688"/>
      <c r="G96" s="688"/>
      <c r="H96" s="688"/>
      <c r="I96" s="688"/>
      <c r="J96" s="688"/>
      <c r="K96" s="688"/>
      <c r="L96" s="688"/>
      <c r="M96" s="688"/>
      <c r="N96" s="688"/>
      <c r="O96" s="688"/>
      <c r="P96" s="688"/>
      <c r="Q96" s="688"/>
      <c r="R96" s="688"/>
      <c r="S96" s="688"/>
      <c r="T96" s="688"/>
      <c r="U96" s="688"/>
      <c r="V96" s="688"/>
      <c r="W96" s="688"/>
      <c r="X96" s="688"/>
      <c r="Y96" s="688"/>
      <c r="Z96" s="688"/>
      <c r="AA96" s="688"/>
      <c r="AB96" s="688"/>
      <c r="AC96" s="688"/>
      <c r="AD96" s="688"/>
      <c r="AE96" s="688"/>
      <c r="AF96" s="688"/>
      <c r="AG96" s="688"/>
      <c r="AH96" s="688"/>
      <c r="AI96" s="688"/>
      <c r="AJ96" s="688"/>
      <c r="AK96" s="688"/>
      <c r="AL96" s="688"/>
      <c r="AM96" s="688"/>
      <c r="AN96" s="688"/>
      <c r="AO96" s="688"/>
      <c r="AP96" s="688"/>
      <c r="AQ96" s="688"/>
      <c r="AR96" s="688"/>
      <c r="AS96" s="688"/>
      <c r="AT96" s="688"/>
      <c r="AU96" s="688"/>
      <c r="AV96" s="688"/>
      <c r="AW96" s="688"/>
      <c r="AX96" s="688"/>
      <c r="AY96" s="688"/>
      <c r="AZ96" s="688"/>
      <c r="BA96" s="688"/>
      <c r="BB96" s="688"/>
      <c r="BC96" s="688"/>
      <c r="BD96" s="688"/>
      <c r="BE96" s="688"/>
      <c r="BF96" s="688"/>
      <c r="BG96" s="688"/>
      <c r="BH96" s="688"/>
      <c r="BI96" s="688"/>
      <c r="BJ96" s="688"/>
      <c r="BK96" s="688"/>
      <c r="BL96" s="688"/>
      <c r="BM96" s="688"/>
      <c r="BN96" s="688"/>
      <c r="BO96" s="688"/>
      <c r="BP96" s="688"/>
      <c r="BQ96" s="688"/>
      <c r="BR96" s="688"/>
      <c r="BS96" s="688"/>
      <c r="BT96" s="688"/>
      <c r="BU96" s="688"/>
      <c r="BV96" s="688"/>
      <c r="BW96" s="688"/>
      <c r="BX96" s="688"/>
      <c r="BY96" s="688"/>
      <c r="BZ96" s="688"/>
      <c r="CA96" s="688"/>
      <c r="CB96" s="688"/>
      <c r="CC96" s="688"/>
      <c r="CD96" s="688"/>
      <c r="CE96" s="688"/>
      <c r="CF96" s="688"/>
      <c r="CG96" s="688"/>
      <c r="CH96" s="688"/>
      <c r="CI96" s="688"/>
      <c r="CJ96" s="688"/>
      <c r="CK96" s="688"/>
      <c r="CL96" s="688"/>
      <c r="CM96" s="688"/>
      <c r="CN96" s="688"/>
      <c r="CO96" s="688"/>
      <c r="CP96" s="688"/>
      <c r="CQ96" s="6" t="s">
        <v>77</v>
      </c>
    </row>
    <row r="97" spans="1:96" outlineLevel="1" x14ac:dyDescent="0.2">
      <c r="B97" s="104" t="s">
        <v>233</v>
      </c>
      <c r="D97" s="693"/>
      <c r="E97" s="693"/>
      <c r="F97" s="693"/>
      <c r="G97" s="693"/>
      <c r="H97" s="693"/>
      <c r="I97" s="693"/>
      <c r="J97" s="693"/>
      <c r="K97" s="693"/>
      <c r="L97" s="693"/>
      <c r="M97" s="693"/>
      <c r="N97" s="693"/>
      <c r="O97" s="693"/>
      <c r="P97" s="693"/>
      <c r="Q97" s="693"/>
      <c r="R97" s="693"/>
      <c r="S97" s="693"/>
      <c r="T97" s="693"/>
      <c r="U97" s="693"/>
      <c r="V97" s="693"/>
      <c r="W97" s="693"/>
      <c r="X97" s="693"/>
      <c r="Y97" s="693"/>
      <c r="Z97" s="693"/>
      <c r="AA97" s="693"/>
      <c r="AB97" s="693"/>
      <c r="AC97" s="693"/>
      <c r="AD97" s="693"/>
      <c r="AE97" s="693"/>
      <c r="AF97" s="693"/>
      <c r="AG97" s="693"/>
      <c r="AH97" s="693"/>
      <c r="AI97" s="693"/>
      <c r="AJ97" s="693"/>
      <c r="AK97" s="693"/>
      <c r="AL97" s="693"/>
      <c r="AM97" s="693"/>
      <c r="AN97" s="693"/>
      <c r="AO97" s="693"/>
      <c r="AP97" s="693"/>
      <c r="AQ97" s="693"/>
      <c r="AR97" s="693"/>
      <c r="AS97" s="693"/>
      <c r="AT97" s="693"/>
      <c r="AU97" s="693"/>
      <c r="AV97" s="693"/>
      <c r="AW97" s="693"/>
      <c r="AX97" s="693"/>
      <c r="AY97" s="693"/>
      <c r="AZ97" s="693"/>
      <c r="BA97" s="693"/>
      <c r="BB97" s="693"/>
      <c r="BC97" s="693"/>
      <c r="BD97" s="693"/>
      <c r="BE97" s="693"/>
      <c r="BF97" s="693"/>
      <c r="BG97" s="693"/>
      <c r="BH97" s="693"/>
      <c r="BI97" s="693"/>
      <c r="BJ97" s="693"/>
      <c r="BK97" s="693"/>
      <c r="BL97" s="693"/>
      <c r="BM97" s="693"/>
      <c r="BN97" s="693"/>
      <c r="BO97" s="693"/>
      <c r="BP97" s="693"/>
      <c r="BQ97" s="693"/>
      <c r="BR97" s="693"/>
      <c r="BS97" s="693"/>
      <c r="BT97" s="693"/>
      <c r="BU97" s="693"/>
      <c r="BV97" s="693"/>
      <c r="BW97" s="693"/>
      <c r="BX97" s="693"/>
      <c r="BY97" s="693"/>
      <c r="BZ97" s="693"/>
      <c r="CA97" s="693"/>
      <c r="CB97" s="693"/>
      <c r="CC97" s="693"/>
      <c r="CD97" s="693"/>
      <c r="CE97" s="693"/>
      <c r="CF97" s="693"/>
      <c r="CG97" s="693"/>
      <c r="CH97" s="693"/>
      <c r="CI97" s="693"/>
      <c r="CJ97" s="693"/>
      <c r="CK97" s="693"/>
      <c r="CL97" s="693"/>
      <c r="CM97" s="693"/>
      <c r="CN97" s="693"/>
      <c r="CO97" s="693"/>
      <c r="CP97" s="693"/>
      <c r="CQ97" s="6" t="s">
        <v>77</v>
      </c>
    </row>
    <row r="98" spans="1:96" outlineLevel="1" x14ac:dyDescent="0.2">
      <c r="A98" s="472"/>
      <c r="B98" s="698" t="s">
        <v>18</v>
      </c>
      <c r="D98" s="693"/>
      <c r="E98" s="693"/>
      <c r="F98" s="693"/>
      <c r="G98" s="693"/>
      <c r="H98" s="693"/>
      <c r="I98" s="693"/>
      <c r="J98" s="693"/>
      <c r="K98" s="629">
        <f>+APA!K97</f>
        <v>178.876</v>
      </c>
      <c r="L98" s="629">
        <f>+APA!L97</f>
        <v>200.40199999999999</v>
      </c>
      <c r="M98" s="629">
        <f>+APA!M97</f>
        <v>296.84199999999998</v>
      </c>
      <c r="N98" s="629">
        <f>+APA!N97</f>
        <v>430.53499999999997</v>
      </c>
      <c r="O98" s="629">
        <f>+APA!O97</f>
        <v>423.24200000000008</v>
      </c>
      <c r="P98" s="629">
        <f>+APA!P97</f>
        <v>459.97500000000002</v>
      </c>
      <c r="Q98" s="629">
        <f>+APA!Q97</f>
        <v>454.47500000000002</v>
      </c>
      <c r="R98" s="629">
        <f>+APA!R97</f>
        <v>515.33299999999997</v>
      </c>
      <c r="S98" s="629">
        <f>+APA!S97</f>
        <v>646.50500000000011</v>
      </c>
      <c r="T98" s="633">
        <f>+APA!T97</f>
        <v>697.221</v>
      </c>
      <c r="U98" s="633">
        <f>+APA!U97</f>
        <v>821.25900000000001</v>
      </c>
      <c r="V98" s="633">
        <f>+APA!V97</f>
        <v>1330.5239999999999</v>
      </c>
      <c r="W98" s="633">
        <f>+APA!W97</f>
        <v>1470.1219999999996</v>
      </c>
      <c r="X98" s="633">
        <f>+APA!X97</f>
        <v>1485.0839326218895</v>
      </c>
      <c r="Y98" s="633">
        <f>+APA!Y97</f>
        <v>1553.6840226773406</v>
      </c>
      <c r="Z98" s="633">
        <f>+APA!Z97</f>
        <v>1620.0453242958517</v>
      </c>
      <c r="AA98" s="633">
        <f>+APA!AA97</f>
        <v>1578.6426092790687</v>
      </c>
      <c r="AB98" s="633">
        <f>+APA!AB97</f>
        <v>1609.52085369918</v>
      </c>
      <c r="AC98" s="633">
        <f>+APA!AC97</f>
        <v>1642.0028360563829</v>
      </c>
      <c r="AD98" s="633">
        <f>+APA!AD97</f>
        <v>1675.0805825732421</v>
      </c>
      <c r="AE98" s="633">
        <f>+APA!AE97</f>
        <v>1695.880589685326</v>
      </c>
      <c r="AF98" s="633">
        <f>+APA!AF97</f>
        <v>1696.1048642026351</v>
      </c>
      <c r="AG98" s="633">
        <f>+APA!AG97</f>
        <v>1685.2892255631889</v>
      </c>
      <c r="AH98" s="633">
        <f>+APA!AH97</f>
        <v>1719.0505866419901</v>
      </c>
      <c r="AI98" s="633">
        <f>+APA!AI97</f>
        <v>1602.291369542542</v>
      </c>
      <c r="AJ98" s="633">
        <f>+APA!AJ97</f>
        <v>1526.4531424686459</v>
      </c>
      <c r="AK98" s="633">
        <f>+APA!AK97</f>
        <v>1521.3601547795251</v>
      </c>
      <c r="AL98" s="633">
        <f>+APA!AL97</f>
        <v>1549.9754956129416</v>
      </c>
      <c r="AM98" s="633">
        <f>+APA!AM97</f>
        <v>1579.3938340493312</v>
      </c>
      <c r="AN98" s="633">
        <f>+APA!AN97</f>
        <v>1597.2978949890553</v>
      </c>
      <c r="AO98" s="633">
        <f>+APA!AO97</f>
        <v>1570.7805226278924</v>
      </c>
      <c r="AP98" s="633">
        <f>+APA!AP97</f>
        <v>1053.3073565634118</v>
      </c>
      <c r="AQ98" s="633">
        <f>+APA!AQ97</f>
        <v>1073.5327907288965</v>
      </c>
      <c r="AR98" s="633">
        <f>+APA!AR97</f>
        <v>982.47702193906559</v>
      </c>
      <c r="AS98" s="633">
        <f>+APA!AS97</f>
        <v>867.35365710100416</v>
      </c>
      <c r="AT98" s="633">
        <f>+APA!AT97</f>
        <v>851.68790877391143</v>
      </c>
      <c r="AU98" s="633">
        <f>+APA!AU97</f>
        <v>869.58545277490578</v>
      </c>
      <c r="AV98" s="633">
        <f>+APA!AV97</f>
        <v>887.89293474404894</v>
      </c>
      <c r="AW98" s="633">
        <f>+APA!AW97</f>
        <v>862.0174764376809</v>
      </c>
      <c r="AX98" s="633">
        <f>+APA!AX97</f>
        <v>880.12946297243002</v>
      </c>
      <c r="AY98" s="633">
        <f>+APA!AY97</f>
        <v>898.6535200972977</v>
      </c>
      <c r="AZ98" s="633">
        <f>+APA!AZ97</f>
        <v>917.59799903988528</v>
      </c>
      <c r="BA98" s="633">
        <f>+APA!BA97</f>
        <v>763.33702235912574</v>
      </c>
      <c r="BB98" s="633">
        <f>+APA!BB97</f>
        <v>779.12615032909673</v>
      </c>
      <c r="BC98" s="633">
        <f>+APA!BC97</f>
        <v>795.27078587070991</v>
      </c>
      <c r="BD98" s="633">
        <f>+APA!BD97</f>
        <v>811.77952485394837</v>
      </c>
      <c r="BE98" s="633">
        <f>+APA!BE97</f>
        <v>828.66110747292066</v>
      </c>
      <c r="BF98" s="633">
        <f>+APA!BF97</f>
        <v>845.92142142331602</v>
      </c>
      <c r="BG98" s="633">
        <f>+APA!BG97</f>
        <v>863.57188387036922</v>
      </c>
      <c r="BH98" s="633">
        <f>+APA!BH97</f>
        <v>881.61722123009372</v>
      </c>
      <c r="BI98" s="633">
        <f>+APA!BI97</f>
        <v>900.06996728874105</v>
      </c>
      <c r="BJ98" s="633">
        <f>+APA!BJ97</f>
        <v>918.9356347041246</v>
      </c>
      <c r="BK98" s="633">
        <f>+APA!BK97</f>
        <v>938.22601361201976</v>
      </c>
      <c r="BL98" s="633">
        <f>+APA!BL97</f>
        <v>957.94929012326952</v>
      </c>
      <c r="BM98" s="633">
        <f>+APA!BM97</f>
        <v>978.11502059392751</v>
      </c>
      <c r="BN98" s="633">
        <f>+APA!BN97</f>
        <v>998.73255959238656</v>
      </c>
      <c r="BO98" s="633">
        <f>+APA!BO97</f>
        <v>1019.8122720104545</v>
      </c>
      <c r="BP98" s="633">
        <f>+APA!BP97</f>
        <v>1041.3643535097035</v>
      </c>
      <c r="BQ98" s="633">
        <f>+APA!BQ97</f>
        <v>1063.3992277801251</v>
      </c>
      <c r="BR98" s="633">
        <f>+APA!BR97</f>
        <v>1085.9267900098723</v>
      </c>
      <c r="BS98" s="633">
        <f>+APA!BS97</f>
        <v>1068.6891164573028</v>
      </c>
      <c r="BT98" s="633">
        <f>+APA!BT97</f>
        <v>1055.6131069273245</v>
      </c>
      <c r="BU98" s="633">
        <f>+APA!BU97</f>
        <v>1077.90219574867</v>
      </c>
      <c r="BV98" s="633">
        <f>+APA!BV97</f>
        <v>1100.6884463287852</v>
      </c>
      <c r="BW98" s="633">
        <f>+APA!BW97</f>
        <v>1123.9824285790146</v>
      </c>
      <c r="BX98" s="633">
        <f>+APA!BX97</f>
        <v>1147.7960952306412</v>
      </c>
      <c r="BY98" s="633">
        <f>+APA!BY97</f>
        <v>1172.1386021199014</v>
      </c>
      <c r="BZ98" s="633">
        <f>+APA!BZ97</f>
        <v>1197.0243070996821</v>
      </c>
      <c r="CA98" s="633">
        <f>+APA!CA97</f>
        <v>1222.4636437696258</v>
      </c>
      <c r="CB98" s="633">
        <f>+APA!CB97</f>
        <v>1248.4707360066436</v>
      </c>
      <c r="CC98" s="633">
        <f>+APA!CC97</f>
        <v>1270.3850341023813</v>
      </c>
      <c r="CD98" s="633">
        <f>+APA!CD97</f>
        <v>1241.4217866145787</v>
      </c>
      <c r="CE98" s="633">
        <f>+APA!CE97</f>
        <v>1267.7906044858398</v>
      </c>
      <c r="CF98" s="633">
        <f>+APA!CF97</f>
        <v>1294.7438478471772</v>
      </c>
      <c r="CG98" s="633">
        <f>+APA!CG97</f>
        <v>1322.2951858611975</v>
      </c>
      <c r="CH98" s="633">
        <f>+APA!CH97</f>
        <v>830.29504654147138</v>
      </c>
      <c r="CI98" s="633">
        <f>+APA!CI97</f>
        <v>847.04787506031528</v>
      </c>
      <c r="CJ98" s="633">
        <f>+APA!CJ97</f>
        <v>864.16216785095594</v>
      </c>
      <c r="CK98" s="633">
        <f>+APA!CK97</f>
        <v>881.64445225053066</v>
      </c>
      <c r="CL98" s="633">
        <f>+APA!CL97</f>
        <v>899.50182972260382</v>
      </c>
      <c r="CM98" s="633">
        <f>+APA!CM97</f>
        <v>917.74306468398709</v>
      </c>
      <c r="CN98" s="633">
        <f>+APA!CN97</f>
        <v>936.37673374747465</v>
      </c>
      <c r="CO98" s="633">
        <f>+APA!CO97</f>
        <v>955.41197587764862</v>
      </c>
      <c r="CP98" s="633">
        <f>+APA!CP97</f>
        <v>944.07976935785462</v>
      </c>
      <c r="CQ98" s="6" t="s">
        <v>77</v>
      </c>
      <c r="CR98" s="472"/>
    </row>
    <row r="99" spans="1:96" outlineLevel="1" x14ac:dyDescent="0.2">
      <c r="A99" s="472"/>
      <c r="B99" s="698" t="s">
        <v>125</v>
      </c>
      <c r="D99" s="693"/>
      <c r="E99" s="693"/>
      <c r="F99" s="693"/>
      <c r="G99" s="693"/>
      <c r="H99" s="693"/>
      <c r="I99" s="693"/>
      <c r="J99" s="693"/>
      <c r="K99" s="629">
        <f>+APA!K296</f>
        <v>985.59499999999991</v>
      </c>
      <c r="L99" s="629">
        <f>+APA!L296</f>
        <v>1201.6220000000001</v>
      </c>
      <c r="M99" s="629">
        <f>+APA!M296</f>
        <v>2537.5740000000001</v>
      </c>
      <c r="N99" s="629">
        <f>+APA!N296</f>
        <v>3005.6680000000001</v>
      </c>
      <c r="O99" s="629">
        <f>+APA!O296</f>
        <v>2849.279</v>
      </c>
      <c r="P99" s="629">
        <f>+APA!P296</f>
        <v>2914.8339999999998</v>
      </c>
      <c r="Q99" s="629">
        <f>+APA!Q296</f>
        <v>2795.078</v>
      </c>
      <c r="R99" s="629">
        <f>+APA!R296</f>
        <v>2576.0119999999997</v>
      </c>
      <c r="S99" s="629">
        <f>+APA!S296</f>
        <v>4233.1970000000001</v>
      </c>
      <c r="T99" s="633">
        <f>+APA!T296</f>
        <v>4701.2740000000003</v>
      </c>
      <c r="U99" s="633">
        <f>+APA!U296</f>
        <v>8893.9289999999983</v>
      </c>
      <c r="V99" s="633">
        <f>+APA!V296</f>
        <v>9639.6959999999981</v>
      </c>
      <c r="W99" s="633">
        <f>+APA!W296</f>
        <v>9306.2639999999992</v>
      </c>
      <c r="X99" s="633">
        <f>+APA!X296</f>
        <v>9157.7422456015047</v>
      </c>
      <c r="Y99" s="633">
        <f>+APA!Y296</f>
        <v>9266.9908943782302</v>
      </c>
      <c r="Z99" s="633">
        <f>+APA!Z296</f>
        <v>8974.8102727772748</v>
      </c>
      <c r="AA99" s="633">
        <f>+APA!AA296</f>
        <v>8740.2073051420048</v>
      </c>
      <c r="AB99" s="633">
        <f>+APA!AB296</f>
        <v>8545.1464684079092</v>
      </c>
      <c r="AC99" s="633">
        <f>+APA!AC296</f>
        <v>8343.3879140184363</v>
      </c>
      <c r="AD99" s="633">
        <f>+APA!AD296</f>
        <v>8083.7330033198286</v>
      </c>
      <c r="AE99" s="633">
        <f>+APA!AE296</f>
        <v>7805.1206434891947</v>
      </c>
      <c r="AF99" s="633">
        <f>+APA!AF296</f>
        <v>7523.6531809749886</v>
      </c>
      <c r="AG99" s="633">
        <f>+APA!AG296</f>
        <v>7248.0840421077955</v>
      </c>
      <c r="AH99" s="633">
        <f>+APA!AH296</f>
        <v>6955.0570808580505</v>
      </c>
      <c r="AI99" s="633">
        <f>+APA!AI296</f>
        <v>6752.5094448750006</v>
      </c>
      <c r="AJ99" s="633">
        <f>+APA!AJ296</f>
        <v>6607.0793589658151</v>
      </c>
      <c r="AK99" s="633">
        <f>+APA!AK296</f>
        <v>6474.5911905540279</v>
      </c>
      <c r="AL99" s="633">
        <f>+APA!AL296</f>
        <v>6324.4696306714895</v>
      </c>
      <c r="AM99" s="633">
        <f>+APA!AM296</f>
        <v>6155.872713980114</v>
      </c>
      <c r="AN99" s="633">
        <f>+APA!AN296</f>
        <v>5978.0109119104327</v>
      </c>
      <c r="AO99" s="633">
        <f>+APA!AO296</f>
        <v>5814.2162982424916</v>
      </c>
      <c r="AP99" s="633">
        <f>+APA!AP296</f>
        <v>6053.9458900953678</v>
      </c>
      <c r="AQ99" s="633">
        <f>+APA!AQ296</f>
        <v>6269.1379150798502</v>
      </c>
      <c r="AR99" s="633">
        <f>+APA!AR296</f>
        <v>6547.7037723307385</v>
      </c>
      <c r="AS99" s="633">
        <f>+APA!AS296</f>
        <v>6910.7525238439721</v>
      </c>
      <c r="AT99" s="633">
        <f>+APA!AT296</f>
        <v>7279.532512391821</v>
      </c>
      <c r="AU99" s="633">
        <f>+APA!AU296</f>
        <v>7627.4422217980064</v>
      </c>
      <c r="AV99" s="633">
        <f>+APA!AV296</f>
        <v>7964.2439933176101</v>
      </c>
      <c r="AW99" s="633">
        <f>+APA!AW296</f>
        <v>8325.4857575991482</v>
      </c>
      <c r="AX99" s="633">
        <f>+APA!AX296</f>
        <v>8676.281338939154</v>
      </c>
      <c r="AY99" s="633">
        <f>+APA!AY296</f>
        <v>9016.2815720192521</v>
      </c>
      <c r="AZ99" s="633">
        <f>+APA!AZ296</f>
        <v>9345.1342584266404</v>
      </c>
      <c r="BA99" s="633">
        <f>+APA!BA296</f>
        <v>9818.8130643802178</v>
      </c>
      <c r="BB99" s="633">
        <f>+APA!BB296</f>
        <v>10281.120433549597</v>
      </c>
      <c r="BC99" s="633">
        <f>+APA!BC296</f>
        <v>10731.703010119585</v>
      </c>
      <c r="BD99" s="633">
        <f>+APA!BD296</f>
        <v>11170.198845542667</v>
      </c>
      <c r="BE99" s="633">
        <f>+APA!BE296</f>
        <v>11596.237254219417</v>
      </c>
      <c r="BF99" s="633">
        <f>+APA!BF296</f>
        <v>12009.441666001467</v>
      </c>
      <c r="BG99" s="633">
        <f>+APA!BG296</f>
        <v>12409.424096726525</v>
      </c>
      <c r="BH99" s="633">
        <f>+APA!BH296</f>
        <v>12795.791838972162</v>
      </c>
      <c r="BI99" s="633">
        <f>+APA!BI296</f>
        <v>13168.139654690134</v>
      </c>
      <c r="BJ99" s="633">
        <f>+APA!BJ296</f>
        <v>13526.056796339411</v>
      </c>
      <c r="BK99" s="633">
        <f>+APA!BK296</f>
        <v>13869.120729412793</v>
      </c>
      <c r="BL99" s="633">
        <f>+APA!BL296</f>
        <v>14196.900736466432</v>
      </c>
      <c r="BM99" s="633">
        <f>+APA!BM296</f>
        <v>14508.956546879224</v>
      </c>
      <c r="BN99" s="633">
        <f>+APA!BN296</f>
        <v>14804.838538645068</v>
      </c>
      <c r="BO99" s="633">
        <f>+APA!BO296</f>
        <v>15084.086728054068</v>
      </c>
      <c r="BP99" s="633">
        <f>+APA!BP296</f>
        <v>15346.23093892738</v>
      </c>
      <c r="BQ99" s="633">
        <f>+APA!BQ296</f>
        <v>15616.756689431921</v>
      </c>
      <c r="BR99" s="633">
        <f>+APA!BR296</f>
        <v>15872.87125738638</v>
      </c>
      <c r="BS99" s="633">
        <f>+APA!BS296</f>
        <v>16146.011769066599</v>
      </c>
      <c r="BT99" s="633">
        <f>+APA!BT296</f>
        <v>16432.815112506305</v>
      </c>
      <c r="BU99" s="633">
        <f>+APA!BU296</f>
        <v>16705.279052099464</v>
      </c>
      <c r="BV99" s="633">
        <f>+APA!BV296</f>
        <v>16963.036182849755</v>
      </c>
      <c r="BW99" s="633">
        <f>+APA!BW296</f>
        <v>17205.712820276189</v>
      </c>
      <c r="BX99" s="633">
        <f>+APA!BX296</f>
        <v>17432.927889228489</v>
      </c>
      <c r="BY99" s="633">
        <f>+APA!BY296</f>
        <v>17644.295119808288</v>
      </c>
      <c r="BZ99" s="633">
        <f>+APA!BZ296</f>
        <v>17839.418918794494</v>
      </c>
      <c r="CA99" s="633">
        <f>+APA!CA296</f>
        <v>18017.89746532253</v>
      </c>
      <c r="CB99" s="633">
        <f>+APA!CB296</f>
        <v>18179.319782765397</v>
      </c>
      <c r="CC99" s="633">
        <f>+APA!CC296</f>
        <v>18326.958728661361</v>
      </c>
      <c r="CD99" s="633">
        <f>+APA!CD296</f>
        <v>18501.037480274543</v>
      </c>
      <c r="CE99" s="633">
        <f>+APA!CE296</f>
        <v>18657.747566330196</v>
      </c>
      <c r="CF99" s="633">
        <f>+APA!CF296</f>
        <v>18796.66976758013</v>
      </c>
      <c r="CG99" s="633">
        <f>+APA!CG296</f>
        <v>18917.375980409077</v>
      </c>
      <c r="CH99" s="633">
        <f>+APA!CH296</f>
        <v>19471.034005302583</v>
      </c>
      <c r="CI99" s="633">
        <f>+APA!CI296</f>
        <v>20012.429582574925</v>
      </c>
      <c r="CJ99" s="633">
        <f>+APA!CJ296</f>
        <v>20541.203505689242</v>
      </c>
      <c r="CK99" s="633">
        <f>+APA!CK296</f>
        <v>21056.990044062681</v>
      </c>
      <c r="CL99" s="633">
        <f>+APA!CL296</f>
        <v>21559.41636894476</v>
      </c>
      <c r="CM99" s="633">
        <f>+APA!CM296</f>
        <v>22048.100890468872</v>
      </c>
      <c r="CN99" s="633">
        <f>+APA!CN296</f>
        <v>22522.653445461096</v>
      </c>
      <c r="CO99" s="633">
        <f>+APA!CO296</f>
        <v>22982.674735093184</v>
      </c>
      <c r="CP99" s="633">
        <f>+APA!CP296</f>
        <v>23458.534485568605</v>
      </c>
      <c r="CQ99" s="6" t="s">
        <v>77</v>
      </c>
      <c r="CR99" s="472"/>
    </row>
    <row r="100" spans="1:96" outlineLevel="1" x14ac:dyDescent="0.2">
      <c r="A100" s="472"/>
      <c r="B100" s="698" t="s">
        <v>182</v>
      </c>
      <c r="D100" s="693"/>
      <c r="E100" s="693"/>
      <c r="F100" s="693"/>
      <c r="G100" s="693"/>
      <c r="H100" s="693"/>
      <c r="I100" s="693"/>
      <c r="J100" s="693"/>
      <c r="K100" s="629">
        <f>APA!K221</f>
        <v>106.22</v>
      </c>
      <c r="L100" s="629">
        <f>APA!L221</f>
        <v>112.17400000000001</v>
      </c>
      <c r="M100" s="629">
        <f>APA!M221</f>
        <v>136.708</v>
      </c>
      <c r="N100" s="629">
        <f>APA!N221</f>
        <v>186.423</v>
      </c>
      <c r="O100" s="629">
        <f>APA!O221</f>
        <v>226.369</v>
      </c>
      <c r="P100" s="629">
        <f>APA!P221</f>
        <v>267.76100000000002</v>
      </c>
      <c r="Q100" s="629">
        <f>APA!Q221</f>
        <v>290.029</v>
      </c>
      <c r="R100" s="629">
        <f>APA!R221</f>
        <v>335.56900000000002</v>
      </c>
      <c r="S100" s="629">
        <f>APA!S221</f>
        <v>374.38099999999997</v>
      </c>
      <c r="T100" s="633">
        <f>APA!T221</f>
        <v>431.541</v>
      </c>
      <c r="U100" s="633">
        <f>APA!U221</f>
        <v>562.19000000000005</v>
      </c>
      <c r="V100" s="633">
        <f>APA!V221</f>
        <v>862.43499999999995</v>
      </c>
      <c r="W100" s="633">
        <f>APA!W221</f>
        <v>973.93600000000004</v>
      </c>
      <c r="X100" s="633">
        <f>APA!X221</f>
        <v>916.31280997849353</v>
      </c>
      <c r="Y100" s="633">
        <f>APA!Y221</f>
        <v>992.9937637732744</v>
      </c>
      <c r="Z100" s="633">
        <f>APA!Z221</f>
        <v>1051.3677701600054</v>
      </c>
      <c r="AA100" s="633">
        <f>APA!AA221</f>
        <v>1022.319166572883</v>
      </c>
      <c r="AB100" s="633">
        <f>APA!AB221</f>
        <v>991.26690296667857</v>
      </c>
      <c r="AC100" s="633">
        <f>APA!AC221</f>
        <v>970.16529162071845</v>
      </c>
      <c r="AD100" s="633">
        <f>APA!AD221</f>
        <v>1000.2502370735667</v>
      </c>
      <c r="AE100" s="633">
        <f>APA!AE221</f>
        <v>1020.0546995759327</v>
      </c>
      <c r="AF100" s="633">
        <f>APA!AF221</f>
        <v>1023.5314059677927</v>
      </c>
      <c r="AG100" s="633">
        <f>APA!AG221</f>
        <v>1018.2556857466741</v>
      </c>
      <c r="AH100" s="633">
        <f>APA!AH221</f>
        <v>1036.3371127439045</v>
      </c>
      <c r="AI100" s="633">
        <f>APA!AI221</f>
        <v>946.48239475397634</v>
      </c>
      <c r="AJ100" s="633">
        <f>APA!AJ221</f>
        <v>889.9904560944118</v>
      </c>
      <c r="AK100" s="633">
        <f>APA!AK221</f>
        <v>877.67515562643644</v>
      </c>
      <c r="AL100" s="633">
        <f>APA!AL221</f>
        <v>895.93617122145758</v>
      </c>
      <c r="AM100" s="633">
        <f>APA!AM221</f>
        <v>915.0401607312906</v>
      </c>
      <c r="AN100" s="633">
        <f>APA!AN221</f>
        <v>924.93468887134134</v>
      </c>
      <c r="AO100" s="633">
        <f>APA!AO221</f>
        <v>911.49815477827565</v>
      </c>
      <c r="AP100" s="633">
        <f>APA!AP221</f>
        <v>508.60561660139467</v>
      </c>
      <c r="AQ100" s="633">
        <f>APA!AQ221</f>
        <v>533.7758653394809</v>
      </c>
      <c r="AR100" s="633">
        <f>APA!AR221</f>
        <v>471.03573096117844</v>
      </c>
      <c r="AS100" s="633">
        <f>APA!AS221</f>
        <v>387.18755210016946</v>
      </c>
      <c r="AT100" s="633">
        <f>APA!AT221</f>
        <v>382.09204947711135</v>
      </c>
      <c r="AU100" s="633">
        <f>APA!AU221</f>
        <v>403.59908353971298</v>
      </c>
      <c r="AV100" s="633">
        <f>APA!AV221</f>
        <v>415.34479835795264</v>
      </c>
      <c r="AW100" s="633">
        <f>APA!AW221</f>
        <v>391.5436060419056</v>
      </c>
      <c r="AX100" s="633">
        <f>APA!AX221</f>
        <v>402.62961444925054</v>
      </c>
      <c r="AY100" s="633">
        <f>APA!AY221</f>
        <v>414.06581470277411</v>
      </c>
      <c r="AZ100" s="633">
        <f>APA!AZ221</f>
        <v>425.85524140697248</v>
      </c>
      <c r="BA100" s="633">
        <f>APA!BA221</f>
        <v>281.67203144239744</v>
      </c>
      <c r="BB100" s="633">
        <f>APA!BB221</f>
        <v>293.68740887278761</v>
      </c>
      <c r="BC100" s="633">
        <f>APA!BC221</f>
        <v>306.05717469959131</v>
      </c>
      <c r="BD100" s="633">
        <f>APA!BD221</f>
        <v>318.78992317398416</v>
      </c>
      <c r="BE100" s="633">
        <f>APA!BE221</f>
        <v>331.89439286892554</v>
      </c>
      <c r="BF100" s="633">
        <f>APA!BF221</f>
        <v>345.37646985661092</v>
      </c>
      <c r="BG100" s="633">
        <f>APA!BG221</f>
        <v>359.24756967643293</v>
      </c>
      <c r="BH100" s="633">
        <f>APA!BH221</f>
        <v>373.51241711621128</v>
      </c>
      <c r="BI100" s="633">
        <f>APA!BI221</f>
        <v>388.18354433164836</v>
      </c>
      <c r="BJ100" s="633">
        <f>APA!BJ221</f>
        <v>403.26646234765053</v>
      </c>
      <c r="BK100" s="633">
        <f>APA!BK221</f>
        <v>418.77295966472366</v>
      </c>
      <c r="BL100" s="633">
        <f>APA!BL221</f>
        <v>434.71122075607639</v>
      </c>
      <c r="BM100" s="633">
        <f>APA!BM221</f>
        <v>451.09080033775899</v>
      </c>
      <c r="BN100" s="633">
        <f>APA!BN221</f>
        <v>467.92105133578877</v>
      </c>
      <c r="BO100" s="633">
        <f>APA!BO221</f>
        <v>485.21233699722279</v>
      </c>
      <c r="BP100" s="633">
        <f>APA!BP221</f>
        <v>502.97485133650298</v>
      </c>
      <c r="BQ100" s="633">
        <f>APA!BQ221</f>
        <v>495.25290155561083</v>
      </c>
      <c r="BR100" s="633">
        <f>APA!BR221</f>
        <v>510.32472955275477</v>
      </c>
      <c r="BS100" s="633">
        <f>APA!BS221</f>
        <v>493.96048842301457</v>
      </c>
      <c r="BT100" s="633">
        <f>APA!BT221</f>
        <v>480.96041796299562</v>
      </c>
      <c r="BU100" s="633">
        <f>APA!BU221</f>
        <v>495.96364336919112</v>
      </c>
      <c r="BV100" s="633">
        <f>APA!BV221</f>
        <v>511.3353355908821</v>
      </c>
      <c r="BW100" s="633">
        <f>APA!BW221</f>
        <v>527.08177567400946</v>
      </c>
      <c r="BX100" s="633">
        <f>APA!BX221</f>
        <v>543.21035585135928</v>
      </c>
      <c r="BY100" s="633">
        <f>APA!BY221</f>
        <v>559.72627243683951</v>
      </c>
      <c r="BZ100" s="633">
        <f>APA!BZ221</f>
        <v>576.63885032122062</v>
      </c>
      <c r="CA100" s="633">
        <f>APA!CA221</f>
        <v>593.95431871832056</v>
      </c>
      <c r="CB100" s="633">
        <f>APA!CB221</f>
        <v>611.68183496319477</v>
      </c>
      <c r="CC100" s="633">
        <f>APA!CC221</f>
        <v>626.13756646545153</v>
      </c>
      <c r="CD100" s="633">
        <f>APA!CD221</f>
        <v>600.37119507642979</v>
      </c>
      <c r="CE100" s="633">
        <f>APA!CE221</f>
        <v>618.41437091445232</v>
      </c>
      <c r="CF100" s="633">
        <f>APA!CF221</f>
        <v>636.87784353473398</v>
      </c>
      <c r="CG100" s="633">
        <f>APA!CG221</f>
        <v>655.77049888839304</v>
      </c>
      <c r="CH100" s="633">
        <f>APA!CH221</f>
        <v>223.49643446097275</v>
      </c>
      <c r="CI100" s="633">
        <f>APA!CI221</f>
        <v>236.43771201239076</v>
      </c>
      <c r="CJ100" s="633">
        <f>APA!CJ221</f>
        <v>249.73927998474142</v>
      </c>
      <c r="CK100" s="633">
        <f>APA!CK221</f>
        <v>263.40766401727012</v>
      </c>
      <c r="CL100" s="633">
        <f>APA!CL221</f>
        <v>277.44996387319327</v>
      </c>
      <c r="CM100" s="633">
        <f>APA!CM221</f>
        <v>291.87494226651529</v>
      </c>
      <c r="CN100" s="633">
        <f>APA!CN221</f>
        <v>306.69117410476019</v>
      </c>
      <c r="CO100" s="633">
        <f>APA!CO221</f>
        <v>321.90779664477327</v>
      </c>
      <c r="CP100" s="633">
        <f>APA!CP221</f>
        <v>306.75578645969324</v>
      </c>
      <c r="CQ100" s="6" t="s">
        <v>77</v>
      </c>
      <c r="CR100" s="472"/>
    </row>
    <row r="101" spans="1:96" outlineLevel="1" x14ac:dyDescent="0.2">
      <c r="A101" s="472"/>
      <c r="B101" s="698" t="s">
        <v>598</v>
      </c>
      <c r="D101" s="693"/>
      <c r="E101" s="693"/>
      <c r="F101" s="693"/>
      <c r="G101" s="693"/>
      <c r="H101" s="693"/>
      <c r="I101" s="693"/>
      <c r="J101" s="693"/>
      <c r="K101" s="629">
        <f>APA!K250</f>
        <v>0</v>
      </c>
      <c r="L101" s="629">
        <f>APA!L250</f>
        <v>0</v>
      </c>
      <c r="M101" s="629">
        <f>APA!M250</f>
        <v>0</v>
      </c>
      <c r="N101" s="629">
        <f>APA!N250</f>
        <v>0</v>
      </c>
      <c r="O101" s="629">
        <f>APA!O250</f>
        <v>0</v>
      </c>
      <c r="P101" s="629">
        <f>APA!P250</f>
        <v>0</v>
      </c>
      <c r="Q101" s="629">
        <f>APA!Q250</f>
        <v>0</v>
      </c>
      <c r="R101" s="629">
        <f>APA!R250</f>
        <v>0</v>
      </c>
      <c r="S101" s="629">
        <f>APA!S250</f>
        <v>0</v>
      </c>
      <c r="T101" s="633">
        <f>APA!T250</f>
        <v>0</v>
      </c>
      <c r="U101" s="633">
        <f>APA!U250</f>
        <v>208.63</v>
      </c>
      <c r="V101" s="633">
        <f>APA!V250</f>
        <v>369.58299999999986</v>
      </c>
      <c r="W101" s="633">
        <f>APA!W250</f>
        <v>425.98400000000009</v>
      </c>
      <c r="X101" s="633">
        <f>APA!X250</f>
        <v>340.60605829849351</v>
      </c>
      <c r="Y101" s="633">
        <f>APA!Y250</f>
        <v>335.40135122327433</v>
      </c>
      <c r="Z101" s="633">
        <f>APA!Z250</f>
        <v>354.84460943000545</v>
      </c>
      <c r="AA101" s="633">
        <f>APA!AA250</f>
        <v>306.18719538010521</v>
      </c>
      <c r="AB101" s="633">
        <f>APA!AB250</f>
        <v>272.95585376038252</v>
      </c>
      <c r="AC101" s="633">
        <f>APA!AC250</f>
        <v>249.48529595295724</v>
      </c>
      <c r="AD101" s="633">
        <f>APA!AD250</f>
        <v>278.10575097160893</v>
      </c>
      <c r="AE101" s="633">
        <f>APA!AE250</f>
        <v>297.32363395588447</v>
      </c>
      <c r="AF101" s="633">
        <f>APA!AF250</f>
        <v>300.20580116920689</v>
      </c>
      <c r="AG101" s="633">
        <f>APA!AG250</f>
        <v>294.33458119886359</v>
      </c>
      <c r="AH101" s="633">
        <f>APA!AH250</f>
        <v>311.81954646163194</v>
      </c>
      <c r="AI101" s="633">
        <f>APA!AI250</f>
        <v>221.3674033354016</v>
      </c>
      <c r="AJ101" s="633">
        <f>APA!AJ250</f>
        <v>164.27707471903693</v>
      </c>
      <c r="AK101" s="633">
        <f>APA!AK250</f>
        <v>151.36241805304712</v>
      </c>
      <c r="AL101" s="633">
        <f>APA!AL250</f>
        <v>169.02310978606215</v>
      </c>
      <c r="AM101" s="633">
        <f>APA!AM250</f>
        <v>187.52580634505557</v>
      </c>
      <c r="AN101" s="633">
        <f>APA!AN250</f>
        <v>196.81807101852439</v>
      </c>
      <c r="AO101" s="633">
        <f>APA!AO250</f>
        <v>182.77830151415515</v>
      </c>
      <c r="AP101" s="633">
        <f>APA!AP250</f>
        <v>-220.71844544980326</v>
      </c>
      <c r="AQ101" s="633">
        <f>APA!AQ250</f>
        <v>-196.15338030769703</v>
      </c>
      <c r="AR101" s="633">
        <f>APA!AR250</f>
        <v>-259.49967452608985</v>
      </c>
      <c r="AS101" s="633">
        <f>APA!AS250</f>
        <v>-343.95499090858965</v>
      </c>
      <c r="AT101" s="633">
        <f>APA!AT250</f>
        <v>-349.65861017391427</v>
      </c>
      <c r="AU101" s="633">
        <f>APA!AU250</f>
        <v>-328.76067331581839</v>
      </c>
      <c r="AV101" s="633">
        <f>APA!AV250</f>
        <v>-317.62503770787868</v>
      </c>
      <c r="AW101" s="633">
        <f>APA!AW250</f>
        <v>-342.03729268566894</v>
      </c>
      <c r="AX101" s="633">
        <f>APA!AX250</f>
        <v>-331.56333183925693</v>
      </c>
      <c r="AY101" s="633">
        <f>APA!AY250</f>
        <v>-320.74016549570297</v>
      </c>
      <c r="AZ101" s="633">
        <f>APA!AZ250</f>
        <v>-309.56476050246113</v>
      </c>
      <c r="BA101" s="633">
        <f>APA!BA250</f>
        <v>-454.36298143303634</v>
      </c>
      <c r="BB101" s="633">
        <f>APA!BB250</f>
        <v>-442.96360567985624</v>
      </c>
      <c r="BC101" s="633">
        <f>APA!BC250</f>
        <v>-431.21083369975133</v>
      </c>
      <c r="BD101" s="633">
        <f>APA!BD250</f>
        <v>-419.0960727019405</v>
      </c>
      <c r="BE101" s="633">
        <f>APA!BE250</f>
        <v>-406.61058557597744</v>
      </c>
      <c r="BF101" s="633">
        <f>APA!BF250</f>
        <v>-393.7484877143014</v>
      </c>
      <c r="BG101" s="633">
        <f>APA!BG250</f>
        <v>-380.49836504427958</v>
      </c>
      <c r="BH101" s="633">
        <f>APA!BH250</f>
        <v>-366.85549424697979</v>
      </c>
      <c r="BI101" s="633">
        <f>APA!BI250</f>
        <v>-352.80734463771819</v>
      </c>
      <c r="BJ101" s="633">
        <f>APA!BJ250</f>
        <v>-338.34840666474099</v>
      </c>
      <c r="BK101" s="633">
        <f>APA!BK250</f>
        <v>-323.46689330283209</v>
      </c>
      <c r="BL101" s="633">
        <f>APA!BL250</f>
        <v>-308.15462155621276</v>
      </c>
      <c r="BM101" s="633">
        <f>APA!BM250</f>
        <v>-292.40203818840604</v>
      </c>
      <c r="BN101" s="633">
        <f>APA!BN250</f>
        <v>-276.19979175511435</v>
      </c>
      <c r="BO101" s="633">
        <f>APA!BO250</f>
        <v>-259.53752049315</v>
      </c>
      <c r="BP101" s="633">
        <f>APA!BP250</f>
        <v>-242.40503187409291</v>
      </c>
      <c r="BQ101" s="633">
        <f>APA!BQ250</f>
        <v>-250.7580201841393</v>
      </c>
      <c r="BR101" s="633">
        <f>APA!BR250</f>
        <v>-236.31824501541735</v>
      </c>
      <c r="BS101" s="633">
        <f>APA!BS250</f>
        <v>-253.31555476534584</v>
      </c>
      <c r="BT101" s="633">
        <f>APA!BT250</f>
        <v>-266.94971113198312</v>
      </c>
      <c r="BU101" s="633">
        <f>APA!BU250</f>
        <v>-252.58159041566807</v>
      </c>
      <c r="BV101" s="633">
        <f>APA!BV250</f>
        <v>-237.84602316612296</v>
      </c>
      <c r="BW101" s="633">
        <f>APA!BW250</f>
        <v>-222.73672983858495</v>
      </c>
      <c r="BX101" s="633">
        <f>APA!BX250</f>
        <v>-207.24631970362361</v>
      </c>
      <c r="BY101" s="633">
        <f>APA!BY250</f>
        <v>-191.36959795286759</v>
      </c>
      <c r="BZ101" s="633">
        <f>APA!BZ250</f>
        <v>-175.09724120326689</v>
      </c>
      <c r="CA101" s="633">
        <f>APA!CA250</f>
        <v>-158.42302175091118</v>
      </c>
      <c r="CB101" s="633">
        <f>APA!CB250</f>
        <v>-141.33778377284318</v>
      </c>
      <c r="CC101" s="633">
        <f>APA!CC250</f>
        <v>-127.52536137374608</v>
      </c>
      <c r="CD101" s="633">
        <f>APA!CD250</f>
        <v>-153.93607421876919</v>
      </c>
      <c r="CE101" s="633">
        <f>APA!CE250</f>
        <v>-136.53827370827776</v>
      </c>
      <c r="CF101" s="633">
        <f>APA!CF250</f>
        <v>-118.72121180794812</v>
      </c>
      <c r="CG101" s="633">
        <f>APA!CG250</f>
        <v>-100.47600408975927</v>
      </c>
      <c r="CH101" s="633">
        <f>APA!CH250</f>
        <v>-533.39855459347484</v>
      </c>
      <c r="CI101" s="633">
        <f>APA!CI250</f>
        <v>-521.10680308669635</v>
      </c>
      <c r="CJ101" s="633">
        <f>APA!CJ250</f>
        <v>-508.45580265706485</v>
      </c>
      <c r="CK101" s="633">
        <f>APA!CK250</f>
        <v>-495.43902919728907</v>
      </c>
      <c r="CL101" s="633">
        <f>APA!CL250</f>
        <v>-482.04938447832916</v>
      </c>
      <c r="CM101" s="633">
        <f>APA!CM250</f>
        <v>-468.27810732258251</v>
      </c>
      <c r="CN101" s="633">
        <f>APA!CN250</f>
        <v>-454.1166243611558</v>
      </c>
      <c r="CO101" s="633">
        <f>APA!CO250</f>
        <v>-439.55579987806624</v>
      </c>
      <c r="CP101" s="633">
        <f>APA!CP250</f>
        <v>-455.36465884327265</v>
      </c>
      <c r="CQ101" s="6" t="s">
        <v>77</v>
      </c>
      <c r="CR101" s="472"/>
    </row>
    <row r="102" spans="1:96" ht="5.0999999999999996" customHeight="1" outlineLevel="1" x14ac:dyDescent="0.2">
      <c r="B102" s="104"/>
      <c r="K102" s="625"/>
      <c r="L102" s="625"/>
      <c r="M102" s="625"/>
      <c r="N102" s="625"/>
      <c r="O102" s="625"/>
      <c r="P102" s="632"/>
      <c r="Q102" s="632"/>
      <c r="R102" s="632"/>
      <c r="S102" s="632"/>
      <c r="T102" s="632"/>
      <c r="U102" s="632"/>
      <c r="V102" s="632"/>
      <c r="W102" s="632"/>
      <c r="X102" s="632"/>
      <c r="Y102" s="632"/>
      <c r="Z102" s="632"/>
      <c r="AA102" s="632"/>
      <c r="AB102" s="632"/>
      <c r="AC102" s="632"/>
      <c r="AD102" s="632"/>
      <c r="AE102" s="632"/>
      <c r="AF102" s="632"/>
      <c r="AG102" s="632"/>
      <c r="AH102" s="632"/>
      <c r="AI102" s="632"/>
      <c r="AJ102" s="632"/>
      <c r="AK102" s="632"/>
      <c r="AL102" s="632"/>
      <c r="AM102" s="632"/>
      <c r="AN102" s="632"/>
      <c r="AO102" s="632"/>
      <c r="AP102" s="632"/>
      <c r="AQ102" s="632"/>
      <c r="AR102" s="632"/>
      <c r="AS102" s="632"/>
      <c r="AT102" s="632"/>
      <c r="AU102" s="632"/>
      <c r="AV102" s="632"/>
      <c r="AW102" s="632"/>
      <c r="AX102" s="632"/>
      <c r="AY102" s="632"/>
      <c r="AZ102" s="632"/>
      <c r="BA102" s="632"/>
      <c r="BB102" s="632"/>
      <c r="BC102" s="632"/>
      <c r="BD102" s="632"/>
      <c r="BE102" s="632"/>
      <c r="BF102" s="632"/>
      <c r="BG102" s="632"/>
      <c r="BH102" s="632"/>
      <c r="BI102" s="632"/>
      <c r="BJ102" s="632"/>
      <c r="BK102" s="632"/>
      <c r="BL102" s="632"/>
      <c r="BM102" s="632"/>
      <c r="BN102" s="632"/>
      <c r="BO102" s="632"/>
      <c r="BP102" s="632"/>
      <c r="BQ102" s="632"/>
      <c r="BR102" s="632"/>
      <c r="BS102" s="632"/>
      <c r="BT102" s="632"/>
      <c r="BU102" s="632"/>
      <c r="BV102" s="632"/>
      <c r="BW102" s="632"/>
      <c r="BX102" s="632"/>
      <c r="BY102" s="632"/>
      <c r="BZ102" s="632"/>
      <c r="CA102" s="632"/>
      <c r="CB102" s="632"/>
      <c r="CC102" s="632"/>
      <c r="CD102" s="632"/>
      <c r="CE102" s="632"/>
      <c r="CF102" s="632"/>
      <c r="CG102" s="632"/>
      <c r="CH102" s="632"/>
      <c r="CI102" s="632"/>
      <c r="CJ102" s="632"/>
      <c r="CK102" s="632"/>
      <c r="CL102" s="632"/>
      <c r="CM102" s="632"/>
      <c r="CN102" s="632"/>
      <c r="CO102" s="632"/>
      <c r="CP102" s="632"/>
      <c r="CQ102" s="6" t="s">
        <v>77</v>
      </c>
    </row>
    <row r="103" spans="1:96" outlineLevel="1" x14ac:dyDescent="0.2">
      <c r="B103" s="474" t="s">
        <v>229</v>
      </c>
      <c r="K103" s="629">
        <f>+APA!K139</f>
        <v>22.5</v>
      </c>
      <c r="L103" s="629">
        <f>+APA!L139</f>
        <v>24</v>
      </c>
      <c r="M103" s="629">
        <f>+APA!M139</f>
        <v>28</v>
      </c>
      <c r="N103" s="629">
        <f>+APA!N139</f>
        <v>29.5</v>
      </c>
      <c r="O103" s="629">
        <f>+APA!O139</f>
        <v>31</v>
      </c>
      <c r="P103" s="629">
        <f>+APA!P139</f>
        <v>32.75</v>
      </c>
      <c r="Q103" s="629">
        <f>+APA!Q139</f>
        <v>34.4</v>
      </c>
      <c r="R103" s="629">
        <f>+APA!R139</f>
        <v>35</v>
      </c>
      <c r="S103" s="629">
        <f>+APA!S139</f>
        <v>35.5</v>
      </c>
      <c r="T103" s="633">
        <f>+APA!T139</f>
        <v>36.25</v>
      </c>
      <c r="U103" s="633">
        <f>+APA!U139</f>
        <v>38</v>
      </c>
      <c r="V103" s="633">
        <f>+APA!V139</f>
        <v>41.5</v>
      </c>
      <c r="W103" s="633">
        <f>+APA!W139</f>
        <v>43.5</v>
      </c>
      <c r="X103" s="633">
        <f>+APA!X139</f>
        <v>45</v>
      </c>
      <c r="Y103" s="633">
        <f>+APA!Y139</f>
        <v>48</v>
      </c>
      <c r="Z103" s="633">
        <f>+APA!Z139</f>
        <v>50</v>
      </c>
      <c r="AA103" s="633">
        <f>+APA!AA139</f>
        <v>50</v>
      </c>
      <c r="AB103" s="633">
        <f>+APA!AB139</f>
        <v>50</v>
      </c>
      <c r="AC103" s="633">
        <f>+APA!AC139</f>
        <v>50</v>
      </c>
      <c r="AD103" s="633">
        <f>+APA!AD139</f>
        <v>50</v>
      </c>
      <c r="AE103" s="633">
        <f>+APA!AE139</f>
        <v>50</v>
      </c>
      <c r="AF103" s="633">
        <f>+APA!AF139</f>
        <v>50</v>
      </c>
      <c r="AG103" s="633">
        <f>+APA!AG139</f>
        <v>50</v>
      </c>
      <c r="AH103" s="633">
        <f>+APA!AH139</f>
        <v>50</v>
      </c>
      <c r="AI103" s="633">
        <f>+APA!AI139</f>
        <v>50</v>
      </c>
      <c r="AJ103" s="633">
        <f>+APA!AJ139</f>
        <v>50</v>
      </c>
      <c r="AK103" s="633">
        <f>+APA!AK139</f>
        <v>50</v>
      </c>
      <c r="AL103" s="633">
        <f>+APA!AL139</f>
        <v>50</v>
      </c>
      <c r="AM103" s="633">
        <f>+APA!AM139</f>
        <v>50</v>
      </c>
      <c r="AN103" s="633">
        <f>+APA!AN139</f>
        <v>50</v>
      </c>
      <c r="AO103" s="633">
        <f>+APA!AO139</f>
        <v>50</v>
      </c>
      <c r="AP103" s="633">
        <f>+APA!AP139</f>
        <v>50</v>
      </c>
      <c r="AQ103" s="633">
        <f>+APA!AQ139</f>
        <v>50</v>
      </c>
      <c r="AR103" s="633">
        <f>+APA!AR139</f>
        <v>50</v>
      </c>
      <c r="AS103" s="633">
        <f>+APA!AS139</f>
        <v>50</v>
      </c>
      <c r="AT103" s="633">
        <f>+APA!AT139</f>
        <v>50</v>
      </c>
      <c r="AU103" s="633">
        <f>+APA!AU139</f>
        <v>50</v>
      </c>
      <c r="AV103" s="633">
        <f>+APA!AV139</f>
        <v>50</v>
      </c>
      <c r="AW103" s="633">
        <f>+APA!AW139</f>
        <v>50</v>
      </c>
      <c r="AX103" s="633">
        <f>+APA!AX139</f>
        <v>50</v>
      </c>
      <c r="AY103" s="633">
        <f>+APA!AY139</f>
        <v>50</v>
      </c>
      <c r="AZ103" s="633">
        <f>+APA!AZ139</f>
        <v>50</v>
      </c>
      <c r="BA103" s="633">
        <f>+APA!BA139</f>
        <v>50</v>
      </c>
      <c r="BB103" s="633">
        <f>+APA!BB139</f>
        <v>50</v>
      </c>
      <c r="BC103" s="633">
        <f>+APA!BC139</f>
        <v>50</v>
      </c>
      <c r="BD103" s="633">
        <f>+APA!BD139</f>
        <v>50</v>
      </c>
      <c r="BE103" s="633">
        <f>+APA!BE139</f>
        <v>50</v>
      </c>
      <c r="BF103" s="633">
        <f>+APA!BF139</f>
        <v>50</v>
      </c>
      <c r="BG103" s="633">
        <f>+APA!BG139</f>
        <v>50</v>
      </c>
      <c r="BH103" s="633">
        <f>+APA!BH139</f>
        <v>50</v>
      </c>
      <c r="BI103" s="633">
        <f>+APA!BI139</f>
        <v>50</v>
      </c>
      <c r="BJ103" s="633">
        <f>+APA!BJ139</f>
        <v>50</v>
      </c>
      <c r="BK103" s="633">
        <f>+APA!BK139</f>
        <v>50</v>
      </c>
      <c r="BL103" s="633">
        <f>+APA!BL139</f>
        <v>50</v>
      </c>
      <c r="BM103" s="633">
        <f>+APA!BM139</f>
        <v>50</v>
      </c>
      <c r="BN103" s="633">
        <f>+APA!BN139</f>
        <v>50</v>
      </c>
      <c r="BO103" s="633">
        <f>+APA!BO139</f>
        <v>50</v>
      </c>
      <c r="BP103" s="633">
        <f>+APA!BP139</f>
        <v>50</v>
      </c>
      <c r="BQ103" s="633">
        <f>+APA!BQ139</f>
        <v>50</v>
      </c>
      <c r="BR103" s="633">
        <f>+APA!BR139</f>
        <v>50</v>
      </c>
      <c r="BS103" s="633">
        <f>+APA!BS139</f>
        <v>50</v>
      </c>
      <c r="BT103" s="633">
        <f>+APA!BT139</f>
        <v>50</v>
      </c>
      <c r="BU103" s="633">
        <f>+APA!BU139</f>
        <v>50</v>
      </c>
      <c r="BV103" s="633">
        <f>+APA!BV139</f>
        <v>50</v>
      </c>
      <c r="BW103" s="633">
        <f>+APA!BW139</f>
        <v>50</v>
      </c>
      <c r="BX103" s="633">
        <f>+APA!BX139</f>
        <v>50</v>
      </c>
      <c r="BY103" s="633">
        <f>+APA!BY139</f>
        <v>50</v>
      </c>
      <c r="BZ103" s="633">
        <f>+APA!BZ139</f>
        <v>50</v>
      </c>
      <c r="CA103" s="633">
        <f>+APA!CA139</f>
        <v>50</v>
      </c>
      <c r="CB103" s="633">
        <f>+APA!CB139</f>
        <v>50</v>
      </c>
      <c r="CC103" s="633">
        <f>+APA!CC139</f>
        <v>50</v>
      </c>
      <c r="CD103" s="633">
        <f>+APA!CD139</f>
        <v>50</v>
      </c>
      <c r="CE103" s="633">
        <f>+APA!CE139</f>
        <v>50</v>
      </c>
      <c r="CF103" s="633">
        <f>+APA!CF139</f>
        <v>50</v>
      </c>
      <c r="CG103" s="633">
        <f>+APA!CG139</f>
        <v>50</v>
      </c>
      <c r="CH103" s="633">
        <f>+APA!CH139</f>
        <v>50</v>
      </c>
      <c r="CI103" s="633">
        <f>+APA!CI139</f>
        <v>50</v>
      </c>
      <c r="CJ103" s="633">
        <f>+APA!CJ139</f>
        <v>50</v>
      </c>
      <c r="CK103" s="633">
        <f>+APA!CK139</f>
        <v>50</v>
      </c>
      <c r="CL103" s="633">
        <f>+APA!CL139</f>
        <v>50</v>
      </c>
      <c r="CM103" s="633">
        <f>+APA!CM139</f>
        <v>50</v>
      </c>
      <c r="CN103" s="633">
        <f>+APA!CN139</f>
        <v>50</v>
      </c>
      <c r="CO103" s="633">
        <f>+APA!CO139</f>
        <v>50</v>
      </c>
      <c r="CP103" s="633">
        <f>+APA!CP139</f>
        <v>50</v>
      </c>
      <c r="CQ103" s="6" t="s">
        <v>77</v>
      </c>
    </row>
    <row r="104" spans="1:96" outlineLevel="1" x14ac:dyDescent="0.2">
      <c r="B104" s="689" t="s">
        <v>1</v>
      </c>
      <c r="K104" s="629">
        <f>+APA!K171</f>
        <v>278.89999999999998</v>
      </c>
      <c r="L104" s="629">
        <f>+APA!L171</f>
        <v>289.61399999999998</v>
      </c>
      <c r="M104" s="629">
        <f>+APA!M171</f>
        <v>379.55099999999999</v>
      </c>
      <c r="N104" s="629">
        <f>+APA!N171</f>
        <v>450.262</v>
      </c>
      <c r="O104" s="629">
        <f>+APA!O171</f>
        <v>485.077</v>
      </c>
      <c r="P104" s="629">
        <f>+APA!P171</f>
        <v>516.24300000000005</v>
      </c>
      <c r="Q104" s="629">
        <f>+APA!Q171</f>
        <v>551.22199999999998</v>
      </c>
      <c r="R104" s="629">
        <f>+APA!R171</f>
        <v>639.74300000000005</v>
      </c>
      <c r="S104" s="629">
        <f>+APA!S171</f>
        <v>772.31399999999996</v>
      </c>
      <c r="T104" s="633">
        <f>+APA!T171</f>
        <v>835.75099999999998</v>
      </c>
      <c r="U104" s="633">
        <f>+APA!U171</f>
        <v>975.029</v>
      </c>
      <c r="V104" s="633">
        <f>+APA!V171</f>
        <v>1114.307</v>
      </c>
      <c r="W104" s="633">
        <f>+APA!W171</f>
        <v>1114.307</v>
      </c>
      <c r="X104" s="633">
        <f>+APA!X171</f>
        <v>1147.0807465</v>
      </c>
      <c r="Y104" s="633">
        <f>+APA!Y171</f>
        <v>1179.854493</v>
      </c>
      <c r="Z104" s="633">
        <f>+APA!Z171</f>
        <v>1179.854493</v>
      </c>
      <c r="AA104" s="633">
        <f>+APA!AA171</f>
        <v>1179.854493</v>
      </c>
      <c r="AB104" s="633">
        <f>+APA!AB171</f>
        <v>1179.854493</v>
      </c>
      <c r="AC104" s="633">
        <f>+APA!AC171</f>
        <v>1179.854493</v>
      </c>
      <c r="AD104" s="633">
        <f>+APA!AD171</f>
        <v>1179.854493</v>
      </c>
      <c r="AE104" s="633">
        <f>+APA!AE171</f>
        <v>1179.854493</v>
      </c>
      <c r="AF104" s="633">
        <f>+APA!AF171</f>
        <v>1179.854493</v>
      </c>
      <c r="AG104" s="633">
        <f>+APA!AG171</f>
        <v>1179.854493</v>
      </c>
      <c r="AH104" s="633">
        <f>+APA!AH171</f>
        <v>1179.854493</v>
      </c>
      <c r="AI104" s="633">
        <f>+APA!AI171</f>
        <v>1179.854493</v>
      </c>
      <c r="AJ104" s="633">
        <f>+APA!AJ171</f>
        <v>1179.854493</v>
      </c>
      <c r="AK104" s="633">
        <f>+APA!AK171</f>
        <v>1179.854493</v>
      </c>
      <c r="AL104" s="633">
        <f>+APA!AL171</f>
        <v>1179.854493</v>
      </c>
      <c r="AM104" s="633">
        <f>+APA!AM171</f>
        <v>1179.854493</v>
      </c>
      <c r="AN104" s="633">
        <f>+APA!AN171</f>
        <v>1179.854493</v>
      </c>
      <c r="AO104" s="633">
        <f>+APA!AO171</f>
        <v>1179.854493</v>
      </c>
      <c r="AP104" s="633">
        <f>+APA!AP171</f>
        <v>1179.854493</v>
      </c>
      <c r="AQ104" s="633">
        <f>+APA!AQ171</f>
        <v>1179.854493</v>
      </c>
      <c r="AR104" s="633">
        <f>+APA!AR171</f>
        <v>1179.854493</v>
      </c>
      <c r="AS104" s="633">
        <f>+APA!AS171</f>
        <v>1179.854493</v>
      </c>
      <c r="AT104" s="633">
        <f>+APA!AT171</f>
        <v>1179.854493</v>
      </c>
      <c r="AU104" s="633">
        <f>+APA!AU171</f>
        <v>1179.854493</v>
      </c>
      <c r="AV104" s="633">
        <f>+APA!AV171</f>
        <v>1179.854493</v>
      </c>
      <c r="AW104" s="633">
        <f>+APA!AW171</f>
        <v>1179.854493</v>
      </c>
      <c r="AX104" s="633">
        <f>+APA!AX171</f>
        <v>1179.854493</v>
      </c>
      <c r="AY104" s="633">
        <f>+APA!AY171</f>
        <v>1179.854493</v>
      </c>
      <c r="AZ104" s="633">
        <f>+APA!AZ171</f>
        <v>1179.854493</v>
      </c>
      <c r="BA104" s="633">
        <f>+APA!BA171</f>
        <v>1179.854493</v>
      </c>
      <c r="BB104" s="633">
        <f>+APA!BB171</f>
        <v>1179.854493</v>
      </c>
      <c r="BC104" s="633">
        <f>+APA!BC171</f>
        <v>1179.854493</v>
      </c>
      <c r="BD104" s="633">
        <f>+APA!BD171</f>
        <v>1179.854493</v>
      </c>
      <c r="BE104" s="633">
        <f>+APA!BE171</f>
        <v>1179.854493</v>
      </c>
      <c r="BF104" s="633">
        <f>+APA!BF171</f>
        <v>1179.854493</v>
      </c>
      <c r="BG104" s="633">
        <f>+APA!BG171</f>
        <v>1179.854493</v>
      </c>
      <c r="BH104" s="633">
        <f>+APA!BH171</f>
        <v>1179.854493</v>
      </c>
      <c r="BI104" s="633">
        <f>+APA!BI171</f>
        <v>1179.854493</v>
      </c>
      <c r="BJ104" s="633">
        <f>+APA!BJ171</f>
        <v>1179.854493</v>
      </c>
      <c r="BK104" s="633">
        <f>+APA!BK171</f>
        <v>1179.854493</v>
      </c>
      <c r="BL104" s="633">
        <f>+APA!BL171</f>
        <v>1179.854493</v>
      </c>
      <c r="BM104" s="633">
        <f>+APA!BM171</f>
        <v>1179.854493</v>
      </c>
      <c r="BN104" s="633">
        <f>+APA!BN171</f>
        <v>1179.854493</v>
      </c>
      <c r="BO104" s="633">
        <f>+APA!BO171</f>
        <v>1179.854493</v>
      </c>
      <c r="BP104" s="633">
        <f>+APA!BP171</f>
        <v>1179.854493</v>
      </c>
      <c r="BQ104" s="633">
        <f>+APA!BQ171</f>
        <v>1179.854493</v>
      </c>
      <c r="BR104" s="633">
        <f>+APA!BR171</f>
        <v>1179.854493</v>
      </c>
      <c r="BS104" s="633">
        <f>+APA!BS171</f>
        <v>1179.854493</v>
      </c>
      <c r="BT104" s="633">
        <f>+APA!BT171</f>
        <v>1179.854493</v>
      </c>
      <c r="BU104" s="633">
        <f>+APA!BU171</f>
        <v>1179.854493</v>
      </c>
      <c r="BV104" s="633">
        <f>+APA!BV171</f>
        <v>1179.854493</v>
      </c>
      <c r="BW104" s="633">
        <f>+APA!BW171</f>
        <v>1179.854493</v>
      </c>
      <c r="BX104" s="633">
        <f>+APA!BX171</f>
        <v>1179.854493</v>
      </c>
      <c r="BY104" s="633">
        <f>+APA!BY171</f>
        <v>1179.854493</v>
      </c>
      <c r="BZ104" s="633">
        <f>+APA!BZ171</f>
        <v>1179.854493</v>
      </c>
      <c r="CA104" s="633">
        <f>+APA!CA171</f>
        <v>1179.854493</v>
      </c>
      <c r="CB104" s="633">
        <f>+APA!CB171</f>
        <v>1179.854493</v>
      </c>
      <c r="CC104" s="633">
        <f>+APA!CC171</f>
        <v>1179.854493</v>
      </c>
      <c r="CD104" s="633">
        <f>+APA!CD171</f>
        <v>1179.854493</v>
      </c>
      <c r="CE104" s="633">
        <f>+APA!CE171</f>
        <v>1179.854493</v>
      </c>
      <c r="CF104" s="633">
        <f>+APA!CF171</f>
        <v>1179.854493</v>
      </c>
      <c r="CG104" s="633">
        <f>+APA!CG171</f>
        <v>1179.854493</v>
      </c>
      <c r="CH104" s="633">
        <f>+APA!CH171</f>
        <v>1179.854493</v>
      </c>
      <c r="CI104" s="633">
        <f>+APA!CI171</f>
        <v>1179.854493</v>
      </c>
      <c r="CJ104" s="633">
        <f>+APA!CJ171</f>
        <v>1179.854493</v>
      </c>
      <c r="CK104" s="633">
        <f>+APA!CK171</f>
        <v>1179.854493</v>
      </c>
      <c r="CL104" s="633">
        <f>+APA!CL171</f>
        <v>1179.854493</v>
      </c>
      <c r="CM104" s="633">
        <f>+APA!CM171</f>
        <v>1179.854493</v>
      </c>
      <c r="CN104" s="633">
        <f>+APA!CN171</f>
        <v>1179.854493</v>
      </c>
      <c r="CO104" s="633">
        <f>+APA!CO171</f>
        <v>1179.854493</v>
      </c>
      <c r="CP104" s="633">
        <f>+APA!CP171</f>
        <v>1179.854493</v>
      </c>
      <c r="CQ104" s="6" t="s">
        <v>77</v>
      </c>
    </row>
    <row r="105" spans="1:96" outlineLevel="1" x14ac:dyDescent="0.2">
      <c r="B105" s="689" t="s">
        <v>2</v>
      </c>
      <c r="K105" s="629">
        <f>+APA!K172</f>
        <v>278.89999999999998</v>
      </c>
      <c r="L105" s="629">
        <f>+APA!L172</f>
        <v>289.61399999999998</v>
      </c>
      <c r="M105" s="629">
        <f>+APA!M172</f>
        <v>379.55099999999999</v>
      </c>
      <c r="N105" s="629">
        <f>+APA!N172</f>
        <v>450.262</v>
      </c>
      <c r="O105" s="629">
        <f>+APA!O172</f>
        <v>485.077</v>
      </c>
      <c r="P105" s="629">
        <f>+APA!P172</f>
        <v>516.24300000000005</v>
      </c>
      <c r="Q105" s="629">
        <f>+APA!Q172</f>
        <v>551.22199999999998</v>
      </c>
      <c r="R105" s="629">
        <f>+APA!R172</f>
        <v>639.74300000000005</v>
      </c>
      <c r="S105" s="629">
        <f>+APA!S172</f>
        <v>772.31399999999996</v>
      </c>
      <c r="T105" s="633">
        <f>+APA!T172</f>
        <v>835.75100000000009</v>
      </c>
      <c r="U105" s="633">
        <f>+APA!U172</f>
        <v>975.02900000000022</v>
      </c>
      <c r="V105" s="633">
        <f>+APA!V172</f>
        <v>1114.3070000000002</v>
      </c>
      <c r="W105" s="633">
        <f>+APA!W172</f>
        <v>1114.3070000000005</v>
      </c>
      <c r="X105" s="633">
        <f>+APA!X172</f>
        <v>1147.0807465000005</v>
      </c>
      <c r="Y105" s="633">
        <f>+APA!Y172</f>
        <v>1179.8544930000005</v>
      </c>
      <c r="Z105" s="633">
        <f>+APA!Z172</f>
        <v>1179.8544930000005</v>
      </c>
      <c r="AA105" s="633">
        <f>+APA!AA172</f>
        <v>1179.8544930000005</v>
      </c>
      <c r="AB105" s="633">
        <f>+APA!AB172</f>
        <v>1179.8544930000005</v>
      </c>
      <c r="AC105" s="633">
        <f>+APA!AC172</f>
        <v>1179.8544930000005</v>
      </c>
      <c r="AD105" s="633">
        <f>+APA!AD172</f>
        <v>1179.8544930000005</v>
      </c>
      <c r="AE105" s="633">
        <f>+APA!AE172</f>
        <v>1179.8544930000005</v>
      </c>
      <c r="AF105" s="633">
        <f>+APA!AF172</f>
        <v>1179.8544930000005</v>
      </c>
      <c r="AG105" s="633">
        <f>+APA!AG172</f>
        <v>1179.8544930000005</v>
      </c>
      <c r="AH105" s="633">
        <f>+APA!AH172</f>
        <v>1179.8544930000005</v>
      </c>
      <c r="AI105" s="633">
        <f>+APA!AI172</f>
        <v>1179.8544930000005</v>
      </c>
      <c r="AJ105" s="633">
        <f>+APA!AJ172</f>
        <v>1179.8544930000005</v>
      </c>
      <c r="AK105" s="633">
        <f>+APA!AK172</f>
        <v>1179.8544930000005</v>
      </c>
      <c r="AL105" s="633">
        <f>+APA!AL172</f>
        <v>1179.8544930000005</v>
      </c>
      <c r="AM105" s="633">
        <f>+APA!AM172</f>
        <v>1179.8544930000005</v>
      </c>
      <c r="AN105" s="633">
        <f>+APA!AN172</f>
        <v>1179.8544930000005</v>
      </c>
      <c r="AO105" s="633">
        <f>+APA!AO172</f>
        <v>1179.8544930000005</v>
      </c>
      <c r="AP105" s="633">
        <f>+APA!AP172</f>
        <v>1179.8544930000005</v>
      </c>
      <c r="AQ105" s="633">
        <f>+APA!AQ172</f>
        <v>1179.8544930000005</v>
      </c>
      <c r="AR105" s="633">
        <f>+APA!AR172</f>
        <v>1179.8544930000005</v>
      </c>
      <c r="AS105" s="633">
        <f>+APA!AS172</f>
        <v>1179.8544930000005</v>
      </c>
      <c r="AT105" s="633">
        <f>+APA!AT172</f>
        <v>1179.8544930000005</v>
      </c>
      <c r="AU105" s="633">
        <f>+APA!AU172</f>
        <v>1179.8544930000005</v>
      </c>
      <c r="AV105" s="633">
        <f>+APA!AV172</f>
        <v>1179.8544930000005</v>
      </c>
      <c r="AW105" s="633">
        <f>+APA!AW172</f>
        <v>1179.8544930000005</v>
      </c>
      <c r="AX105" s="633">
        <f>+APA!AX172</f>
        <v>1179.8544930000005</v>
      </c>
      <c r="AY105" s="633">
        <f>+APA!AY172</f>
        <v>1179.8544930000005</v>
      </c>
      <c r="AZ105" s="633">
        <f>+APA!AZ172</f>
        <v>1179.8544930000005</v>
      </c>
      <c r="BA105" s="633">
        <f>+APA!BA172</f>
        <v>1179.8544930000005</v>
      </c>
      <c r="BB105" s="633">
        <f>+APA!BB172</f>
        <v>1179.8544930000005</v>
      </c>
      <c r="BC105" s="633">
        <f>+APA!BC172</f>
        <v>1179.8544930000005</v>
      </c>
      <c r="BD105" s="633">
        <f>+APA!BD172</f>
        <v>1179.8544930000005</v>
      </c>
      <c r="BE105" s="633">
        <f>+APA!BE172</f>
        <v>1179.8544930000005</v>
      </c>
      <c r="BF105" s="633">
        <f>+APA!BF172</f>
        <v>1179.8544930000005</v>
      </c>
      <c r="BG105" s="633">
        <f>+APA!BG172</f>
        <v>1179.8544930000005</v>
      </c>
      <c r="BH105" s="633">
        <f>+APA!BH172</f>
        <v>1179.8544930000005</v>
      </c>
      <c r="BI105" s="633">
        <f>+APA!BI172</f>
        <v>1179.8544930000005</v>
      </c>
      <c r="BJ105" s="633">
        <f>+APA!BJ172</f>
        <v>1179.8544930000005</v>
      </c>
      <c r="BK105" s="633">
        <f>+APA!BK172</f>
        <v>1179.8544930000005</v>
      </c>
      <c r="BL105" s="633">
        <f>+APA!BL172</f>
        <v>1179.8544930000005</v>
      </c>
      <c r="BM105" s="633">
        <f>+APA!BM172</f>
        <v>1179.8544930000005</v>
      </c>
      <c r="BN105" s="633">
        <f>+APA!BN172</f>
        <v>1179.8544930000005</v>
      </c>
      <c r="BO105" s="633">
        <f>+APA!BO172</f>
        <v>1179.8544930000005</v>
      </c>
      <c r="BP105" s="633">
        <f>+APA!BP172</f>
        <v>1179.8544930000005</v>
      </c>
      <c r="BQ105" s="633">
        <f>+APA!BQ172</f>
        <v>1179.8544930000005</v>
      </c>
      <c r="BR105" s="633">
        <f>+APA!BR172</f>
        <v>1179.8544930000005</v>
      </c>
      <c r="BS105" s="633">
        <f>+APA!BS172</f>
        <v>1179.8544930000005</v>
      </c>
      <c r="BT105" s="633">
        <f>+APA!BT172</f>
        <v>1179.8544930000005</v>
      </c>
      <c r="BU105" s="633">
        <f>+APA!BU172</f>
        <v>1179.8544930000005</v>
      </c>
      <c r="BV105" s="633">
        <f>+APA!BV172</f>
        <v>1179.8544930000005</v>
      </c>
      <c r="BW105" s="633">
        <f>+APA!BW172</f>
        <v>1179.8544930000005</v>
      </c>
      <c r="BX105" s="633">
        <f>+APA!BX172</f>
        <v>1179.8544930000005</v>
      </c>
      <c r="BY105" s="633">
        <f>+APA!BY172</f>
        <v>1179.8544930000005</v>
      </c>
      <c r="BZ105" s="633">
        <f>+APA!BZ172</f>
        <v>1179.8544930000005</v>
      </c>
      <c r="CA105" s="633">
        <f>+APA!CA172</f>
        <v>1179.8544930000005</v>
      </c>
      <c r="CB105" s="633">
        <f>+APA!CB172</f>
        <v>1179.8544930000005</v>
      </c>
      <c r="CC105" s="633">
        <f>+APA!CC172</f>
        <v>1179.8544930000005</v>
      </c>
      <c r="CD105" s="633">
        <f>+APA!CD172</f>
        <v>1179.8544930000005</v>
      </c>
      <c r="CE105" s="633">
        <f>+APA!CE172</f>
        <v>1179.8544930000005</v>
      </c>
      <c r="CF105" s="633">
        <f>+APA!CF172</f>
        <v>1179.8544930000005</v>
      </c>
      <c r="CG105" s="633">
        <f>+APA!CG172</f>
        <v>1179.8544930000005</v>
      </c>
      <c r="CH105" s="633">
        <f>+APA!CH172</f>
        <v>1179.8544930000005</v>
      </c>
      <c r="CI105" s="633">
        <f>+APA!CI172</f>
        <v>1179.8544930000005</v>
      </c>
      <c r="CJ105" s="633">
        <f>+APA!CJ172</f>
        <v>1179.8544930000005</v>
      </c>
      <c r="CK105" s="633">
        <f>+APA!CK172</f>
        <v>1179.8544930000005</v>
      </c>
      <c r="CL105" s="633">
        <f>+APA!CL172</f>
        <v>1179.8544930000005</v>
      </c>
      <c r="CM105" s="633">
        <f>+APA!CM172</f>
        <v>1179.8544930000005</v>
      </c>
      <c r="CN105" s="633">
        <f>+APA!CN172</f>
        <v>1179.8544930000005</v>
      </c>
      <c r="CO105" s="633">
        <f>+APA!CO172</f>
        <v>1179.8544930000005</v>
      </c>
      <c r="CP105" s="633">
        <f>+APA!CP172</f>
        <v>1179.8544930000005</v>
      </c>
      <c r="CQ105" s="6" t="s">
        <v>77</v>
      </c>
    </row>
    <row r="106" spans="1:96" outlineLevel="1" x14ac:dyDescent="0.2">
      <c r="B106" s="506" t="s">
        <v>150</v>
      </c>
      <c r="K106" s="629">
        <f>+APA!K170</f>
        <v>278.89499999999998</v>
      </c>
      <c r="L106" s="629">
        <f>+APA!L170</f>
        <v>280.18099999999998</v>
      </c>
      <c r="M106" s="629">
        <f>+APA!M170</f>
        <v>431.70100000000002</v>
      </c>
      <c r="N106" s="629">
        <f>+APA!N170</f>
        <v>468.24099999999999</v>
      </c>
      <c r="O106" s="629">
        <f>+APA!O170</f>
        <v>498.66399999999999</v>
      </c>
      <c r="P106" s="629">
        <f>+APA!P170</f>
        <v>542.31899999999996</v>
      </c>
      <c r="Q106" s="629">
        <f>+APA!Q170</f>
        <v>634.11599999999999</v>
      </c>
      <c r="R106" s="629">
        <f>+APA!R170</f>
        <v>644.48599999999999</v>
      </c>
      <c r="S106" s="629">
        <f>+APA!S170</f>
        <v>835.75099999999998</v>
      </c>
      <c r="T106" s="633">
        <f>+APA!T170</f>
        <v>835.75099999999998</v>
      </c>
      <c r="U106" s="633">
        <f>+APA!U170</f>
        <v>1114.307</v>
      </c>
      <c r="V106" s="633">
        <f>+APA!V170</f>
        <v>1114.307</v>
      </c>
      <c r="W106" s="633">
        <f>+APA!W170</f>
        <v>1114.307</v>
      </c>
      <c r="X106" s="633">
        <f>+APA!X170</f>
        <v>1179.854493</v>
      </c>
      <c r="Y106" s="633">
        <f>+APA!Y170</f>
        <v>1179.854493</v>
      </c>
      <c r="Z106" s="633">
        <f>+APA!Z170</f>
        <v>1179.854493</v>
      </c>
      <c r="AA106" s="633">
        <f>+APA!AA170</f>
        <v>1179.854493</v>
      </c>
      <c r="AB106" s="633">
        <f>+APA!AB170</f>
        <v>1179.854493</v>
      </c>
      <c r="AC106" s="633">
        <f>+APA!AC170</f>
        <v>1179.854493</v>
      </c>
      <c r="AD106" s="633">
        <f>+APA!AD170</f>
        <v>1179.854493</v>
      </c>
      <c r="AE106" s="633">
        <f>+APA!AE170</f>
        <v>1179.854493</v>
      </c>
      <c r="AF106" s="633">
        <f>+APA!AF170</f>
        <v>1179.854493</v>
      </c>
      <c r="AG106" s="633">
        <f>+APA!AG170</f>
        <v>1179.854493</v>
      </c>
      <c r="AH106" s="633">
        <f>+APA!AH170</f>
        <v>1179.854493</v>
      </c>
      <c r="AI106" s="633">
        <f>+APA!AI170</f>
        <v>1179.854493</v>
      </c>
      <c r="AJ106" s="633">
        <f>+APA!AJ170</f>
        <v>1179.854493</v>
      </c>
      <c r="AK106" s="633">
        <f>+APA!AK170</f>
        <v>1179.854493</v>
      </c>
      <c r="AL106" s="633">
        <f>+APA!AL170</f>
        <v>1179.854493</v>
      </c>
      <c r="AM106" s="633">
        <f>+APA!AM170</f>
        <v>1179.854493</v>
      </c>
      <c r="AN106" s="633">
        <f>+APA!AN170</f>
        <v>1179.854493</v>
      </c>
      <c r="AO106" s="633">
        <f>+APA!AO170</f>
        <v>1179.854493</v>
      </c>
      <c r="AP106" s="633">
        <f>+APA!AP170</f>
        <v>1179.854493</v>
      </c>
      <c r="AQ106" s="633">
        <f>+APA!AQ170</f>
        <v>1179.854493</v>
      </c>
      <c r="AR106" s="633">
        <f>+APA!AR170</f>
        <v>1179.854493</v>
      </c>
      <c r="AS106" s="633">
        <f>+APA!AS170</f>
        <v>1179.854493</v>
      </c>
      <c r="AT106" s="633">
        <f>+APA!AT170</f>
        <v>1179.854493</v>
      </c>
      <c r="AU106" s="633">
        <f>+APA!AU170</f>
        <v>1179.854493</v>
      </c>
      <c r="AV106" s="633">
        <f>+APA!AV170</f>
        <v>1179.854493</v>
      </c>
      <c r="AW106" s="633">
        <f>+APA!AW170</f>
        <v>1179.854493</v>
      </c>
      <c r="AX106" s="633">
        <f>+APA!AX170</f>
        <v>1179.854493</v>
      </c>
      <c r="AY106" s="633">
        <f>+APA!AY170</f>
        <v>1179.854493</v>
      </c>
      <c r="AZ106" s="633">
        <f>+APA!AZ170</f>
        <v>1179.854493</v>
      </c>
      <c r="BA106" s="633">
        <f>+APA!BA170</f>
        <v>1179.854493</v>
      </c>
      <c r="BB106" s="633">
        <f>+APA!BB170</f>
        <v>1179.854493</v>
      </c>
      <c r="BC106" s="633">
        <f>+APA!BC170</f>
        <v>1179.854493</v>
      </c>
      <c r="BD106" s="633">
        <f>+APA!BD170</f>
        <v>1179.854493</v>
      </c>
      <c r="BE106" s="633">
        <f>+APA!BE170</f>
        <v>1179.854493</v>
      </c>
      <c r="BF106" s="633">
        <f>+APA!BF170</f>
        <v>1179.854493</v>
      </c>
      <c r="BG106" s="633">
        <f>+APA!BG170</f>
        <v>1179.854493</v>
      </c>
      <c r="BH106" s="633">
        <f>+APA!BH170</f>
        <v>1179.854493</v>
      </c>
      <c r="BI106" s="633">
        <f>+APA!BI170</f>
        <v>1179.854493</v>
      </c>
      <c r="BJ106" s="633">
        <f>+APA!BJ170</f>
        <v>1179.854493</v>
      </c>
      <c r="BK106" s="633">
        <f>+APA!BK170</f>
        <v>1179.854493</v>
      </c>
      <c r="BL106" s="633">
        <f>+APA!BL170</f>
        <v>1179.854493</v>
      </c>
      <c r="BM106" s="633">
        <f>+APA!BM170</f>
        <v>1179.854493</v>
      </c>
      <c r="BN106" s="633">
        <f>+APA!BN170</f>
        <v>1179.854493</v>
      </c>
      <c r="BO106" s="633">
        <f>+APA!BO170</f>
        <v>1179.854493</v>
      </c>
      <c r="BP106" s="633">
        <f>+APA!BP170</f>
        <v>1179.854493</v>
      </c>
      <c r="BQ106" s="633">
        <f>+APA!BQ170</f>
        <v>1179.854493</v>
      </c>
      <c r="BR106" s="633">
        <f>+APA!BR170</f>
        <v>1179.854493</v>
      </c>
      <c r="BS106" s="633">
        <f>+APA!BS170</f>
        <v>1179.854493</v>
      </c>
      <c r="BT106" s="633">
        <f>+APA!BT170</f>
        <v>1179.854493</v>
      </c>
      <c r="BU106" s="633">
        <f>+APA!BU170</f>
        <v>1179.854493</v>
      </c>
      <c r="BV106" s="633">
        <f>+APA!BV170</f>
        <v>1179.854493</v>
      </c>
      <c r="BW106" s="633">
        <f>+APA!BW170</f>
        <v>1179.854493</v>
      </c>
      <c r="BX106" s="633">
        <f>+APA!BX170</f>
        <v>1179.854493</v>
      </c>
      <c r="BY106" s="633">
        <f>+APA!BY170</f>
        <v>1179.854493</v>
      </c>
      <c r="BZ106" s="633">
        <f>+APA!BZ170</f>
        <v>1179.854493</v>
      </c>
      <c r="CA106" s="633">
        <f>+APA!CA170</f>
        <v>1179.854493</v>
      </c>
      <c r="CB106" s="633">
        <f>+APA!CB170</f>
        <v>1179.854493</v>
      </c>
      <c r="CC106" s="633">
        <f>+APA!CC170</f>
        <v>1179.854493</v>
      </c>
      <c r="CD106" s="633">
        <f>+APA!CD170</f>
        <v>1179.854493</v>
      </c>
      <c r="CE106" s="633">
        <f>+APA!CE170</f>
        <v>1179.854493</v>
      </c>
      <c r="CF106" s="633">
        <f>+APA!CF170</f>
        <v>1179.854493</v>
      </c>
      <c r="CG106" s="633">
        <f>+APA!CG170</f>
        <v>1179.854493</v>
      </c>
      <c r="CH106" s="633">
        <f>+APA!CH170</f>
        <v>1179.854493</v>
      </c>
      <c r="CI106" s="633">
        <f>+APA!CI170</f>
        <v>1179.854493</v>
      </c>
      <c r="CJ106" s="633">
        <f>+APA!CJ170</f>
        <v>1179.854493</v>
      </c>
      <c r="CK106" s="633">
        <f>+APA!CK170</f>
        <v>1179.854493</v>
      </c>
      <c r="CL106" s="633">
        <f>+APA!CL170</f>
        <v>1179.854493</v>
      </c>
      <c r="CM106" s="633">
        <f>+APA!CM170</f>
        <v>1179.854493</v>
      </c>
      <c r="CN106" s="633">
        <f>+APA!CN170</f>
        <v>1179.854493</v>
      </c>
      <c r="CO106" s="633">
        <f>+APA!CO170</f>
        <v>1179.854493</v>
      </c>
      <c r="CP106" s="633">
        <f>+APA!CP170</f>
        <v>1179.854493</v>
      </c>
      <c r="CQ106" s="6" t="s">
        <v>77</v>
      </c>
    </row>
    <row r="107" spans="1:96" outlineLevel="1" x14ac:dyDescent="0.2">
      <c r="B107" s="506"/>
      <c r="K107" s="693"/>
      <c r="L107" s="693"/>
      <c r="M107" s="693"/>
      <c r="N107" s="693"/>
      <c r="O107" s="693"/>
      <c r="P107" s="693"/>
      <c r="Q107" s="693"/>
      <c r="R107" s="693"/>
      <c r="S107" s="693"/>
      <c r="T107" s="693"/>
      <c r="U107" s="693"/>
      <c r="V107" s="693"/>
      <c r="W107" s="693"/>
      <c r="X107" s="693"/>
      <c r="Y107" s="693"/>
      <c r="Z107" s="693"/>
      <c r="AA107" s="693"/>
      <c r="AB107" s="693"/>
      <c r="AC107" s="693"/>
      <c r="AD107" s="693"/>
      <c r="AE107" s="693"/>
      <c r="AF107" s="693"/>
      <c r="AG107" s="693"/>
      <c r="AH107" s="693"/>
      <c r="AI107" s="693"/>
      <c r="AJ107" s="693"/>
      <c r="AK107" s="693"/>
      <c r="AL107" s="693"/>
      <c r="AM107" s="693"/>
      <c r="AN107" s="693"/>
      <c r="AO107" s="693"/>
      <c r="AP107" s="693"/>
      <c r="AQ107" s="693"/>
      <c r="AR107" s="693"/>
      <c r="AS107" s="693"/>
      <c r="AT107" s="693"/>
      <c r="AU107" s="693"/>
      <c r="AV107" s="693"/>
      <c r="AW107" s="693"/>
      <c r="AX107" s="693"/>
      <c r="AY107" s="693"/>
      <c r="AZ107" s="693"/>
      <c r="BA107" s="693"/>
      <c r="BB107" s="693"/>
      <c r="BC107" s="693"/>
      <c r="BD107" s="693"/>
      <c r="BE107" s="693"/>
      <c r="BF107" s="693"/>
      <c r="BG107" s="693"/>
      <c r="BH107" s="693"/>
      <c r="BI107" s="693"/>
      <c r="BJ107" s="693"/>
      <c r="BK107" s="693"/>
      <c r="BL107" s="693"/>
      <c r="BM107" s="693"/>
      <c r="BN107" s="693"/>
      <c r="BO107" s="693"/>
      <c r="BP107" s="693"/>
      <c r="BQ107" s="693"/>
      <c r="BR107" s="693"/>
      <c r="BS107" s="693"/>
      <c r="BT107" s="693"/>
      <c r="BU107" s="693"/>
      <c r="BV107" s="693"/>
      <c r="BW107" s="693"/>
      <c r="BX107" s="693"/>
      <c r="BY107" s="693"/>
      <c r="BZ107" s="693"/>
      <c r="CA107" s="693"/>
      <c r="CB107" s="693"/>
      <c r="CC107" s="693"/>
      <c r="CD107" s="693"/>
      <c r="CE107" s="693"/>
      <c r="CF107" s="693"/>
      <c r="CG107" s="693"/>
      <c r="CH107" s="693"/>
      <c r="CI107" s="693"/>
      <c r="CJ107" s="693"/>
      <c r="CK107" s="693"/>
      <c r="CL107" s="693"/>
      <c r="CM107" s="693"/>
      <c r="CN107" s="693"/>
      <c r="CO107" s="693"/>
      <c r="CP107" s="693"/>
      <c r="CQ107" s="6" t="s">
        <v>77</v>
      </c>
    </row>
    <row r="108" spans="1:96" outlineLevel="1" x14ac:dyDescent="0.2">
      <c r="B108" s="487" t="s">
        <v>144</v>
      </c>
      <c r="K108" s="557">
        <v>3.1603065134099664</v>
      </c>
      <c r="L108" s="557">
        <v>3.8390421455938868</v>
      </c>
      <c r="M108" s="557">
        <v>4.2596615384615424</v>
      </c>
      <c r="N108" s="557">
        <v>3.4732567049808409</v>
      </c>
      <c r="O108" s="557">
        <v>2.9388888888888887</v>
      </c>
      <c r="P108" s="557">
        <v>3.36</v>
      </c>
      <c r="Q108" s="557">
        <v>3.8758750957854353</v>
      </c>
      <c r="R108" s="557">
        <v>4.3887494252873536</v>
      </c>
      <c r="S108" s="557">
        <v>5.3589453846153825</v>
      </c>
      <c r="T108" s="557">
        <v>6.0471689655172378</v>
      </c>
      <c r="U108" s="557">
        <v>8.042285823754785</v>
      </c>
      <c r="V108" s="557">
        <v>8.6850381679389344</v>
      </c>
      <c r="W108" s="557">
        <v>9.17</v>
      </c>
      <c r="X108" s="705">
        <f t="shared" ref="X108:AG109" si="63">+$E$141</f>
        <v>7.89</v>
      </c>
      <c r="Y108" s="705">
        <f t="shared" si="63"/>
        <v>7.89</v>
      </c>
      <c r="Z108" s="705">
        <f t="shared" si="63"/>
        <v>7.89</v>
      </c>
      <c r="AA108" s="705">
        <f t="shared" si="63"/>
        <v>7.89</v>
      </c>
      <c r="AB108" s="705">
        <f t="shared" si="63"/>
        <v>7.89</v>
      </c>
      <c r="AC108" s="705">
        <f t="shared" si="63"/>
        <v>7.89</v>
      </c>
      <c r="AD108" s="705">
        <f t="shared" si="63"/>
        <v>7.89</v>
      </c>
      <c r="AE108" s="705">
        <f t="shared" si="63"/>
        <v>7.89</v>
      </c>
      <c r="AF108" s="705">
        <f t="shared" si="63"/>
        <v>7.89</v>
      </c>
      <c r="AG108" s="705">
        <f t="shared" si="63"/>
        <v>7.89</v>
      </c>
      <c r="AH108" s="705">
        <f t="shared" ref="AH108:AQ109" si="64">+$E$141</f>
        <v>7.89</v>
      </c>
      <c r="AI108" s="705">
        <f t="shared" si="64"/>
        <v>7.89</v>
      </c>
      <c r="AJ108" s="705">
        <f t="shared" si="64"/>
        <v>7.89</v>
      </c>
      <c r="AK108" s="705">
        <f t="shared" si="64"/>
        <v>7.89</v>
      </c>
      <c r="AL108" s="705">
        <f t="shared" si="64"/>
        <v>7.89</v>
      </c>
      <c r="AM108" s="705">
        <f t="shared" si="64"/>
        <v>7.89</v>
      </c>
      <c r="AN108" s="705">
        <f t="shared" si="64"/>
        <v>7.89</v>
      </c>
      <c r="AO108" s="705">
        <f t="shared" si="64"/>
        <v>7.89</v>
      </c>
      <c r="AP108" s="705">
        <f t="shared" si="64"/>
        <v>7.89</v>
      </c>
      <c r="AQ108" s="705">
        <f t="shared" si="64"/>
        <v>7.89</v>
      </c>
      <c r="AR108" s="705">
        <f t="shared" ref="AR108:BA109" si="65">+$E$141</f>
        <v>7.89</v>
      </c>
      <c r="AS108" s="705">
        <f t="shared" si="65"/>
        <v>7.89</v>
      </c>
      <c r="AT108" s="705">
        <f t="shared" si="65"/>
        <v>7.89</v>
      </c>
      <c r="AU108" s="705">
        <f t="shared" si="65"/>
        <v>7.89</v>
      </c>
      <c r="AV108" s="705">
        <f t="shared" si="65"/>
        <v>7.89</v>
      </c>
      <c r="AW108" s="705">
        <f t="shared" si="65"/>
        <v>7.89</v>
      </c>
      <c r="AX108" s="705">
        <f t="shared" si="65"/>
        <v>7.89</v>
      </c>
      <c r="AY108" s="705">
        <f t="shared" si="65"/>
        <v>7.89</v>
      </c>
      <c r="AZ108" s="705">
        <f t="shared" si="65"/>
        <v>7.89</v>
      </c>
      <c r="BA108" s="705">
        <f t="shared" si="65"/>
        <v>7.89</v>
      </c>
      <c r="BB108" s="705">
        <f t="shared" ref="BB108:BK109" si="66">+$E$141</f>
        <v>7.89</v>
      </c>
      <c r="BC108" s="705">
        <f t="shared" si="66"/>
        <v>7.89</v>
      </c>
      <c r="BD108" s="705">
        <f t="shared" si="66"/>
        <v>7.89</v>
      </c>
      <c r="BE108" s="705">
        <f t="shared" si="66"/>
        <v>7.89</v>
      </c>
      <c r="BF108" s="705">
        <f t="shared" si="66"/>
        <v>7.89</v>
      </c>
      <c r="BG108" s="705">
        <f t="shared" si="66"/>
        <v>7.89</v>
      </c>
      <c r="BH108" s="705">
        <f t="shared" si="66"/>
        <v>7.89</v>
      </c>
      <c r="BI108" s="705">
        <f t="shared" si="66"/>
        <v>7.89</v>
      </c>
      <c r="BJ108" s="705">
        <f t="shared" si="66"/>
        <v>7.89</v>
      </c>
      <c r="BK108" s="705">
        <f t="shared" si="66"/>
        <v>7.89</v>
      </c>
      <c r="BL108" s="705">
        <f t="shared" ref="BL108:BU109" si="67">+$E$141</f>
        <v>7.89</v>
      </c>
      <c r="BM108" s="705">
        <f t="shared" si="67"/>
        <v>7.89</v>
      </c>
      <c r="BN108" s="705">
        <f t="shared" si="67"/>
        <v>7.89</v>
      </c>
      <c r="BO108" s="705">
        <f t="shared" si="67"/>
        <v>7.89</v>
      </c>
      <c r="BP108" s="705">
        <f t="shared" si="67"/>
        <v>7.89</v>
      </c>
      <c r="BQ108" s="705">
        <f t="shared" si="67"/>
        <v>7.89</v>
      </c>
      <c r="BR108" s="705">
        <f t="shared" si="67"/>
        <v>7.89</v>
      </c>
      <c r="BS108" s="705">
        <f t="shared" si="67"/>
        <v>7.89</v>
      </c>
      <c r="BT108" s="705">
        <f t="shared" si="67"/>
        <v>7.89</v>
      </c>
      <c r="BU108" s="705">
        <f t="shared" si="67"/>
        <v>7.89</v>
      </c>
      <c r="BV108" s="705">
        <f t="shared" ref="BV108:CE109" si="68">+$E$141</f>
        <v>7.89</v>
      </c>
      <c r="BW108" s="705">
        <f t="shared" si="68"/>
        <v>7.89</v>
      </c>
      <c r="BX108" s="705">
        <f t="shared" si="68"/>
        <v>7.89</v>
      </c>
      <c r="BY108" s="705">
        <f t="shared" si="68"/>
        <v>7.89</v>
      </c>
      <c r="BZ108" s="705">
        <f t="shared" si="68"/>
        <v>7.89</v>
      </c>
      <c r="CA108" s="705">
        <f t="shared" si="68"/>
        <v>7.89</v>
      </c>
      <c r="CB108" s="705">
        <f t="shared" si="68"/>
        <v>7.89</v>
      </c>
      <c r="CC108" s="705">
        <f t="shared" si="68"/>
        <v>7.89</v>
      </c>
      <c r="CD108" s="705">
        <f t="shared" si="68"/>
        <v>7.89</v>
      </c>
      <c r="CE108" s="705">
        <f t="shared" si="68"/>
        <v>7.89</v>
      </c>
      <c r="CF108" s="705">
        <f t="shared" ref="CF108:CP109" si="69">+$E$141</f>
        <v>7.89</v>
      </c>
      <c r="CG108" s="705">
        <f t="shared" si="69"/>
        <v>7.89</v>
      </c>
      <c r="CH108" s="705">
        <f t="shared" si="69"/>
        <v>7.89</v>
      </c>
      <c r="CI108" s="705">
        <f t="shared" si="69"/>
        <v>7.89</v>
      </c>
      <c r="CJ108" s="705">
        <f t="shared" si="69"/>
        <v>7.89</v>
      </c>
      <c r="CK108" s="705">
        <f t="shared" si="69"/>
        <v>7.89</v>
      </c>
      <c r="CL108" s="705">
        <f t="shared" si="69"/>
        <v>7.89</v>
      </c>
      <c r="CM108" s="705">
        <f t="shared" si="69"/>
        <v>7.89</v>
      </c>
      <c r="CN108" s="705">
        <f t="shared" si="69"/>
        <v>7.89</v>
      </c>
      <c r="CO108" s="705">
        <f t="shared" si="69"/>
        <v>7.89</v>
      </c>
      <c r="CP108" s="705">
        <f t="shared" si="69"/>
        <v>7.89</v>
      </c>
      <c r="CQ108" s="6" t="s">
        <v>77</v>
      </c>
    </row>
    <row r="109" spans="1:96" outlineLevel="1" x14ac:dyDescent="0.2">
      <c r="B109" s="487" t="s">
        <v>147</v>
      </c>
      <c r="K109" s="557">
        <v>3.1603065134099664</v>
      </c>
      <c r="L109" s="557">
        <v>3.8390421455938868</v>
      </c>
      <c r="M109" s="557">
        <v>4.2596615384615424</v>
      </c>
      <c r="N109" s="557">
        <v>3.4732567049808409</v>
      </c>
      <c r="O109" s="557">
        <v>2.9388888888888887</v>
      </c>
      <c r="P109" s="557">
        <v>3.36</v>
      </c>
      <c r="Q109" s="557">
        <v>3.8758750957854353</v>
      </c>
      <c r="R109" s="557">
        <v>4.3887494252873536</v>
      </c>
      <c r="S109" s="557">
        <v>5.3589453846153825</v>
      </c>
      <c r="T109" s="557">
        <v>6.0471689655172378</v>
      </c>
      <c r="U109" s="557">
        <v>8.042285823754785</v>
      </c>
      <c r="V109" s="557">
        <v>8.6850381679389344</v>
      </c>
      <c r="W109" s="557">
        <v>9.17</v>
      </c>
      <c r="X109" s="705">
        <f t="shared" si="63"/>
        <v>7.89</v>
      </c>
      <c r="Y109" s="705">
        <f t="shared" si="63"/>
        <v>7.89</v>
      </c>
      <c r="Z109" s="705">
        <f t="shared" si="63"/>
        <v>7.89</v>
      </c>
      <c r="AA109" s="705">
        <f t="shared" si="63"/>
        <v>7.89</v>
      </c>
      <c r="AB109" s="705">
        <f t="shared" si="63"/>
        <v>7.89</v>
      </c>
      <c r="AC109" s="705">
        <f t="shared" si="63"/>
        <v>7.89</v>
      </c>
      <c r="AD109" s="705">
        <f t="shared" si="63"/>
        <v>7.89</v>
      </c>
      <c r="AE109" s="705">
        <f t="shared" si="63"/>
        <v>7.89</v>
      </c>
      <c r="AF109" s="705">
        <f t="shared" si="63"/>
        <v>7.89</v>
      </c>
      <c r="AG109" s="705">
        <f t="shared" si="63"/>
        <v>7.89</v>
      </c>
      <c r="AH109" s="705">
        <f t="shared" si="64"/>
        <v>7.89</v>
      </c>
      <c r="AI109" s="705">
        <f t="shared" si="64"/>
        <v>7.89</v>
      </c>
      <c r="AJ109" s="705">
        <f t="shared" si="64"/>
        <v>7.89</v>
      </c>
      <c r="AK109" s="705">
        <f t="shared" si="64"/>
        <v>7.89</v>
      </c>
      <c r="AL109" s="705">
        <f t="shared" si="64"/>
        <v>7.89</v>
      </c>
      <c r="AM109" s="705">
        <f t="shared" si="64"/>
        <v>7.89</v>
      </c>
      <c r="AN109" s="705">
        <f t="shared" si="64"/>
        <v>7.89</v>
      </c>
      <c r="AO109" s="705">
        <f t="shared" si="64"/>
        <v>7.89</v>
      </c>
      <c r="AP109" s="705">
        <f t="shared" si="64"/>
        <v>7.89</v>
      </c>
      <c r="AQ109" s="705">
        <f t="shared" si="64"/>
        <v>7.89</v>
      </c>
      <c r="AR109" s="705">
        <f t="shared" si="65"/>
        <v>7.89</v>
      </c>
      <c r="AS109" s="705">
        <f t="shared" si="65"/>
        <v>7.89</v>
      </c>
      <c r="AT109" s="705">
        <f t="shared" si="65"/>
        <v>7.89</v>
      </c>
      <c r="AU109" s="705">
        <f t="shared" si="65"/>
        <v>7.89</v>
      </c>
      <c r="AV109" s="705">
        <f t="shared" si="65"/>
        <v>7.89</v>
      </c>
      <c r="AW109" s="705">
        <f t="shared" si="65"/>
        <v>7.89</v>
      </c>
      <c r="AX109" s="705">
        <f t="shared" si="65"/>
        <v>7.89</v>
      </c>
      <c r="AY109" s="705">
        <f t="shared" si="65"/>
        <v>7.89</v>
      </c>
      <c r="AZ109" s="705">
        <f t="shared" si="65"/>
        <v>7.89</v>
      </c>
      <c r="BA109" s="705">
        <f t="shared" si="65"/>
        <v>7.89</v>
      </c>
      <c r="BB109" s="705">
        <f t="shared" si="66"/>
        <v>7.89</v>
      </c>
      <c r="BC109" s="705">
        <f t="shared" si="66"/>
        <v>7.89</v>
      </c>
      <c r="BD109" s="705">
        <f t="shared" si="66"/>
        <v>7.89</v>
      </c>
      <c r="BE109" s="705">
        <f t="shared" si="66"/>
        <v>7.89</v>
      </c>
      <c r="BF109" s="705">
        <f t="shared" si="66"/>
        <v>7.89</v>
      </c>
      <c r="BG109" s="705">
        <f t="shared" si="66"/>
        <v>7.89</v>
      </c>
      <c r="BH109" s="705">
        <f t="shared" si="66"/>
        <v>7.89</v>
      </c>
      <c r="BI109" s="705">
        <f t="shared" si="66"/>
        <v>7.89</v>
      </c>
      <c r="BJ109" s="705">
        <f t="shared" si="66"/>
        <v>7.89</v>
      </c>
      <c r="BK109" s="705">
        <f t="shared" si="66"/>
        <v>7.89</v>
      </c>
      <c r="BL109" s="705">
        <f t="shared" si="67"/>
        <v>7.89</v>
      </c>
      <c r="BM109" s="705">
        <f t="shared" si="67"/>
        <v>7.89</v>
      </c>
      <c r="BN109" s="705">
        <f t="shared" si="67"/>
        <v>7.89</v>
      </c>
      <c r="BO109" s="705">
        <f t="shared" si="67"/>
        <v>7.89</v>
      </c>
      <c r="BP109" s="705">
        <f t="shared" si="67"/>
        <v>7.89</v>
      </c>
      <c r="BQ109" s="705">
        <f t="shared" si="67"/>
        <v>7.89</v>
      </c>
      <c r="BR109" s="705">
        <f t="shared" si="67"/>
        <v>7.89</v>
      </c>
      <c r="BS109" s="705">
        <f t="shared" si="67"/>
        <v>7.89</v>
      </c>
      <c r="BT109" s="705">
        <f t="shared" si="67"/>
        <v>7.89</v>
      </c>
      <c r="BU109" s="705">
        <f t="shared" si="67"/>
        <v>7.89</v>
      </c>
      <c r="BV109" s="705">
        <f t="shared" si="68"/>
        <v>7.89</v>
      </c>
      <c r="BW109" s="705">
        <f t="shared" si="68"/>
        <v>7.89</v>
      </c>
      <c r="BX109" s="705">
        <f t="shared" si="68"/>
        <v>7.89</v>
      </c>
      <c r="BY109" s="705">
        <f t="shared" si="68"/>
        <v>7.89</v>
      </c>
      <c r="BZ109" s="705">
        <f t="shared" si="68"/>
        <v>7.89</v>
      </c>
      <c r="CA109" s="705">
        <f t="shared" si="68"/>
        <v>7.89</v>
      </c>
      <c r="CB109" s="705">
        <f t="shared" si="68"/>
        <v>7.89</v>
      </c>
      <c r="CC109" s="705">
        <f t="shared" si="68"/>
        <v>7.89</v>
      </c>
      <c r="CD109" s="705">
        <f t="shared" si="68"/>
        <v>7.89</v>
      </c>
      <c r="CE109" s="705">
        <f t="shared" si="68"/>
        <v>7.89</v>
      </c>
      <c r="CF109" s="705">
        <f t="shared" si="69"/>
        <v>7.89</v>
      </c>
      <c r="CG109" s="705">
        <f t="shared" si="69"/>
        <v>7.89</v>
      </c>
      <c r="CH109" s="705">
        <f t="shared" si="69"/>
        <v>7.89</v>
      </c>
      <c r="CI109" s="705">
        <f t="shared" si="69"/>
        <v>7.89</v>
      </c>
      <c r="CJ109" s="705">
        <f t="shared" si="69"/>
        <v>7.89</v>
      </c>
      <c r="CK109" s="705">
        <f t="shared" si="69"/>
        <v>7.89</v>
      </c>
      <c r="CL109" s="705">
        <f t="shared" si="69"/>
        <v>7.89</v>
      </c>
      <c r="CM109" s="705">
        <f t="shared" si="69"/>
        <v>7.89</v>
      </c>
      <c r="CN109" s="705">
        <f t="shared" si="69"/>
        <v>7.89</v>
      </c>
      <c r="CO109" s="705">
        <f t="shared" si="69"/>
        <v>7.89</v>
      </c>
      <c r="CP109" s="705">
        <f t="shared" si="69"/>
        <v>7.89</v>
      </c>
      <c r="CQ109" s="6" t="s">
        <v>77</v>
      </c>
    </row>
    <row r="110" spans="1:96" outlineLevel="1" x14ac:dyDescent="0.2">
      <c r="B110" s="487" t="s">
        <v>148</v>
      </c>
      <c r="K110" s="557">
        <v>3.4758</v>
      </c>
      <c r="L110" s="557">
        <v>3.9472</v>
      </c>
      <c r="M110" s="557">
        <v>4.0437000000000003</v>
      </c>
      <c r="N110" s="557">
        <v>2.5129000000000001</v>
      </c>
      <c r="O110" s="557">
        <v>3.0520999999999998</v>
      </c>
      <c r="P110" s="557">
        <v>3.4661</v>
      </c>
      <c r="Q110" s="557">
        <v>3.9186000000000001</v>
      </c>
      <c r="R110" s="557">
        <v>4.8044000000000002</v>
      </c>
      <c r="S110" s="557">
        <v>5.7671999999999999</v>
      </c>
      <c r="T110" s="557">
        <v>6.6337000000000002</v>
      </c>
      <c r="U110" s="557">
        <v>8.24</v>
      </c>
      <c r="V110" s="557">
        <v>9.24</v>
      </c>
      <c r="W110" s="557">
        <v>8.8214942528735705</v>
      </c>
      <c r="X110" s="705">
        <f t="shared" ref="X110:X111" si="70">X109</f>
        <v>7.89</v>
      </c>
      <c r="Y110" s="705">
        <f t="shared" ref="Y110:BD111" si="71">+X110</f>
        <v>7.89</v>
      </c>
      <c r="Z110" s="705">
        <f t="shared" si="71"/>
        <v>7.89</v>
      </c>
      <c r="AA110" s="705">
        <f t="shared" si="71"/>
        <v>7.89</v>
      </c>
      <c r="AB110" s="705">
        <f t="shared" si="71"/>
        <v>7.89</v>
      </c>
      <c r="AC110" s="705">
        <f t="shared" si="71"/>
        <v>7.89</v>
      </c>
      <c r="AD110" s="705">
        <f t="shared" si="71"/>
        <v>7.89</v>
      </c>
      <c r="AE110" s="705">
        <f t="shared" si="71"/>
        <v>7.89</v>
      </c>
      <c r="AF110" s="705">
        <f t="shared" si="71"/>
        <v>7.89</v>
      </c>
      <c r="AG110" s="705">
        <f t="shared" si="71"/>
        <v>7.89</v>
      </c>
      <c r="AH110" s="705">
        <f t="shared" si="71"/>
        <v>7.89</v>
      </c>
      <c r="AI110" s="705">
        <f t="shared" si="71"/>
        <v>7.89</v>
      </c>
      <c r="AJ110" s="705">
        <f t="shared" si="71"/>
        <v>7.89</v>
      </c>
      <c r="AK110" s="705">
        <f t="shared" si="71"/>
        <v>7.89</v>
      </c>
      <c r="AL110" s="705">
        <f t="shared" si="71"/>
        <v>7.89</v>
      </c>
      <c r="AM110" s="705">
        <f t="shared" si="71"/>
        <v>7.89</v>
      </c>
      <c r="AN110" s="705">
        <f t="shared" si="71"/>
        <v>7.89</v>
      </c>
      <c r="AO110" s="705">
        <f t="shared" si="71"/>
        <v>7.89</v>
      </c>
      <c r="AP110" s="705">
        <f t="shared" si="71"/>
        <v>7.89</v>
      </c>
      <c r="AQ110" s="705">
        <f t="shared" si="71"/>
        <v>7.89</v>
      </c>
      <c r="AR110" s="705">
        <f t="shared" si="71"/>
        <v>7.89</v>
      </c>
      <c r="AS110" s="705">
        <f t="shared" si="71"/>
        <v>7.89</v>
      </c>
      <c r="AT110" s="705">
        <f t="shared" si="71"/>
        <v>7.89</v>
      </c>
      <c r="AU110" s="705">
        <f t="shared" si="71"/>
        <v>7.89</v>
      </c>
      <c r="AV110" s="705">
        <f t="shared" si="71"/>
        <v>7.89</v>
      </c>
      <c r="AW110" s="705">
        <f t="shared" si="71"/>
        <v>7.89</v>
      </c>
      <c r="AX110" s="705">
        <f t="shared" si="71"/>
        <v>7.89</v>
      </c>
      <c r="AY110" s="705">
        <f t="shared" si="71"/>
        <v>7.89</v>
      </c>
      <c r="AZ110" s="705">
        <f t="shared" si="71"/>
        <v>7.89</v>
      </c>
      <c r="BA110" s="705">
        <f t="shared" si="71"/>
        <v>7.89</v>
      </c>
      <c r="BB110" s="705">
        <f t="shared" si="71"/>
        <v>7.89</v>
      </c>
      <c r="BC110" s="705">
        <f t="shared" si="71"/>
        <v>7.89</v>
      </c>
      <c r="BD110" s="705">
        <f t="shared" si="71"/>
        <v>7.89</v>
      </c>
      <c r="BE110" s="705">
        <f t="shared" ref="BE110:CP110" si="72">+BD110</f>
        <v>7.89</v>
      </c>
      <c r="BF110" s="705">
        <f t="shared" si="72"/>
        <v>7.89</v>
      </c>
      <c r="BG110" s="705">
        <f t="shared" si="72"/>
        <v>7.89</v>
      </c>
      <c r="BH110" s="705">
        <f t="shared" si="72"/>
        <v>7.89</v>
      </c>
      <c r="BI110" s="705">
        <f t="shared" si="72"/>
        <v>7.89</v>
      </c>
      <c r="BJ110" s="705">
        <f t="shared" si="72"/>
        <v>7.89</v>
      </c>
      <c r="BK110" s="705">
        <f t="shared" si="72"/>
        <v>7.89</v>
      </c>
      <c r="BL110" s="705">
        <f t="shared" si="72"/>
        <v>7.89</v>
      </c>
      <c r="BM110" s="705">
        <f t="shared" si="72"/>
        <v>7.89</v>
      </c>
      <c r="BN110" s="705">
        <f t="shared" si="72"/>
        <v>7.89</v>
      </c>
      <c r="BO110" s="705">
        <f t="shared" si="72"/>
        <v>7.89</v>
      </c>
      <c r="BP110" s="705">
        <f t="shared" si="72"/>
        <v>7.89</v>
      </c>
      <c r="BQ110" s="705">
        <f t="shared" si="72"/>
        <v>7.89</v>
      </c>
      <c r="BR110" s="705">
        <f t="shared" si="72"/>
        <v>7.89</v>
      </c>
      <c r="BS110" s="705">
        <f t="shared" si="72"/>
        <v>7.89</v>
      </c>
      <c r="BT110" s="705">
        <f t="shared" si="72"/>
        <v>7.89</v>
      </c>
      <c r="BU110" s="705">
        <f t="shared" si="72"/>
        <v>7.89</v>
      </c>
      <c r="BV110" s="705">
        <f t="shared" si="72"/>
        <v>7.89</v>
      </c>
      <c r="BW110" s="705">
        <f t="shared" si="72"/>
        <v>7.89</v>
      </c>
      <c r="BX110" s="705">
        <f t="shared" si="72"/>
        <v>7.89</v>
      </c>
      <c r="BY110" s="705">
        <f t="shared" si="72"/>
        <v>7.89</v>
      </c>
      <c r="BZ110" s="705">
        <f t="shared" si="72"/>
        <v>7.89</v>
      </c>
      <c r="CA110" s="705">
        <f t="shared" si="72"/>
        <v>7.89</v>
      </c>
      <c r="CB110" s="705">
        <f t="shared" si="72"/>
        <v>7.89</v>
      </c>
      <c r="CC110" s="705">
        <f t="shared" si="72"/>
        <v>7.89</v>
      </c>
      <c r="CD110" s="705">
        <f t="shared" si="72"/>
        <v>7.89</v>
      </c>
      <c r="CE110" s="705">
        <f t="shared" si="72"/>
        <v>7.89</v>
      </c>
      <c r="CF110" s="705">
        <f t="shared" si="72"/>
        <v>7.89</v>
      </c>
      <c r="CG110" s="705">
        <f t="shared" si="72"/>
        <v>7.89</v>
      </c>
      <c r="CH110" s="705">
        <f t="shared" si="72"/>
        <v>7.89</v>
      </c>
      <c r="CI110" s="705">
        <f t="shared" si="72"/>
        <v>7.89</v>
      </c>
      <c r="CJ110" s="705">
        <f t="shared" si="72"/>
        <v>7.89</v>
      </c>
      <c r="CK110" s="705">
        <f t="shared" si="72"/>
        <v>7.89</v>
      </c>
      <c r="CL110" s="705">
        <f t="shared" si="72"/>
        <v>7.89</v>
      </c>
      <c r="CM110" s="705">
        <f t="shared" si="72"/>
        <v>7.89</v>
      </c>
      <c r="CN110" s="705">
        <f t="shared" si="72"/>
        <v>7.89</v>
      </c>
      <c r="CO110" s="705">
        <f t="shared" si="72"/>
        <v>7.89</v>
      </c>
      <c r="CP110" s="705">
        <f t="shared" si="72"/>
        <v>7.89</v>
      </c>
      <c r="CQ110" s="6" t="s">
        <v>77</v>
      </c>
    </row>
    <row r="111" spans="1:96" outlineLevel="1" x14ac:dyDescent="0.2">
      <c r="B111" s="487" t="s">
        <v>149</v>
      </c>
      <c r="K111" s="557">
        <v>3.4758</v>
      </c>
      <c r="L111" s="557">
        <v>3.9472</v>
      </c>
      <c r="M111" s="557">
        <v>4.0437000000000003</v>
      </c>
      <c r="N111" s="557">
        <v>2.5129000000000001</v>
      </c>
      <c r="O111" s="557">
        <v>3.0520999999999998</v>
      </c>
      <c r="P111" s="557">
        <v>3.4661</v>
      </c>
      <c r="Q111" s="557">
        <v>3.9186000000000001</v>
      </c>
      <c r="R111" s="557">
        <v>4.8044000000000002</v>
      </c>
      <c r="S111" s="557">
        <v>5.7671999999999999</v>
      </c>
      <c r="T111" s="557">
        <v>6.6337000000000002</v>
      </c>
      <c r="U111" s="557">
        <v>8.24</v>
      </c>
      <c r="V111" s="557">
        <v>9.24</v>
      </c>
      <c r="W111" s="557">
        <v>8.8214942528735705</v>
      </c>
      <c r="X111" s="705">
        <f t="shared" si="70"/>
        <v>7.89</v>
      </c>
      <c r="Y111" s="705">
        <f t="shared" si="71"/>
        <v>7.89</v>
      </c>
      <c r="Z111" s="705">
        <f t="shared" si="71"/>
        <v>7.89</v>
      </c>
      <c r="AA111" s="705">
        <f t="shared" si="71"/>
        <v>7.89</v>
      </c>
      <c r="AB111" s="705">
        <f t="shared" si="71"/>
        <v>7.89</v>
      </c>
      <c r="AC111" s="705">
        <f t="shared" si="71"/>
        <v>7.89</v>
      </c>
      <c r="AD111" s="705">
        <f t="shared" si="71"/>
        <v>7.89</v>
      </c>
      <c r="AE111" s="705">
        <f t="shared" si="71"/>
        <v>7.89</v>
      </c>
      <c r="AF111" s="705">
        <f t="shared" si="71"/>
        <v>7.89</v>
      </c>
      <c r="AG111" s="705">
        <f t="shared" si="71"/>
        <v>7.89</v>
      </c>
      <c r="AH111" s="705">
        <f t="shared" si="71"/>
        <v>7.89</v>
      </c>
      <c r="AI111" s="705">
        <f t="shared" si="71"/>
        <v>7.89</v>
      </c>
      <c r="AJ111" s="705">
        <f t="shared" si="71"/>
        <v>7.89</v>
      </c>
      <c r="AK111" s="705">
        <f t="shared" si="71"/>
        <v>7.89</v>
      </c>
      <c r="AL111" s="705">
        <f t="shared" si="71"/>
        <v>7.89</v>
      </c>
      <c r="AM111" s="705">
        <f t="shared" si="71"/>
        <v>7.89</v>
      </c>
      <c r="AN111" s="705">
        <f t="shared" si="71"/>
        <v>7.89</v>
      </c>
      <c r="AO111" s="705">
        <f t="shared" si="71"/>
        <v>7.89</v>
      </c>
      <c r="AP111" s="705">
        <f t="shared" si="71"/>
        <v>7.89</v>
      </c>
      <c r="AQ111" s="705">
        <f t="shared" si="71"/>
        <v>7.89</v>
      </c>
      <c r="AR111" s="705">
        <f t="shared" si="71"/>
        <v>7.89</v>
      </c>
      <c r="AS111" s="705">
        <f t="shared" si="71"/>
        <v>7.89</v>
      </c>
      <c r="AT111" s="705">
        <f t="shared" si="71"/>
        <v>7.89</v>
      </c>
      <c r="AU111" s="705">
        <f t="shared" si="71"/>
        <v>7.89</v>
      </c>
      <c r="AV111" s="705">
        <f t="shared" si="71"/>
        <v>7.89</v>
      </c>
      <c r="AW111" s="705">
        <f t="shared" si="71"/>
        <v>7.89</v>
      </c>
      <c r="AX111" s="705">
        <f t="shared" si="71"/>
        <v>7.89</v>
      </c>
      <c r="AY111" s="705">
        <f t="shared" si="71"/>
        <v>7.89</v>
      </c>
      <c r="AZ111" s="705">
        <f t="shared" si="71"/>
        <v>7.89</v>
      </c>
      <c r="BA111" s="705">
        <f t="shared" si="71"/>
        <v>7.89</v>
      </c>
      <c r="BB111" s="705">
        <f t="shared" si="71"/>
        <v>7.89</v>
      </c>
      <c r="BC111" s="705">
        <f t="shared" si="71"/>
        <v>7.89</v>
      </c>
      <c r="BD111" s="705">
        <f t="shared" si="71"/>
        <v>7.89</v>
      </c>
      <c r="BE111" s="705">
        <f t="shared" ref="BE111:CP111" si="73">+BD111</f>
        <v>7.89</v>
      </c>
      <c r="BF111" s="705">
        <f t="shared" si="73"/>
        <v>7.89</v>
      </c>
      <c r="BG111" s="705">
        <f t="shared" si="73"/>
        <v>7.89</v>
      </c>
      <c r="BH111" s="705">
        <f t="shared" si="73"/>
        <v>7.89</v>
      </c>
      <c r="BI111" s="705">
        <f t="shared" si="73"/>
        <v>7.89</v>
      </c>
      <c r="BJ111" s="705">
        <f t="shared" si="73"/>
        <v>7.89</v>
      </c>
      <c r="BK111" s="705">
        <f t="shared" si="73"/>
        <v>7.89</v>
      </c>
      <c r="BL111" s="705">
        <f t="shared" si="73"/>
        <v>7.89</v>
      </c>
      <c r="BM111" s="705">
        <f t="shared" si="73"/>
        <v>7.89</v>
      </c>
      <c r="BN111" s="705">
        <f t="shared" si="73"/>
        <v>7.89</v>
      </c>
      <c r="BO111" s="705">
        <f t="shared" si="73"/>
        <v>7.89</v>
      </c>
      <c r="BP111" s="705">
        <f t="shared" si="73"/>
        <v>7.89</v>
      </c>
      <c r="BQ111" s="705">
        <f t="shared" si="73"/>
        <v>7.89</v>
      </c>
      <c r="BR111" s="705">
        <f t="shared" si="73"/>
        <v>7.89</v>
      </c>
      <c r="BS111" s="705">
        <f t="shared" si="73"/>
        <v>7.89</v>
      </c>
      <c r="BT111" s="705">
        <f t="shared" si="73"/>
        <v>7.89</v>
      </c>
      <c r="BU111" s="705">
        <f t="shared" si="73"/>
        <v>7.89</v>
      </c>
      <c r="BV111" s="705">
        <f t="shared" si="73"/>
        <v>7.89</v>
      </c>
      <c r="BW111" s="705">
        <f t="shared" si="73"/>
        <v>7.89</v>
      </c>
      <c r="BX111" s="705">
        <f t="shared" si="73"/>
        <v>7.89</v>
      </c>
      <c r="BY111" s="705">
        <f t="shared" si="73"/>
        <v>7.89</v>
      </c>
      <c r="BZ111" s="705">
        <f t="shared" si="73"/>
        <v>7.89</v>
      </c>
      <c r="CA111" s="705">
        <f t="shared" si="73"/>
        <v>7.89</v>
      </c>
      <c r="CB111" s="705">
        <f t="shared" si="73"/>
        <v>7.89</v>
      </c>
      <c r="CC111" s="705">
        <f t="shared" si="73"/>
        <v>7.89</v>
      </c>
      <c r="CD111" s="705">
        <f t="shared" si="73"/>
        <v>7.89</v>
      </c>
      <c r="CE111" s="705">
        <f t="shared" si="73"/>
        <v>7.89</v>
      </c>
      <c r="CF111" s="705">
        <f t="shared" si="73"/>
        <v>7.89</v>
      </c>
      <c r="CG111" s="705">
        <f t="shared" si="73"/>
        <v>7.89</v>
      </c>
      <c r="CH111" s="705">
        <f t="shared" si="73"/>
        <v>7.89</v>
      </c>
      <c r="CI111" s="705">
        <f t="shared" si="73"/>
        <v>7.89</v>
      </c>
      <c r="CJ111" s="705">
        <f t="shared" si="73"/>
        <v>7.89</v>
      </c>
      <c r="CK111" s="705">
        <f t="shared" si="73"/>
        <v>7.89</v>
      </c>
      <c r="CL111" s="705">
        <f t="shared" si="73"/>
        <v>7.89</v>
      </c>
      <c r="CM111" s="705">
        <f t="shared" si="73"/>
        <v>7.89</v>
      </c>
      <c r="CN111" s="705">
        <f t="shared" si="73"/>
        <v>7.89</v>
      </c>
      <c r="CO111" s="705">
        <f t="shared" si="73"/>
        <v>7.89</v>
      </c>
      <c r="CP111" s="705">
        <f t="shared" si="73"/>
        <v>7.89</v>
      </c>
      <c r="CQ111" s="6" t="s">
        <v>77</v>
      </c>
    </row>
    <row r="112" spans="1:96" outlineLevel="1" x14ac:dyDescent="0.2">
      <c r="B112" s="487" t="s">
        <v>151</v>
      </c>
      <c r="K112" s="558">
        <v>907.15363984674354</v>
      </c>
      <c r="L112" s="558">
        <v>1115.1531417624519</v>
      </c>
      <c r="M112" s="558">
        <v>1641.122153846153</v>
      </c>
      <c r="N112" s="558">
        <v>1557.9440229885079</v>
      </c>
      <c r="O112" s="558">
        <v>1423.6015325670501</v>
      </c>
      <c r="P112" s="559">
        <v>1687.6616858237542</v>
      </c>
      <c r="Q112" s="559">
        <v>2220.6636781609213</v>
      </c>
      <c r="R112" s="559">
        <v>2918.1059003831424</v>
      </c>
      <c r="S112" s="559">
        <v>4336.348769230769</v>
      </c>
      <c r="T112" s="303">
        <v>5250.7524521072828</v>
      </c>
      <c r="U112" s="303">
        <v>8140.3101532567025</v>
      </c>
      <c r="V112" s="303">
        <v>9677.7858396946522</v>
      </c>
      <c r="W112" s="303">
        <v>9829.839693486585</v>
      </c>
      <c r="X112" s="706" t="s">
        <v>78</v>
      </c>
      <c r="Y112" s="706" t="s">
        <v>78</v>
      </c>
      <c r="Z112" s="706" t="s">
        <v>78</v>
      </c>
      <c r="AA112" s="706" t="s">
        <v>78</v>
      </c>
      <c r="AB112" s="706" t="s">
        <v>78</v>
      </c>
      <c r="AC112" s="706" t="s">
        <v>78</v>
      </c>
      <c r="AD112" s="706" t="s">
        <v>78</v>
      </c>
      <c r="AE112" s="706" t="s">
        <v>78</v>
      </c>
      <c r="AF112" s="706" t="s">
        <v>78</v>
      </c>
      <c r="AG112" s="706" t="s">
        <v>78</v>
      </c>
      <c r="AH112" s="706" t="s">
        <v>78</v>
      </c>
      <c r="AI112" s="706" t="s">
        <v>78</v>
      </c>
      <c r="AJ112" s="706" t="s">
        <v>78</v>
      </c>
      <c r="AK112" s="706" t="s">
        <v>78</v>
      </c>
      <c r="AL112" s="706" t="s">
        <v>78</v>
      </c>
      <c r="AM112" s="706" t="s">
        <v>78</v>
      </c>
      <c r="AN112" s="706" t="s">
        <v>78</v>
      </c>
      <c r="AO112" s="706" t="s">
        <v>78</v>
      </c>
      <c r="AP112" s="706" t="s">
        <v>78</v>
      </c>
      <c r="AQ112" s="706" t="s">
        <v>78</v>
      </c>
      <c r="AR112" s="706" t="s">
        <v>78</v>
      </c>
      <c r="AS112" s="706" t="s">
        <v>78</v>
      </c>
      <c r="AT112" s="706" t="s">
        <v>78</v>
      </c>
      <c r="AU112" s="706" t="s">
        <v>78</v>
      </c>
      <c r="AV112" s="706" t="s">
        <v>78</v>
      </c>
      <c r="AW112" s="706" t="s">
        <v>78</v>
      </c>
      <c r="AX112" s="706" t="s">
        <v>78</v>
      </c>
      <c r="AY112" s="706" t="s">
        <v>78</v>
      </c>
      <c r="AZ112" s="706" t="s">
        <v>78</v>
      </c>
      <c r="BA112" s="706" t="s">
        <v>78</v>
      </c>
      <c r="BB112" s="706" t="s">
        <v>78</v>
      </c>
      <c r="BC112" s="706" t="s">
        <v>78</v>
      </c>
      <c r="BD112" s="706" t="s">
        <v>78</v>
      </c>
      <c r="BE112" s="706" t="s">
        <v>78</v>
      </c>
      <c r="BF112" s="706" t="s">
        <v>78</v>
      </c>
      <c r="BG112" s="706" t="s">
        <v>78</v>
      </c>
      <c r="BH112" s="706" t="s">
        <v>78</v>
      </c>
      <c r="BI112" s="706" t="s">
        <v>78</v>
      </c>
      <c r="BJ112" s="706" t="s">
        <v>78</v>
      </c>
      <c r="BK112" s="706" t="s">
        <v>78</v>
      </c>
      <c r="BL112" s="706" t="s">
        <v>78</v>
      </c>
      <c r="BM112" s="706" t="s">
        <v>78</v>
      </c>
      <c r="BN112" s="706" t="s">
        <v>78</v>
      </c>
      <c r="BO112" s="706" t="s">
        <v>78</v>
      </c>
      <c r="BP112" s="706" t="s">
        <v>78</v>
      </c>
      <c r="BQ112" s="706" t="s">
        <v>78</v>
      </c>
      <c r="BR112" s="706" t="s">
        <v>78</v>
      </c>
      <c r="BS112" s="706" t="s">
        <v>78</v>
      </c>
      <c r="BT112" s="706" t="s">
        <v>78</v>
      </c>
      <c r="BU112" s="706" t="s">
        <v>78</v>
      </c>
      <c r="BV112" s="706" t="s">
        <v>78</v>
      </c>
      <c r="BW112" s="706" t="s">
        <v>78</v>
      </c>
      <c r="BX112" s="706" t="s">
        <v>78</v>
      </c>
      <c r="BY112" s="706" t="s">
        <v>78</v>
      </c>
      <c r="BZ112" s="706" t="s">
        <v>78</v>
      </c>
      <c r="CA112" s="706" t="s">
        <v>78</v>
      </c>
      <c r="CB112" s="706" t="s">
        <v>78</v>
      </c>
      <c r="CC112" s="706" t="s">
        <v>78</v>
      </c>
      <c r="CD112" s="706" t="s">
        <v>78</v>
      </c>
      <c r="CE112" s="706" t="s">
        <v>78</v>
      </c>
      <c r="CF112" s="706" t="s">
        <v>78</v>
      </c>
      <c r="CG112" s="706" t="s">
        <v>78</v>
      </c>
      <c r="CH112" s="706" t="s">
        <v>78</v>
      </c>
      <c r="CI112" s="706" t="s">
        <v>78</v>
      </c>
      <c r="CJ112" s="706" t="s">
        <v>78</v>
      </c>
      <c r="CK112" s="706" t="s">
        <v>78</v>
      </c>
      <c r="CL112" s="706" t="s">
        <v>78</v>
      </c>
      <c r="CM112" s="706" t="s">
        <v>78</v>
      </c>
      <c r="CN112" s="706" t="s">
        <v>78</v>
      </c>
      <c r="CO112" s="706" t="s">
        <v>78</v>
      </c>
      <c r="CP112" s="706" t="s">
        <v>78</v>
      </c>
      <c r="CQ112" s="6" t="s">
        <v>77</v>
      </c>
    </row>
    <row r="113" spans="1:96" outlineLevel="1" x14ac:dyDescent="0.2">
      <c r="B113" s="487" t="s">
        <v>145</v>
      </c>
      <c r="K113" s="365">
        <f t="shared" ref="K113:AP113" si="74">IF(ISERROR(+K108*K104),"n.a.",+K108*K104)</f>
        <v>881.40948659003959</v>
      </c>
      <c r="L113" s="365">
        <f t="shared" si="74"/>
        <v>1111.8403519540279</v>
      </c>
      <c r="M113" s="365">
        <f t="shared" si="74"/>
        <v>1616.7587965846169</v>
      </c>
      <c r="N113" s="365">
        <f t="shared" si="74"/>
        <v>1563.8755104980835</v>
      </c>
      <c r="O113" s="365">
        <f t="shared" si="74"/>
        <v>1425.5874055555555</v>
      </c>
      <c r="P113" s="707">
        <f t="shared" si="74"/>
        <v>1734.5764800000002</v>
      </c>
      <c r="Q113" s="707">
        <f t="shared" si="74"/>
        <v>2136.4676220490392</v>
      </c>
      <c r="R113" s="707">
        <f t="shared" si="74"/>
        <v>2807.6717235816077</v>
      </c>
      <c r="S113" s="707">
        <f t="shared" si="74"/>
        <v>4138.7885457738439</v>
      </c>
      <c r="T113" s="706">
        <f t="shared" si="74"/>
        <v>5053.9275100999967</v>
      </c>
      <c r="U113" s="706">
        <f t="shared" si="74"/>
        <v>7841.461904449804</v>
      </c>
      <c r="V113" s="706">
        <f t="shared" si="74"/>
        <v>9677.7988258015303</v>
      </c>
      <c r="W113" s="706">
        <f t="shared" si="74"/>
        <v>10218.19519</v>
      </c>
      <c r="X113" s="706">
        <f t="shared" si="74"/>
        <v>9050.467089885</v>
      </c>
      <c r="Y113" s="706">
        <f t="shared" si="74"/>
        <v>9309.0519497700006</v>
      </c>
      <c r="Z113" s="706">
        <f t="shared" si="74"/>
        <v>9309.0519497700006</v>
      </c>
      <c r="AA113" s="706">
        <f t="shared" si="74"/>
        <v>9309.0519497700006</v>
      </c>
      <c r="AB113" s="706">
        <f t="shared" si="74"/>
        <v>9309.0519497700006</v>
      </c>
      <c r="AC113" s="706">
        <f t="shared" si="74"/>
        <v>9309.0519497700006</v>
      </c>
      <c r="AD113" s="706">
        <f t="shared" si="74"/>
        <v>9309.0519497700006</v>
      </c>
      <c r="AE113" s="706">
        <f t="shared" si="74"/>
        <v>9309.0519497700006</v>
      </c>
      <c r="AF113" s="706">
        <f t="shared" si="74"/>
        <v>9309.0519497700006</v>
      </c>
      <c r="AG113" s="706">
        <f t="shared" si="74"/>
        <v>9309.0519497700006</v>
      </c>
      <c r="AH113" s="706">
        <f t="shared" si="74"/>
        <v>9309.0519497700006</v>
      </c>
      <c r="AI113" s="706">
        <f t="shared" si="74"/>
        <v>9309.0519497700006</v>
      </c>
      <c r="AJ113" s="706">
        <f t="shared" si="74"/>
        <v>9309.0519497700006</v>
      </c>
      <c r="AK113" s="706">
        <f t="shared" si="74"/>
        <v>9309.0519497700006</v>
      </c>
      <c r="AL113" s="706">
        <f t="shared" si="74"/>
        <v>9309.0519497700006</v>
      </c>
      <c r="AM113" s="706">
        <f t="shared" si="74"/>
        <v>9309.0519497700006</v>
      </c>
      <c r="AN113" s="706">
        <f t="shared" si="74"/>
        <v>9309.0519497700006</v>
      </c>
      <c r="AO113" s="706">
        <f t="shared" si="74"/>
        <v>9309.0519497700006</v>
      </c>
      <c r="AP113" s="706">
        <f t="shared" si="74"/>
        <v>9309.0519497700006</v>
      </c>
      <c r="AQ113" s="706">
        <f t="shared" ref="AQ113:BV113" si="75">IF(ISERROR(+AQ108*AQ104),"n.a.",+AQ108*AQ104)</f>
        <v>9309.0519497700006</v>
      </c>
      <c r="AR113" s="706">
        <f t="shared" si="75"/>
        <v>9309.0519497700006</v>
      </c>
      <c r="AS113" s="706">
        <f t="shared" si="75"/>
        <v>9309.0519497700006</v>
      </c>
      <c r="AT113" s="706">
        <f t="shared" si="75"/>
        <v>9309.0519497700006</v>
      </c>
      <c r="AU113" s="706">
        <f t="shared" si="75"/>
        <v>9309.0519497700006</v>
      </c>
      <c r="AV113" s="706">
        <f t="shared" si="75"/>
        <v>9309.0519497700006</v>
      </c>
      <c r="AW113" s="706">
        <f t="shared" si="75"/>
        <v>9309.0519497700006</v>
      </c>
      <c r="AX113" s="706">
        <f t="shared" si="75"/>
        <v>9309.0519497700006</v>
      </c>
      <c r="AY113" s="706">
        <f t="shared" si="75"/>
        <v>9309.0519497700006</v>
      </c>
      <c r="AZ113" s="706">
        <f t="shared" si="75"/>
        <v>9309.0519497700006</v>
      </c>
      <c r="BA113" s="706">
        <f t="shared" si="75"/>
        <v>9309.0519497700006</v>
      </c>
      <c r="BB113" s="706">
        <f t="shared" si="75"/>
        <v>9309.0519497700006</v>
      </c>
      <c r="BC113" s="706">
        <f t="shared" si="75"/>
        <v>9309.0519497700006</v>
      </c>
      <c r="BD113" s="706">
        <f t="shared" si="75"/>
        <v>9309.0519497700006</v>
      </c>
      <c r="BE113" s="706">
        <f t="shared" si="75"/>
        <v>9309.0519497700006</v>
      </c>
      <c r="BF113" s="706">
        <f t="shared" si="75"/>
        <v>9309.0519497700006</v>
      </c>
      <c r="BG113" s="706">
        <f t="shared" si="75"/>
        <v>9309.0519497700006</v>
      </c>
      <c r="BH113" s="706">
        <f t="shared" si="75"/>
        <v>9309.0519497700006</v>
      </c>
      <c r="BI113" s="706">
        <f t="shared" si="75"/>
        <v>9309.0519497700006</v>
      </c>
      <c r="BJ113" s="706">
        <f t="shared" si="75"/>
        <v>9309.0519497700006</v>
      </c>
      <c r="BK113" s="706">
        <f t="shared" si="75"/>
        <v>9309.0519497700006</v>
      </c>
      <c r="BL113" s="706">
        <f t="shared" si="75"/>
        <v>9309.0519497700006</v>
      </c>
      <c r="BM113" s="706">
        <f t="shared" si="75"/>
        <v>9309.0519497700006</v>
      </c>
      <c r="BN113" s="706">
        <f t="shared" si="75"/>
        <v>9309.0519497700006</v>
      </c>
      <c r="BO113" s="706">
        <f t="shared" si="75"/>
        <v>9309.0519497700006</v>
      </c>
      <c r="BP113" s="706">
        <f t="shared" si="75"/>
        <v>9309.0519497700006</v>
      </c>
      <c r="BQ113" s="706">
        <f t="shared" si="75"/>
        <v>9309.0519497700006</v>
      </c>
      <c r="BR113" s="706">
        <f t="shared" si="75"/>
        <v>9309.0519497700006</v>
      </c>
      <c r="BS113" s="706">
        <f t="shared" si="75"/>
        <v>9309.0519497700006</v>
      </c>
      <c r="BT113" s="706">
        <f t="shared" si="75"/>
        <v>9309.0519497700006</v>
      </c>
      <c r="BU113" s="706">
        <f t="shared" si="75"/>
        <v>9309.0519497700006</v>
      </c>
      <c r="BV113" s="706">
        <f t="shared" si="75"/>
        <v>9309.0519497700006</v>
      </c>
      <c r="BW113" s="706">
        <f t="shared" ref="BW113:CP113" si="76">IF(ISERROR(+BW108*BW104),"n.a.",+BW108*BW104)</f>
        <v>9309.0519497700006</v>
      </c>
      <c r="BX113" s="706">
        <f t="shared" si="76"/>
        <v>9309.0519497700006</v>
      </c>
      <c r="BY113" s="706">
        <f t="shared" si="76"/>
        <v>9309.0519497700006</v>
      </c>
      <c r="BZ113" s="706">
        <f t="shared" si="76"/>
        <v>9309.0519497700006</v>
      </c>
      <c r="CA113" s="706">
        <f t="shared" si="76"/>
        <v>9309.0519497700006</v>
      </c>
      <c r="CB113" s="706">
        <f t="shared" si="76"/>
        <v>9309.0519497700006</v>
      </c>
      <c r="CC113" s="706">
        <f t="shared" si="76"/>
        <v>9309.0519497700006</v>
      </c>
      <c r="CD113" s="706">
        <f t="shared" si="76"/>
        <v>9309.0519497700006</v>
      </c>
      <c r="CE113" s="706">
        <f t="shared" si="76"/>
        <v>9309.0519497700006</v>
      </c>
      <c r="CF113" s="706">
        <f t="shared" si="76"/>
        <v>9309.0519497700006</v>
      </c>
      <c r="CG113" s="706">
        <f t="shared" si="76"/>
        <v>9309.0519497700006</v>
      </c>
      <c r="CH113" s="706">
        <f t="shared" si="76"/>
        <v>9309.0519497700006</v>
      </c>
      <c r="CI113" s="706">
        <f t="shared" si="76"/>
        <v>9309.0519497700006</v>
      </c>
      <c r="CJ113" s="706">
        <f t="shared" si="76"/>
        <v>9309.0519497700006</v>
      </c>
      <c r="CK113" s="706">
        <f t="shared" si="76"/>
        <v>9309.0519497700006</v>
      </c>
      <c r="CL113" s="706">
        <f t="shared" si="76"/>
        <v>9309.0519497700006</v>
      </c>
      <c r="CM113" s="706">
        <f t="shared" si="76"/>
        <v>9309.0519497700006</v>
      </c>
      <c r="CN113" s="706">
        <f t="shared" si="76"/>
        <v>9309.0519497700006</v>
      </c>
      <c r="CO113" s="706">
        <f t="shared" si="76"/>
        <v>9309.0519497700006</v>
      </c>
      <c r="CP113" s="706">
        <f t="shared" si="76"/>
        <v>9309.0519497700006</v>
      </c>
      <c r="CQ113" s="6" t="s">
        <v>77</v>
      </c>
    </row>
    <row r="114" spans="1:96" outlineLevel="1" x14ac:dyDescent="0.2">
      <c r="B114" s="487" t="s">
        <v>146</v>
      </c>
      <c r="K114" s="365">
        <f t="shared" ref="K114:AP114" si="77">IF(ISERROR(+K109*K104),"n.a.",+K109*K104)</f>
        <v>881.40948659003959</v>
      </c>
      <c r="L114" s="365">
        <f t="shared" si="77"/>
        <v>1111.8403519540279</v>
      </c>
      <c r="M114" s="365">
        <f t="shared" si="77"/>
        <v>1616.7587965846169</v>
      </c>
      <c r="N114" s="365">
        <f t="shared" si="77"/>
        <v>1563.8755104980835</v>
      </c>
      <c r="O114" s="365">
        <f t="shared" si="77"/>
        <v>1425.5874055555555</v>
      </c>
      <c r="P114" s="707">
        <f t="shared" si="77"/>
        <v>1734.5764800000002</v>
      </c>
      <c r="Q114" s="707">
        <f t="shared" si="77"/>
        <v>2136.4676220490392</v>
      </c>
      <c r="R114" s="707">
        <f t="shared" si="77"/>
        <v>2807.6717235816077</v>
      </c>
      <c r="S114" s="707">
        <f t="shared" si="77"/>
        <v>4138.7885457738439</v>
      </c>
      <c r="T114" s="706">
        <f t="shared" si="77"/>
        <v>5053.9275100999967</v>
      </c>
      <c r="U114" s="706">
        <f t="shared" si="77"/>
        <v>7841.461904449804</v>
      </c>
      <c r="V114" s="706">
        <f t="shared" si="77"/>
        <v>9677.7988258015303</v>
      </c>
      <c r="W114" s="706">
        <f t="shared" si="77"/>
        <v>10218.19519</v>
      </c>
      <c r="X114" s="706">
        <f t="shared" si="77"/>
        <v>9050.467089885</v>
      </c>
      <c r="Y114" s="706">
        <f t="shared" si="77"/>
        <v>9309.0519497700006</v>
      </c>
      <c r="Z114" s="706">
        <f t="shared" si="77"/>
        <v>9309.0519497700006</v>
      </c>
      <c r="AA114" s="706">
        <f t="shared" si="77"/>
        <v>9309.0519497700006</v>
      </c>
      <c r="AB114" s="706">
        <f t="shared" si="77"/>
        <v>9309.0519497700006</v>
      </c>
      <c r="AC114" s="706">
        <f t="shared" si="77"/>
        <v>9309.0519497700006</v>
      </c>
      <c r="AD114" s="706">
        <f t="shared" si="77"/>
        <v>9309.0519497700006</v>
      </c>
      <c r="AE114" s="706">
        <f t="shared" si="77"/>
        <v>9309.0519497700006</v>
      </c>
      <c r="AF114" s="706">
        <f t="shared" si="77"/>
        <v>9309.0519497700006</v>
      </c>
      <c r="AG114" s="706">
        <f t="shared" si="77"/>
        <v>9309.0519497700006</v>
      </c>
      <c r="AH114" s="706">
        <f t="shared" si="77"/>
        <v>9309.0519497700006</v>
      </c>
      <c r="AI114" s="706">
        <f t="shared" si="77"/>
        <v>9309.0519497700006</v>
      </c>
      <c r="AJ114" s="706">
        <f t="shared" si="77"/>
        <v>9309.0519497700006</v>
      </c>
      <c r="AK114" s="706">
        <f t="shared" si="77"/>
        <v>9309.0519497700006</v>
      </c>
      <c r="AL114" s="706">
        <f t="shared" si="77"/>
        <v>9309.0519497700006</v>
      </c>
      <c r="AM114" s="706">
        <f t="shared" si="77"/>
        <v>9309.0519497700006</v>
      </c>
      <c r="AN114" s="706">
        <f t="shared" si="77"/>
        <v>9309.0519497700006</v>
      </c>
      <c r="AO114" s="706">
        <f t="shared" si="77"/>
        <v>9309.0519497700006</v>
      </c>
      <c r="AP114" s="706">
        <f t="shared" si="77"/>
        <v>9309.0519497700006</v>
      </c>
      <c r="AQ114" s="706">
        <f t="shared" ref="AQ114:BV114" si="78">IF(ISERROR(+AQ109*AQ104),"n.a.",+AQ109*AQ104)</f>
        <v>9309.0519497700006</v>
      </c>
      <c r="AR114" s="706">
        <f t="shared" si="78"/>
        <v>9309.0519497700006</v>
      </c>
      <c r="AS114" s="706">
        <f t="shared" si="78"/>
        <v>9309.0519497700006</v>
      </c>
      <c r="AT114" s="706">
        <f t="shared" si="78"/>
        <v>9309.0519497700006</v>
      </c>
      <c r="AU114" s="706">
        <f t="shared" si="78"/>
        <v>9309.0519497700006</v>
      </c>
      <c r="AV114" s="706">
        <f t="shared" si="78"/>
        <v>9309.0519497700006</v>
      </c>
      <c r="AW114" s="706">
        <f t="shared" si="78"/>
        <v>9309.0519497700006</v>
      </c>
      <c r="AX114" s="706">
        <f t="shared" si="78"/>
        <v>9309.0519497700006</v>
      </c>
      <c r="AY114" s="706">
        <f t="shared" si="78"/>
        <v>9309.0519497700006</v>
      </c>
      <c r="AZ114" s="706">
        <f t="shared" si="78"/>
        <v>9309.0519497700006</v>
      </c>
      <c r="BA114" s="706">
        <f t="shared" si="78"/>
        <v>9309.0519497700006</v>
      </c>
      <c r="BB114" s="706">
        <f t="shared" si="78"/>
        <v>9309.0519497700006</v>
      </c>
      <c r="BC114" s="706">
        <f t="shared" si="78"/>
        <v>9309.0519497700006</v>
      </c>
      <c r="BD114" s="706">
        <f t="shared" si="78"/>
        <v>9309.0519497700006</v>
      </c>
      <c r="BE114" s="706">
        <f t="shared" si="78"/>
        <v>9309.0519497700006</v>
      </c>
      <c r="BF114" s="706">
        <f t="shared" si="78"/>
        <v>9309.0519497700006</v>
      </c>
      <c r="BG114" s="706">
        <f t="shared" si="78"/>
        <v>9309.0519497700006</v>
      </c>
      <c r="BH114" s="706">
        <f t="shared" si="78"/>
        <v>9309.0519497700006</v>
      </c>
      <c r="BI114" s="706">
        <f t="shared" si="78"/>
        <v>9309.0519497700006</v>
      </c>
      <c r="BJ114" s="706">
        <f t="shared" si="78"/>
        <v>9309.0519497700006</v>
      </c>
      <c r="BK114" s="706">
        <f t="shared" si="78"/>
        <v>9309.0519497700006</v>
      </c>
      <c r="BL114" s="706">
        <f t="shared" si="78"/>
        <v>9309.0519497700006</v>
      </c>
      <c r="BM114" s="706">
        <f t="shared" si="78"/>
        <v>9309.0519497700006</v>
      </c>
      <c r="BN114" s="706">
        <f t="shared" si="78"/>
        <v>9309.0519497700006</v>
      </c>
      <c r="BO114" s="706">
        <f t="shared" si="78"/>
        <v>9309.0519497700006</v>
      </c>
      <c r="BP114" s="706">
        <f t="shared" si="78"/>
        <v>9309.0519497700006</v>
      </c>
      <c r="BQ114" s="706">
        <f t="shared" si="78"/>
        <v>9309.0519497700006</v>
      </c>
      <c r="BR114" s="706">
        <f t="shared" si="78"/>
        <v>9309.0519497700006</v>
      </c>
      <c r="BS114" s="706">
        <f t="shared" si="78"/>
        <v>9309.0519497700006</v>
      </c>
      <c r="BT114" s="706">
        <f t="shared" si="78"/>
        <v>9309.0519497700006</v>
      </c>
      <c r="BU114" s="706">
        <f t="shared" si="78"/>
        <v>9309.0519497700006</v>
      </c>
      <c r="BV114" s="706">
        <f t="shared" si="78"/>
        <v>9309.0519497700006</v>
      </c>
      <c r="BW114" s="706">
        <f t="shared" ref="BW114:CP114" si="79">IF(ISERROR(+BW109*BW104),"n.a.",+BW109*BW104)</f>
        <v>9309.0519497700006</v>
      </c>
      <c r="BX114" s="706">
        <f t="shared" si="79"/>
        <v>9309.0519497700006</v>
      </c>
      <c r="BY114" s="706">
        <f t="shared" si="79"/>
        <v>9309.0519497700006</v>
      </c>
      <c r="BZ114" s="706">
        <f t="shared" si="79"/>
        <v>9309.0519497700006</v>
      </c>
      <c r="CA114" s="706">
        <f t="shared" si="79"/>
        <v>9309.0519497700006</v>
      </c>
      <c r="CB114" s="706">
        <f t="shared" si="79"/>
        <v>9309.0519497700006</v>
      </c>
      <c r="CC114" s="706">
        <f t="shared" si="79"/>
        <v>9309.0519497700006</v>
      </c>
      <c r="CD114" s="706">
        <f t="shared" si="79"/>
        <v>9309.0519497700006</v>
      </c>
      <c r="CE114" s="706">
        <f t="shared" si="79"/>
        <v>9309.0519497700006</v>
      </c>
      <c r="CF114" s="706">
        <f t="shared" si="79"/>
        <v>9309.0519497700006</v>
      </c>
      <c r="CG114" s="706">
        <f t="shared" si="79"/>
        <v>9309.0519497700006</v>
      </c>
      <c r="CH114" s="706">
        <f t="shared" si="79"/>
        <v>9309.0519497700006</v>
      </c>
      <c r="CI114" s="706">
        <f t="shared" si="79"/>
        <v>9309.0519497700006</v>
      </c>
      <c r="CJ114" s="706">
        <f t="shared" si="79"/>
        <v>9309.0519497700006</v>
      </c>
      <c r="CK114" s="706">
        <f t="shared" si="79"/>
        <v>9309.0519497700006</v>
      </c>
      <c r="CL114" s="706">
        <f t="shared" si="79"/>
        <v>9309.0519497700006</v>
      </c>
      <c r="CM114" s="706">
        <f t="shared" si="79"/>
        <v>9309.0519497700006</v>
      </c>
      <c r="CN114" s="706">
        <f t="shared" si="79"/>
        <v>9309.0519497700006</v>
      </c>
      <c r="CO114" s="706">
        <f t="shared" si="79"/>
        <v>9309.0519497700006</v>
      </c>
      <c r="CP114" s="706">
        <f t="shared" si="79"/>
        <v>9309.0519497700006</v>
      </c>
      <c r="CQ114" s="6" t="s">
        <v>77</v>
      </c>
    </row>
    <row r="115" spans="1:96" x14ac:dyDescent="0.2">
      <c r="L115" s="474"/>
      <c r="M115" s="474"/>
      <c r="N115" s="474"/>
      <c r="CQ115" s="6" t="s">
        <v>77</v>
      </c>
    </row>
    <row r="116" spans="1:96" x14ac:dyDescent="0.2">
      <c r="A116" s="233"/>
      <c r="B116" s="728" t="s">
        <v>603</v>
      </c>
      <c r="C116" s="312"/>
      <c r="D116" s="312"/>
      <c r="E116" s="312"/>
      <c r="F116" s="312"/>
      <c r="G116" s="312"/>
      <c r="H116" s="312"/>
      <c r="I116" s="312"/>
      <c r="J116" s="312"/>
      <c r="K116" s="312"/>
      <c r="L116" s="312"/>
      <c r="M116" s="312"/>
      <c r="N116" s="312"/>
      <c r="O116" s="312"/>
      <c r="P116" s="312"/>
      <c r="Q116" s="312"/>
      <c r="R116" s="312"/>
      <c r="S116" s="312"/>
      <c r="T116" s="312"/>
      <c r="U116" s="312"/>
      <c r="V116" s="312"/>
      <c r="W116" s="312"/>
      <c r="X116" s="312"/>
      <c r="Y116" s="312"/>
      <c r="Z116" s="312"/>
      <c r="AA116" s="312"/>
      <c r="AB116" s="312"/>
      <c r="AC116" s="312"/>
      <c r="AD116" s="312"/>
      <c r="AE116" s="312"/>
      <c r="AF116" s="312"/>
      <c r="AG116" s="312"/>
      <c r="AH116" s="312"/>
      <c r="AI116" s="312"/>
      <c r="AJ116" s="312"/>
      <c r="AK116" s="312"/>
      <c r="AL116" s="312"/>
      <c r="AM116" s="312"/>
      <c r="AN116" s="312"/>
      <c r="AO116" s="312"/>
      <c r="AP116" s="312"/>
      <c r="AQ116" s="312"/>
      <c r="AR116" s="312"/>
      <c r="AS116" s="312"/>
      <c r="AT116" s="312"/>
      <c r="AU116" s="312"/>
      <c r="AV116" s="312"/>
      <c r="AW116" s="312"/>
      <c r="AX116" s="312"/>
      <c r="AY116" s="312"/>
      <c r="AZ116" s="312"/>
      <c r="BA116" s="312"/>
      <c r="BB116" s="312"/>
      <c r="BC116" s="312"/>
      <c r="BD116" s="312"/>
      <c r="BE116" s="312"/>
      <c r="BF116" s="312"/>
      <c r="BG116" s="312"/>
      <c r="BH116" s="312"/>
      <c r="BI116" s="312"/>
      <c r="BJ116" s="312"/>
      <c r="BK116" s="312"/>
      <c r="BL116" s="312"/>
      <c r="BM116" s="312"/>
      <c r="BN116" s="312"/>
      <c r="BO116" s="312"/>
      <c r="BP116" s="312"/>
      <c r="BQ116" s="312"/>
      <c r="BR116" s="312"/>
      <c r="BS116" s="312"/>
      <c r="BT116" s="312"/>
      <c r="BU116" s="312"/>
      <c r="BV116" s="312"/>
      <c r="BW116" s="312"/>
      <c r="BX116" s="312"/>
      <c r="BY116" s="312"/>
      <c r="BZ116" s="312"/>
      <c r="CA116" s="312"/>
      <c r="CB116" s="312"/>
      <c r="CC116" s="312"/>
      <c r="CD116" s="312"/>
      <c r="CE116" s="312"/>
      <c r="CF116" s="312"/>
      <c r="CG116" s="312"/>
      <c r="CH116" s="312"/>
      <c r="CI116" s="312"/>
      <c r="CJ116" s="312"/>
      <c r="CK116" s="312"/>
      <c r="CL116" s="312"/>
      <c r="CM116" s="312"/>
      <c r="CN116" s="312"/>
      <c r="CO116" s="312"/>
      <c r="CP116" s="312"/>
      <c r="CQ116" s="6" t="s">
        <v>77</v>
      </c>
      <c r="CR116" s="233"/>
    </row>
    <row r="117" spans="1:96" s="708" customFormat="1" ht="15" customHeight="1" outlineLevel="1" x14ac:dyDescent="0.2">
      <c r="F117" s="710"/>
      <c r="G117" s="322"/>
      <c r="H117" s="709"/>
      <c r="I117" s="709"/>
      <c r="J117" s="709"/>
      <c r="K117" s="709"/>
      <c r="O117" s="709"/>
      <c r="CQ117" s="6" t="s">
        <v>77</v>
      </c>
    </row>
    <row r="118" spans="1:96" s="708" customFormat="1" ht="15" customHeight="1" outlineLevel="1" x14ac:dyDescent="0.2">
      <c r="B118" s="321" t="s">
        <v>982</v>
      </c>
      <c r="C118" s="321"/>
      <c r="D118" s="323">
        <v>43157</v>
      </c>
      <c r="E118" s="324">
        <f ca="1">TODAY()</f>
        <v>43159</v>
      </c>
      <c r="F118" s="710"/>
      <c r="H118" s="724" t="s">
        <v>660</v>
      </c>
      <c r="J118" s="709"/>
      <c r="K118" s="709"/>
      <c r="M118" s="711" t="s">
        <v>669</v>
      </c>
      <c r="N118" s="711"/>
      <c r="O118" s="712" t="s">
        <v>673</v>
      </c>
      <c r="P118" s="712" t="s">
        <v>209</v>
      </c>
      <c r="S118" s="969" t="s">
        <v>986</v>
      </c>
      <c r="T118" s="970" t="s">
        <v>1004</v>
      </c>
      <c r="U118" s="970" t="s">
        <v>1005</v>
      </c>
      <c r="V118" s="970" t="s">
        <v>1006</v>
      </c>
      <c r="CQ118" s="6" t="s">
        <v>77</v>
      </c>
    </row>
    <row r="119" spans="1:96" s="708" customFormat="1" ht="15" customHeight="1" outlineLevel="1" x14ac:dyDescent="0.2">
      <c r="B119" s="321" t="s">
        <v>601</v>
      </c>
      <c r="C119" s="321"/>
      <c r="D119" s="325">
        <f>DATE(YEAR(D118)+1,MONTH(D118), DAY(D118))</f>
        <v>43522</v>
      </c>
      <c r="E119" s="326" t="str">
        <f>IF(D119&lt;D121,"error","")</f>
        <v/>
      </c>
      <c r="F119" s="325"/>
      <c r="H119" s="723">
        <f>G14</f>
        <v>0.5</v>
      </c>
      <c r="I119" s="725" t="s">
        <v>663</v>
      </c>
      <c r="K119" s="709"/>
      <c r="M119" s="720" t="s">
        <v>670</v>
      </c>
      <c r="N119" s="720"/>
      <c r="O119" s="739">
        <f>SUMIF($F$57:$CP$57,1,$F$67:$CP$67)</f>
        <v>160976.51985279348</v>
      </c>
      <c r="P119" s="740">
        <f>O119/SUM($O$119:$O$121)</f>
        <v>0.21876920884967577</v>
      </c>
      <c r="S119" s="874" t="s">
        <v>987</v>
      </c>
      <c r="T119" s="1007">
        <v>0.239498468034157</v>
      </c>
      <c r="U119" s="1007">
        <v>0.26368227286767698</v>
      </c>
      <c r="V119" s="1007">
        <v>0.27236277917365298</v>
      </c>
      <c r="CQ119" s="6" t="s">
        <v>77</v>
      </c>
    </row>
    <row r="120" spans="1:96" s="708" customFormat="1" ht="15" customHeight="1" outlineLevel="1" x14ac:dyDescent="0.2">
      <c r="B120" s="321" t="s">
        <v>646</v>
      </c>
      <c r="C120" s="321"/>
      <c r="D120" s="327" t="s">
        <v>602</v>
      </c>
      <c r="G120" s="322"/>
      <c r="H120" s="722">
        <f>F52</f>
        <v>0</v>
      </c>
      <c r="I120" s="725" t="s">
        <v>659</v>
      </c>
      <c r="K120" s="709"/>
      <c r="M120" s="720" t="s">
        <v>671</v>
      </c>
      <c r="N120" s="720"/>
      <c r="O120" s="739">
        <f>SUMIF($F$57:$CP$57,2,$F$67:$CP$67)</f>
        <v>125907.00686070914</v>
      </c>
      <c r="P120" s="740">
        <f t="shared" ref="P120:P121" si="80">O120/SUM($O$119:$O$121)</f>
        <v>0.17110927919634764</v>
      </c>
      <c r="S120" s="874" t="s">
        <v>988</v>
      </c>
      <c r="T120" s="1008">
        <v>0.239498468034157</v>
      </c>
      <c r="U120" s="1008">
        <v>0.26368227286767698</v>
      </c>
      <c r="V120" s="1008">
        <v>0.27236277917365298</v>
      </c>
      <c r="CQ120" s="709"/>
    </row>
    <row r="121" spans="1:96" s="708" customFormat="1" ht="15" customHeight="1" outlineLevel="1" x14ac:dyDescent="0.2">
      <c r="B121" s="321"/>
      <c r="C121" s="321"/>
      <c r="D121" s="324">
        <f>DATE(2000+RIGHT(D120,2),6,30)</f>
        <v>43281</v>
      </c>
      <c r="E121" s="324"/>
      <c r="F121" s="324">
        <f>DATE(2000+RIGHT(D120,2)+1,6,30)</f>
        <v>43646</v>
      </c>
      <c r="G121" s="322"/>
      <c r="H121" s="709"/>
      <c r="I121" s="709"/>
      <c r="J121" s="709"/>
      <c r="K121" s="709"/>
      <c r="M121" s="720" t="s">
        <v>672</v>
      </c>
      <c r="N121" s="720"/>
      <c r="O121" s="739">
        <f>SUMIF($F$57:$CP$57,3,$F$67:$CP$67)</f>
        <v>448944.5210233535</v>
      </c>
      <c r="P121" s="740">
        <f t="shared" si="80"/>
        <v>0.61012151195397657</v>
      </c>
      <c r="S121" s="874"/>
      <c r="T121" s="967">
        <f>T120/T119-1</f>
        <v>0</v>
      </c>
      <c r="U121" s="967">
        <f>U120/U119-1</f>
        <v>0</v>
      </c>
      <c r="V121" s="967">
        <f>V120/V119-1</f>
        <v>0</v>
      </c>
      <c r="CQ121" s="709"/>
    </row>
    <row r="122" spans="1:96" s="708" customFormat="1" ht="15" customHeight="1" outlineLevel="1" x14ac:dyDescent="0.2">
      <c r="B122" s="663"/>
      <c r="C122" s="321"/>
      <c r="E122" s="322"/>
      <c r="G122" s="322"/>
      <c r="H122" s="709"/>
      <c r="I122" s="709"/>
      <c r="J122" s="709"/>
      <c r="K122" s="709"/>
      <c r="O122" s="709"/>
      <c r="CQ122" s="709"/>
    </row>
    <row r="123" spans="1:96" s="396" customFormat="1" ht="20.100000000000001" customHeight="1" outlineLevel="1" x14ac:dyDescent="0.2">
      <c r="B123" s="935" t="s">
        <v>652</v>
      </c>
      <c r="C123" s="935"/>
      <c r="D123" s="936" t="str">
        <f>"FY"&amp;RIGHT(D120,2)&amp;"e"</f>
        <v>FY18e</v>
      </c>
      <c r="E123" s="936" t="s">
        <v>647</v>
      </c>
      <c r="F123" s="936" t="str">
        <f>"FY"&amp;RIGHT(D120,2)+1&amp;"e"</f>
        <v>FY19e</v>
      </c>
      <c r="G123" s="937"/>
      <c r="H123" s="938"/>
      <c r="I123" s="938"/>
      <c r="J123" s="939"/>
      <c r="K123" s="938"/>
      <c r="O123" s="938"/>
      <c r="T123" s="1006">
        <f>Financials!AT31/100</f>
        <v>0.2462</v>
      </c>
      <c r="U123" s="1006">
        <f>Financials!AU31/100</f>
        <v>0.26469999999999999</v>
      </c>
      <c r="V123" s="1006">
        <f>Financials!AV31/100</f>
        <v>0.2984</v>
      </c>
      <c r="CQ123" s="938"/>
    </row>
    <row r="124" spans="1:96" s="396" customFormat="1" ht="20.100000000000001" customHeight="1" outlineLevel="1" x14ac:dyDescent="0.2">
      <c r="B124" s="940" t="str">
        <f>"NPV of APA Assets at a WACC of "&amp;TEXT(D52,"0.0%")</f>
        <v>NPV of APA Assets at a WACC of 6.7%</v>
      </c>
      <c r="C124" s="941"/>
      <c r="D124" s="942">
        <f>INDEX($K$67:$CQ$67,MATCH(D121,$K$54:$CP$54,0))</f>
        <v>16339.850668591942</v>
      </c>
      <c r="E124" s="942">
        <f>(F124-D124)*($D$119-$D$121)/365+D124</f>
        <v>16631.506849269565</v>
      </c>
      <c r="F124" s="942">
        <f>INDEX($K$67:$CQ$67,MATCH(F121,$K$54:$CP$54,0))</f>
        <v>16781.570610282117</v>
      </c>
      <c r="G124" s="937"/>
      <c r="H124" s="938"/>
      <c r="I124" s="938"/>
      <c r="J124" s="938"/>
      <c r="K124" s="938"/>
      <c r="O124" s="938"/>
      <c r="T124" s="967">
        <f>T123/T119-1</f>
        <v>2.7981523309315026E-2</v>
      </c>
      <c r="U124" s="967">
        <f t="shared" ref="U124:V124" si="81">U123/U119-1</f>
        <v>3.8596721776353871E-3</v>
      </c>
      <c r="V124" s="967">
        <f t="shared" si="81"/>
        <v>9.5597573594100371E-2</v>
      </c>
      <c r="CQ124" s="938"/>
    </row>
    <row r="125" spans="1:96" s="396" customFormat="1" ht="20.100000000000001" customHeight="1" outlineLevel="1" x14ac:dyDescent="0.2">
      <c r="B125" s="396" t="str">
        <f>"APA Growth Projects (A$"&amp;TEXT(G71,"0")&amp;"m p.a. for "&amp;D71&amp;" years)"</f>
        <v>APA Growth Projects (A$303m p.a. for 10 years)</v>
      </c>
      <c r="C125" s="943"/>
      <c r="D125" s="942">
        <f>INDEX($K$93:$CQ$93,MATCH(D121,$K$54:$CP$54,0))</f>
        <v>2250.0757971834537</v>
      </c>
      <c r="E125" s="942">
        <f>(F125-D125)*($D$119-$D$121)/365+D125</f>
        <v>2089.0842339213659</v>
      </c>
      <c r="F125" s="942">
        <f>INDEX($K$93:$CQ$93,MATCH(F121,$K$54:$CP$54,0))</f>
        <v>2006.2504005417027</v>
      </c>
      <c r="G125" s="944"/>
      <c r="H125" s="945"/>
      <c r="I125" s="945"/>
      <c r="J125" s="946"/>
      <c r="K125" s="938"/>
      <c r="O125" s="938"/>
      <c r="T125" s="947"/>
      <c r="CQ125" s="938"/>
    </row>
    <row r="126" spans="1:96" s="396" customFormat="1" ht="20.100000000000001" customHeight="1" outlineLevel="1" x14ac:dyDescent="0.2">
      <c r="B126" s="948" t="s">
        <v>656</v>
      </c>
      <c r="C126" s="948"/>
      <c r="D126" s="949">
        <f>D124+D125</f>
        <v>18589.926465775396</v>
      </c>
      <c r="E126" s="949">
        <f t="shared" ref="E126:F126" si="82">E124+E125</f>
        <v>18720.591083190931</v>
      </c>
      <c r="F126" s="949">
        <f t="shared" si="82"/>
        <v>18787.82101082382</v>
      </c>
      <c r="G126" s="944"/>
      <c r="H126" s="945"/>
      <c r="I126" s="945"/>
      <c r="J126" s="946"/>
      <c r="S126" s="950" t="s">
        <v>971</v>
      </c>
      <c r="CQ126" s="938"/>
    </row>
    <row r="127" spans="1:96" s="396" customFormat="1" ht="20.100000000000001" customHeight="1" outlineLevel="1" x14ac:dyDescent="0.2">
      <c r="B127" s="396" t="s">
        <v>648</v>
      </c>
      <c r="C127" s="941"/>
      <c r="D127" s="942">
        <f>-INDEX($K$99:$CQ$99,+MATCH(D121,$K$54:$CP$54,0))</f>
        <v>-9157.7422456015047</v>
      </c>
      <c r="E127" s="942">
        <f>(F127-D127)*($D$119-$D$121)/365+D127</f>
        <v>-9229.876284930795</v>
      </c>
      <c r="F127" s="942">
        <f>-INDEX($K$99:$CQ$99,+MATCH(F121,$K$54:$CP$54,0))</f>
        <v>-9266.9908943782302</v>
      </c>
      <c r="G127" s="944"/>
      <c r="H127" s="945"/>
      <c r="J127" s="1047" t="s">
        <v>539</v>
      </c>
      <c r="K127" s="1047"/>
      <c r="L127" s="951" t="str">
        <f>F123</f>
        <v>FY19e</v>
      </c>
      <c r="M127" s="952" t="s">
        <v>540</v>
      </c>
      <c r="N127" s="936" t="s">
        <v>541</v>
      </c>
      <c r="O127" s="936" t="s">
        <v>987</v>
      </c>
      <c r="T127" s="396" t="s">
        <v>965</v>
      </c>
      <c r="U127" s="396" t="s">
        <v>122</v>
      </c>
      <c r="V127" s="396" t="s">
        <v>966</v>
      </c>
      <c r="W127" s="396" t="s">
        <v>126</v>
      </c>
      <c r="X127" s="396" t="s">
        <v>967</v>
      </c>
      <c r="Y127" s="396" t="s">
        <v>970</v>
      </c>
      <c r="Z127" s="396" t="s">
        <v>968</v>
      </c>
      <c r="CQ127" s="938"/>
    </row>
    <row r="128" spans="1:96" s="396" customFormat="1" ht="20.100000000000001" customHeight="1" outlineLevel="1" x14ac:dyDescent="0.2">
      <c r="B128" s="948" t="s">
        <v>651</v>
      </c>
      <c r="C128" s="948"/>
      <c r="D128" s="949">
        <f>D124+D125+D127</f>
        <v>9432.1842201738909</v>
      </c>
      <c r="E128" s="949">
        <f>E124+E125+E127</f>
        <v>9490.7147982601364</v>
      </c>
      <c r="F128" s="949">
        <f>F124+F125+F127</f>
        <v>9520.8301164455897</v>
      </c>
      <c r="G128" s="944"/>
      <c r="H128" s="945"/>
      <c r="I128" s="953">
        <v>9.84</v>
      </c>
      <c r="J128" s="954">
        <f>I128/$I$129-1</f>
        <v>0.19417475728155331</v>
      </c>
      <c r="K128" s="954">
        <f>I128/$E$141-1</f>
        <v>0.24714828897338403</v>
      </c>
      <c r="L128" s="955">
        <f>I128*$F$129-$F$127</f>
        <v>20876.759105498233</v>
      </c>
      <c r="M128" s="956">
        <f>L128/$F$135</f>
        <v>13.436940073260821</v>
      </c>
      <c r="N128" s="957">
        <f>$F$138/I128</f>
        <v>4.878048780487805E-2</v>
      </c>
      <c r="O128" s="968">
        <v>9.82</v>
      </c>
      <c r="P128" s="963">
        <f>I128/O128-1</f>
        <v>2.0366598778003286E-3</v>
      </c>
      <c r="S128" s="947">
        <v>1</v>
      </c>
      <c r="T128" s="958">
        <v>20345</v>
      </c>
      <c r="U128" s="958">
        <v>2271</v>
      </c>
      <c r="V128" s="959">
        <f>T128+U128</f>
        <v>22616</v>
      </c>
      <c r="W128" s="959">
        <f>F127</f>
        <v>-9266.9908943782302</v>
      </c>
      <c r="X128" s="959">
        <f>V128+W128</f>
        <v>13349.00910562177</v>
      </c>
      <c r="Y128" s="960">
        <f>X128/$F$129</f>
        <v>11.314114736029376</v>
      </c>
      <c r="Z128" s="961"/>
      <c r="CQ128" s="938"/>
    </row>
    <row r="129" spans="1:95" s="396" customFormat="1" ht="20.100000000000001" customHeight="1" outlineLevel="1" x14ac:dyDescent="0.2">
      <c r="B129" s="940" t="s">
        <v>654</v>
      </c>
      <c r="C129" s="940"/>
      <c r="D129" s="942">
        <f>INDEX($K$106:$CQ$106,+MATCH(D121,$K$54:$CP$54,0))</f>
        <v>1179.854493</v>
      </c>
      <c r="E129" s="942">
        <f>(F129-D129)*($D$119-$D$121)/365+D129</f>
        <v>1179.854493</v>
      </c>
      <c r="F129" s="942">
        <f>INDEX($K$106:$CQ$106,+MATCH(F121,$K$54:$CP$54,0))</f>
        <v>1179.854493</v>
      </c>
      <c r="G129" s="937"/>
      <c r="H129" s="938"/>
      <c r="I129" s="962">
        <v>8.24</v>
      </c>
      <c r="J129" s="954">
        <f>E130/$I$129-1</f>
        <v>-2.3789981458433584E-2</v>
      </c>
      <c r="K129" s="954">
        <f>I129/$E$141-1</f>
        <v>4.4359949302915203E-2</v>
      </c>
      <c r="L129" s="955">
        <f>I129*$F$129-$F$127</f>
        <v>18988.991916698229</v>
      </c>
      <c r="M129" s="956">
        <f>L129/$F$135</f>
        <v>12.22191361920296</v>
      </c>
      <c r="N129" s="957">
        <f>$F$138/I129</f>
        <v>5.8252427184466014E-2</v>
      </c>
      <c r="O129" s="968">
        <v>8.2200002670288104</v>
      </c>
      <c r="P129" s="963">
        <f t="shared" ref="P129:P130" si="83">I129/O129-1</f>
        <v>2.433057460035748E-3</v>
      </c>
      <c r="S129" s="947">
        <v>0.75</v>
      </c>
      <c r="T129" s="958">
        <v>18769</v>
      </c>
      <c r="U129" s="958">
        <v>2055</v>
      </c>
      <c r="V129" s="959">
        <f t="shared" ref="V129:V132" si="84">T129+U129</f>
        <v>20824</v>
      </c>
      <c r="W129" s="959">
        <f>W128</f>
        <v>-9266.9908943782302</v>
      </c>
      <c r="X129" s="959">
        <f t="shared" ref="X129:X132" si="85">V129+W129</f>
        <v>11557.00910562177</v>
      </c>
      <c r="Y129" s="960">
        <f t="shared" ref="Y129:Y132" si="86">X129/$F$129</f>
        <v>9.7952833795936307</v>
      </c>
      <c r="Z129" s="963">
        <f>X129/$X$128-1</f>
        <v>-0.13424217376893699</v>
      </c>
      <c r="CQ129" s="938"/>
    </row>
    <row r="130" spans="1:95" s="396" customFormat="1" ht="20.100000000000001" customHeight="1" outlineLevel="1" x14ac:dyDescent="0.2">
      <c r="B130" s="964" t="s">
        <v>653</v>
      </c>
      <c r="C130" s="964"/>
      <c r="D130" s="965">
        <f>D128/D129</f>
        <v>7.9943622507134791</v>
      </c>
      <c r="E130" s="965">
        <f>E128/E129</f>
        <v>8.0439705527825076</v>
      </c>
      <c r="F130" s="965">
        <f>F128/F129</f>
        <v>8.0694951563366963</v>
      </c>
      <c r="G130" s="937"/>
      <c r="H130" s="938"/>
      <c r="I130" s="953">
        <v>6.53</v>
      </c>
      <c r="J130" s="954">
        <f>I130/$I$129-1</f>
        <v>-0.20752427184466016</v>
      </c>
      <c r="K130" s="954">
        <f>I130/$E$141-1</f>
        <v>-0.17237008871989856</v>
      </c>
      <c r="L130" s="955">
        <f>I130*$F$129-$F$127</f>
        <v>16971.440733668231</v>
      </c>
      <c r="M130" s="956">
        <f>L130/$F$135</f>
        <v>10.923354096428623</v>
      </c>
      <c r="N130" s="957">
        <f>$F$138/I130</f>
        <v>7.3506891271056654E-2</v>
      </c>
      <c r="O130" s="968">
        <v>6.51</v>
      </c>
      <c r="P130" s="963">
        <f t="shared" si="83"/>
        <v>3.0721966205837781E-3</v>
      </c>
      <c r="S130" s="947">
        <v>0.5</v>
      </c>
      <c r="T130" s="958">
        <v>17215</v>
      </c>
      <c r="U130" s="958">
        <v>1775</v>
      </c>
      <c r="V130" s="959">
        <f t="shared" si="84"/>
        <v>18990</v>
      </c>
      <c r="W130" s="959">
        <f t="shared" ref="W130:W132" si="87">W129</f>
        <v>-9266.9908943782302</v>
      </c>
      <c r="X130" s="959">
        <f t="shared" si="85"/>
        <v>9723.0091056217698</v>
      </c>
      <c r="Y130" s="960">
        <f t="shared" si="86"/>
        <v>8.2408544132414203</v>
      </c>
      <c r="Z130" s="963">
        <f>X130/$X$128-1</f>
        <v>-0.27163064848558349</v>
      </c>
      <c r="CQ130" s="938"/>
    </row>
    <row r="131" spans="1:95" s="708" customFormat="1" ht="20.100000000000001" customHeight="1" outlineLevel="1" x14ac:dyDescent="0.2">
      <c r="B131" s="940" t="str">
        <f>"One year's growth at a Ke of "&amp;TEXT(D44,"0.0%")</f>
        <v>One year's growth at a Ke of 8.2%</v>
      </c>
      <c r="C131" s="321"/>
      <c r="D131" s="322"/>
      <c r="E131" s="1003">
        <f>E130*(D44)</f>
        <v>0.65743153923281894</v>
      </c>
      <c r="F131" s="322"/>
      <c r="G131" s="322"/>
      <c r="H131" s="709"/>
      <c r="I131" s="709"/>
      <c r="J131" s="709"/>
      <c r="K131" s="709"/>
      <c r="O131" s="709"/>
      <c r="S131" s="756">
        <v>0.25</v>
      </c>
      <c r="T131" s="863">
        <v>15552</v>
      </c>
      <c r="U131" s="863">
        <v>1477</v>
      </c>
      <c r="V131" s="864">
        <f t="shared" si="84"/>
        <v>17029</v>
      </c>
      <c r="W131" s="864">
        <f t="shared" si="87"/>
        <v>-9266.9908943782302</v>
      </c>
      <c r="X131" s="864">
        <f t="shared" si="85"/>
        <v>7762.0091056217698</v>
      </c>
      <c r="Y131" s="881">
        <f t="shared" si="86"/>
        <v>6.5787850549989555</v>
      </c>
      <c r="Z131" s="865">
        <f>X131/$X$128-1</f>
        <v>-0.41853293797268476</v>
      </c>
      <c r="CQ131" s="709"/>
    </row>
    <row r="132" spans="1:95" s="708" customFormat="1" ht="20.100000000000001" customHeight="1" outlineLevel="1" x14ac:dyDescent="0.2">
      <c r="B132" s="1005" t="s">
        <v>1009</v>
      </c>
      <c r="C132" s="321"/>
      <c r="D132" s="322"/>
      <c r="E132" s="1004">
        <f>-E138</f>
        <v>-0.46019178082191781</v>
      </c>
      <c r="F132" s="322"/>
      <c r="G132" s="322"/>
      <c r="H132" s="709"/>
      <c r="I132" s="709"/>
      <c r="J132" s="709"/>
      <c r="K132" s="709"/>
      <c r="O132" s="1002"/>
      <c r="S132" s="756">
        <v>0</v>
      </c>
      <c r="T132" s="863">
        <v>13665</v>
      </c>
      <c r="U132" s="863">
        <v>1134</v>
      </c>
      <c r="V132" s="864">
        <f t="shared" si="84"/>
        <v>14799</v>
      </c>
      <c r="W132" s="864">
        <f t="shared" si="87"/>
        <v>-9266.9908943782302</v>
      </c>
      <c r="X132" s="864">
        <f t="shared" si="85"/>
        <v>5532.0091056217698</v>
      </c>
      <c r="Y132" s="881">
        <f t="shared" si="86"/>
        <v>4.688721480862954</v>
      </c>
      <c r="Z132" s="865">
        <f>X132/$X$128-1</f>
        <v>-0.58558653591059184</v>
      </c>
      <c r="CQ132" s="709"/>
    </row>
    <row r="133" spans="1:95" s="708" customFormat="1" ht="20.100000000000001" customHeight="1" outlineLevel="1" x14ac:dyDescent="0.2">
      <c r="B133" s="964" t="s">
        <v>1010</v>
      </c>
      <c r="C133" s="964"/>
      <c r="D133" s="965"/>
      <c r="E133" s="965">
        <f>E130+E131+E132</f>
        <v>8.2412103111934094</v>
      </c>
      <c r="F133" s="965"/>
      <c r="G133" s="322"/>
      <c r="H133" s="709"/>
      <c r="I133" s="709"/>
      <c r="J133" s="754"/>
      <c r="O133" s="709"/>
      <c r="S133" s="756"/>
      <c r="CQ133" s="709"/>
    </row>
    <row r="134" spans="1:95" s="708" customFormat="1" ht="20.100000000000001" customHeight="1" outlineLevel="1" x14ac:dyDescent="0.2">
      <c r="B134" s="321"/>
      <c r="C134" s="321"/>
      <c r="D134" s="322"/>
      <c r="E134" s="322"/>
      <c r="F134" s="322"/>
      <c r="G134" s="322"/>
      <c r="H134" s="709"/>
      <c r="I134" s="709"/>
      <c r="J134" s="755"/>
      <c r="K134" s="709"/>
      <c r="O134" s="709"/>
      <c r="CQ134" s="709"/>
    </row>
    <row r="135" spans="1:95" s="708" customFormat="1" ht="20.100000000000001" customHeight="1" outlineLevel="1" x14ac:dyDescent="0.2">
      <c r="B135" s="720" t="s">
        <v>18</v>
      </c>
      <c r="C135" s="321"/>
      <c r="D135" s="716">
        <f>INDEX($K$98:$CQ$98,MATCH(D121,$K$54:$CP$54,0))</f>
        <v>1485.0839326218895</v>
      </c>
      <c r="E135" s="714">
        <f>(1-(D$121-D$118)/365)*D135+(D$121-D$118)/365*F135</f>
        <v>1508.3891686955224</v>
      </c>
      <c r="F135" s="716">
        <f>INDEX($K$98:$CQ$98,MATCH(F121,$K$54:$CP$54,0))</f>
        <v>1553.6840226773406</v>
      </c>
      <c r="G135" s="322"/>
      <c r="H135" s="709"/>
      <c r="I135" s="927">
        <v>7.0000000000000007E-2</v>
      </c>
      <c r="J135" s="928" t="s">
        <v>976</v>
      </c>
      <c r="K135" s="929" t="s">
        <v>981</v>
      </c>
      <c r="L135" s="930"/>
      <c r="O135" s="1009" t="s">
        <v>1016</v>
      </c>
      <c r="P135" s="1010">
        <f>O129</f>
        <v>8.2200002670288104</v>
      </c>
      <c r="Q135" s="1010"/>
      <c r="R135" s="1011"/>
      <c r="CQ135" s="709"/>
    </row>
    <row r="136" spans="1:95" s="708" customFormat="1" ht="20.100000000000001" customHeight="1" outlineLevel="1" x14ac:dyDescent="0.2">
      <c r="B136" s="321" t="s">
        <v>655</v>
      </c>
      <c r="C136" s="321"/>
      <c r="D136" s="717">
        <f>D126/D135</f>
        <v>12.517761493086258</v>
      </c>
      <c r="E136" s="717">
        <f>E126/E135</f>
        <v>12.410982173374249</v>
      </c>
      <c r="F136" s="717">
        <f>F126/F135</f>
        <v>12.092433684455514</v>
      </c>
      <c r="G136" s="322"/>
      <c r="H136" s="709"/>
      <c r="I136" s="926">
        <f>F138</f>
        <v>0.48</v>
      </c>
      <c r="J136" s="931" t="s">
        <v>980</v>
      </c>
      <c r="K136" s="916">
        <f>F138/I135</f>
        <v>6.8571428571428559</v>
      </c>
      <c r="L136" s="917"/>
      <c r="O136" s="1012">
        <v>0.22</v>
      </c>
      <c r="P136" s="1013">
        <f>P135+O136</f>
        <v>8.440000267028811</v>
      </c>
      <c r="Q136" s="1013" t="s">
        <v>1011</v>
      </c>
      <c r="R136" s="1014"/>
      <c r="CQ136" s="709"/>
    </row>
    <row r="137" spans="1:95" s="708" customFormat="1" ht="20.100000000000001" customHeight="1" outlineLevel="1" x14ac:dyDescent="0.2">
      <c r="B137" s="321"/>
      <c r="C137" s="321"/>
      <c r="D137" s="322"/>
      <c r="E137" s="322"/>
      <c r="F137" s="322"/>
      <c r="G137" s="322"/>
      <c r="H137" s="709"/>
      <c r="I137" s="934">
        <v>0.7</v>
      </c>
      <c r="J137" s="932" t="s">
        <v>980</v>
      </c>
      <c r="K137" s="933">
        <f>I137/I135</f>
        <v>9.9999999999999982</v>
      </c>
      <c r="L137" s="918"/>
      <c r="O137" s="1015">
        <v>-0.16</v>
      </c>
      <c r="P137" s="1013">
        <f t="shared" ref="P137:P140" si="88">P136+O137</f>
        <v>8.2800002670288109</v>
      </c>
      <c r="Q137" s="720" t="s">
        <v>1015</v>
      </c>
      <c r="R137" s="1014"/>
      <c r="CQ137" s="709"/>
    </row>
    <row r="138" spans="1:95" s="708" customFormat="1" ht="20.100000000000001" customHeight="1" outlineLevel="1" x14ac:dyDescent="0.2">
      <c r="A138" s="709"/>
      <c r="B138" s="720" t="s">
        <v>661</v>
      </c>
      <c r="C138" s="321"/>
      <c r="D138" s="718">
        <f>INDEX($K$103:$CQ$103,MATCH(D121,$K$54:$CP$54,0))/100</f>
        <v>0.45</v>
      </c>
      <c r="E138" s="718">
        <f>(1-(D$121-D$118)/365)*D138+(D$121-D$118)/365*F138</f>
        <v>0.46019178082191781</v>
      </c>
      <c r="F138" s="718">
        <f>INDEX($K$103:$CQ$103,MATCH(F121,$K$54:$CP$54,0))/100</f>
        <v>0.48</v>
      </c>
      <c r="G138" s="709"/>
      <c r="H138" s="709"/>
      <c r="I138" s="709"/>
      <c r="J138" s="709"/>
      <c r="K138" s="709"/>
      <c r="O138" s="1012">
        <v>0</v>
      </c>
      <c r="P138" s="1013">
        <f t="shared" si="88"/>
        <v>8.2800002670288109</v>
      </c>
      <c r="Q138" s="1013" t="s">
        <v>1014</v>
      </c>
      <c r="R138" s="1014"/>
      <c r="CQ138" s="709" t="s">
        <v>77</v>
      </c>
    </row>
    <row r="139" spans="1:95" s="708" customFormat="1" ht="20.100000000000001" customHeight="1" outlineLevel="1" x14ac:dyDescent="0.2">
      <c r="B139" s="321" t="s">
        <v>984</v>
      </c>
      <c r="C139" s="321"/>
      <c r="D139" s="719">
        <f>D138/D130</f>
        <v>5.6289668379718286E-2</v>
      </c>
      <c r="E139" s="719">
        <f>E138/E130</f>
        <v>5.7209530766212449E-2</v>
      </c>
      <c r="F139" s="719">
        <f>F138/F130</f>
        <v>5.9483275062513982E-2</v>
      </c>
      <c r="G139" s="709"/>
      <c r="H139" s="709"/>
      <c r="I139" s="902"/>
      <c r="J139" s="903"/>
      <c r="K139" s="904">
        <f t="shared" ref="K139:K140" si="89">K140+0.5</f>
        <v>13.5</v>
      </c>
      <c r="L139" s="905">
        <f>(K139*$I$141+$I$143)/$F$129</f>
        <v>9.5901656239232533</v>
      </c>
      <c r="O139" s="1015">
        <v>-0.06</v>
      </c>
      <c r="P139" s="1013">
        <f t="shared" si="88"/>
        <v>8.2200002670288104</v>
      </c>
      <c r="Q139" s="1013" t="s">
        <v>1012</v>
      </c>
      <c r="R139" s="1014"/>
      <c r="CQ139" s="709" t="s">
        <v>77</v>
      </c>
    </row>
    <row r="140" spans="1:95" s="708" customFormat="1" ht="20.100000000000001" customHeight="1" outlineLevel="1" x14ac:dyDescent="0.2">
      <c r="B140" s="321"/>
      <c r="C140" s="321"/>
      <c r="D140" s="322"/>
      <c r="E140" s="322"/>
      <c r="F140" s="322"/>
      <c r="H140" s="709"/>
      <c r="I140" s="906" t="s">
        <v>18</v>
      </c>
      <c r="J140" s="907"/>
      <c r="K140" s="908">
        <f t="shared" si="89"/>
        <v>13</v>
      </c>
      <c r="L140" s="909">
        <f t="shared" ref="L140:L145" si="90">(K140*$I$141+$I$143)/$F$129</f>
        <v>8.9273720297643511</v>
      </c>
      <c r="M140" s="722"/>
      <c r="N140" s="709"/>
      <c r="O140" s="1015">
        <v>0.02</v>
      </c>
      <c r="P140" s="1013">
        <f t="shared" si="88"/>
        <v>8.2400002670288099</v>
      </c>
      <c r="Q140" s="1013" t="s">
        <v>1013</v>
      </c>
      <c r="R140" s="1014"/>
      <c r="CQ140" s="709"/>
    </row>
    <row r="141" spans="1:95" ht="20.100000000000001" customHeight="1" outlineLevel="1" x14ac:dyDescent="0.2">
      <c r="B141" s="713" t="s">
        <v>983</v>
      </c>
      <c r="C141" s="709"/>
      <c r="D141" s="709"/>
      <c r="E141" s="738">
        <v>7.89</v>
      </c>
      <c r="F141" s="709"/>
      <c r="I141" s="910">
        <v>1564</v>
      </c>
      <c r="J141" s="472"/>
      <c r="K141" s="908">
        <f>K142+0.5</f>
        <v>12.5</v>
      </c>
      <c r="L141" s="909">
        <f t="shared" si="90"/>
        <v>8.2645784356054488</v>
      </c>
      <c r="M141" s="474"/>
      <c r="N141" s="474"/>
      <c r="O141" s="1016"/>
      <c r="P141" s="1017"/>
      <c r="Q141" s="1017"/>
      <c r="R141" s="1018"/>
      <c r="CQ141" s="6" t="s">
        <v>77</v>
      </c>
    </row>
    <row r="142" spans="1:95" ht="20.100000000000001" customHeight="1" outlineLevel="1" x14ac:dyDescent="0.2">
      <c r="B142" s="708" t="s">
        <v>979</v>
      </c>
      <c r="C142" s="708"/>
      <c r="D142" s="708"/>
      <c r="E142" s="925">
        <f>E138/E141</f>
        <v>5.8325954476795672E-2</v>
      </c>
      <c r="F142" s="709"/>
      <c r="I142" s="911" t="s">
        <v>125</v>
      </c>
      <c r="J142" s="472"/>
      <c r="K142" s="912">
        <v>12</v>
      </c>
      <c r="L142" s="909">
        <f t="shared" si="90"/>
        <v>7.6017848414465456</v>
      </c>
      <c r="O142" s="1019"/>
      <c r="P142" s="472"/>
      <c r="Q142" s="472"/>
      <c r="R142" s="1020"/>
      <c r="CQ142" s="6" t="s">
        <v>77</v>
      </c>
    </row>
    <row r="143" spans="1:95" ht="20.100000000000001" customHeight="1" outlineLevel="1" x14ac:dyDescent="0.2">
      <c r="B143" s="713" t="s">
        <v>657</v>
      </c>
      <c r="C143" s="720"/>
      <c r="D143" s="708"/>
      <c r="E143" s="721">
        <f>+E130/E141-1</f>
        <v>1.9514645473068137E-2</v>
      </c>
      <c r="F143" s="709"/>
      <c r="I143" s="910">
        <v>-9799</v>
      </c>
      <c r="J143" s="472"/>
      <c r="K143" s="908">
        <f>K142-0.5</f>
        <v>11.5</v>
      </c>
      <c r="L143" s="909">
        <f t="shared" si="90"/>
        <v>6.9389912472876434</v>
      </c>
      <c r="O143" s="1021"/>
      <c r="P143" s="685"/>
      <c r="Q143" s="685"/>
      <c r="R143" s="1022"/>
    </row>
    <row r="144" spans="1:95" ht="20.100000000000001" customHeight="1" outlineLevel="1" x14ac:dyDescent="0.2">
      <c r="B144" s="321" t="s">
        <v>658</v>
      </c>
      <c r="C144" s="708"/>
      <c r="D144" s="708"/>
      <c r="E144" s="966">
        <f>E143+E142</f>
        <v>7.7840599949863809E-2</v>
      </c>
      <c r="I144" s="911"/>
      <c r="J144" s="472"/>
      <c r="K144" s="908">
        <f t="shared" ref="K144:K145" si="91">K143-0.5</f>
        <v>11</v>
      </c>
      <c r="L144" s="909">
        <f t="shared" si="90"/>
        <v>6.2761976531287402</v>
      </c>
    </row>
    <row r="145" spans="4:13" ht="20.100000000000001" customHeight="1" outlineLevel="1" x14ac:dyDescent="0.2">
      <c r="I145" s="913"/>
      <c r="J145" s="685"/>
      <c r="K145" s="914">
        <f t="shared" si="91"/>
        <v>10.5</v>
      </c>
      <c r="L145" s="915">
        <f t="shared" si="90"/>
        <v>5.6134040589698371</v>
      </c>
    </row>
    <row r="146" spans="4:13" ht="15" customHeight="1" x14ac:dyDescent="0.2">
      <c r="G146" s="692"/>
      <c r="K146" s="901"/>
      <c r="M146" s="459"/>
    </row>
    <row r="147" spans="4:13" ht="15" customHeight="1" x14ac:dyDescent="0.2"/>
    <row r="148" spans="4:13" ht="15" customHeight="1" x14ac:dyDescent="0.2"/>
    <row r="149" spans="4:13" ht="15" customHeight="1" x14ac:dyDescent="0.2">
      <c r="D149" s="692"/>
      <c r="E149" s="692"/>
      <c r="F149" s="692"/>
    </row>
    <row r="159" spans="4:13" x14ac:dyDescent="0.2">
      <c r="L159" s="715"/>
    </row>
    <row r="160" spans="4:13" x14ac:dyDescent="0.2">
      <c r="L160" s="715"/>
    </row>
    <row r="161" spans="12:12" x14ac:dyDescent="0.2">
      <c r="L161" s="715"/>
    </row>
    <row r="162" spans="12:12" x14ac:dyDescent="0.2">
      <c r="L162" s="715"/>
    </row>
    <row r="163" spans="12:12" x14ac:dyDescent="0.2">
      <c r="L163" s="715"/>
    </row>
    <row r="164" spans="12:12" x14ac:dyDescent="0.2">
      <c r="L164" s="715"/>
    </row>
    <row r="165" spans="12:12" x14ac:dyDescent="0.2">
      <c r="L165" s="715"/>
    </row>
    <row r="166" spans="12:12" x14ac:dyDescent="0.2">
      <c r="L166" s="715"/>
    </row>
    <row r="167" spans="12:12" x14ac:dyDescent="0.2">
      <c r="L167" s="715"/>
    </row>
    <row r="168" spans="12:12" x14ac:dyDescent="0.2">
      <c r="L168" s="715"/>
    </row>
    <row r="169" spans="12:12" x14ac:dyDescent="0.2">
      <c r="L169" s="715"/>
    </row>
    <row r="170" spans="12:12" x14ac:dyDescent="0.2">
      <c r="L170" s="715"/>
    </row>
    <row r="171" spans="12:12" x14ac:dyDescent="0.2">
      <c r="L171" s="715"/>
    </row>
    <row r="172" spans="12:12" x14ac:dyDescent="0.2">
      <c r="L172" s="715"/>
    </row>
    <row r="173" spans="12:12" x14ac:dyDescent="0.2">
      <c r="L173" s="715"/>
    </row>
    <row r="174" spans="12:12" x14ac:dyDescent="0.2">
      <c r="L174" s="715"/>
    </row>
    <row r="175" spans="12:12" x14ac:dyDescent="0.2">
      <c r="L175" s="715"/>
    </row>
    <row r="176" spans="12:12" x14ac:dyDescent="0.2">
      <c r="L176" s="715"/>
    </row>
    <row r="177" spans="12:12" x14ac:dyDescent="0.2">
      <c r="L177" s="715"/>
    </row>
    <row r="178" spans="12:12" x14ac:dyDescent="0.2">
      <c r="L178" s="715"/>
    </row>
    <row r="179" spans="12:12" x14ac:dyDescent="0.2">
      <c r="L179" s="715"/>
    </row>
    <row r="180" spans="12:12" x14ac:dyDescent="0.2">
      <c r="L180" s="715"/>
    </row>
    <row r="181" spans="12:12" x14ac:dyDescent="0.2">
      <c r="L181" s="715"/>
    </row>
    <row r="182" spans="12:12" x14ac:dyDescent="0.2">
      <c r="L182" s="715"/>
    </row>
    <row r="183" spans="12:12" x14ac:dyDescent="0.2">
      <c r="L183" s="715"/>
    </row>
    <row r="184" spans="12:12" x14ac:dyDescent="0.2">
      <c r="L184" s="715"/>
    </row>
    <row r="185" spans="12:12" x14ac:dyDescent="0.2">
      <c r="L185" s="715"/>
    </row>
    <row r="186" spans="12:12" x14ac:dyDescent="0.2">
      <c r="L186" s="715"/>
    </row>
    <row r="187" spans="12:12" x14ac:dyDescent="0.2">
      <c r="L187" s="715"/>
    </row>
    <row r="188" spans="12:12" x14ac:dyDescent="0.2">
      <c r="L188" s="715"/>
    </row>
    <row r="189" spans="12:12" x14ac:dyDescent="0.2">
      <c r="L189" s="715"/>
    </row>
    <row r="190" spans="12:12" x14ac:dyDescent="0.2">
      <c r="L190" s="715"/>
    </row>
    <row r="191" spans="12:12" x14ac:dyDescent="0.2">
      <c r="L191" s="715"/>
    </row>
    <row r="192" spans="12:12" x14ac:dyDescent="0.2">
      <c r="L192" s="715"/>
    </row>
    <row r="193" spans="12:12" x14ac:dyDescent="0.2">
      <c r="L193" s="715"/>
    </row>
    <row r="194" spans="12:12" x14ac:dyDescent="0.2">
      <c r="L194" s="715"/>
    </row>
    <row r="195" spans="12:12" x14ac:dyDescent="0.2">
      <c r="L195" s="715"/>
    </row>
    <row r="196" spans="12:12" x14ac:dyDescent="0.2">
      <c r="L196" s="715"/>
    </row>
    <row r="197" spans="12:12" x14ac:dyDescent="0.2">
      <c r="L197" s="715"/>
    </row>
    <row r="198" spans="12:12" x14ac:dyDescent="0.2">
      <c r="L198" s="715"/>
    </row>
    <row r="199" spans="12:12" x14ac:dyDescent="0.2">
      <c r="L199" s="715"/>
    </row>
    <row r="200" spans="12:12" x14ac:dyDescent="0.2">
      <c r="L200" s="715"/>
    </row>
    <row r="201" spans="12:12" x14ac:dyDescent="0.2">
      <c r="L201" s="715"/>
    </row>
    <row r="202" spans="12:12" x14ac:dyDescent="0.2">
      <c r="L202" s="715"/>
    </row>
    <row r="203" spans="12:12" x14ac:dyDescent="0.2">
      <c r="L203" s="715"/>
    </row>
    <row r="204" spans="12:12" x14ac:dyDescent="0.2">
      <c r="L204" s="715"/>
    </row>
    <row r="205" spans="12:12" x14ac:dyDescent="0.2">
      <c r="L205" s="715"/>
    </row>
    <row r="206" spans="12:12" x14ac:dyDescent="0.2">
      <c r="L206" s="715"/>
    </row>
    <row r="207" spans="12:12" x14ac:dyDescent="0.2">
      <c r="L207" s="715"/>
    </row>
    <row r="208" spans="12:12" x14ac:dyDescent="0.2">
      <c r="L208" s="715"/>
    </row>
    <row r="209" spans="12:12" x14ac:dyDescent="0.2">
      <c r="L209" s="715"/>
    </row>
    <row r="210" spans="12:12" x14ac:dyDescent="0.2">
      <c r="L210" s="715"/>
    </row>
    <row r="211" spans="12:12" x14ac:dyDescent="0.2">
      <c r="L211" s="715"/>
    </row>
    <row r="212" spans="12:12" x14ac:dyDescent="0.2">
      <c r="L212" s="715"/>
    </row>
    <row r="213" spans="12:12" x14ac:dyDescent="0.2">
      <c r="L213" s="715"/>
    </row>
    <row r="214" spans="12:12" x14ac:dyDescent="0.2">
      <c r="L214" s="715"/>
    </row>
    <row r="215" spans="12:12" x14ac:dyDescent="0.2">
      <c r="L215" s="715"/>
    </row>
    <row r="216" spans="12:12" x14ac:dyDescent="0.2">
      <c r="L216" s="715"/>
    </row>
    <row r="217" spans="12:12" x14ac:dyDescent="0.2">
      <c r="L217" s="715"/>
    </row>
    <row r="218" spans="12:12" x14ac:dyDescent="0.2">
      <c r="L218" s="715"/>
    </row>
    <row r="219" spans="12:12" x14ac:dyDescent="0.2">
      <c r="L219" s="715"/>
    </row>
    <row r="220" spans="12:12" x14ac:dyDescent="0.2">
      <c r="L220" s="715"/>
    </row>
    <row r="221" spans="12:12" x14ac:dyDescent="0.2">
      <c r="L221" s="715"/>
    </row>
    <row r="222" spans="12:12" x14ac:dyDescent="0.2">
      <c r="L222" s="715"/>
    </row>
    <row r="223" spans="12:12" x14ac:dyDescent="0.2">
      <c r="L223" s="715"/>
    </row>
    <row r="224" spans="12:12" x14ac:dyDescent="0.2">
      <c r="L224" s="715"/>
    </row>
    <row r="225" spans="12:12" x14ac:dyDescent="0.2">
      <c r="L225" s="715"/>
    </row>
    <row r="226" spans="12:12" x14ac:dyDescent="0.2">
      <c r="L226" s="715"/>
    </row>
    <row r="227" spans="12:12" x14ac:dyDescent="0.2">
      <c r="L227" s="715"/>
    </row>
    <row r="228" spans="12:12" x14ac:dyDescent="0.2">
      <c r="L228" s="715"/>
    </row>
    <row r="229" spans="12:12" x14ac:dyDescent="0.2">
      <c r="L229" s="715"/>
    </row>
    <row r="230" spans="12:12" x14ac:dyDescent="0.2">
      <c r="L230" s="715"/>
    </row>
    <row r="231" spans="12:12" x14ac:dyDescent="0.2">
      <c r="L231" s="715"/>
    </row>
    <row r="232" spans="12:12" x14ac:dyDescent="0.2">
      <c r="L232" s="715"/>
    </row>
    <row r="233" spans="12:12" x14ac:dyDescent="0.2">
      <c r="L233" s="715"/>
    </row>
    <row r="234" spans="12:12" x14ac:dyDescent="0.2">
      <c r="L234" s="715"/>
    </row>
    <row r="235" spans="12:12" x14ac:dyDescent="0.2">
      <c r="L235" s="715"/>
    </row>
    <row r="236" spans="12:12" x14ac:dyDescent="0.2">
      <c r="L236" s="715"/>
    </row>
    <row r="237" spans="12:12" x14ac:dyDescent="0.2">
      <c r="L237" s="715"/>
    </row>
    <row r="238" spans="12:12" x14ac:dyDescent="0.2">
      <c r="L238" s="715"/>
    </row>
    <row r="239" spans="12:12" x14ac:dyDescent="0.2">
      <c r="L239" s="715"/>
    </row>
    <row r="240" spans="12:12" x14ac:dyDescent="0.2">
      <c r="L240" s="715"/>
    </row>
    <row r="241" spans="12:12" x14ac:dyDescent="0.2">
      <c r="L241" s="715"/>
    </row>
    <row r="242" spans="12:12" x14ac:dyDescent="0.2">
      <c r="L242" s="715"/>
    </row>
    <row r="243" spans="12:12" x14ac:dyDescent="0.2">
      <c r="L243" s="715"/>
    </row>
    <row r="244" spans="12:12" x14ac:dyDescent="0.2">
      <c r="L244" s="715"/>
    </row>
    <row r="245" spans="12:12" x14ac:dyDescent="0.2">
      <c r="L245" s="715"/>
    </row>
    <row r="246" spans="12:12" x14ac:dyDescent="0.2">
      <c r="L246" s="715"/>
    </row>
    <row r="247" spans="12:12" x14ac:dyDescent="0.2">
      <c r="L247" s="715"/>
    </row>
    <row r="248" spans="12:12" x14ac:dyDescent="0.2">
      <c r="L248" s="715"/>
    </row>
    <row r="249" spans="12:12" x14ac:dyDescent="0.2">
      <c r="L249" s="715"/>
    </row>
    <row r="250" spans="12:12" x14ac:dyDescent="0.2">
      <c r="L250" s="715"/>
    </row>
    <row r="251" spans="12:12" x14ac:dyDescent="0.2">
      <c r="L251" s="715"/>
    </row>
    <row r="252" spans="12:12" x14ac:dyDescent="0.2">
      <c r="L252" s="715"/>
    </row>
    <row r="253" spans="12:12" x14ac:dyDescent="0.2">
      <c r="L253" s="715"/>
    </row>
    <row r="254" spans="12:12" x14ac:dyDescent="0.2">
      <c r="L254" s="715"/>
    </row>
    <row r="255" spans="12:12" x14ac:dyDescent="0.2">
      <c r="L255" s="715"/>
    </row>
    <row r="256" spans="12:12" x14ac:dyDescent="0.2">
      <c r="L256" s="715"/>
    </row>
    <row r="257" spans="12:12" x14ac:dyDescent="0.2">
      <c r="L257" s="715"/>
    </row>
    <row r="258" spans="12:12" x14ac:dyDescent="0.2">
      <c r="L258" s="715"/>
    </row>
    <row r="259" spans="12:12" x14ac:dyDescent="0.2">
      <c r="L259" s="715"/>
    </row>
    <row r="260" spans="12:12" x14ac:dyDescent="0.2">
      <c r="L260" s="715"/>
    </row>
    <row r="261" spans="12:12" x14ac:dyDescent="0.2">
      <c r="L261" s="715"/>
    </row>
    <row r="262" spans="12:12" x14ac:dyDescent="0.2">
      <c r="L262" s="715"/>
    </row>
    <row r="263" spans="12:12" x14ac:dyDescent="0.2">
      <c r="L263" s="715"/>
    </row>
    <row r="264" spans="12:12" x14ac:dyDescent="0.2">
      <c r="L264" s="715"/>
    </row>
    <row r="265" spans="12:12" x14ac:dyDescent="0.2">
      <c r="L265" s="715"/>
    </row>
    <row r="266" spans="12:12" x14ac:dyDescent="0.2">
      <c r="L266" s="715"/>
    </row>
    <row r="267" spans="12:12" x14ac:dyDescent="0.2">
      <c r="L267" s="715"/>
    </row>
    <row r="268" spans="12:12" x14ac:dyDescent="0.2">
      <c r="L268" s="715"/>
    </row>
    <row r="269" spans="12:12" x14ac:dyDescent="0.2">
      <c r="L269" s="715"/>
    </row>
    <row r="270" spans="12:12" x14ac:dyDescent="0.2">
      <c r="L270" s="715"/>
    </row>
    <row r="271" spans="12:12" x14ac:dyDescent="0.2">
      <c r="L271" s="715"/>
    </row>
    <row r="272" spans="12:12" x14ac:dyDescent="0.2">
      <c r="L272" s="715"/>
    </row>
    <row r="273" spans="12:12" x14ac:dyDescent="0.2">
      <c r="L273" s="715"/>
    </row>
    <row r="274" spans="12:12" x14ac:dyDescent="0.2">
      <c r="L274" s="715"/>
    </row>
    <row r="275" spans="12:12" x14ac:dyDescent="0.2">
      <c r="L275" s="715"/>
    </row>
    <row r="276" spans="12:12" x14ac:dyDescent="0.2">
      <c r="L276" s="715"/>
    </row>
    <row r="277" spans="12:12" x14ac:dyDescent="0.2">
      <c r="L277" s="715"/>
    </row>
    <row r="278" spans="12:12" x14ac:dyDescent="0.2">
      <c r="L278" s="715"/>
    </row>
    <row r="279" spans="12:12" x14ac:dyDescent="0.2">
      <c r="L279" s="715"/>
    </row>
    <row r="280" spans="12:12" x14ac:dyDescent="0.2">
      <c r="L280" s="715"/>
    </row>
    <row r="281" spans="12:12" x14ac:dyDescent="0.2">
      <c r="L281" s="715"/>
    </row>
    <row r="282" spans="12:12" x14ac:dyDescent="0.2">
      <c r="L282" s="715"/>
    </row>
    <row r="283" spans="12:12" x14ac:dyDescent="0.2">
      <c r="L283" s="715"/>
    </row>
    <row r="284" spans="12:12" x14ac:dyDescent="0.2">
      <c r="L284" s="715"/>
    </row>
    <row r="285" spans="12:12" x14ac:dyDescent="0.2">
      <c r="L285" s="715"/>
    </row>
    <row r="286" spans="12:12" x14ac:dyDescent="0.2">
      <c r="L286" s="715"/>
    </row>
    <row r="287" spans="12:12" x14ac:dyDescent="0.2">
      <c r="L287" s="715"/>
    </row>
    <row r="288" spans="12:12" x14ac:dyDescent="0.2">
      <c r="L288" s="715"/>
    </row>
    <row r="289" spans="12:12" x14ac:dyDescent="0.2">
      <c r="L289" s="715"/>
    </row>
    <row r="290" spans="12:12" x14ac:dyDescent="0.2">
      <c r="L290" s="715"/>
    </row>
    <row r="291" spans="12:12" x14ac:dyDescent="0.2">
      <c r="L291" s="715"/>
    </row>
    <row r="292" spans="12:12" x14ac:dyDescent="0.2">
      <c r="L292" s="715"/>
    </row>
    <row r="293" spans="12:12" x14ac:dyDescent="0.2">
      <c r="L293" s="715"/>
    </row>
    <row r="294" spans="12:12" x14ac:dyDescent="0.2">
      <c r="L294" s="715"/>
    </row>
    <row r="295" spans="12:12" x14ac:dyDescent="0.2">
      <c r="L295" s="715"/>
    </row>
    <row r="296" spans="12:12" x14ac:dyDescent="0.2">
      <c r="L296" s="715"/>
    </row>
    <row r="297" spans="12:12" x14ac:dyDescent="0.2">
      <c r="L297" s="715"/>
    </row>
    <row r="298" spans="12:12" x14ac:dyDescent="0.2">
      <c r="L298" s="715"/>
    </row>
    <row r="299" spans="12:12" x14ac:dyDescent="0.2">
      <c r="L299" s="715"/>
    </row>
    <row r="300" spans="12:12" x14ac:dyDescent="0.2">
      <c r="L300" s="715"/>
    </row>
    <row r="301" spans="12:12" x14ac:dyDescent="0.2">
      <c r="L301" s="715"/>
    </row>
    <row r="302" spans="12:12" x14ac:dyDescent="0.2">
      <c r="L302" s="715"/>
    </row>
    <row r="303" spans="12:12" x14ac:dyDescent="0.2">
      <c r="L303" s="715"/>
    </row>
    <row r="304" spans="12:12" x14ac:dyDescent="0.2">
      <c r="L304" s="715"/>
    </row>
    <row r="305" spans="12:12" x14ac:dyDescent="0.2">
      <c r="L305" s="715"/>
    </row>
    <row r="306" spans="12:12" x14ac:dyDescent="0.2">
      <c r="L306" s="715"/>
    </row>
    <row r="307" spans="12:12" x14ac:dyDescent="0.2">
      <c r="L307" s="715"/>
    </row>
    <row r="308" spans="12:12" x14ac:dyDescent="0.2">
      <c r="L308" s="715"/>
    </row>
    <row r="309" spans="12:12" x14ac:dyDescent="0.2">
      <c r="L309" s="715"/>
    </row>
    <row r="310" spans="12:12" x14ac:dyDescent="0.2">
      <c r="L310" s="715"/>
    </row>
    <row r="311" spans="12:12" x14ac:dyDescent="0.2">
      <c r="L311" s="715"/>
    </row>
    <row r="312" spans="12:12" x14ac:dyDescent="0.2">
      <c r="L312" s="715"/>
    </row>
    <row r="313" spans="12:12" x14ac:dyDescent="0.2">
      <c r="L313" s="715"/>
    </row>
    <row r="314" spans="12:12" x14ac:dyDescent="0.2">
      <c r="L314" s="715"/>
    </row>
    <row r="315" spans="12:12" x14ac:dyDescent="0.2">
      <c r="L315" s="715"/>
    </row>
    <row r="316" spans="12:12" x14ac:dyDescent="0.2">
      <c r="L316" s="715"/>
    </row>
    <row r="317" spans="12:12" x14ac:dyDescent="0.2">
      <c r="L317" s="715"/>
    </row>
    <row r="318" spans="12:12" x14ac:dyDescent="0.2">
      <c r="L318" s="715"/>
    </row>
    <row r="319" spans="12:12" x14ac:dyDescent="0.2">
      <c r="L319" s="715"/>
    </row>
    <row r="320" spans="12:12" x14ac:dyDescent="0.2">
      <c r="L320" s="715"/>
    </row>
    <row r="321" spans="12:12" x14ac:dyDescent="0.2">
      <c r="L321" s="715"/>
    </row>
    <row r="322" spans="12:12" x14ac:dyDescent="0.2">
      <c r="L322" s="715"/>
    </row>
    <row r="323" spans="12:12" x14ac:dyDescent="0.2">
      <c r="L323" s="715"/>
    </row>
    <row r="324" spans="12:12" x14ac:dyDescent="0.2">
      <c r="L324" s="715"/>
    </row>
    <row r="325" spans="12:12" x14ac:dyDescent="0.2">
      <c r="L325" s="715"/>
    </row>
    <row r="326" spans="12:12" x14ac:dyDescent="0.2">
      <c r="L326" s="715"/>
    </row>
    <row r="327" spans="12:12" x14ac:dyDescent="0.2">
      <c r="L327" s="715"/>
    </row>
    <row r="328" spans="12:12" x14ac:dyDescent="0.2">
      <c r="L328" s="715"/>
    </row>
    <row r="329" spans="12:12" x14ac:dyDescent="0.2">
      <c r="L329" s="715"/>
    </row>
    <row r="330" spans="12:12" x14ac:dyDescent="0.2">
      <c r="L330" s="715"/>
    </row>
    <row r="331" spans="12:12" x14ac:dyDescent="0.2">
      <c r="L331" s="715"/>
    </row>
    <row r="332" spans="12:12" x14ac:dyDescent="0.2">
      <c r="L332" s="715"/>
    </row>
    <row r="333" spans="12:12" x14ac:dyDescent="0.2">
      <c r="L333" s="715"/>
    </row>
    <row r="334" spans="12:12" x14ac:dyDescent="0.2">
      <c r="L334" s="715"/>
    </row>
    <row r="335" spans="12:12" x14ac:dyDescent="0.2">
      <c r="L335" s="715"/>
    </row>
    <row r="336" spans="12:12" x14ac:dyDescent="0.2">
      <c r="L336" s="715"/>
    </row>
    <row r="337" spans="12:12" x14ac:dyDescent="0.2">
      <c r="L337" s="715"/>
    </row>
    <row r="338" spans="12:12" x14ac:dyDescent="0.2">
      <c r="L338" s="715"/>
    </row>
    <row r="339" spans="12:12" x14ac:dyDescent="0.2">
      <c r="L339" s="715"/>
    </row>
    <row r="340" spans="12:12" x14ac:dyDescent="0.2">
      <c r="L340" s="715"/>
    </row>
    <row r="341" spans="12:12" x14ac:dyDescent="0.2">
      <c r="L341" s="715"/>
    </row>
    <row r="342" spans="12:12" x14ac:dyDescent="0.2">
      <c r="L342" s="715"/>
    </row>
    <row r="343" spans="12:12" x14ac:dyDescent="0.2">
      <c r="L343" s="715"/>
    </row>
    <row r="344" spans="12:12" x14ac:dyDescent="0.2">
      <c r="L344" s="715"/>
    </row>
    <row r="345" spans="12:12" x14ac:dyDescent="0.2">
      <c r="L345" s="715"/>
    </row>
    <row r="346" spans="12:12" x14ac:dyDescent="0.2">
      <c r="L346" s="715"/>
    </row>
    <row r="347" spans="12:12" x14ac:dyDescent="0.2">
      <c r="L347" s="715"/>
    </row>
    <row r="348" spans="12:12" x14ac:dyDescent="0.2">
      <c r="L348" s="715"/>
    </row>
    <row r="349" spans="12:12" x14ac:dyDescent="0.2">
      <c r="L349" s="715"/>
    </row>
    <row r="350" spans="12:12" x14ac:dyDescent="0.2">
      <c r="L350" s="715"/>
    </row>
    <row r="351" spans="12:12" x14ac:dyDescent="0.2">
      <c r="L351" s="715"/>
    </row>
    <row r="352" spans="12:12" x14ac:dyDescent="0.2">
      <c r="L352" s="715"/>
    </row>
    <row r="353" spans="12:12" x14ac:dyDescent="0.2">
      <c r="L353" s="715"/>
    </row>
    <row r="354" spans="12:12" x14ac:dyDescent="0.2">
      <c r="L354" s="715"/>
    </row>
    <row r="355" spans="12:12" x14ac:dyDescent="0.2">
      <c r="L355" s="715"/>
    </row>
    <row r="356" spans="12:12" x14ac:dyDescent="0.2">
      <c r="L356" s="715"/>
    </row>
    <row r="357" spans="12:12" x14ac:dyDescent="0.2">
      <c r="L357" s="715"/>
    </row>
    <row r="358" spans="12:12" x14ac:dyDescent="0.2">
      <c r="L358" s="715"/>
    </row>
    <row r="359" spans="12:12" x14ac:dyDescent="0.2">
      <c r="L359" s="715"/>
    </row>
    <row r="360" spans="12:12" x14ac:dyDescent="0.2">
      <c r="L360" s="715"/>
    </row>
    <row r="361" spans="12:12" x14ac:dyDescent="0.2">
      <c r="L361" s="715"/>
    </row>
    <row r="362" spans="12:12" x14ac:dyDescent="0.2">
      <c r="L362" s="715"/>
    </row>
    <row r="363" spans="12:12" x14ac:dyDescent="0.2">
      <c r="L363" s="715"/>
    </row>
    <row r="364" spans="12:12" x14ac:dyDescent="0.2">
      <c r="L364" s="715"/>
    </row>
    <row r="365" spans="12:12" x14ac:dyDescent="0.2">
      <c r="L365" s="715"/>
    </row>
    <row r="366" spans="12:12" x14ac:dyDescent="0.2">
      <c r="L366" s="715"/>
    </row>
    <row r="367" spans="12:12" x14ac:dyDescent="0.2">
      <c r="L367" s="715"/>
    </row>
    <row r="368" spans="12:12" x14ac:dyDescent="0.2">
      <c r="L368" s="715"/>
    </row>
    <row r="369" spans="12:12" x14ac:dyDescent="0.2">
      <c r="L369" s="715"/>
    </row>
    <row r="370" spans="12:12" x14ac:dyDescent="0.2">
      <c r="L370" s="715"/>
    </row>
    <row r="371" spans="12:12" x14ac:dyDescent="0.2">
      <c r="L371" s="715"/>
    </row>
    <row r="372" spans="12:12" x14ac:dyDescent="0.2">
      <c r="L372" s="715"/>
    </row>
    <row r="373" spans="12:12" x14ac:dyDescent="0.2">
      <c r="L373" s="715"/>
    </row>
    <row r="374" spans="12:12" x14ac:dyDescent="0.2">
      <c r="L374" s="715"/>
    </row>
    <row r="375" spans="12:12" x14ac:dyDescent="0.2">
      <c r="L375" s="715"/>
    </row>
    <row r="376" spans="12:12" x14ac:dyDescent="0.2">
      <c r="L376" s="715"/>
    </row>
    <row r="377" spans="12:12" x14ac:dyDescent="0.2">
      <c r="L377" s="715"/>
    </row>
    <row r="378" spans="12:12" x14ac:dyDescent="0.2">
      <c r="L378" s="715"/>
    </row>
    <row r="379" spans="12:12" x14ac:dyDescent="0.2">
      <c r="L379" s="715"/>
    </row>
    <row r="380" spans="12:12" x14ac:dyDescent="0.2">
      <c r="L380" s="715"/>
    </row>
    <row r="381" spans="12:12" x14ac:dyDescent="0.2">
      <c r="L381" s="715"/>
    </row>
    <row r="382" spans="12:12" x14ac:dyDescent="0.2">
      <c r="L382" s="715"/>
    </row>
    <row r="383" spans="12:12" x14ac:dyDescent="0.2">
      <c r="L383" s="715"/>
    </row>
    <row r="384" spans="12:12" x14ac:dyDescent="0.2">
      <c r="L384" s="715"/>
    </row>
    <row r="385" spans="12:12" x14ac:dyDescent="0.2">
      <c r="L385" s="715"/>
    </row>
    <row r="386" spans="12:12" x14ac:dyDescent="0.2">
      <c r="L386" s="715"/>
    </row>
    <row r="387" spans="12:12" x14ac:dyDescent="0.2">
      <c r="L387" s="715"/>
    </row>
    <row r="388" spans="12:12" x14ac:dyDescent="0.2">
      <c r="L388" s="715"/>
    </row>
    <row r="389" spans="12:12" x14ac:dyDescent="0.2">
      <c r="L389" s="715"/>
    </row>
    <row r="390" spans="12:12" x14ac:dyDescent="0.2">
      <c r="L390" s="715"/>
    </row>
    <row r="391" spans="12:12" x14ac:dyDescent="0.2">
      <c r="L391" s="715"/>
    </row>
    <row r="392" spans="12:12" x14ac:dyDescent="0.2">
      <c r="L392" s="715"/>
    </row>
    <row r="393" spans="12:12" x14ac:dyDescent="0.2">
      <c r="L393" s="715"/>
    </row>
    <row r="394" spans="12:12" x14ac:dyDescent="0.2">
      <c r="L394" s="715"/>
    </row>
    <row r="395" spans="12:12" x14ac:dyDescent="0.2">
      <c r="L395" s="715"/>
    </row>
    <row r="396" spans="12:12" x14ac:dyDescent="0.2">
      <c r="L396" s="715"/>
    </row>
    <row r="397" spans="12:12" x14ac:dyDescent="0.2">
      <c r="L397" s="715"/>
    </row>
    <row r="398" spans="12:12" x14ac:dyDescent="0.2">
      <c r="L398" s="715"/>
    </row>
    <row r="399" spans="12:12" x14ac:dyDescent="0.2">
      <c r="L399" s="715"/>
    </row>
    <row r="400" spans="12:12" x14ac:dyDescent="0.2">
      <c r="L400" s="715"/>
    </row>
    <row r="401" spans="12:12" x14ac:dyDescent="0.2">
      <c r="L401" s="715"/>
    </row>
    <row r="402" spans="12:12" x14ac:dyDescent="0.2">
      <c r="L402" s="715"/>
    </row>
    <row r="403" spans="12:12" x14ac:dyDescent="0.2">
      <c r="L403" s="715"/>
    </row>
    <row r="404" spans="12:12" x14ac:dyDescent="0.2">
      <c r="L404" s="715"/>
    </row>
    <row r="405" spans="12:12" x14ac:dyDescent="0.2">
      <c r="L405" s="715"/>
    </row>
    <row r="406" spans="12:12" x14ac:dyDescent="0.2">
      <c r="L406" s="715"/>
    </row>
    <row r="407" spans="12:12" x14ac:dyDescent="0.2">
      <c r="L407" s="715"/>
    </row>
    <row r="408" spans="12:12" x14ac:dyDescent="0.2">
      <c r="L408" s="715"/>
    </row>
    <row r="409" spans="12:12" x14ac:dyDescent="0.2">
      <c r="L409" s="715"/>
    </row>
    <row r="410" spans="12:12" x14ac:dyDescent="0.2">
      <c r="L410" s="715"/>
    </row>
    <row r="411" spans="12:12" x14ac:dyDescent="0.2">
      <c r="L411" s="715"/>
    </row>
    <row r="412" spans="12:12" x14ac:dyDescent="0.2">
      <c r="L412" s="715"/>
    </row>
    <row r="413" spans="12:12" x14ac:dyDescent="0.2">
      <c r="L413" s="715"/>
    </row>
    <row r="414" spans="12:12" x14ac:dyDescent="0.2">
      <c r="L414" s="715"/>
    </row>
    <row r="415" spans="12:12" x14ac:dyDescent="0.2">
      <c r="L415" s="715"/>
    </row>
    <row r="416" spans="12:12" x14ac:dyDescent="0.2">
      <c r="L416" s="715"/>
    </row>
    <row r="417" spans="12:12" x14ac:dyDescent="0.2">
      <c r="L417" s="715"/>
    </row>
    <row r="418" spans="12:12" x14ac:dyDescent="0.2">
      <c r="L418" s="715"/>
    </row>
    <row r="419" spans="12:12" x14ac:dyDescent="0.2">
      <c r="L419" s="715"/>
    </row>
    <row r="420" spans="12:12" x14ac:dyDescent="0.2">
      <c r="L420" s="715"/>
    </row>
    <row r="421" spans="12:12" x14ac:dyDescent="0.2">
      <c r="L421" s="715"/>
    </row>
    <row r="422" spans="12:12" x14ac:dyDescent="0.2">
      <c r="L422" s="715"/>
    </row>
    <row r="423" spans="12:12" x14ac:dyDescent="0.2">
      <c r="L423" s="715"/>
    </row>
    <row r="424" spans="12:12" x14ac:dyDescent="0.2">
      <c r="L424" s="715"/>
    </row>
    <row r="425" spans="12:12" x14ac:dyDescent="0.2">
      <c r="L425" s="715"/>
    </row>
    <row r="426" spans="12:12" x14ac:dyDescent="0.2">
      <c r="L426" s="715"/>
    </row>
    <row r="427" spans="12:12" x14ac:dyDescent="0.2">
      <c r="L427" s="715"/>
    </row>
    <row r="428" spans="12:12" x14ac:dyDescent="0.2">
      <c r="L428" s="715"/>
    </row>
    <row r="429" spans="12:12" x14ac:dyDescent="0.2">
      <c r="L429" s="715"/>
    </row>
    <row r="430" spans="12:12" x14ac:dyDescent="0.2">
      <c r="L430" s="715"/>
    </row>
    <row r="431" spans="12:12" x14ac:dyDescent="0.2">
      <c r="L431" s="715"/>
    </row>
    <row r="432" spans="12:12" x14ac:dyDescent="0.2">
      <c r="L432" s="715"/>
    </row>
    <row r="433" spans="12:12" x14ac:dyDescent="0.2">
      <c r="L433" s="715"/>
    </row>
    <row r="434" spans="12:12" x14ac:dyDescent="0.2">
      <c r="L434" s="715"/>
    </row>
    <row r="435" spans="12:12" x14ac:dyDescent="0.2">
      <c r="L435" s="715"/>
    </row>
    <row r="436" spans="12:12" x14ac:dyDescent="0.2">
      <c r="L436" s="715"/>
    </row>
    <row r="437" spans="12:12" x14ac:dyDescent="0.2">
      <c r="L437" s="715"/>
    </row>
    <row r="438" spans="12:12" x14ac:dyDescent="0.2">
      <c r="L438" s="715"/>
    </row>
    <row r="439" spans="12:12" x14ac:dyDescent="0.2">
      <c r="L439" s="715"/>
    </row>
    <row r="440" spans="12:12" x14ac:dyDescent="0.2">
      <c r="L440" s="715"/>
    </row>
    <row r="441" spans="12:12" x14ac:dyDescent="0.2">
      <c r="L441" s="715"/>
    </row>
    <row r="442" spans="12:12" x14ac:dyDescent="0.2">
      <c r="L442" s="715"/>
    </row>
    <row r="443" spans="12:12" x14ac:dyDescent="0.2">
      <c r="L443" s="715"/>
    </row>
    <row r="444" spans="12:12" x14ac:dyDescent="0.2">
      <c r="L444" s="715"/>
    </row>
    <row r="445" spans="12:12" x14ac:dyDescent="0.2">
      <c r="L445" s="715"/>
    </row>
    <row r="446" spans="12:12" x14ac:dyDescent="0.2">
      <c r="L446" s="715"/>
    </row>
    <row r="447" spans="12:12" x14ac:dyDescent="0.2">
      <c r="L447" s="715"/>
    </row>
    <row r="448" spans="12:12" x14ac:dyDescent="0.2">
      <c r="L448" s="715"/>
    </row>
    <row r="449" spans="12:12" x14ac:dyDescent="0.2">
      <c r="L449" s="715"/>
    </row>
    <row r="450" spans="12:12" x14ac:dyDescent="0.2">
      <c r="L450" s="715"/>
    </row>
    <row r="451" spans="12:12" x14ac:dyDescent="0.2">
      <c r="L451" s="715"/>
    </row>
    <row r="452" spans="12:12" x14ac:dyDescent="0.2">
      <c r="L452" s="715"/>
    </row>
    <row r="453" spans="12:12" x14ac:dyDescent="0.2">
      <c r="L453" s="715"/>
    </row>
    <row r="454" spans="12:12" x14ac:dyDescent="0.2">
      <c r="L454" s="715"/>
    </row>
    <row r="455" spans="12:12" x14ac:dyDescent="0.2">
      <c r="L455" s="715"/>
    </row>
    <row r="456" spans="12:12" x14ac:dyDescent="0.2">
      <c r="L456" s="715"/>
    </row>
    <row r="457" spans="12:12" x14ac:dyDescent="0.2">
      <c r="L457" s="715"/>
    </row>
    <row r="458" spans="12:12" x14ac:dyDescent="0.2">
      <c r="L458" s="715"/>
    </row>
    <row r="459" spans="12:12" x14ac:dyDescent="0.2">
      <c r="L459" s="715"/>
    </row>
    <row r="460" spans="12:12" x14ac:dyDescent="0.2">
      <c r="L460" s="715"/>
    </row>
    <row r="461" spans="12:12" x14ac:dyDescent="0.2">
      <c r="L461" s="715"/>
    </row>
    <row r="462" spans="12:12" x14ac:dyDescent="0.2">
      <c r="L462" s="715"/>
    </row>
    <row r="463" spans="12:12" x14ac:dyDescent="0.2">
      <c r="L463" s="715"/>
    </row>
    <row r="464" spans="12:12" x14ac:dyDescent="0.2">
      <c r="L464" s="715"/>
    </row>
    <row r="465" spans="12:12" x14ac:dyDescent="0.2">
      <c r="L465" s="715"/>
    </row>
    <row r="466" spans="12:12" x14ac:dyDescent="0.2">
      <c r="L466" s="715"/>
    </row>
    <row r="467" spans="12:12" x14ac:dyDescent="0.2">
      <c r="L467" s="715"/>
    </row>
    <row r="468" spans="12:12" x14ac:dyDescent="0.2">
      <c r="L468" s="715"/>
    </row>
    <row r="469" spans="12:12" x14ac:dyDescent="0.2">
      <c r="L469" s="715"/>
    </row>
    <row r="470" spans="12:12" x14ac:dyDescent="0.2">
      <c r="L470" s="715"/>
    </row>
    <row r="471" spans="12:12" x14ac:dyDescent="0.2">
      <c r="L471" s="715"/>
    </row>
    <row r="472" spans="12:12" x14ac:dyDescent="0.2">
      <c r="L472" s="715"/>
    </row>
    <row r="473" spans="12:12" x14ac:dyDescent="0.2">
      <c r="L473" s="715"/>
    </row>
    <row r="474" spans="12:12" x14ac:dyDescent="0.2">
      <c r="L474" s="715"/>
    </row>
    <row r="475" spans="12:12" x14ac:dyDescent="0.2">
      <c r="L475" s="715"/>
    </row>
    <row r="476" spans="12:12" x14ac:dyDescent="0.2">
      <c r="L476" s="715"/>
    </row>
    <row r="477" spans="12:12" x14ac:dyDescent="0.2">
      <c r="L477" s="715"/>
    </row>
    <row r="478" spans="12:12" x14ac:dyDescent="0.2">
      <c r="L478" s="715"/>
    </row>
    <row r="479" spans="12:12" x14ac:dyDescent="0.2">
      <c r="L479" s="715"/>
    </row>
    <row r="480" spans="12:12" x14ac:dyDescent="0.2">
      <c r="L480" s="715"/>
    </row>
    <row r="481" spans="12:12" x14ac:dyDescent="0.2">
      <c r="L481" s="715"/>
    </row>
    <row r="482" spans="12:12" x14ac:dyDescent="0.2">
      <c r="L482" s="715"/>
    </row>
    <row r="483" spans="12:12" x14ac:dyDescent="0.2">
      <c r="L483" s="715"/>
    </row>
    <row r="484" spans="12:12" x14ac:dyDescent="0.2">
      <c r="L484" s="715"/>
    </row>
    <row r="485" spans="12:12" x14ac:dyDescent="0.2">
      <c r="L485" s="715"/>
    </row>
    <row r="486" spans="12:12" x14ac:dyDescent="0.2">
      <c r="L486" s="715"/>
    </row>
    <row r="487" spans="12:12" x14ac:dyDescent="0.2">
      <c r="L487" s="715"/>
    </row>
    <row r="488" spans="12:12" x14ac:dyDescent="0.2">
      <c r="L488" s="715"/>
    </row>
    <row r="489" spans="12:12" x14ac:dyDescent="0.2">
      <c r="L489" s="715"/>
    </row>
    <row r="490" spans="12:12" x14ac:dyDescent="0.2">
      <c r="L490" s="715"/>
    </row>
    <row r="491" spans="12:12" x14ac:dyDescent="0.2">
      <c r="L491" s="715"/>
    </row>
    <row r="492" spans="12:12" x14ac:dyDescent="0.2">
      <c r="L492" s="715"/>
    </row>
    <row r="493" spans="12:12" x14ac:dyDescent="0.2">
      <c r="L493" s="715"/>
    </row>
    <row r="494" spans="12:12" x14ac:dyDescent="0.2">
      <c r="L494" s="715"/>
    </row>
    <row r="495" spans="12:12" x14ac:dyDescent="0.2">
      <c r="L495" s="715"/>
    </row>
    <row r="496" spans="12:12" x14ac:dyDescent="0.2">
      <c r="L496" s="715"/>
    </row>
    <row r="497" spans="12:12" x14ac:dyDescent="0.2">
      <c r="L497" s="715"/>
    </row>
    <row r="498" spans="12:12" x14ac:dyDescent="0.2">
      <c r="L498" s="715"/>
    </row>
    <row r="499" spans="12:12" x14ac:dyDescent="0.2">
      <c r="L499" s="715"/>
    </row>
    <row r="500" spans="12:12" x14ac:dyDescent="0.2">
      <c r="L500" s="715"/>
    </row>
    <row r="501" spans="12:12" x14ac:dyDescent="0.2">
      <c r="L501" s="715"/>
    </row>
    <row r="502" spans="12:12" x14ac:dyDescent="0.2">
      <c r="L502" s="715"/>
    </row>
    <row r="503" spans="12:12" x14ac:dyDescent="0.2">
      <c r="L503" s="715"/>
    </row>
    <row r="504" spans="12:12" x14ac:dyDescent="0.2">
      <c r="L504" s="715"/>
    </row>
    <row r="505" spans="12:12" x14ac:dyDescent="0.2">
      <c r="L505" s="715"/>
    </row>
    <row r="506" spans="12:12" x14ac:dyDescent="0.2">
      <c r="L506" s="715"/>
    </row>
    <row r="507" spans="12:12" x14ac:dyDescent="0.2">
      <c r="L507" s="715"/>
    </row>
    <row r="508" spans="12:12" x14ac:dyDescent="0.2">
      <c r="L508" s="715"/>
    </row>
    <row r="509" spans="12:12" x14ac:dyDescent="0.2">
      <c r="L509" s="715"/>
    </row>
    <row r="510" spans="12:12" x14ac:dyDescent="0.2">
      <c r="L510" s="715"/>
    </row>
    <row r="511" spans="12:12" x14ac:dyDescent="0.2">
      <c r="L511" s="715"/>
    </row>
    <row r="512" spans="12:12" x14ac:dyDescent="0.2">
      <c r="L512" s="715"/>
    </row>
    <row r="513" spans="12:12" x14ac:dyDescent="0.2">
      <c r="L513" s="715"/>
    </row>
    <row r="514" spans="12:12" x14ac:dyDescent="0.2">
      <c r="L514" s="715"/>
    </row>
    <row r="515" spans="12:12" x14ac:dyDescent="0.2">
      <c r="L515" s="715"/>
    </row>
    <row r="516" spans="12:12" x14ac:dyDescent="0.2">
      <c r="L516" s="715"/>
    </row>
    <row r="517" spans="12:12" x14ac:dyDescent="0.2">
      <c r="L517" s="715"/>
    </row>
    <row r="518" spans="12:12" x14ac:dyDescent="0.2">
      <c r="L518" s="715"/>
    </row>
    <row r="519" spans="12:12" x14ac:dyDescent="0.2">
      <c r="L519" s="715"/>
    </row>
    <row r="520" spans="12:12" x14ac:dyDescent="0.2">
      <c r="L520" s="715"/>
    </row>
    <row r="521" spans="12:12" x14ac:dyDescent="0.2">
      <c r="L521" s="715"/>
    </row>
    <row r="522" spans="12:12" x14ac:dyDescent="0.2">
      <c r="L522" s="715"/>
    </row>
    <row r="523" spans="12:12" x14ac:dyDescent="0.2">
      <c r="L523" s="715"/>
    </row>
    <row r="524" spans="12:12" x14ac:dyDescent="0.2">
      <c r="L524" s="715"/>
    </row>
    <row r="525" spans="12:12" x14ac:dyDescent="0.2">
      <c r="L525" s="715"/>
    </row>
    <row r="526" spans="12:12" x14ac:dyDescent="0.2">
      <c r="L526" s="715"/>
    </row>
    <row r="527" spans="12:12" x14ac:dyDescent="0.2">
      <c r="L527" s="715"/>
    </row>
    <row r="528" spans="12:12" x14ac:dyDescent="0.2">
      <c r="L528" s="715"/>
    </row>
    <row r="529" spans="12:12" x14ac:dyDescent="0.2">
      <c r="L529" s="715"/>
    </row>
    <row r="530" spans="12:12" x14ac:dyDescent="0.2">
      <c r="L530" s="715"/>
    </row>
    <row r="531" spans="12:12" x14ac:dyDescent="0.2">
      <c r="L531" s="715"/>
    </row>
    <row r="532" spans="12:12" x14ac:dyDescent="0.2">
      <c r="L532" s="715"/>
    </row>
    <row r="533" spans="12:12" x14ac:dyDescent="0.2">
      <c r="L533" s="715"/>
    </row>
    <row r="534" spans="12:12" x14ac:dyDescent="0.2">
      <c r="L534" s="715"/>
    </row>
    <row r="535" spans="12:12" x14ac:dyDescent="0.2">
      <c r="L535" s="715"/>
    </row>
    <row r="536" spans="12:12" x14ac:dyDescent="0.2">
      <c r="L536" s="715"/>
    </row>
    <row r="537" spans="12:12" x14ac:dyDescent="0.2">
      <c r="L537" s="715"/>
    </row>
    <row r="538" spans="12:12" x14ac:dyDescent="0.2">
      <c r="L538" s="715"/>
    </row>
    <row r="539" spans="12:12" x14ac:dyDescent="0.2">
      <c r="L539" s="715"/>
    </row>
    <row r="540" spans="12:12" x14ac:dyDescent="0.2">
      <c r="L540" s="715"/>
    </row>
    <row r="541" spans="12:12" x14ac:dyDescent="0.2">
      <c r="L541" s="715"/>
    </row>
    <row r="542" spans="12:12" x14ac:dyDescent="0.2">
      <c r="L542" s="715"/>
    </row>
    <row r="543" spans="12:12" x14ac:dyDescent="0.2">
      <c r="L543" s="715"/>
    </row>
    <row r="544" spans="12:12" x14ac:dyDescent="0.2">
      <c r="L544" s="715"/>
    </row>
    <row r="545" spans="12:12" x14ac:dyDescent="0.2">
      <c r="L545" s="715"/>
    </row>
    <row r="546" spans="12:12" x14ac:dyDescent="0.2">
      <c r="L546" s="715"/>
    </row>
    <row r="547" spans="12:12" x14ac:dyDescent="0.2">
      <c r="L547" s="715"/>
    </row>
    <row r="548" spans="12:12" x14ac:dyDescent="0.2">
      <c r="L548" s="715"/>
    </row>
    <row r="549" spans="12:12" x14ac:dyDescent="0.2">
      <c r="L549" s="715"/>
    </row>
    <row r="550" spans="12:12" x14ac:dyDescent="0.2">
      <c r="L550" s="715"/>
    </row>
    <row r="551" spans="12:12" x14ac:dyDescent="0.2">
      <c r="L551" s="715"/>
    </row>
    <row r="552" spans="12:12" x14ac:dyDescent="0.2">
      <c r="L552" s="715"/>
    </row>
    <row r="553" spans="12:12" x14ac:dyDescent="0.2">
      <c r="L553" s="715"/>
    </row>
    <row r="554" spans="12:12" x14ac:dyDescent="0.2">
      <c r="L554" s="715"/>
    </row>
    <row r="555" spans="12:12" x14ac:dyDescent="0.2">
      <c r="L555" s="715"/>
    </row>
    <row r="556" spans="12:12" x14ac:dyDescent="0.2">
      <c r="L556" s="715"/>
    </row>
    <row r="557" spans="12:12" x14ac:dyDescent="0.2">
      <c r="L557" s="715"/>
    </row>
    <row r="558" spans="12:12" x14ac:dyDescent="0.2">
      <c r="L558" s="715"/>
    </row>
    <row r="559" spans="12:12" x14ac:dyDescent="0.2">
      <c r="L559" s="715"/>
    </row>
    <row r="560" spans="12:12" x14ac:dyDescent="0.2">
      <c r="L560" s="715"/>
    </row>
    <row r="561" spans="12:12" x14ac:dyDescent="0.2">
      <c r="L561" s="715"/>
    </row>
    <row r="562" spans="12:12" x14ac:dyDescent="0.2">
      <c r="L562" s="715"/>
    </row>
    <row r="563" spans="12:12" x14ac:dyDescent="0.2">
      <c r="L563" s="715"/>
    </row>
    <row r="564" spans="12:12" x14ac:dyDescent="0.2">
      <c r="L564" s="715"/>
    </row>
    <row r="565" spans="12:12" x14ac:dyDescent="0.2">
      <c r="L565" s="715"/>
    </row>
    <row r="566" spans="12:12" x14ac:dyDescent="0.2">
      <c r="L566" s="715"/>
    </row>
    <row r="567" spans="12:12" x14ac:dyDescent="0.2">
      <c r="L567" s="715"/>
    </row>
    <row r="568" spans="12:12" x14ac:dyDescent="0.2">
      <c r="L568" s="715"/>
    </row>
    <row r="569" spans="12:12" x14ac:dyDescent="0.2">
      <c r="L569" s="715"/>
    </row>
    <row r="570" spans="12:12" x14ac:dyDescent="0.2">
      <c r="L570" s="715"/>
    </row>
    <row r="571" spans="12:12" x14ac:dyDescent="0.2">
      <c r="L571" s="715"/>
    </row>
    <row r="572" spans="12:12" x14ac:dyDescent="0.2">
      <c r="L572" s="715"/>
    </row>
    <row r="573" spans="12:12" x14ac:dyDescent="0.2">
      <c r="L573" s="715"/>
    </row>
    <row r="574" spans="12:12" x14ac:dyDescent="0.2">
      <c r="L574" s="715"/>
    </row>
    <row r="575" spans="12:12" x14ac:dyDescent="0.2">
      <c r="L575" s="715"/>
    </row>
    <row r="576" spans="12:12" x14ac:dyDescent="0.2">
      <c r="L576" s="715"/>
    </row>
    <row r="577" spans="12:12" x14ac:dyDescent="0.2">
      <c r="L577" s="715"/>
    </row>
    <row r="578" spans="12:12" x14ac:dyDescent="0.2">
      <c r="L578" s="715"/>
    </row>
    <row r="579" spans="12:12" x14ac:dyDescent="0.2">
      <c r="L579" s="715"/>
    </row>
    <row r="580" spans="12:12" x14ac:dyDescent="0.2">
      <c r="L580" s="715"/>
    </row>
    <row r="581" spans="12:12" x14ac:dyDescent="0.2">
      <c r="L581" s="715"/>
    </row>
    <row r="582" spans="12:12" x14ac:dyDescent="0.2">
      <c r="L582" s="715"/>
    </row>
    <row r="583" spans="12:12" x14ac:dyDescent="0.2">
      <c r="L583" s="715"/>
    </row>
    <row r="584" spans="12:12" x14ac:dyDescent="0.2">
      <c r="L584" s="715"/>
    </row>
    <row r="585" spans="12:12" x14ac:dyDescent="0.2">
      <c r="L585" s="715"/>
    </row>
    <row r="586" spans="12:12" x14ac:dyDescent="0.2">
      <c r="L586" s="715"/>
    </row>
    <row r="587" spans="12:12" x14ac:dyDescent="0.2">
      <c r="L587" s="715"/>
    </row>
    <row r="588" spans="12:12" x14ac:dyDescent="0.2">
      <c r="L588" s="715"/>
    </row>
    <row r="589" spans="12:12" x14ac:dyDescent="0.2">
      <c r="L589" s="715"/>
    </row>
    <row r="590" spans="12:12" x14ac:dyDescent="0.2">
      <c r="L590" s="715"/>
    </row>
    <row r="591" spans="12:12" x14ac:dyDescent="0.2">
      <c r="L591" s="715"/>
    </row>
    <row r="592" spans="12:12" x14ac:dyDescent="0.2">
      <c r="L592" s="715"/>
    </row>
    <row r="593" spans="12:12" x14ac:dyDescent="0.2">
      <c r="L593" s="715"/>
    </row>
    <row r="594" spans="12:12" x14ac:dyDescent="0.2">
      <c r="L594" s="715"/>
    </row>
    <row r="595" spans="12:12" x14ac:dyDescent="0.2">
      <c r="L595" s="715"/>
    </row>
    <row r="596" spans="12:12" x14ac:dyDescent="0.2">
      <c r="L596" s="715"/>
    </row>
    <row r="597" spans="12:12" x14ac:dyDescent="0.2">
      <c r="L597" s="715"/>
    </row>
    <row r="598" spans="12:12" x14ac:dyDescent="0.2">
      <c r="L598" s="715"/>
    </row>
    <row r="599" spans="12:12" x14ac:dyDescent="0.2">
      <c r="L599" s="715"/>
    </row>
    <row r="600" spans="12:12" x14ac:dyDescent="0.2">
      <c r="L600" s="715"/>
    </row>
    <row r="601" spans="12:12" x14ac:dyDescent="0.2">
      <c r="L601" s="715"/>
    </row>
    <row r="602" spans="12:12" x14ac:dyDescent="0.2">
      <c r="L602" s="715"/>
    </row>
    <row r="603" spans="12:12" x14ac:dyDescent="0.2">
      <c r="L603" s="715"/>
    </row>
    <row r="604" spans="12:12" x14ac:dyDescent="0.2">
      <c r="L604" s="715"/>
    </row>
    <row r="605" spans="12:12" x14ac:dyDescent="0.2">
      <c r="L605" s="715"/>
    </row>
    <row r="606" spans="12:12" x14ac:dyDescent="0.2">
      <c r="L606" s="715"/>
    </row>
    <row r="607" spans="12:12" x14ac:dyDescent="0.2">
      <c r="L607" s="715"/>
    </row>
    <row r="608" spans="12:12" x14ac:dyDescent="0.2">
      <c r="L608" s="715"/>
    </row>
    <row r="609" spans="12:12" x14ac:dyDescent="0.2">
      <c r="L609" s="715"/>
    </row>
    <row r="610" spans="12:12" x14ac:dyDescent="0.2">
      <c r="L610" s="715"/>
    </row>
    <row r="611" spans="12:12" x14ac:dyDescent="0.2">
      <c r="L611" s="715"/>
    </row>
    <row r="612" spans="12:12" x14ac:dyDescent="0.2">
      <c r="L612" s="715"/>
    </row>
    <row r="613" spans="12:12" x14ac:dyDescent="0.2">
      <c r="L613" s="715"/>
    </row>
    <row r="614" spans="12:12" x14ac:dyDescent="0.2">
      <c r="L614" s="715"/>
    </row>
    <row r="615" spans="12:12" x14ac:dyDescent="0.2">
      <c r="L615" s="715"/>
    </row>
    <row r="616" spans="12:12" x14ac:dyDescent="0.2">
      <c r="L616" s="715"/>
    </row>
    <row r="617" spans="12:12" x14ac:dyDescent="0.2">
      <c r="L617" s="715"/>
    </row>
    <row r="618" spans="12:12" x14ac:dyDescent="0.2">
      <c r="L618" s="715"/>
    </row>
    <row r="619" spans="12:12" x14ac:dyDescent="0.2">
      <c r="L619" s="715"/>
    </row>
    <row r="620" spans="12:12" x14ac:dyDescent="0.2">
      <c r="L620" s="715"/>
    </row>
    <row r="621" spans="12:12" x14ac:dyDescent="0.2">
      <c r="L621" s="715"/>
    </row>
    <row r="622" spans="12:12" x14ac:dyDescent="0.2">
      <c r="L622" s="715"/>
    </row>
    <row r="623" spans="12:12" x14ac:dyDescent="0.2">
      <c r="L623" s="715"/>
    </row>
  </sheetData>
  <mergeCells count="1">
    <mergeCell ref="J127:K127"/>
  </mergeCells>
  <phoneticPr fontId="0" type="noConversion"/>
  <conditionalFormatting sqref="H119">
    <cfRule type="cellIs" dxfId="32" priority="3" operator="lessThan">
      <formula>0.5</formula>
    </cfRule>
    <cfRule type="cellIs" dxfId="31" priority="4" operator="greaterThan">
      <formula>0.5</formula>
    </cfRule>
    <cfRule type="expression" dxfId="30" priority="5">
      <formula>"&gt;$G$11"</formula>
    </cfRule>
  </conditionalFormatting>
  <conditionalFormatting sqref="H120">
    <cfRule type="cellIs" dxfId="29" priority="1" operator="lessThan">
      <formula>0</formula>
    </cfRule>
    <cfRule type="cellIs" dxfId="28" priority="2" operator="greaterThan">
      <formula>0</formula>
    </cfRule>
  </conditionalFormatting>
  <dataValidations count="2">
    <dataValidation type="list" allowBlank="1" showInputMessage="1" showErrorMessage="1" sqref="D14">
      <formula1>$D$9:$D$13</formula1>
    </dataValidation>
    <dataValidation type="list" allowBlank="1" showInputMessage="1" showErrorMessage="1" sqref="G14">
      <formula1>$G$9:$G$13</formula1>
    </dataValidation>
  </dataValidations>
  <pageMargins left="0" right="0" top="0" bottom="0" header="0" footer="0"/>
  <pageSetup paperSize="5" scale="19" orientation="landscape" horizontalDpi="300" verticalDpi="300" r:id="rId1"/>
  <headerFooter alignWithMargins="0"/>
  <cellWatches>
    <cellWatch r="E133"/>
  </cellWatches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Valuation!K67:CP67</xm:f>
              <xm:sqref>D67</xm:sqref>
            </x14:sparkline>
          </x14:sparklines>
        </x14:sparklineGroup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Valuation!K66:CP66</xm:f>
              <xm:sqref>D66</xm:sqref>
            </x14:sparkline>
          </x14:sparklines>
        </x14:sparklineGroup>
      </x14:sparklineGroup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Z148"/>
  <sheetViews>
    <sheetView showGridLines="0" workbookViewId="0">
      <selection activeCell="W50" sqref="W50"/>
    </sheetView>
  </sheetViews>
  <sheetFormatPr defaultRowHeight="15" customHeight="1" outlineLevelCol="1" x14ac:dyDescent="0.2"/>
  <cols>
    <col min="1" max="1" width="1" style="615" customWidth="1"/>
    <col min="2" max="2" width="33.1640625" style="615" customWidth="1"/>
    <col min="3" max="3" width="1" style="615" customWidth="1"/>
    <col min="4" max="16" width="7.5" style="615" hidden="1" customWidth="1" outlineLevel="1"/>
    <col min="17" max="17" width="8.33203125" style="615" hidden="1" customWidth="1" outlineLevel="1" collapsed="1"/>
    <col min="18" max="18" width="8.33203125" style="615" hidden="1" customWidth="1" collapsed="1"/>
    <col min="19" max="19" width="9.83203125" style="615" hidden="1" customWidth="1" outlineLevel="1"/>
    <col min="20" max="20" width="10.83203125" style="615" customWidth="1" collapsed="1"/>
    <col min="21" max="24" width="10.83203125" style="615" customWidth="1"/>
    <col min="25" max="25" width="2" style="615" customWidth="1"/>
    <col min="26" max="26" width="33.1640625" style="615" customWidth="1"/>
    <col min="27" max="27" width="1" style="615" customWidth="1"/>
    <col min="28" max="40" width="7.5" style="615" hidden="1" customWidth="1" outlineLevel="1"/>
    <col min="41" max="41" width="7" style="615" hidden="1" customWidth="1" outlineLevel="1" collapsed="1"/>
    <col min="42" max="42" width="8" style="615" hidden="1" customWidth="1" collapsed="1"/>
    <col min="43" max="43" width="9.83203125" style="615" hidden="1" customWidth="1" outlineLevel="1"/>
    <col min="44" max="44" width="10.83203125" style="615" customWidth="1" collapsed="1"/>
    <col min="45" max="48" width="10.83203125" style="615" customWidth="1"/>
    <col min="49" max="16384" width="9.33203125" style="615"/>
  </cols>
  <sheetData>
    <row r="1" spans="1:50" s="8" customFormat="1" ht="15" customHeight="1" x14ac:dyDescent="0.25">
      <c r="A1" s="351" t="s">
        <v>234</v>
      </c>
      <c r="B1" s="352"/>
      <c r="C1" s="352"/>
      <c r="D1" s="561" t="str">
        <f t="shared" ref="D1:X1" si="0">IF(AND(D81:D91),"OK","ERROR")</f>
        <v>OK</v>
      </c>
      <c r="E1" s="561" t="str">
        <f t="shared" si="0"/>
        <v>OK</v>
      </c>
      <c r="F1" s="561" t="str">
        <f t="shared" si="0"/>
        <v>OK</v>
      </c>
      <c r="G1" s="561" t="str">
        <f t="shared" si="0"/>
        <v>OK</v>
      </c>
      <c r="H1" s="561" t="str">
        <f t="shared" si="0"/>
        <v>OK</v>
      </c>
      <c r="I1" s="561" t="e">
        <f t="shared" si="0"/>
        <v>#VALUE!</v>
      </c>
      <c r="J1" s="561" t="str">
        <f t="shared" si="0"/>
        <v>ERROR</v>
      </c>
      <c r="K1" s="561" t="str">
        <f t="shared" si="0"/>
        <v>ERROR</v>
      </c>
      <c r="L1" s="561" t="str">
        <f t="shared" si="0"/>
        <v>ERROR</v>
      </c>
      <c r="M1" s="561" t="str">
        <f t="shared" si="0"/>
        <v>ERROR</v>
      </c>
      <c r="N1" s="561" t="str">
        <f t="shared" si="0"/>
        <v>ERROR</v>
      </c>
      <c r="O1" s="561" t="str">
        <f t="shared" si="0"/>
        <v>ERROR</v>
      </c>
      <c r="P1" s="561" t="str">
        <f t="shared" si="0"/>
        <v>ERROR</v>
      </c>
      <c r="Q1" s="561" t="str">
        <f t="shared" si="0"/>
        <v>ERROR</v>
      </c>
      <c r="R1" s="561" t="str">
        <f t="shared" si="0"/>
        <v>ERROR</v>
      </c>
      <c r="S1" s="561" t="str">
        <f t="shared" si="0"/>
        <v>OK</v>
      </c>
      <c r="T1" s="561" t="str">
        <f t="shared" si="0"/>
        <v>OK</v>
      </c>
      <c r="U1" s="561" t="str">
        <f t="shared" si="0"/>
        <v>OK</v>
      </c>
      <c r="V1" s="561" t="str">
        <f t="shared" si="0"/>
        <v>OK</v>
      </c>
      <c r="W1" s="561" t="str">
        <f t="shared" si="0"/>
        <v>OK</v>
      </c>
      <c r="X1" s="561" t="str">
        <f t="shared" si="0"/>
        <v>OK</v>
      </c>
      <c r="Y1" s="352"/>
      <c r="Z1" s="352"/>
      <c r="AA1" s="352"/>
      <c r="AB1" s="561" t="str">
        <f t="shared" ref="AB1:AU1" si="1">IF(AND(AB81:AB84),"OK","ERROR")</f>
        <v>OK</v>
      </c>
      <c r="AC1" s="561" t="str">
        <f t="shared" si="1"/>
        <v>OK</v>
      </c>
      <c r="AD1" s="561" t="str">
        <f t="shared" si="1"/>
        <v>OK</v>
      </c>
      <c r="AE1" s="561" t="str">
        <f t="shared" si="1"/>
        <v>OK</v>
      </c>
      <c r="AF1" s="561" t="str">
        <f t="shared" si="1"/>
        <v>OK</v>
      </c>
      <c r="AG1" s="561" t="str">
        <f t="shared" si="1"/>
        <v>OK</v>
      </c>
      <c r="AH1" s="561" t="str">
        <f t="shared" si="1"/>
        <v>OK</v>
      </c>
      <c r="AI1" s="561" t="str">
        <f t="shared" si="1"/>
        <v>OK</v>
      </c>
      <c r="AJ1" s="561" t="str">
        <f t="shared" si="1"/>
        <v>OK</v>
      </c>
      <c r="AK1" s="561" t="str">
        <f t="shared" si="1"/>
        <v>OK</v>
      </c>
      <c r="AL1" s="561" t="str">
        <f t="shared" si="1"/>
        <v>OK</v>
      </c>
      <c r="AM1" s="561" t="str">
        <f t="shared" si="1"/>
        <v>OK</v>
      </c>
      <c r="AN1" s="561" t="str">
        <f t="shared" si="1"/>
        <v>OK</v>
      </c>
      <c r="AO1" s="561" t="str">
        <f t="shared" si="1"/>
        <v>OK</v>
      </c>
      <c r="AP1" s="561" t="str">
        <f t="shared" si="1"/>
        <v>OK</v>
      </c>
      <c r="AQ1" s="561" t="str">
        <f t="shared" si="1"/>
        <v>OK</v>
      </c>
      <c r="AR1" s="561" t="str">
        <f t="shared" si="1"/>
        <v>OK</v>
      </c>
      <c r="AS1" s="561" t="str">
        <f t="shared" si="1"/>
        <v>OK</v>
      </c>
      <c r="AT1" s="561" t="str">
        <f t="shared" si="1"/>
        <v>OK</v>
      </c>
      <c r="AU1" s="561" t="str">
        <f t="shared" si="1"/>
        <v>OK</v>
      </c>
      <c r="AV1" s="561" t="str">
        <f>IF(AND(AV81:AV84),"OK","ERROR")</f>
        <v>OK</v>
      </c>
      <c r="AW1" s="352"/>
      <c r="AX1" s="352"/>
    </row>
    <row r="2" spans="1:50" s="580" customFormat="1" ht="15" customHeight="1" x14ac:dyDescent="0.2">
      <c r="A2" s="138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  <c r="AE2" s="138"/>
      <c r="AF2" s="138"/>
      <c r="AG2" s="138"/>
      <c r="AH2" s="579"/>
      <c r="AI2" s="579"/>
      <c r="AJ2" s="138"/>
      <c r="AK2" s="138"/>
      <c r="AL2" s="138"/>
      <c r="AM2" s="138"/>
      <c r="AN2" s="138"/>
      <c r="AO2" s="138"/>
      <c r="AP2" s="138"/>
      <c r="AQ2" s="138"/>
      <c r="AR2" s="138"/>
      <c r="AS2" s="138"/>
      <c r="AT2" s="138"/>
      <c r="AU2" s="138"/>
      <c r="AV2" s="138"/>
      <c r="AW2" s="138"/>
      <c r="AX2" s="138"/>
    </row>
    <row r="3" spans="1:50" s="580" customFormat="1" ht="15" customHeight="1" x14ac:dyDescent="0.2">
      <c r="A3" s="138"/>
      <c r="B3" s="581" t="s">
        <v>152</v>
      </c>
      <c r="C3" s="581"/>
      <c r="D3" s="582">
        <f>+Valuation!F111</f>
        <v>0</v>
      </c>
      <c r="E3" s="582">
        <f>+Valuation!G111</f>
        <v>0</v>
      </c>
      <c r="F3" s="582">
        <f>+Valuation!H111</f>
        <v>0</v>
      </c>
      <c r="G3" s="582">
        <f>+Valuation!I111</f>
        <v>0</v>
      </c>
      <c r="H3" s="582">
        <f>+Valuation!J111</f>
        <v>0</v>
      </c>
      <c r="I3" s="582">
        <f>+Valuation!K111</f>
        <v>3.4758</v>
      </c>
      <c r="J3" s="582">
        <f>+Valuation!L111</f>
        <v>3.9472</v>
      </c>
      <c r="K3" s="582">
        <f>+Valuation!M111</f>
        <v>4.0437000000000003</v>
      </c>
      <c r="L3" s="582">
        <f>+Valuation!N111</f>
        <v>2.5129000000000001</v>
      </c>
      <c r="M3" s="582">
        <f>+Valuation!O111</f>
        <v>3.0520999999999998</v>
      </c>
      <c r="N3" s="582">
        <f>+Valuation!P111</f>
        <v>3.4661</v>
      </c>
      <c r="O3" s="582">
        <f>+Valuation!Q111</f>
        <v>3.9186000000000001</v>
      </c>
      <c r="P3" s="582">
        <f>+Valuation!R111</f>
        <v>4.8044000000000002</v>
      </c>
      <c r="Q3" s="582">
        <f>+Valuation!S111</f>
        <v>5.7671999999999999</v>
      </c>
      <c r="R3" s="582">
        <f>+Valuation!T111</f>
        <v>6.6337000000000002</v>
      </c>
      <c r="S3" s="582">
        <f>+Valuation!U111</f>
        <v>8.24</v>
      </c>
      <c r="T3" s="583">
        <f>+Valuation!V111</f>
        <v>9.24</v>
      </c>
      <c r="U3" s="583">
        <f>+Valuation!W111</f>
        <v>8.8214942528735705</v>
      </c>
      <c r="V3" s="583">
        <f>+Valuation!X111</f>
        <v>7.89</v>
      </c>
      <c r="W3" s="583">
        <f>+Valuation!Y111</f>
        <v>7.89</v>
      </c>
      <c r="X3" s="583">
        <f>+Valuation!Z111</f>
        <v>7.89</v>
      </c>
      <c r="Y3" s="584"/>
      <c r="Z3" s="581" t="s">
        <v>152</v>
      </c>
      <c r="AA3" s="581"/>
      <c r="AB3" s="582">
        <f t="shared" ref="AB3:AV3" si="2">+D3</f>
        <v>0</v>
      </c>
      <c r="AC3" s="582">
        <f t="shared" si="2"/>
        <v>0</v>
      </c>
      <c r="AD3" s="582">
        <f t="shared" si="2"/>
        <v>0</v>
      </c>
      <c r="AE3" s="582">
        <f t="shared" si="2"/>
        <v>0</v>
      </c>
      <c r="AF3" s="582">
        <f t="shared" si="2"/>
        <v>0</v>
      </c>
      <c r="AG3" s="582">
        <f t="shared" si="2"/>
        <v>3.4758</v>
      </c>
      <c r="AH3" s="582">
        <f t="shared" si="2"/>
        <v>3.9472</v>
      </c>
      <c r="AI3" s="582">
        <f t="shared" si="2"/>
        <v>4.0437000000000003</v>
      </c>
      <c r="AJ3" s="582">
        <f t="shared" si="2"/>
        <v>2.5129000000000001</v>
      </c>
      <c r="AK3" s="582">
        <f t="shared" si="2"/>
        <v>3.0520999999999998</v>
      </c>
      <c r="AL3" s="582">
        <f t="shared" si="2"/>
        <v>3.4661</v>
      </c>
      <c r="AM3" s="582">
        <f t="shared" si="2"/>
        <v>3.9186000000000001</v>
      </c>
      <c r="AN3" s="582">
        <f t="shared" si="2"/>
        <v>4.8044000000000002</v>
      </c>
      <c r="AO3" s="582">
        <f t="shared" si="2"/>
        <v>5.7671999999999999</v>
      </c>
      <c r="AP3" s="582">
        <f t="shared" si="2"/>
        <v>6.6337000000000002</v>
      </c>
      <c r="AQ3" s="582">
        <f t="shared" si="2"/>
        <v>8.24</v>
      </c>
      <c r="AR3" s="583">
        <f t="shared" si="2"/>
        <v>9.24</v>
      </c>
      <c r="AS3" s="583">
        <f t="shared" si="2"/>
        <v>8.8214942528735705</v>
      </c>
      <c r="AT3" s="583">
        <f t="shared" si="2"/>
        <v>7.89</v>
      </c>
      <c r="AU3" s="583">
        <f t="shared" si="2"/>
        <v>7.89</v>
      </c>
      <c r="AV3" s="583">
        <f t="shared" si="2"/>
        <v>7.89</v>
      </c>
      <c r="AW3" s="138"/>
      <c r="AX3" s="138"/>
    </row>
    <row r="4" spans="1:50" s="580" customFormat="1" ht="15" customHeight="1" x14ac:dyDescent="0.2"/>
    <row r="5" spans="1:50" s="580" customFormat="1" ht="15" customHeight="1" x14ac:dyDescent="0.2">
      <c r="A5" s="138"/>
      <c r="B5" s="130" t="s">
        <v>153</v>
      </c>
      <c r="C5" s="130"/>
      <c r="D5" s="131">
        <v>36707</v>
      </c>
      <c r="E5" s="131">
        <v>37072</v>
      </c>
      <c r="F5" s="131">
        <v>37437</v>
      </c>
      <c r="G5" s="131">
        <v>37802</v>
      </c>
      <c r="H5" s="131">
        <v>38168</v>
      </c>
      <c r="I5" s="131">
        <v>38533</v>
      </c>
      <c r="J5" s="131">
        <v>38898</v>
      </c>
      <c r="K5" s="131">
        <v>39263</v>
      </c>
      <c r="L5" s="131">
        <v>39629</v>
      </c>
      <c r="M5" s="131">
        <v>39994</v>
      </c>
      <c r="N5" s="131">
        <v>40359</v>
      </c>
      <c r="O5" s="131">
        <v>40724</v>
      </c>
      <c r="P5" s="131">
        <v>41090</v>
      </c>
      <c r="Q5" s="131">
        <v>41455</v>
      </c>
      <c r="R5" s="131">
        <v>41820</v>
      </c>
      <c r="S5" s="131">
        <v>42185</v>
      </c>
      <c r="T5" s="131">
        <v>42551</v>
      </c>
      <c r="U5" s="131">
        <v>42916</v>
      </c>
      <c r="V5" s="132">
        <v>43281</v>
      </c>
      <c r="W5" s="132">
        <v>43646</v>
      </c>
      <c r="X5" s="132">
        <v>44013</v>
      </c>
      <c r="Y5" s="138"/>
      <c r="Z5" s="130" t="s">
        <v>154</v>
      </c>
      <c r="AA5" s="130"/>
      <c r="AB5" s="131">
        <v>36707</v>
      </c>
      <c r="AC5" s="131">
        <v>37072</v>
      </c>
      <c r="AD5" s="131">
        <v>37437</v>
      </c>
      <c r="AE5" s="131">
        <v>37802</v>
      </c>
      <c r="AF5" s="131">
        <v>38168</v>
      </c>
      <c r="AG5" s="131">
        <v>38533</v>
      </c>
      <c r="AH5" s="131">
        <v>38898</v>
      </c>
      <c r="AI5" s="131">
        <v>39263</v>
      </c>
      <c r="AJ5" s="131">
        <v>39629</v>
      </c>
      <c r="AK5" s="131">
        <v>39994</v>
      </c>
      <c r="AL5" s="131">
        <v>40359</v>
      </c>
      <c r="AM5" s="131">
        <v>40724</v>
      </c>
      <c r="AN5" s="131">
        <v>41090</v>
      </c>
      <c r="AO5" s="131">
        <v>41455</v>
      </c>
      <c r="AP5" s="131">
        <v>41820</v>
      </c>
      <c r="AQ5" s="131">
        <v>42185</v>
      </c>
      <c r="AR5" s="131">
        <f>T5</f>
        <v>42551</v>
      </c>
      <c r="AS5" s="131">
        <f>U5</f>
        <v>42916</v>
      </c>
      <c r="AT5" s="132">
        <f>V5</f>
        <v>43281</v>
      </c>
      <c r="AU5" s="132">
        <f>W5</f>
        <v>43646</v>
      </c>
      <c r="AV5" s="132">
        <f>X5</f>
        <v>44013</v>
      </c>
      <c r="AW5" s="138"/>
      <c r="AX5" s="138"/>
    </row>
    <row r="6" spans="1:50" s="580" customFormat="1" ht="15" customHeight="1" x14ac:dyDescent="0.2">
      <c r="A6" s="133"/>
      <c r="B6" s="562" t="s">
        <v>426</v>
      </c>
      <c r="C6" s="562"/>
      <c r="D6" s="562"/>
      <c r="E6" s="562"/>
      <c r="F6" s="562"/>
      <c r="G6" s="562"/>
      <c r="H6" s="562"/>
      <c r="I6" s="562"/>
      <c r="J6" s="562"/>
      <c r="K6" s="562"/>
      <c r="L6" s="562"/>
      <c r="M6" s="562"/>
      <c r="N6" s="562"/>
      <c r="O6" s="562"/>
      <c r="P6" s="562"/>
      <c r="Q6" s="562"/>
      <c r="R6" s="562"/>
      <c r="S6" s="562"/>
      <c r="T6" s="562"/>
      <c r="U6" s="562"/>
      <c r="V6" s="562" t="s">
        <v>506</v>
      </c>
      <c r="W6" s="562" t="s">
        <v>506</v>
      </c>
      <c r="X6" s="562" t="s">
        <v>506</v>
      </c>
      <c r="Y6" s="133"/>
      <c r="Z6" s="562" t="s">
        <v>426</v>
      </c>
      <c r="AA6" s="562"/>
      <c r="AB6" s="562"/>
      <c r="AC6" s="562"/>
      <c r="AD6" s="562"/>
      <c r="AE6" s="562"/>
      <c r="AF6" s="562"/>
      <c r="AG6" s="562"/>
      <c r="AH6" s="562"/>
      <c r="AI6" s="562"/>
      <c r="AJ6" s="562"/>
      <c r="AK6" s="562"/>
      <c r="AL6" s="562"/>
      <c r="AM6" s="562"/>
      <c r="AN6" s="562"/>
      <c r="AO6" s="562"/>
      <c r="AP6" s="562"/>
      <c r="AQ6" s="562"/>
      <c r="AR6" s="563"/>
      <c r="AS6" s="563"/>
      <c r="AT6" s="563"/>
      <c r="AU6" s="563"/>
      <c r="AV6" s="563"/>
      <c r="AW6" s="133"/>
      <c r="AX6" s="133"/>
    </row>
    <row r="7" spans="1:50" s="580" customFormat="1" ht="15" customHeight="1" x14ac:dyDescent="0.2">
      <c r="A7" s="138"/>
      <c r="B7" s="133" t="s">
        <v>301</v>
      </c>
      <c r="C7" s="133"/>
      <c r="D7" s="137"/>
      <c r="E7" s="137"/>
      <c r="F7" s="137"/>
      <c r="G7" s="137"/>
      <c r="H7" s="137"/>
      <c r="I7" s="137" t="str">
        <f>+APA!K24</f>
        <v>n.a.</v>
      </c>
      <c r="J7" s="137" t="str">
        <f>+APA!L24</f>
        <v>n.a.</v>
      </c>
      <c r="K7" s="137">
        <f>+APA!M24</f>
        <v>108.19</v>
      </c>
      <c r="L7" s="137">
        <f>+APA!N24</f>
        <v>137.38499999999999</v>
      </c>
      <c r="M7" s="137">
        <f>+APA!O24</f>
        <v>143.94200000000001</v>
      </c>
      <c r="N7" s="137">
        <f>+APA!P24</f>
        <v>151.20400000000001</v>
      </c>
      <c r="O7" s="137">
        <f>+APA!Q24</f>
        <v>107.708</v>
      </c>
      <c r="P7" s="137">
        <f>+APA!R24</f>
        <v>112.22499999999999</v>
      </c>
      <c r="Q7" s="137">
        <f>+APA!S24</f>
        <v>217.53</v>
      </c>
      <c r="R7" s="137">
        <f>+APA!T24</f>
        <v>271.74700000000001</v>
      </c>
      <c r="S7" s="137">
        <f>+APA!U24</f>
        <v>388.916</v>
      </c>
      <c r="T7" s="137">
        <f>+APA!V24</f>
        <v>939.96299999999997</v>
      </c>
      <c r="U7" s="137">
        <f>+APA!W24</f>
        <v>1114.4280000000001</v>
      </c>
      <c r="V7" s="137">
        <f>+APA!X24</f>
        <v>1138.6286348863459</v>
      </c>
      <c r="W7" s="137">
        <f>+APA!Y24</f>
        <v>1189.1864014760126</v>
      </c>
      <c r="X7" s="137">
        <f>+APA!Z24</f>
        <v>1216.3136903535533</v>
      </c>
      <c r="Y7" s="138"/>
      <c r="Z7" s="138" t="s">
        <v>33</v>
      </c>
      <c r="AA7" s="138"/>
      <c r="AB7" s="579">
        <f>+APA!F255</f>
        <v>0</v>
      </c>
      <c r="AC7" s="579">
        <f>+APA!G255</f>
        <v>0</v>
      </c>
      <c r="AD7" s="579">
        <f>+APA!H255</f>
        <v>0</v>
      </c>
      <c r="AE7" s="579">
        <f>+APA!I255</f>
        <v>0</v>
      </c>
      <c r="AF7" s="579">
        <f>+APA!J255</f>
        <v>0</v>
      </c>
      <c r="AG7" s="579">
        <f>+APA!K255</f>
        <v>22.373000000000001</v>
      </c>
      <c r="AH7" s="579">
        <f>+APA!L255</f>
        <v>12.628</v>
      </c>
      <c r="AI7" s="579">
        <f>+APA!M255</f>
        <v>60.078000000000003</v>
      </c>
      <c r="AJ7" s="579">
        <f>+APA!N255</f>
        <v>105.455</v>
      </c>
      <c r="AK7" s="579">
        <f>+APA!O255</f>
        <v>108.815</v>
      </c>
      <c r="AL7" s="579">
        <f>+APA!P255</f>
        <v>80.94</v>
      </c>
      <c r="AM7" s="579">
        <f>+APA!Q255</f>
        <v>95.367999999999995</v>
      </c>
      <c r="AN7" s="579">
        <f>+APA!R255</f>
        <v>329.93400000000003</v>
      </c>
      <c r="AO7" s="579">
        <f>+APA!S255</f>
        <v>80.954999999999998</v>
      </c>
      <c r="AP7" s="579">
        <f>+APA!T255</f>
        <v>7.0090000000000856</v>
      </c>
      <c r="AQ7" s="579">
        <f>+APA!U255</f>
        <v>411.92100000000096</v>
      </c>
      <c r="AR7" s="579">
        <f>+APA!V255</f>
        <v>84.506000000001023</v>
      </c>
      <c r="AS7" s="579">
        <f>+APA!W255</f>
        <v>394.50100000000111</v>
      </c>
      <c r="AT7" s="579">
        <f>+APA!X255</f>
        <v>743.02275439849473</v>
      </c>
      <c r="AU7" s="579">
        <f>+APA!Y255</f>
        <v>733.77410562176908</v>
      </c>
      <c r="AV7" s="579">
        <f>+APA!Z255</f>
        <v>1125.9547272227244</v>
      </c>
      <c r="AW7" s="138"/>
      <c r="AX7" s="138"/>
    </row>
    <row r="8" spans="1:50" s="580" customFormat="1" ht="15" customHeight="1" x14ac:dyDescent="0.2">
      <c r="A8" s="138"/>
      <c r="B8" s="133" t="s">
        <v>302</v>
      </c>
      <c r="C8" s="133"/>
      <c r="D8" s="137"/>
      <c r="E8" s="137"/>
      <c r="F8" s="137"/>
      <c r="G8" s="137"/>
      <c r="H8" s="137"/>
      <c r="I8" s="137" t="str">
        <f>+APA!K25</f>
        <v>n.a.</v>
      </c>
      <c r="J8" s="137" t="str">
        <f>+APA!L25</f>
        <v>n.a.</v>
      </c>
      <c r="K8" s="137">
        <f>+APA!M25</f>
        <v>75.38</v>
      </c>
      <c r="L8" s="137">
        <f>+APA!N25</f>
        <v>82.087000000000003</v>
      </c>
      <c r="M8" s="137">
        <f>+APA!O25</f>
        <v>107.91500000000001</v>
      </c>
      <c r="N8" s="137">
        <f>+APA!P25</f>
        <v>120.773</v>
      </c>
      <c r="O8" s="137">
        <f>+APA!Q25</f>
        <v>126.657</v>
      </c>
      <c r="P8" s="137">
        <f>+APA!R25</f>
        <v>138.44300000000001</v>
      </c>
      <c r="Q8" s="137">
        <f>+APA!S25</f>
        <v>139.321</v>
      </c>
      <c r="R8" s="137">
        <f>+APA!T25</f>
        <v>133.554</v>
      </c>
      <c r="S8" s="137">
        <f>+APA!U25</f>
        <v>137.99799999999999</v>
      </c>
      <c r="T8" s="137">
        <f>+APA!V25</f>
        <v>143.42699999999999</v>
      </c>
      <c r="U8" s="137">
        <f>+APA!W25</f>
        <v>176</v>
      </c>
      <c r="V8" s="137">
        <f>+APA!X25</f>
        <v>160.35504738506114</v>
      </c>
      <c r="W8" s="137">
        <f>+APA!Y25</f>
        <v>164.36392356968764</v>
      </c>
      <c r="X8" s="137">
        <f>+APA!Z25</f>
        <v>168.47302165892984</v>
      </c>
      <c r="Y8" s="138"/>
      <c r="Z8" s="138" t="s">
        <v>94</v>
      </c>
      <c r="AA8" s="138"/>
      <c r="AB8" s="579">
        <f>+APA!F256</f>
        <v>0</v>
      </c>
      <c r="AC8" s="579">
        <f>+APA!G256</f>
        <v>0</v>
      </c>
      <c r="AD8" s="579">
        <f>+APA!H256</f>
        <v>0</v>
      </c>
      <c r="AE8" s="579">
        <f>+APA!I256</f>
        <v>0</v>
      </c>
      <c r="AF8" s="579">
        <f>+APA!J256</f>
        <v>0</v>
      </c>
      <c r="AG8" s="579">
        <f>+APA!K256</f>
        <v>30.635999999999999</v>
      </c>
      <c r="AH8" s="579">
        <f>+APA!L256</f>
        <v>35.259</v>
      </c>
      <c r="AI8" s="579">
        <f>+APA!M256</f>
        <v>67.463999999999999</v>
      </c>
      <c r="AJ8" s="579">
        <f>+APA!N256</f>
        <v>130.202</v>
      </c>
      <c r="AK8" s="579">
        <f>+APA!O256</f>
        <v>142.49799999999999</v>
      </c>
      <c r="AL8" s="579">
        <f>+APA!P256</f>
        <v>142.529</v>
      </c>
      <c r="AM8" s="579">
        <f>+APA!Q256</f>
        <v>145.69800000000001</v>
      </c>
      <c r="AN8" s="579">
        <f>+APA!R256</f>
        <v>238.51900000000001</v>
      </c>
      <c r="AO8" s="579">
        <f>+APA!S256</f>
        <v>164.56899999999999</v>
      </c>
      <c r="AP8" s="579">
        <f>+APA!T256</f>
        <v>156.43899999999999</v>
      </c>
      <c r="AQ8" s="579">
        <f>+APA!U256</f>
        <v>254.94</v>
      </c>
      <c r="AR8" s="579">
        <f>+APA!V256</f>
        <v>263.23200000000003</v>
      </c>
      <c r="AS8" s="579">
        <f>+APA!W256</f>
        <v>289.709</v>
      </c>
      <c r="AT8" s="579">
        <f>+APA!X256</f>
        <v>289.709</v>
      </c>
      <c r="AU8" s="579">
        <f>+APA!Y256</f>
        <v>289.709</v>
      </c>
      <c r="AV8" s="579">
        <f>+APA!Z256</f>
        <v>289.709</v>
      </c>
      <c r="AW8" s="138"/>
      <c r="AX8" s="138"/>
    </row>
    <row r="9" spans="1:50" s="580" customFormat="1" ht="15" customHeight="1" x14ac:dyDescent="0.2">
      <c r="A9" s="138"/>
      <c r="B9" s="133" t="s">
        <v>464</v>
      </c>
      <c r="C9" s="133"/>
      <c r="D9" s="134"/>
      <c r="E9" s="134"/>
      <c r="F9" s="134"/>
      <c r="G9" s="134"/>
      <c r="H9" s="134"/>
      <c r="I9" s="134">
        <f>SUM(APA!K26,APA!K27)</f>
        <v>0</v>
      </c>
      <c r="J9" s="134">
        <f>SUM(APA!L26,APA!L27)</f>
        <v>0</v>
      </c>
      <c r="K9" s="134">
        <f>SUM(APA!M26,APA!M27)</f>
        <v>66.628</v>
      </c>
      <c r="L9" s="134">
        <f>SUM(APA!N26,APA!N27)</f>
        <v>103.94300000000001</v>
      </c>
      <c r="M9" s="134">
        <f>SUM(APA!O26,APA!O27)</f>
        <v>137.56800000000001</v>
      </c>
      <c r="N9" s="134">
        <f>SUM(APA!P26,APA!P27)</f>
        <v>138.857</v>
      </c>
      <c r="O9" s="134">
        <f>SUM(APA!Q26,APA!Q27)</f>
        <v>153.25800000000001</v>
      </c>
      <c r="P9" s="134">
        <f>SUM(APA!R26,APA!R27)</f>
        <v>163.40600000000001</v>
      </c>
      <c r="Q9" s="134">
        <f>SUM(APA!S26,APA!S27)</f>
        <v>164.74599999999998</v>
      </c>
      <c r="R9" s="134">
        <f>SUM(APA!T26,APA!T27)</f>
        <v>156.35600000000002</v>
      </c>
      <c r="S9" s="134">
        <f>SUM(APA!U26,APA!U27)</f>
        <v>166.31700000000001</v>
      </c>
      <c r="T9" s="134">
        <f>SUM(APA!V26,APA!V27)</f>
        <v>155.86200000000002</v>
      </c>
      <c r="U9" s="134">
        <f>SUM(APA!W26,APA!W27)</f>
        <v>159.904</v>
      </c>
      <c r="V9" s="134">
        <f>SUM(APA!X26,APA!X27)</f>
        <v>161.3083801812387</v>
      </c>
      <c r="W9" s="134">
        <f>SUM(APA!Y26,APA!Y27)</f>
        <v>162.13516279813945</v>
      </c>
      <c r="X9" s="134">
        <f>SUM(APA!Z26,APA!Z27)</f>
        <v>192.26329253482817</v>
      </c>
      <c r="Y9" s="138"/>
      <c r="Z9" s="138" t="s">
        <v>155</v>
      </c>
      <c r="AA9" s="138"/>
      <c r="AB9" s="579">
        <f>+APA!F260-AB7-AB8</f>
        <v>0</v>
      </c>
      <c r="AC9" s="579">
        <f>+APA!G260-AC7-AC8</f>
        <v>0</v>
      </c>
      <c r="AD9" s="579">
        <f>+APA!H260-AD7-AD8</f>
        <v>0</v>
      </c>
      <c r="AE9" s="579">
        <f>+APA!I260-AE7-AE8</f>
        <v>0</v>
      </c>
      <c r="AF9" s="579">
        <f>+APA!J260-AF7-AF8</f>
        <v>0</v>
      </c>
      <c r="AG9" s="579">
        <f>+APA!K260-AG7-AG8</f>
        <v>5.3449999999999953</v>
      </c>
      <c r="AH9" s="579">
        <f>+APA!L260-AH7-AH8</f>
        <v>13.037000000000006</v>
      </c>
      <c r="AI9" s="579">
        <f>+APA!M260-AI7-AI8</f>
        <v>15.919000000000011</v>
      </c>
      <c r="AJ9" s="579">
        <f>+APA!N260-AJ7-AJ8</f>
        <v>615.57599999999991</v>
      </c>
      <c r="AK9" s="579">
        <f>+APA!O260-AK7-AK8</f>
        <v>18.338000000000022</v>
      </c>
      <c r="AL9" s="579">
        <f>+APA!P260-AL7-AL8</f>
        <v>14.455000000000013</v>
      </c>
      <c r="AM9" s="579">
        <f>+APA!Q260-AM7-AM8</f>
        <v>14.432999999999993</v>
      </c>
      <c r="AN9" s="579">
        <f>+APA!R260-AN7-AN8</f>
        <v>16.057999999999936</v>
      </c>
      <c r="AO9" s="579">
        <f>+APA!S260-AO7-AO8</f>
        <v>34.856999999999999</v>
      </c>
      <c r="AP9" s="579">
        <f>+APA!T260-AP7-AP8</f>
        <v>39.919999999999987</v>
      </c>
      <c r="AQ9" s="579">
        <f>+APA!U260-AQ7-AQ8</f>
        <v>54.392999999999972</v>
      </c>
      <c r="AR9" s="579">
        <f>+APA!V260-AR7-AR8</f>
        <v>73.05400000000003</v>
      </c>
      <c r="AS9" s="579">
        <f>+APA!W260-AS7-AS8</f>
        <v>88.121000000000151</v>
      </c>
      <c r="AT9" s="579">
        <f>+APA!X260-AT7-AT8</f>
        <v>88.121000000000151</v>
      </c>
      <c r="AU9" s="579">
        <f>+APA!Y260-AU7-AU8</f>
        <v>88.121000000000038</v>
      </c>
      <c r="AV9" s="579">
        <f>+APA!Z260-AV7-AV8</f>
        <v>88.121000000000151</v>
      </c>
      <c r="AW9" s="138"/>
      <c r="AX9" s="138"/>
    </row>
    <row r="10" spans="1:50" s="580" customFormat="1" ht="15" customHeight="1" x14ac:dyDescent="0.2">
      <c r="A10" s="138"/>
      <c r="B10" s="133" t="s">
        <v>465</v>
      </c>
      <c r="C10" s="133"/>
      <c r="D10" s="134"/>
      <c r="E10" s="134"/>
      <c r="F10" s="134"/>
      <c r="G10" s="134"/>
      <c r="H10" s="134"/>
      <c r="I10" s="134">
        <f>SUM(APA!K28,APA!K29)</f>
        <v>0</v>
      </c>
      <c r="J10" s="134">
        <f>SUM(APA!L28,APA!L29)</f>
        <v>0</v>
      </c>
      <c r="K10" s="134">
        <f>SUM(APA!M28,APA!M29)</f>
        <v>143.87799999999999</v>
      </c>
      <c r="L10" s="134">
        <f>SUM(APA!N28,APA!N29)</f>
        <v>167.209</v>
      </c>
      <c r="M10" s="134">
        <f>SUM(APA!O28,APA!O29)</f>
        <v>154.203</v>
      </c>
      <c r="N10" s="134">
        <f>SUM(APA!P28,APA!P29)</f>
        <v>155.387</v>
      </c>
      <c r="O10" s="134">
        <f>SUM(APA!Q28,APA!Q29)</f>
        <v>157.49299999999999</v>
      </c>
      <c r="P10" s="134">
        <f>SUM(APA!R28,APA!R29)</f>
        <v>195.9</v>
      </c>
      <c r="Q10" s="134">
        <f>SUM(APA!S28,APA!S29)</f>
        <v>219.87899999999999</v>
      </c>
      <c r="R10" s="134">
        <f>SUM(APA!T28,APA!T29)</f>
        <v>262.41230000000002</v>
      </c>
      <c r="S10" s="134">
        <f>SUM(APA!U28,APA!U29)</f>
        <v>293.84899999999999</v>
      </c>
      <c r="T10" s="134">
        <f>SUM(APA!V28,APA!V29)</f>
        <v>289.32400000000001</v>
      </c>
      <c r="U10" s="134">
        <f>SUM(APA!W28,APA!W29)</f>
        <v>322.66000000000003</v>
      </c>
      <c r="V10" s="134">
        <f>SUM(APA!X28,APA!X29)</f>
        <v>342.73959133958419</v>
      </c>
      <c r="W10" s="134">
        <f>SUM(APA!Y28,APA!Y29)</f>
        <v>380.40259362307381</v>
      </c>
      <c r="X10" s="134">
        <f>SUM(APA!Z28,APA!Z29)</f>
        <v>406.21280572559766</v>
      </c>
      <c r="Y10" s="138"/>
      <c r="Z10" s="138" t="s">
        <v>503</v>
      </c>
      <c r="AA10" s="138"/>
      <c r="AB10" s="579">
        <f>+APA!F265</f>
        <v>0</v>
      </c>
      <c r="AC10" s="579">
        <f>+APA!G265</f>
        <v>0</v>
      </c>
      <c r="AD10" s="579">
        <f>+APA!H265</f>
        <v>0</v>
      </c>
      <c r="AE10" s="579">
        <f>+APA!I265</f>
        <v>0</v>
      </c>
      <c r="AF10" s="579">
        <f>+APA!J265</f>
        <v>0</v>
      </c>
      <c r="AG10" s="579">
        <f>+APA!K265</f>
        <v>1819.6010000000001</v>
      </c>
      <c r="AH10" s="579">
        <f>+APA!L265</f>
        <v>1956.037</v>
      </c>
      <c r="AI10" s="579">
        <f>+APA!M265</f>
        <v>3570.223</v>
      </c>
      <c r="AJ10" s="579">
        <f>+APA!N265</f>
        <v>3236.723</v>
      </c>
      <c r="AK10" s="579">
        <f>+APA!O265</f>
        <v>3362.4450000000002</v>
      </c>
      <c r="AL10" s="579">
        <f>+APA!P265</f>
        <v>3483.328</v>
      </c>
      <c r="AM10" s="579">
        <f>+APA!Q265</f>
        <v>3768.3420000000001</v>
      </c>
      <c r="AN10" s="579">
        <f>+APA!R265</f>
        <v>3472.1979999999999</v>
      </c>
      <c r="AO10" s="579">
        <f>+APA!S265</f>
        <v>5280.4110000000001</v>
      </c>
      <c r="AP10" s="579">
        <f>+APA!T265</f>
        <v>5574.4809999999998</v>
      </c>
      <c r="AQ10" s="579">
        <f>+APA!U265</f>
        <v>8355.1929999999993</v>
      </c>
      <c r="AR10" s="579">
        <f>+APA!V265</f>
        <v>9189.0869999999995</v>
      </c>
      <c r="AS10" s="579">
        <f>+APA!W265</f>
        <v>9150.1650000000009</v>
      </c>
      <c r="AT10" s="579">
        <f>+APA!X265</f>
        <v>9549.8250000000007</v>
      </c>
      <c r="AU10" s="579">
        <f>+APA!Y265</f>
        <v>9701.3520374493255</v>
      </c>
      <c r="AV10" s="579">
        <f>+APA!Z265</f>
        <v>9477.8492430461793</v>
      </c>
      <c r="AW10" s="138"/>
      <c r="AX10" s="138"/>
    </row>
    <row r="11" spans="1:50" s="580" customFormat="1" ht="15" customHeight="1" x14ac:dyDescent="0.2">
      <c r="A11" s="138"/>
      <c r="B11" s="135" t="s">
        <v>458</v>
      </c>
      <c r="C11" s="135"/>
      <c r="D11" s="136"/>
      <c r="E11" s="136"/>
      <c r="F11" s="136"/>
      <c r="G11" s="136"/>
      <c r="H11" s="136"/>
      <c r="I11" s="136">
        <f t="shared" ref="I11:T11" si="3">SUM(I7:I10)</f>
        <v>0</v>
      </c>
      <c r="J11" s="136">
        <f t="shared" si="3"/>
        <v>0</v>
      </c>
      <c r="K11" s="136">
        <f t="shared" si="3"/>
        <v>394.07599999999996</v>
      </c>
      <c r="L11" s="136">
        <f t="shared" si="3"/>
        <v>490.62399999999997</v>
      </c>
      <c r="M11" s="136">
        <f t="shared" si="3"/>
        <v>543.62800000000004</v>
      </c>
      <c r="N11" s="136">
        <f t="shared" si="3"/>
        <v>566.221</v>
      </c>
      <c r="O11" s="136">
        <f t="shared" si="3"/>
        <v>545.11599999999999</v>
      </c>
      <c r="P11" s="136">
        <f t="shared" si="3"/>
        <v>609.97400000000005</v>
      </c>
      <c r="Q11" s="136">
        <f t="shared" si="3"/>
        <v>741.476</v>
      </c>
      <c r="R11" s="136">
        <f t="shared" si="3"/>
        <v>824.06930000000011</v>
      </c>
      <c r="S11" s="136">
        <f t="shared" si="3"/>
        <v>987.07999999999993</v>
      </c>
      <c r="T11" s="136">
        <f t="shared" si="3"/>
        <v>1528.576</v>
      </c>
      <c r="U11" s="136">
        <f>SUM(U7:U10)</f>
        <v>1772.9920000000002</v>
      </c>
      <c r="V11" s="136">
        <f>SUM(V7:V10)</f>
        <v>1803.0316537922301</v>
      </c>
      <c r="W11" s="136">
        <f>SUM(W7:W10)</f>
        <v>1896.0880814669135</v>
      </c>
      <c r="X11" s="136">
        <f>SUM(X7:X10)</f>
        <v>1983.2628102729091</v>
      </c>
      <c r="Y11" s="138"/>
      <c r="Z11" s="138" t="s">
        <v>156</v>
      </c>
      <c r="AA11" s="138"/>
      <c r="AB11" s="579">
        <f>+APA!F267</f>
        <v>0</v>
      </c>
      <c r="AC11" s="579">
        <f>+APA!G267</f>
        <v>0</v>
      </c>
      <c r="AD11" s="579">
        <f>+APA!H267</f>
        <v>0</v>
      </c>
      <c r="AE11" s="579">
        <f>+APA!I267</f>
        <v>0</v>
      </c>
      <c r="AF11" s="579">
        <f>+APA!J267</f>
        <v>0</v>
      </c>
      <c r="AG11" s="579">
        <f>+APA!K269-AG10</f>
        <v>5.5399999999999636</v>
      </c>
      <c r="AH11" s="579">
        <f>+APA!L269-AH10</f>
        <v>43.894000000000005</v>
      </c>
      <c r="AI11" s="579">
        <f>+APA!M269-AI10</f>
        <v>524.24999999999955</v>
      </c>
      <c r="AJ11" s="579">
        <f>+APA!N269-AJ10</f>
        <v>1009.0359999999991</v>
      </c>
      <c r="AK11" s="579">
        <f>+APA!O269-AK10</f>
        <v>1115.2309999999993</v>
      </c>
      <c r="AL11" s="579">
        <f>+APA!P269-AL10</f>
        <v>1261.1839999999997</v>
      </c>
      <c r="AM11" s="579">
        <f>+APA!Q269-AM10</f>
        <v>1403.7640000000006</v>
      </c>
      <c r="AN11" s="579">
        <f>+APA!R269-AN10</f>
        <v>1439.3449999999998</v>
      </c>
      <c r="AO11" s="579">
        <f>+APA!S269-AO10</f>
        <v>2138.1359999999995</v>
      </c>
      <c r="AP11" s="579">
        <f>+APA!T269-AP10</f>
        <v>2194.6610000000001</v>
      </c>
      <c r="AQ11" s="579">
        <f>+APA!U269-AQ10</f>
        <v>5576.4390000000003</v>
      </c>
      <c r="AR11" s="579">
        <f>+APA!V269-AR10</f>
        <v>5232.7960000000003</v>
      </c>
      <c r="AS11" s="579">
        <f>+APA!W269-AS10</f>
        <v>5123.4520000000011</v>
      </c>
      <c r="AT11" s="579">
        <f>+APA!X269-AT10</f>
        <v>4946.4885150000009</v>
      </c>
      <c r="AU11" s="579">
        <f>+APA!Y269-AU10</f>
        <v>4766.7649981232553</v>
      </c>
      <c r="AV11" s="579">
        <f>+APA!Z269-AV10</f>
        <v>4583.8742360579527</v>
      </c>
      <c r="AW11" s="138"/>
      <c r="AX11" s="138"/>
    </row>
    <row r="12" spans="1:50" s="580" customFormat="1" ht="15" customHeight="1" x14ac:dyDescent="0.2">
      <c r="A12" s="138"/>
      <c r="B12" s="133" t="s">
        <v>157</v>
      </c>
      <c r="C12" s="133"/>
      <c r="D12" s="134"/>
      <c r="E12" s="134"/>
      <c r="F12" s="134"/>
      <c r="G12" s="134"/>
      <c r="H12" s="134"/>
      <c r="I12" s="134">
        <f>+I13-I11</f>
        <v>367.31200000000001</v>
      </c>
      <c r="J12" s="134">
        <f t="shared" ref="J12:T12" si="4">+J13-J11</f>
        <v>382.29</v>
      </c>
      <c r="K12" s="134">
        <f t="shared" si="4"/>
        <v>138.62400000000008</v>
      </c>
      <c r="L12" s="134">
        <f t="shared" si="4"/>
        <v>391.10500000000008</v>
      </c>
      <c r="M12" s="134">
        <f t="shared" si="4"/>
        <v>400.7879999999999</v>
      </c>
      <c r="N12" s="134">
        <f t="shared" si="4"/>
        <v>423.26899999999989</v>
      </c>
      <c r="O12" s="134">
        <f t="shared" si="4"/>
        <v>556.87300000000005</v>
      </c>
      <c r="P12" s="134">
        <f t="shared" si="4"/>
        <v>450.68799999999999</v>
      </c>
      <c r="Q12" s="134">
        <f t="shared" si="4"/>
        <v>530.79099999999983</v>
      </c>
      <c r="R12" s="134">
        <f t="shared" si="4"/>
        <v>571.92299999999977</v>
      </c>
      <c r="S12" s="134">
        <f t="shared" si="4"/>
        <v>566.53499999999985</v>
      </c>
      <c r="T12" s="134">
        <f t="shared" si="4"/>
        <v>565.72800000000007</v>
      </c>
      <c r="U12" s="134">
        <f>+U13-U11</f>
        <v>553.42799999999988</v>
      </c>
      <c r="V12" s="134">
        <f>+V13-V11</f>
        <v>565.07300000000009</v>
      </c>
      <c r="W12" s="134">
        <f>+W13-W11</f>
        <v>578.75690200000008</v>
      </c>
      <c r="X12" s="134">
        <f>+X13-X11</f>
        <v>592.77404308999985</v>
      </c>
      <c r="Y12" s="138"/>
      <c r="Z12" s="135" t="s">
        <v>158</v>
      </c>
      <c r="AA12" s="135"/>
      <c r="AB12" s="136">
        <f>+APA!F260+APA!F269-SUM(AB7:AB11)</f>
        <v>0</v>
      </c>
      <c r="AC12" s="136">
        <f>+APA!G260+APA!G269-SUM(AC7:AC11)</f>
        <v>0</v>
      </c>
      <c r="AD12" s="136">
        <f>+APA!H260+APA!H269-SUM(AD7:AD11)</f>
        <v>0</v>
      </c>
      <c r="AE12" s="136">
        <f>+APA!I260+APA!I269-SUM(AE7:AE11)</f>
        <v>0</v>
      </c>
      <c r="AF12" s="136">
        <f>+APA!J260+APA!J269-SUM(AF7:AF11)</f>
        <v>0</v>
      </c>
      <c r="AG12" s="136">
        <f t="shared" ref="AG12:AR12" si="5">SUM(AG7:AG11)</f>
        <v>1883.4950000000001</v>
      </c>
      <c r="AH12" s="136">
        <f t="shared" si="5"/>
        <v>2060.855</v>
      </c>
      <c r="AI12" s="136">
        <f t="shared" si="5"/>
        <v>4237.9339999999993</v>
      </c>
      <c r="AJ12" s="136">
        <f t="shared" si="5"/>
        <v>5096.9919999999993</v>
      </c>
      <c r="AK12" s="136">
        <f t="shared" si="5"/>
        <v>4747.3269999999993</v>
      </c>
      <c r="AL12" s="136">
        <f t="shared" si="5"/>
        <v>4982.4359999999997</v>
      </c>
      <c r="AM12" s="136">
        <f t="shared" si="5"/>
        <v>5427.6050000000005</v>
      </c>
      <c r="AN12" s="136">
        <f t="shared" si="5"/>
        <v>5496.0540000000001</v>
      </c>
      <c r="AO12" s="136">
        <f t="shared" si="5"/>
        <v>7698.9279999999999</v>
      </c>
      <c r="AP12" s="136">
        <f t="shared" si="5"/>
        <v>7972.51</v>
      </c>
      <c r="AQ12" s="136">
        <f t="shared" si="5"/>
        <v>14652.886</v>
      </c>
      <c r="AR12" s="136">
        <f t="shared" si="5"/>
        <v>14842.675000000001</v>
      </c>
      <c r="AS12" s="136">
        <f>SUM(AS7:AS11)</f>
        <v>15045.948000000004</v>
      </c>
      <c r="AT12" s="136">
        <f>SUM(AT7:AT11)</f>
        <v>15617.166269398496</v>
      </c>
      <c r="AU12" s="136">
        <f>SUM(AU7:AU11)</f>
        <v>15579.72114119435</v>
      </c>
      <c r="AV12" s="136">
        <f>SUM(AV7:AV11)</f>
        <v>15565.508206326856</v>
      </c>
      <c r="AW12" s="138"/>
      <c r="AX12" s="138"/>
    </row>
    <row r="13" spans="1:50" s="580" customFormat="1" ht="15" customHeight="1" x14ac:dyDescent="0.2">
      <c r="A13" s="138"/>
      <c r="B13" s="135" t="s">
        <v>12</v>
      </c>
      <c r="C13" s="135"/>
      <c r="D13" s="136"/>
      <c r="E13" s="136"/>
      <c r="F13" s="136"/>
      <c r="G13" s="136"/>
      <c r="H13" s="136"/>
      <c r="I13" s="136">
        <f>+APA!K90</f>
        <v>367.31200000000001</v>
      </c>
      <c r="J13" s="136">
        <f>+APA!L90</f>
        <v>382.29</v>
      </c>
      <c r="K13" s="136">
        <f>+APA!M90</f>
        <v>532.70000000000005</v>
      </c>
      <c r="L13" s="136">
        <f>+APA!N90</f>
        <v>881.72900000000004</v>
      </c>
      <c r="M13" s="136">
        <f>+APA!O90</f>
        <v>944.41599999999994</v>
      </c>
      <c r="N13" s="136">
        <f>+APA!P90</f>
        <v>989.4899999999999</v>
      </c>
      <c r="O13" s="136">
        <f>+APA!Q90</f>
        <v>1101.989</v>
      </c>
      <c r="P13" s="136">
        <f>+APA!R90</f>
        <v>1060.662</v>
      </c>
      <c r="Q13" s="136">
        <f>+APA!S90</f>
        <v>1272.2669999999998</v>
      </c>
      <c r="R13" s="136">
        <f>+APA!T90</f>
        <v>1395.9922999999999</v>
      </c>
      <c r="S13" s="136">
        <f>+APA!U90</f>
        <v>1553.6149999999998</v>
      </c>
      <c r="T13" s="136">
        <f>+APA!V90</f>
        <v>2094.3040000000001</v>
      </c>
      <c r="U13" s="136">
        <f>+APA!W90</f>
        <v>2326.42</v>
      </c>
      <c r="V13" s="136">
        <f>+APA!X90</f>
        <v>2368.1046537922302</v>
      </c>
      <c r="W13" s="136">
        <f>+APA!Y90</f>
        <v>2474.8449834669136</v>
      </c>
      <c r="X13" s="136">
        <f>+APA!Z90</f>
        <v>2576.0368533629089</v>
      </c>
      <c r="Y13" s="138"/>
      <c r="Z13" s="138" t="s">
        <v>159</v>
      </c>
      <c r="AA13" s="138"/>
      <c r="AB13" s="579">
        <f>+APA!F271</f>
        <v>0</v>
      </c>
      <c r="AC13" s="579">
        <f>+APA!G271</f>
        <v>0</v>
      </c>
      <c r="AD13" s="579">
        <f>+APA!H271</f>
        <v>0</v>
      </c>
      <c r="AE13" s="579">
        <f>+APA!I271</f>
        <v>0</v>
      </c>
      <c r="AF13" s="579">
        <f>+APA!J271</f>
        <v>0</v>
      </c>
      <c r="AG13" s="579">
        <f>+APA!K271</f>
        <v>63.241999999999997</v>
      </c>
      <c r="AH13" s="579">
        <f>+APA!L271</f>
        <v>58.823</v>
      </c>
      <c r="AI13" s="579">
        <f>+APA!M271</f>
        <v>108.325</v>
      </c>
      <c r="AJ13" s="579">
        <f>+APA!N271</f>
        <v>151.55799999999999</v>
      </c>
      <c r="AK13" s="579">
        <f>+APA!O271</f>
        <v>109.88200000000001</v>
      </c>
      <c r="AL13" s="579">
        <f>+APA!P271</f>
        <v>131.839</v>
      </c>
      <c r="AM13" s="579">
        <f>+APA!Q271</f>
        <v>135.65100000000001</v>
      </c>
      <c r="AN13" s="579">
        <f>+APA!R271</f>
        <v>173.44499999999999</v>
      </c>
      <c r="AO13" s="579">
        <f>+APA!S271</f>
        <v>190.06200000000001</v>
      </c>
      <c r="AP13" s="579">
        <f>+APA!T271</f>
        <v>185.988</v>
      </c>
      <c r="AQ13" s="579">
        <f>+APA!U271</f>
        <v>405.685</v>
      </c>
      <c r="AR13" s="579">
        <f>+APA!V271</f>
        <v>252.661</v>
      </c>
      <c r="AS13" s="579">
        <f>+APA!W271</f>
        <v>312.61099999999999</v>
      </c>
      <c r="AT13" s="579">
        <f>+APA!X271</f>
        <v>312.61099999999999</v>
      </c>
      <c r="AU13" s="579">
        <f>+APA!Y271</f>
        <v>312.61099999999999</v>
      </c>
      <c r="AV13" s="579">
        <f>+APA!Z271</f>
        <v>312.61099999999999</v>
      </c>
      <c r="AW13" s="138"/>
      <c r="AX13" s="138"/>
    </row>
    <row r="14" spans="1:50" s="580" customFormat="1" ht="15" customHeight="1" x14ac:dyDescent="0.2">
      <c r="A14" s="138"/>
      <c r="B14" s="133" t="s">
        <v>301</v>
      </c>
      <c r="C14" s="133"/>
      <c r="D14" s="137"/>
      <c r="E14" s="134"/>
      <c r="F14" s="134"/>
      <c r="G14" s="134"/>
      <c r="H14" s="134"/>
      <c r="I14" s="137" t="str">
        <f>+APA!K44</f>
        <v>n.a.</v>
      </c>
      <c r="J14" s="137" t="str">
        <f>+APA!L44</f>
        <v>n.a.</v>
      </c>
      <c r="K14" s="137">
        <f>+APA!M44</f>
        <v>73.831000000000003</v>
      </c>
      <c r="L14" s="137">
        <f>+APA!N44</f>
        <v>96.777000000000001</v>
      </c>
      <c r="M14" s="137">
        <f>+APA!O44</f>
        <v>97.271000000000001</v>
      </c>
      <c r="N14" s="137">
        <f>+APA!P44</f>
        <v>103.30200000000001</v>
      </c>
      <c r="O14" s="137">
        <f>+APA!Q44</f>
        <v>71.685000000000002</v>
      </c>
      <c r="P14" s="137">
        <f>+APA!R44</f>
        <v>79.566000000000003</v>
      </c>
      <c r="Q14" s="137">
        <f>+APA!S44</f>
        <v>163.74799999999999</v>
      </c>
      <c r="R14" s="137">
        <f>+APA!T44</f>
        <v>234.459</v>
      </c>
      <c r="S14" s="137">
        <f>+APA!U44</f>
        <v>340.13099999999997</v>
      </c>
      <c r="T14" s="137">
        <f>+APA!V44</f>
        <v>855.75300000000004</v>
      </c>
      <c r="U14" s="137">
        <f>+APA!W44</f>
        <v>925.36599999999999</v>
      </c>
      <c r="V14" s="137">
        <f>+APA!X44</f>
        <v>947.24074016647421</v>
      </c>
      <c r="W14" s="137">
        <f>+APA!Y44</f>
        <v>988.37103893092797</v>
      </c>
      <c r="X14" s="137">
        <f>+APA!Z44</f>
        <v>1007.250983787222</v>
      </c>
      <c r="Y14" s="138"/>
      <c r="Z14" s="138" t="s">
        <v>160</v>
      </c>
      <c r="AA14" s="138"/>
      <c r="AB14" s="579">
        <f>+APA!F272+APA!F279</f>
        <v>0</v>
      </c>
      <c r="AC14" s="579">
        <f>+APA!G272+APA!G279</f>
        <v>0</v>
      </c>
      <c r="AD14" s="579">
        <f>+APA!H272+APA!H279</f>
        <v>0</v>
      </c>
      <c r="AE14" s="579">
        <f>+APA!I272+APA!I279</f>
        <v>0</v>
      </c>
      <c r="AF14" s="579">
        <f>+APA!J272+APA!J279</f>
        <v>0</v>
      </c>
      <c r="AG14" s="579">
        <f>+APA!K272+APA!K279</f>
        <v>1007.968</v>
      </c>
      <c r="AH14" s="579">
        <f>+APA!L272+APA!L279</f>
        <v>1214.25</v>
      </c>
      <c r="AI14" s="579">
        <f>+APA!M272+APA!M279</f>
        <v>2597.652</v>
      </c>
      <c r="AJ14" s="579">
        <f>+APA!N272+APA!N279</f>
        <v>3111.123</v>
      </c>
      <c r="AK14" s="579">
        <f>+APA!O272+APA!O279</f>
        <v>2958.0940000000001</v>
      </c>
      <c r="AL14" s="579">
        <f>+APA!P272+APA!P279</f>
        <v>2995.7739999999999</v>
      </c>
      <c r="AM14" s="579">
        <f>+APA!Q272+APA!Q279</f>
        <v>2890.4459999999999</v>
      </c>
      <c r="AN14" s="579">
        <f>+APA!R272+APA!R279</f>
        <v>2905.9459999999999</v>
      </c>
      <c r="AO14" s="579">
        <f>+APA!S272+APA!S279</f>
        <v>4314.152</v>
      </c>
      <c r="AP14" s="579">
        <f>+APA!T272+APA!T279</f>
        <v>4708.2830000000004</v>
      </c>
      <c r="AQ14" s="579">
        <f>+APA!U272+APA!U279</f>
        <v>9305.8499999999985</v>
      </c>
      <c r="AR14" s="579">
        <f>+APA!V272+APA!V279</f>
        <v>9724.2019999999993</v>
      </c>
      <c r="AS14" s="579">
        <f>+APA!W272+APA!W279</f>
        <v>9700.7649999999994</v>
      </c>
      <c r="AT14" s="579">
        <f>+APA!X272+APA!X279</f>
        <v>9900.7649999999994</v>
      </c>
      <c r="AU14" s="579">
        <f>+APA!Y272+APA!Y279</f>
        <v>10000.764999999999</v>
      </c>
      <c r="AV14" s="579">
        <f>+APA!Z272+APA!Z279</f>
        <v>10100.764999999999</v>
      </c>
      <c r="AW14" s="138"/>
      <c r="AX14" s="138"/>
    </row>
    <row r="15" spans="1:50" s="580" customFormat="1" ht="15" customHeight="1" x14ac:dyDescent="0.2">
      <c r="A15" s="138"/>
      <c r="B15" s="133" t="s">
        <v>302</v>
      </c>
      <c r="C15" s="133"/>
      <c r="D15" s="137"/>
      <c r="E15" s="134"/>
      <c r="F15" s="134"/>
      <c r="G15" s="134"/>
      <c r="H15" s="134"/>
      <c r="I15" s="137" t="str">
        <f>+APA!K45</f>
        <v>n.a.</v>
      </c>
      <c r="J15" s="137" t="str">
        <f>+APA!L45</f>
        <v>n.a.</v>
      </c>
      <c r="K15" s="137">
        <f>+APA!M45</f>
        <v>46.53</v>
      </c>
      <c r="L15" s="137">
        <f>+APA!N45</f>
        <v>66.534000000000006</v>
      </c>
      <c r="M15" s="137">
        <f>+APA!O45</f>
        <v>83.43</v>
      </c>
      <c r="N15" s="137">
        <f>+APA!P45</f>
        <v>96.840999999999994</v>
      </c>
      <c r="O15" s="137">
        <f>+APA!Q45</f>
        <v>101.26600000000001</v>
      </c>
      <c r="P15" s="137">
        <f>+APA!R45</f>
        <v>113.098</v>
      </c>
      <c r="Q15" s="137">
        <f>+APA!S45</f>
        <v>112.65900000000001</v>
      </c>
      <c r="R15" s="137">
        <f>+APA!T45</f>
        <v>115.569</v>
      </c>
      <c r="S15" s="137">
        <f>+APA!U45</f>
        <v>120.80800000000001</v>
      </c>
      <c r="T15" s="137">
        <f>+APA!V45</f>
        <v>121.709</v>
      </c>
      <c r="U15" s="137">
        <f>+APA!W45</f>
        <v>149.48400000000001</v>
      </c>
      <c r="V15" s="137">
        <f>+APA!X45</f>
        <v>133.22110000000001</v>
      </c>
      <c r="W15" s="137">
        <f>+APA!Y45</f>
        <v>136.55162749999997</v>
      </c>
      <c r="X15" s="137">
        <f>+APA!Z45</f>
        <v>139.96541818749995</v>
      </c>
      <c r="Y15" s="138"/>
      <c r="Z15" s="138" t="s">
        <v>161</v>
      </c>
      <c r="AA15" s="138"/>
      <c r="AB15" s="579">
        <f t="shared" ref="AB15:AG15" si="6">+AB16-SUM(AB13:AB14)</f>
        <v>0</v>
      </c>
      <c r="AC15" s="579">
        <f t="shared" si="6"/>
        <v>0</v>
      </c>
      <c r="AD15" s="579">
        <f t="shared" si="6"/>
        <v>0</v>
      </c>
      <c r="AE15" s="579">
        <f t="shared" si="6"/>
        <v>0</v>
      </c>
      <c r="AF15" s="579">
        <f t="shared" si="6"/>
        <v>0</v>
      </c>
      <c r="AG15" s="579">
        <f t="shared" si="6"/>
        <v>198.51600000000008</v>
      </c>
      <c r="AH15" s="579">
        <f t="shared" ref="AH15:AR15" si="7">+AH16-SUM(AH13:AH14)</f>
        <v>196.32199999999989</v>
      </c>
      <c r="AI15" s="579">
        <f t="shared" si="7"/>
        <v>371.19000000000005</v>
      </c>
      <c r="AJ15" s="579">
        <f t="shared" si="7"/>
        <v>584.10299999999961</v>
      </c>
      <c r="AK15" s="579">
        <f t="shared" si="7"/>
        <v>400.89600000000019</v>
      </c>
      <c r="AL15" s="579">
        <f t="shared" si="7"/>
        <v>459.67800000000034</v>
      </c>
      <c r="AM15" s="579">
        <f t="shared" si="7"/>
        <v>733.66300000000047</v>
      </c>
      <c r="AN15" s="579">
        <f t="shared" si="7"/>
        <v>802.62100000000055</v>
      </c>
      <c r="AO15" s="579">
        <f t="shared" si="7"/>
        <v>682.40300000000025</v>
      </c>
      <c r="AP15" s="579">
        <f t="shared" si="7"/>
        <v>581.75</v>
      </c>
      <c r="AQ15" s="579">
        <f t="shared" si="7"/>
        <v>558.70099999999911</v>
      </c>
      <c r="AR15" s="579">
        <f t="shared" si="7"/>
        <v>836.70100000000093</v>
      </c>
      <c r="AS15" s="579">
        <f>+AS16-SUM(AS13:AS14)</f>
        <v>1054.3889999999992</v>
      </c>
      <c r="AT15" s="579">
        <f>+AT16-SUM(AT13:AT14)</f>
        <v>1124.1606974935476</v>
      </c>
      <c r="AU15" s="579">
        <f>+AU16-SUM(AU13:AU14)</f>
        <v>1221.0269327973037</v>
      </c>
      <c r="AV15" s="579">
        <f>+AV16-SUM(AV13:AV14)</f>
        <v>1326.9318810685563</v>
      </c>
      <c r="AW15" s="138"/>
      <c r="AX15" s="138"/>
    </row>
    <row r="16" spans="1:50" s="580" customFormat="1" ht="15" customHeight="1" x14ac:dyDescent="0.2">
      <c r="A16" s="138"/>
      <c r="B16" s="133" t="s">
        <v>464</v>
      </c>
      <c r="C16" s="133"/>
      <c r="D16" s="134"/>
      <c r="E16" s="134"/>
      <c r="F16" s="134"/>
      <c r="G16" s="134"/>
      <c r="H16" s="134"/>
      <c r="I16" s="134">
        <f>SUM(APA!K46,APA!K47)</f>
        <v>0</v>
      </c>
      <c r="J16" s="134">
        <f>SUM(APA!L46,APA!L47)</f>
        <v>0</v>
      </c>
      <c r="K16" s="134">
        <f>SUM(APA!M46,APA!M47)</f>
        <v>50.325000000000003</v>
      </c>
      <c r="L16" s="134">
        <f>SUM(APA!N46,APA!N47)</f>
        <v>76.887</v>
      </c>
      <c r="M16" s="134">
        <f>SUM(APA!O46,APA!O47)</f>
        <v>107.49299999999999</v>
      </c>
      <c r="N16" s="134">
        <f>SUM(APA!P46,APA!P47)</f>
        <v>105.70699999999999</v>
      </c>
      <c r="O16" s="134">
        <f>SUM(APA!Q46,APA!Q47)</f>
        <v>115.881</v>
      </c>
      <c r="P16" s="134">
        <f>SUM(APA!R46,APA!R47)</f>
        <v>123.07000000000001</v>
      </c>
      <c r="Q16" s="134">
        <f>SUM(APA!S46,APA!S47)</f>
        <v>125.746</v>
      </c>
      <c r="R16" s="134">
        <f>SUM(APA!T46,APA!T47)</f>
        <v>129.99600000000001</v>
      </c>
      <c r="S16" s="134">
        <f>SUM(APA!U46,APA!U47)</f>
        <v>132.10999999999999</v>
      </c>
      <c r="T16" s="134">
        <f>SUM(APA!V46,APA!V47)</f>
        <v>123.1</v>
      </c>
      <c r="U16" s="134">
        <f>SUM(APA!W46,APA!W47)</f>
        <v>125.327</v>
      </c>
      <c r="V16" s="134">
        <f>SUM(APA!X46,APA!X47)</f>
        <v>126.44931914499097</v>
      </c>
      <c r="W16" s="134">
        <f>SUM(APA!Y46,APA!Y47)</f>
        <v>127.10953061351154</v>
      </c>
      <c r="X16" s="134">
        <f>SUM(APA!Z46,APA!Z47)</f>
        <v>151.21078941223752</v>
      </c>
      <c r="Y16" s="138"/>
      <c r="Z16" s="135" t="s">
        <v>162</v>
      </c>
      <c r="AA16" s="135"/>
      <c r="AB16" s="136">
        <f>+APA!F284+APA!F276</f>
        <v>0</v>
      </c>
      <c r="AC16" s="136">
        <f>+APA!G284+APA!G276</f>
        <v>0</v>
      </c>
      <c r="AD16" s="136">
        <f>+APA!H284+APA!H276</f>
        <v>0</v>
      </c>
      <c r="AE16" s="136">
        <f>+APA!I284+APA!I276</f>
        <v>0</v>
      </c>
      <c r="AF16" s="136">
        <f>+APA!J284+APA!J276</f>
        <v>0</v>
      </c>
      <c r="AG16" s="136">
        <f>+APA!K284+APA!K276</f>
        <v>1269.7260000000001</v>
      </c>
      <c r="AH16" s="136">
        <f>+APA!L284+APA!L276</f>
        <v>1469.395</v>
      </c>
      <c r="AI16" s="136">
        <f>+APA!M284+APA!M276</f>
        <v>3077.1669999999999</v>
      </c>
      <c r="AJ16" s="136">
        <f>+APA!N284+APA!N276</f>
        <v>3846.7839999999997</v>
      </c>
      <c r="AK16" s="136">
        <f>+APA!O284+APA!O276</f>
        <v>3468.8720000000003</v>
      </c>
      <c r="AL16" s="136">
        <f>+APA!P284+APA!P276</f>
        <v>3587.2910000000002</v>
      </c>
      <c r="AM16" s="136">
        <f>+APA!Q284+APA!Q276</f>
        <v>3759.76</v>
      </c>
      <c r="AN16" s="136">
        <f>+APA!R284+APA!R276</f>
        <v>3882.0120000000006</v>
      </c>
      <c r="AO16" s="136">
        <f>+APA!S284+APA!S276</f>
        <v>5186.6170000000002</v>
      </c>
      <c r="AP16" s="136">
        <f>+APA!T284+APA!T276</f>
        <v>5476.0210000000006</v>
      </c>
      <c r="AQ16" s="136">
        <f>+APA!U284+APA!U276</f>
        <v>10270.235999999997</v>
      </c>
      <c r="AR16" s="136">
        <f>+APA!V284+APA!V276</f>
        <v>10813.564</v>
      </c>
      <c r="AS16" s="136">
        <f>+APA!W284+APA!W276</f>
        <v>11067.764999999999</v>
      </c>
      <c r="AT16" s="136">
        <f>+APA!X284+APA!X276</f>
        <v>11337.536697493548</v>
      </c>
      <c r="AU16" s="136">
        <f>+APA!Y284+APA!Y276</f>
        <v>11534.402932797304</v>
      </c>
      <c r="AV16" s="136">
        <f>+APA!Z284+APA!Z276</f>
        <v>11740.307881068557</v>
      </c>
      <c r="AW16" s="138"/>
      <c r="AX16" s="138"/>
    </row>
    <row r="17" spans="1:52" s="580" customFormat="1" ht="15" customHeight="1" x14ac:dyDescent="0.2">
      <c r="A17" s="138"/>
      <c r="B17" s="133" t="s">
        <v>465</v>
      </c>
      <c r="C17" s="133"/>
      <c r="D17" s="134"/>
      <c r="E17" s="134"/>
      <c r="F17" s="134"/>
      <c r="G17" s="134"/>
      <c r="H17" s="134"/>
      <c r="I17" s="134">
        <f>SUM(APA!K48,APA!K49)</f>
        <v>0</v>
      </c>
      <c r="J17" s="134">
        <f>SUM(APA!L48,APA!L49)</f>
        <v>0</v>
      </c>
      <c r="K17" s="134">
        <f>SUM(APA!M48,APA!M49)</f>
        <v>105.089</v>
      </c>
      <c r="L17" s="134">
        <f>SUM(APA!N48,APA!N49)</f>
        <v>114.06700000000001</v>
      </c>
      <c r="M17" s="134">
        <f>SUM(APA!O48,APA!O49)</f>
        <v>100.85599999999999</v>
      </c>
      <c r="N17" s="134">
        <f>SUM(APA!P48,APA!P49)</f>
        <v>102.738</v>
      </c>
      <c r="O17" s="134">
        <f>SUM(APA!Q48,APA!Q49)</f>
        <v>99.801000000000002</v>
      </c>
      <c r="P17" s="134">
        <f>SUM(APA!R48,APA!R49)</f>
        <v>125.938</v>
      </c>
      <c r="Q17" s="134">
        <f>SUM(APA!S48,APA!S49)</f>
        <v>147.72799999999998</v>
      </c>
      <c r="R17" s="134">
        <f>SUM(APA!T48,APA!T49)</f>
        <v>204.161</v>
      </c>
      <c r="S17" s="134">
        <f>SUM(APA!U48,APA!U49)</f>
        <v>230.55800000000002</v>
      </c>
      <c r="T17" s="134">
        <f>SUM(APA!V48,APA!V49)</f>
        <v>235.018</v>
      </c>
      <c r="U17" s="134">
        <f>SUM(APA!W48,APA!W49)</f>
        <v>253.495</v>
      </c>
      <c r="V17" s="134">
        <f>SUM(APA!X48,APA!X49)</f>
        <v>271.26690875255275</v>
      </c>
      <c r="W17" s="134">
        <f>SUM(APA!Y48,APA!Y49)</f>
        <v>297.53349022391939</v>
      </c>
      <c r="X17" s="134">
        <f>SUM(APA!Z48,APA!Z49)</f>
        <v>318.90199404162774</v>
      </c>
      <c r="Y17" s="138"/>
      <c r="Z17" s="138" t="s">
        <v>163</v>
      </c>
      <c r="AA17" s="138"/>
      <c r="AB17" s="579">
        <f>+APA!F288+APA!F289+APA!F290</f>
        <v>0</v>
      </c>
      <c r="AC17" s="579">
        <f>+APA!G288+APA!G289+APA!G290</f>
        <v>0</v>
      </c>
      <c r="AD17" s="579">
        <f>+APA!H288+APA!H289+APA!H290</f>
        <v>0</v>
      </c>
      <c r="AE17" s="579">
        <f>+APA!I288+APA!I289+APA!I290</f>
        <v>0</v>
      </c>
      <c r="AF17" s="579">
        <f>+APA!J288+APA!J289+APA!J290</f>
        <v>0</v>
      </c>
      <c r="AG17" s="579">
        <f>+APA!K288+APA!K289+APA!K290</f>
        <v>613.68399999999997</v>
      </c>
      <c r="AH17" s="579">
        <f>+APA!L288+APA!L289+APA!L290</f>
        <v>591.35900000000004</v>
      </c>
      <c r="AI17" s="579">
        <f>+APA!M288+APA!M289+APA!M290</f>
        <v>1160.702</v>
      </c>
      <c r="AJ17" s="579">
        <f>+APA!N288+APA!N289+APA!N290</f>
        <v>1250.1189999999999</v>
      </c>
      <c r="AK17" s="579">
        <f>+APA!O288+APA!O289+APA!O290</f>
        <v>1278.3739999999998</v>
      </c>
      <c r="AL17" s="579">
        <f>+APA!P288+APA!P289+APA!P290</f>
        <v>1395.0129999999999</v>
      </c>
      <c r="AM17" s="579">
        <f>+APA!Q288+APA!Q289+APA!Q290</f>
        <v>1667.5619999999999</v>
      </c>
      <c r="AN17" s="579">
        <f>+APA!R288+APA!R289+APA!R290</f>
        <v>1613.9929999999999</v>
      </c>
      <c r="AO17" s="579">
        <f>+APA!S288+APA!S289+APA!S290</f>
        <v>2512.2610000000004</v>
      </c>
      <c r="AP17" s="579">
        <f>+APA!T288+APA!T289+APA!T290</f>
        <v>2496.4380000000001</v>
      </c>
      <c r="AQ17" s="579">
        <f>+APA!U288+APA!U289+APA!U290</f>
        <v>4382.598</v>
      </c>
      <c r="AR17" s="579">
        <f>+APA!V288+APA!V289+APA!V290</f>
        <v>4029.058</v>
      </c>
      <c r="AS17" s="579">
        <f>+APA!W288+APA!W289+APA!W290</f>
        <v>3978.13</v>
      </c>
      <c r="AT17" s="579">
        <f>+APA!X288+APA!X289+APA!X290</f>
        <v>4279.576571904945</v>
      </c>
      <c r="AU17" s="579">
        <f>+APA!Y288+APA!Y289+APA!Y290</f>
        <v>4045.2652083970438</v>
      </c>
      <c r="AV17" s="579">
        <f>+APA!Z288+APA!Z289+APA!Z290</f>
        <v>3825.1473252582978</v>
      </c>
      <c r="AW17" s="138"/>
      <c r="AX17" s="138"/>
    </row>
    <row r="18" spans="1:52" s="580" customFormat="1" ht="15" customHeight="1" x14ac:dyDescent="0.2">
      <c r="A18" s="138"/>
      <c r="B18" s="133" t="s">
        <v>389</v>
      </c>
      <c r="C18" s="133"/>
      <c r="D18" s="134"/>
      <c r="E18" s="134"/>
      <c r="F18" s="134"/>
      <c r="G18" s="134"/>
      <c r="H18" s="134"/>
      <c r="I18" s="134">
        <f t="shared" ref="I18:R18" si="8">I20-SUM(I14:I17,I19)</f>
        <v>178.876</v>
      </c>
      <c r="J18" s="134">
        <f t="shared" si="8"/>
        <v>200.40199999999999</v>
      </c>
      <c r="K18" s="134">
        <f t="shared" si="8"/>
        <v>21.067000000000007</v>
      </c>
      <c r="L18" s="134">
        <f t="shared" si="8"/>
        <v>76.269999999999982</v>
      </c>
      <c r="M18" s="134">
        <f t="shared" si="8"/>
        <v>34.192000000000064</v>
      </c>
      <c r="N18" s="134">
        <f t="shared" si="8"/>
        <v>51.387</v>
      </c>
      <c r="O18" s="134">
        <f t="shared" si="8"/>
        <v>65.842000000000041</v>
      </c>
      <c r="P18" s="134">
        <f t="shared" si="8"/>
        <v>73.661000000000001</v>
      </c>
      <c r="Q18" s="134">
        <f t="shared" si="8"/>
        <v>96.624000000000137</v>
      </c>
      <c r="R18" s="134">
        <f t="shared" si="8"/>
        <v>85.572000000000116</v>
      </c>
      <c r="S18" s="134">
        <f t="shared" ref="S18:X18" si="9">S20-SUM(S14:S17,S19)</f>
        <v>71.230999999999995</v>
      </c>
      <c r="T18" s="134">
        <f t="shared" si="9"/>
        <v>81.653999999999996</v>
      </c>
      <c r="U18" s="134">
        <f t="shared" si="9"/>
        <v>83.100999999999658</v>
      </c>
      <c r="V18" s="134">
        <f t="shared" si="9"/>
        <v>74.235194499999807</v>
      </c>
      <c r="W18" s="134">
        <f t="shared" si="9"/>
        <v>74.557791315000259</v>
      </c>
      <c r="X18" s="134">
        <f t="shared" si="9"/>
        <v>76.164220665674975</v>
      </c>
      <c r="Y18" s="138"/>
      <c r="Z18" s="138" t="s">
        <v>98</v>
      </c>
      <c r="AA18" s="138"/>
      <c r="AB18" s="579">
        <f>+APA!F292-AB17</f>
        <v>0</v>
      </c>
      <c r="AC18" s="579">
        <f>+APA!G292-AC17</f>
        <v>0</v>
      </c>
      <c r="AD18" s="579">
        <f>+APA!H292-AD17</f>
        <v>0</v>
      </c>
      <c r="AE18" s="579">
        <f>+APA!I292-AE17</f>
        <v>0</v>
      </c>
      <c r="AF18" s="579">
        <f>+APA!J292-AF17</f>
        <v>0</v>
      </c>
      <c r="AG18" s="579">
        <f>+APA!K292-AG17</f>
        <v>8.500000000003638E-2</v>
      </c>
      <c r="AH18" s="579">
        <f>+APA!L292-AH17</f>
        <v>0.10099999999999909</v>
      </c>
      <c r="AI18" s="579">
        <f>+APA!M292-AI17</f>
        <v>6.500000000005457E-2</v>
      </c>
      <c r="AJ18" s="579">
        <f>+APA!N292-AJ17</f>
        <v>8.8999999999941792E-2</v>
      </c>
      <c r="AK18" s="579">
        <f>+APA!O292-AK17</f>
        <v>8.0999999999903594E-2</v>
      </c>
      <c r="AL18" s="579">
        <f>+APA!P292-AL17</f>
        <v>0.13200000000006185</v>
      </c>
      <c r="AM18" s="579">
        <f>+APA!Q292-AM17</f>
        <v>0.28299999999990177</v>
      </c>
      <c r="AN18" s="579">
        <f>+APA!R292-AN17</f>
        <v>4.8999999999978172E-2</v>
      </c>
      <c r="AO18" s="579">
        <f>+APA!S292-AO17</f>
        <v>5.0000000000181899E-2</v>
      </c>
      <c r="AP18" s="579">
        <f>+APA!T292-AP17</f>
        <v>5.0999999999930878E-2</v>
      </c>
      <c r="AQ18" s="579">
        <f>+APA!U292-AQ17</f>
        <v>5.1999999999679858E-2</v>
      </c>
      <c r="AR18" s="579">
        <f>+APA!V292-AR17</f>
        <v>5.2999999999883585E-2</v>
      </c>
      <c r="AS18" s="579">
        <f>+APA!W292-AS17</f>
        <v>5.2999999999883585E-2</v>
      </c>
      <c r="AT18" s="579">
        <f>+APA!X292-AT17</f>
        <v>5.2999999999883585E-2</v>
      </c>
      <c r="AU18" s="579">
        <f>+APA!Y292-AU17</f>
        <v>5.2999999999883585E-2</v>
      </c>
      <c r="AV18" s="579">
        <f>+APA!Z292-AV17</f>
        <v>5.2999999999883585E-2</v>
      </c>
      <c r="AW18" s="138"/>
      <c r="AX18" s="138"/>
    </row>
    <row r="19" spans="1:52" s="580" customFormat="1" ht="15" customHeight="1" x14ac:dyDescent="0.2">
      <c r="A19" s="138"/>
      <c r="B19" s="133" t="s">
        <v>505</v>
      </c>
      <c r="C19" s="133"/>
      <c r="D19" s="134"/>
      <c r="E19" s="134"/>
      <c r="F19" s="134"/>
      <c r="G19" s="134"/>
      <c r="H19" s="134"/>
      <c r="I19" s="134"/>
      <c r="J19" s="134"/>
      <c r="K19" s="134"/>
      <c r="L19" s="134"/>
      <c r="M19" s="134"/>
      <c r="N19" s="134"/>
      <c r="O19" s="134"/>
      <c r="P19" s="134"/>
      <c r="Q19" s="134"/>
      <c r="R19" s="134">
        <f>APA!T54</f>
        <v>-72.536000000000001</v>
      </c>
      <c r="S19" s="134">
        <f>APA!U54</f>
        <v>-73.578999999999994</v>
      </c>
      <c r="T19" s="134">
        <f>APA!V54</f>
        <v>-86.71</v>
      </c>
      <c r="U19" s="134">
        <f>APA!W54</f>
        <v>-66.650999999999996</v>
      </c>
      <c r="V19" s="134">
        <f>APA!X54</f>
        <v>-67.329329942128325</v>
      </c>
      <c r="W19" s="134">
        <f>APA!Y54</f>
        <v>-70.43945590601831</v>
      </c>
      <c r="X19" s="134">
        <f>APA!Z54</f>
        <v>-73.448081798410485</v>
      </c>
      <c r="Y19" s="138"/>
      <c r="Z19" s="135" t="s">
        <v>164</v>
      </c>
      <c r="AA19" s="135"/>
      <c r="AB19" s="136">
        <f t="shared" ref="AB19:AG19" si="10">+AB17+AB18</f>
        <v>0</v>
      </c>
      <c r="AC19" s="136">
        <f t="shared" si="10"/>
        <v>0</v>
      </c>
      <c r="AD19" s="136">
        <f t="shared" si="10"/>
        <v>0</v>
      </c>
      <c r="AE19" s="136">
        <f t="shared" si="10"/>
        <v>0</v>
      </c>
      <c r="AF19" s="136">
        <f t="shared" si="10"/>
        <v>0</v>
      </c>
      <c r="AG19" s="136">
        <f t="shared" si="10"/>
        <v>613.76900000000001</v>
      </c>
      <c r="AH19" s="136">
        <f t="shared" ref="AH19:AR19" si="11">+AH17+AH18</f>
        <v>591.46</v>
      </c>
      <c r="AI19" s="136">
        <f t="shared" si="11"/>
        <v>1160.7670000000001</v>
      </c>
      <c r="AJ19" s="136">
        <f t="shared" si="11"/>
        <v>1250.2079999999999</v>
      </c>
      <c r="AK19" s="136">
        <f t="shared" si="11"/>
        <v>1278.4549999999997</v>
      </c>
      <c r="AL19" s="136">
        <f t="shared" si="11"/>
        <v>1395.145</v>
      </c>
      <c r="AM19" s="136">
        <f t="shared" si="11"/>
        <v>1667.8449999999998</v>
      </c>
      <c r="AN19" s="136">
        <f t="shared" si="11"/>
        <v>1614.0419999999999</v>
      </c>
      <c r="AO19" s="136">
        <f t="shared" si="11"/>
        <v>2512.3110000000006</v>
      </c>
      <c r="AP19" s="136">
        <f t="shared" si="11"/>
        <v>2496.489</v>
      </c>
      <c r="AQ19" s="136">
        <f t="shared" si="11"/>
        <v>4382.6499999999996</v>
      </c>
      <c r="AR19" s="136">
        <f t="shared" si="11"/>
        <v>4029.1109999999999</v>
      </c>
      <c r="AS19" s="136">
        <f>+AS17+AS18</f>
        <v>3978.183</v>
      </c>
      <c r="AT19" s="136">
        <f>+AT17+AT18</f>
        <v>4279.6295719049449</v>
      </c>
      <c r="AU19" s="136">
        <f>+AU17+AU18</f>
        <v>4045.3182083970437</v>
      </c>
      <c r="AV19" s="136">
        <f>+AV17+AV18</f>
        <v>3825.2003252582977</v>
      </c>
      <c r="AW19" s="585"/>
      <c r="AX19" s="585"/>
      <c r="AY19" s="585"/>
      <c r="AZ19" s="585"/>
    </row>
    <row r="20" spans="1:52" s="580" customFormat="1" ht="15" customHeight="1" x14ac:dyDescent="0.2">
      <c r="A20" s="138"/>
      <c r="B20" s="135" t="s">
        <v>246</v>
      </c>
      <c r="C20" s="135"/>
      <c r="D20" s="136"/>
      <c r="E20" s="136"/>
      <c r="F20" s="136"/>
      <c r="G20" s="136"/>
      <c r="H20" s="136"/>
      <c r="I20" s="136">
        <f>+APA!K97</f>
        <v>178.876</v>
      </c>
      <c r="J20" s="136">
        <f>+APA!L97</f>
        <v>200.40199999999999</v>
      </c>
      <c r="K20" s="136">
        <f>+APA!M97</f>
        <v>296.84199999999998</v>
      </c>
      <c r="L20" s="136">
        <f>+APA!N97</f>
        <v>430.53499999999997</v>
      </c>
      <c r="M20" s="136">
        <f>+APA!O97</f>
        <v>423.24200000000008</v>
      </c>
      <c r="N20" s="136">
        <f>+APA!P97</f>
        <v>459.97500000000002</v>
      </c>
      <c r="O20" s="136">
        <f>+APA!Q97</f>
        <v>454.47500000000002</v>
      </c>
      <c r="P20" s="136">
        <f>+APA!R97</f>
        <v>515.33299999999997</v>
      </c>
      <c r="Q20" s="136">
        <f>+APA!S97</f>
        <v>646.50500000000011</v>
      </c>
      <c r="R20" s="136">
        <f>+APA!T97</f>
        <v>697.221</v>
      </c>
      <c r="S20" s="136">
        <f>+APA!U97</f>
        <v>821.25900000000001</v>
      </c>
      <c r="T20" s="136">
        <f>+APA!V97</f>
        <v>1330.5239999999999</v>
      </c>
      <c r="U20" s="136">
        <f>+APA!W97</f>
        <v>1470.1219999999996</v>
      </c>
      <c r="V20" s="136">
        <f>+APA!X97</f>
        <v>1485.0839326218895</v>
      </c>
      <c r="W20" s="136">
        <f>+APA!Y97</f>
        <v>1553.6840226773406</v>
      </c>
      <c r="X20" s="136">
        <f>+APA!Z97</f>
        <v>1620.0453242958517</v>
      </c>
      <c r="Y20" s="138"/>
      <c r="Z20" s="138"/>
      <c r="AA20" s="138"/>
      <c r="AB20" s="579"/>
      <c r="AC20" s="579"/>
      <c r="AD20" s="579"/>
      <c r="AE20" s="579"/>
      <c r="AF20" s="579"/>
      <c r="AG20" s="579"/>
      <c r="AH20" s="579"/>
      <c r="AI20" s="579"/>
      <c r="AJ20" s="579"/>
      <c r="AK20" s="579"/>
      <c r="AL20" s="579"/>
      <c r="AM20" s="579"/>
      <c r="AN20" s="579"/>
      <c r="AO20" s="579"/>
      <c r="AP20" s="579"/>
      <c r="AQ20" s="579"/>
      <c r="AR20" s="579"/>
      <c r="AS20" s="579"/>
      <c r="AT20" s="579"/>
      <c r="AU20" s="579"/>
      <c r="AV20" s="579"/>
      <c r="AW20" s="138"/>
      <c r="AX20" s="138"/>
    </row>
    <row r="21" spans="1:52" s="580" customFormat="1" ht="15" customHeight="1" x14ac:dyDescent="0.2">
      <c r="A21" s="138"/>
      <c r="B21" s="735" t="s">
        <v>614</v>
      </c>
      <c r="C21" s="735"/>
      <c r="D21" s="736" t="str">
        <f t="shared" ref="D21:R21" si="12">IF(ISERROR(+D20/C20-1),"n.a.",+D20/C20-1)</f>
        <v>n.a.</v>
      </c>
      <c r="E21" s="736" t="str">
        <f t="shared" si="12"/>
        <v>n.a.</v>
      </c>
      <c r="F21" s="736" t="str">
        <f t="shared" si="12"/>
        <v>n.a.</v>
      </c>
      <c r="G21" s="736" t="str">
        <f t="shared" si="12"/>
        <v>n.a.</v>
      </c>
      <c r="H21" s="736" t="str">
        <f t="shared" si="12"/>
        <v>n.a.</v>
      </c>
      <c r="I21" s="736" t="str">
        <f t="shared" si="12"/>
        <v>n.a.</v>
      </c>
      <c r="J21" s="736">
        <f t="shared" si="12"/>
        <v>0.12034034750329825</v>
      </c>
      <c r="K21" s="736">
        <f t="shared" si="12"/>
        <v>0.48123272222832103</v>
      </c>
      <c r="L21" s="736">
        <f t="shared" si="12"/>
        <v>0.45038437956892885</v>
      </c>
      <c r="M21" s="736">
        <f t="shared" si="12"/>
        <v>-1.6939389364395208E-2</v>
      </c>
      <c r="N21" s="736">
        <f t="shared" si="12"/>
        <v>8.6789590825107066E-2</v>
      </c>
      <c r="O21" s="736">
        <f t="shared" si="12"/>
        <v>-1.1957171585412207E-2</v>
      </c>
      <c r="P21" s="736">
        <f t="shared" si="12"/>
        <v>0.13390835579514815</v>
      </c>
      <c r="Q21" s="736">
        <f t="shared" si="12"/>
        <v>0.2545383276444555</v>
      </c>
      <c r="R21" s="736">
        <f t="shared" si="12"/>
        <v>7.8446415727642993E-2</v>
      </c>
      <c r="S21" s="736" t="s">
        <v>557</v>
      </c>
      <c r="T21" s="736" t="s">
        <v>556</v>
      </c>
      <c r="U21" s="736" t="s">
        <v>555</v>
      </c>
      <c r="V21" s="736" t="s">
        <v>568</v>
      </c>
      <c r="W21" s="736"/>
      <c r="X21" s="736"/>
      <c r="Y21" s="138"/>
      <c r="Z21" s="130" t="s">
        <v>499</v>
      </c>
      <c r="AA21" s="130"/>
      <c r="AB21" s="131">
        <v>36707</v>
      </c>
      <c r="AC21" s="131">
        <v>37072</v>
      </c>
      <c r="AD21" s="131">
        <v>37437</v>
      </c>
      <c r="AE21" s="131">
        <v>37802</v>
      </c>
      <c r="AF21" s="131">
        <v>38168</v>
      </c>
      <c r="AG21" s="131">
        <v>38533</v>
      </c>
      <c r="AH21" s="131">
        <v>38898</v>
      </c>
      <c r="AI21" s="131">
        <v>39263</v>
      </c>
      <c r="AJ21" s="131">
        <v>39629</v>
      </c>
      <c r="AK21" s="131">
        <v>39994</v>
      </c>
      <c r="AL21" s="131">
        <v>40359</v>
      </c>
      <c r="AM21" s="131">
        <v>40724</v>
      </c>
      <c r="AN21" s="131">
        <v>41090</v>
      </c>
      <c r="AO21" s="131">
        <v>41455</v>
      </c>
      <c r="AP21" s="131">
        <v>41820</v>
      </c>
      <c r="AQ21" s="131">
        <v>42185</v>
      </c>
      <c r="AR21" s="131">
        <f>AR5</f>
        <v>42551</v>
      </c>
      <c r="AS21" s="131">
        <f>AS5</f>
        <v>42916</v>
      </c>
      <c r="AT21" s="132">
        <f>AT5</f>
        <v>43281</v>
      </c>
      <c r="AU21" s="132">
        <f>AU5</f>
        <v>43646</v>
      </c>
      <c r="AV21" s="132">
        <f>AV5</f>
        <v>44013</v>
      </c>
      <c r="AW21" s="585"/>
      <c r="AX21" s="138"/>
    </row>
    <row r="22" spans="1:52" s="580" customFormat="1" ht="15" customHeight="1" x14ac:dyDescent="0.2">
      <c r="A22" s="138"/>
      <c r="B22" s="138" t="s">
        <v>497</v>
      </c>
      <c r="C22" s="138"/>
      <c r="D22" s="579"/>
      <c r="E22" s="579"/>
      <c r="F22" s="579"/>
      <c r="G22" s="579"/>
      <c r="H22" s="579"/>
      <c r="I22" s="579">
        <f>+APA!K103+APA!K104</f>
        <v>-36.373000000000005</v>
      </c>
      <c r="J22" s="579">
        <f>+APA!L103+APA!L104</f>
        <v>-38.847999999999999</v>
      </c>
      <c r="K22" s="579">
        <f>+APA!M103+APA!M104</f>
        <v>-69.783000000000001</v>
      </c>
      <c r="L22" s="579">
        <f>+APA!N103+APA!N104</f>
        <v>-94.458999999999989</v>
      </c>
      <c r="M22" s="579">
        <f>+APA!O103+APA!O104</f>
        <v>-95.64</v>
      </c>
      <c r="N22" s="579">
        <f>+APA!P103+APA!P104</f>
        <v>-91.426000000000002</v>
      </c>
      <c r="O22" s="579">
        <f>+APA!Q103+APA!Q104</f>
        <v>-100.35</v>
      </c>
      <c r="P22" s="579">
        <f>+APA!R103+APA!R104</f>
        <v>-110.04900000000001</v>
      </c>
      <c r="Q22" s="579">
        <f>+APA!S103+APA!S104</f>
        <v>-130.46100000000001</v>
      </c>
      <c r="R22" s="579">
        <f>+APA!T103+APA!T104</f>
        <v>-156.22800000000001</v>
      </c>
      <c r="S22" s="579">
        <f>+APA!U103+APA!U104</f>
        <v>-208.2</v>
      </c>
      <c r="T22" s="579">
        <f>+APA!V103+APA!V104</f>
        <v>-520.89</v>
      </c>
      <c r="U22" s="579">
        <f>+APA!W103+APA!W104</f>
        <v>-570.02099999999996</v>
      </c>
      <c r="V22" s="579">
        <f>+APA!X103+APA!X104</f>
        <v>-570.02099999999996</v>
      </c>
      <c r="W22" s="579">
        <f>+APA!Y103+APA!Y104</f>
        <v>-594.91832074339641</v>
      </c>
      <c r="X22" s="579">
        <f>+APA!Z103+APA!Z104</f>
        <v>-604.3578875068265</v>
      </c>
      <c r="Y22" s="138"/>
      <c r="Z22" s="138" t="s">
        <v>420</v>
      </c>
      <c r="AA22" s="138"/>
      <c r="AB22" s="586" t="e">
        <f>+Valuation!#REF!</f>
        <v>#REF!</v>
      </c>
      <c r="AC22" s="586" t="e">
        <f>+Valuation!#REF!</f>
        <v>#REF!</v>
      </c>
      <c r="AD22" s="586" t="e">
        <f>+Valuation!#REF!</f>
        <v>#REF!</v>
      </c>
      <c r="AE22" s="586" t="e">
        <f>+Valuation!#REF!</f>
        <v>#REF!</v>
      </c>
      <c r="AF22" s="586" t="e">
        <f>+Valuation!#REF!</f>
        <v>#REF!</v>
      </c>
      <c r="AG22" s="586" t="e">
        <f>+Valuation!#REF!</f>
        <v>#REF!</v>
      </c>
      <c r="AH22" s="586" t="e">
        <f>+Valuation!#REF!</f>
        <v>#REF!</v>
      </c>
      <c r="AI22" s="586" t="e">
        <f>+Valuation!#REF!</f>
        <v>#REF!</v>
      </c>
      <c r="AJ22" s="586" t="e">
        <f>+Valuation!#REF!</f>
        <v>#REF!</v>
      </c>
      <c r="AK22" s="586" t="e">
        <f>+Valuation!#REF!</f>
        <v>#REF!</v>
      </c>
      <c r="AL22" s="586" t="e">
        <f>+Valuation!#REF!</f>
        <v>#REF!</v>
      </c>
      <c r="AM22" s="586" t="e">
        <f>+Valuation!#REF!</f>
        <v>#REF!</v>
      </c>
      <c r="AN22" s="586" t="e">
        <f>+Valuation!#REF!</f>
        <v>#REF!</v>
      </c>
      <c r="AO22" s="586" t="e">
        <f>+Valuation!#REF!</f>
        <v>#REF!</v>
      </c>
      <c r="AP22" s="586" t="e">
        <f>+Valuation!#REF!</f>
        <v>#REF!</v>
      </c>
      <c r="AQ22" s="586">
        <f>+Valuation!U106</f>
        <v>1114.307</v>
      </c>
      <c r="AR22" s="586">
        <f>+Valuation!V106</f>
        <v>1114.307</v>
      </c>
      <c r="AS22" s="586">
        <f>+Valuation!W106</f>
        <v>1114.307</v>
      </c>
      <c r="AT22" s="586">
        <f>+Valuation!X106</f>
        <v>1179.854493</v>
      </c>
      <c r="AU22" s="586">
        <f>+Valuation!Y106</f>
        <v>1179.854493</v>
      </c>
      <c r="AV22" s="586">
        <f>+Valuation!Z106</f>
        <v>1179.854493</v>
      </c>
      <c r="AW22" s="138"/>
      <c r="AX22" s="138"/>
    </row>
    <row r="23" spans="1:52" s="580" customFormat="1" ht="15" customHeight="1" x14ac:dyDescent="0.2">
      <c r="A23" s="138"/>
      <c r="B23" s="138" t="s">
        <v>615</v>
      </c>
      <c r="C23" s="138"/>
      <c r="D23" s="579"/>
      <c r="E23" s="579"/>
      <c r="F23" s="579"/>
      <c r="G23" s="579"/>
      <c r="H23" s="579"/>
      <c r="I23" s="579">
        <f>+APA!K113</f>
        <v>-64.460999999999984</v>
      </c>
      <c r="J23" s="579">
        <f>+APA!L113</f>
        <v>-79.896999999999991</v>
      </c>
      <c r="K23" s="579">
        <f>+APA!M113</f>
        <v>-152.22499999999999</v>
      </c>
      <c r="L23" s="579">
        <f>+APA!N113</f>
        <v>-244.44699999999997</v>
      </c>
      <c r="M23" s="579">
        <f>+APA!O113</f>
        <v>-238.96600000000001</v>
      </c>
      <c r="N23" s="579">
        <f>+APA!P113</f>
        <v>-245.30600000000001</v>
      </c>
      <c r="O23" s="579">
        <f>+APA!Q113</f>
        <v>-263.59500000000003</v>
      </c>
      <c r="P23" s="579">
        <f>+APA!R113</f>
        <v>-250.59100000000001</v>
      </c>
      <c r="Q23" s="579">
        <f>+APA!S113</f>
        <v>-290.916</v>
      </c>
      <c r="R23" s="579">
        <f>+APA!T113</f>
        <v>-325.084</v>
      </c>
      <c r="S23" s="579">
        <f>+APA!U113</f>
        <v>-324.16199999999998</v>
      </c>
      <c r="T23" s="579">
        <f>+APA!V113</f>
        <v>-507.65800000000002</v>
      </c>
      <c r="U23" s="579">
        <f>+APA!W113</f>
        <v>-513.76700000000005</v>
      </c>
      <c r="V23" s="579">
        <f>+APA!X113</f>
        <v>-511.58060764339604</v>
      </c>
      <c r="W23" s="579">
        <f>+APA!Y113</f>
        <v>-512.54491758808877</v>
      </c>
      <c r="X23" s="579">
        <f>+APA!Z113</f>
        <v>-512.67094255151983</v>
      </c>
      <c r="Y23" s="138"/>
      <c r="Z23" s="138" t="s">
        <v>391</v>
      </c>
      <c r="AA23" s="138"/>
      <c r="AB23" s="587">
        <f t="shared" ref="AB23:AG23" si="13">+AB3</f>
        <v>0</v>
      </c>
      <c r="AC23" s="587">
        <f t="shared" si="13"/>
        <v>0</v>
      </c>
      <c r="AD23" s="587">
        <f t="shared" si="13"/>
        <v>0</v>
      </c>
      <c r="AE23" s="587">
        <f t="shared" si="13"/>
        <v>0</v>
      </c>
      <c r="AF23" s="587">
        <f t="shared" si="13"/>
        <v>0</v>
      </c>
      <c r="AG23" s="587">
        <f t="shared" si="13"/>
        <v>3.4758</v>
      </c>
      <c r="AH23" s="587">
        <f t="shared" ref="AH23:AR23" si="14">+AH3</f>
        <v>3.9472</v>
      </c>
      <c r="AI23" s="587">
        <f t="shared" si="14"/>
        <v>4.0437000000000003</v>
      </c>
      <c r="AJ23" s="587">
        <f t="shared" si="14"/>
        <v>2.5129000000000001</v>
      </c>
      <c r="AK23" s="587">
        <f t="shared" si="14"/>
        <v>3.0520999999999998</v>
      </c>
      <c r="AL23" s="587">
        <f t="shared" si="14"/>
        <v>3.4661</v>
      </c>
      <c r="AM23" s="587">
        <f t="shared" si="14"/>
        <v>3.9186000000000001</v>
      </c>
      <c r="AN23" s="587">
        <f t="shared" si="14"/>
        <v>4.8044000000000002</v>
      </c>
      <c r="AO23" s="587">
        <f t="shared" si="14"/>
        <v>5.7671999999999999</v>
      </c>
      <c r="AP23" s="587">
        <f t="shared" si="14"/>
        <v>6.6337000000000002</v>
      </c>
      <c r="AQ23" s="587">
        <f t="shared" si="14"/>
        <v>8.24</v>
      </c>
      <c r="AR23" s="587">
        <f t="shared" si="14"/>
        <v>9.24</v>
      </c>
      <c r="AS23" s="587">
        <f>+AS3</f>
        <v>8.8214942528735705</v>
      </c>
      <c r="AT23" s="587">
        <f>+AT3</f>
        <v>7.89</v>
      </c>
      <c r="AU23" s="587">
        <f>+AU3</f>
        <v>7.89</v>
      </c>
      <c r="AV23" s="587">
        <f>+AV3</f>
        <v>7.89</v>
      </c>
      <c r="AW23" s="138"/>
      <c r="AX23" s="138"/>
      <c r="AY23" s="670"/>
    </row>
    <row r="24" spans="1:52" s="580" customFormat="1" ht="15" customHeight="1" x14ac:dyDescent="0.2">
      <c r="A24" s="138"/>
      <c r="B24" s="735" t="s">
        <v>616</v>
      </c>
      <c r="C24" s="735"/>
      <c r="D24" s="736" t="str">
        <f t="shared" ref="D24:R24" si="15">IF(ISERROR(+D23/C23-1),"n.a.",+D23/C23-1)</f>
        <v>n.a.</v>
      </c>
      <c r="E24" s="736" t="str">
        <f t="shared" si="15"/>
        <v>n.a.</v>
      </c>
      <c r="F24" s="736" t="str">
        <f t="shared" si="15"/>
        <v>n.a.</v>
      </c>
      <c r="G24" s="736" t="str">
        <f t="shared" si="15"/>
        <v>n.a.</v>
      </c>
      <c r="H24" s="736" t="str">
        <f t="shared" si="15"/>
        <v>n.a.</v>
      </c>
      <c r="I24" s="736" t="str">
        <f t="shared" si="15"/>
        <v>n.a.</v>
      </c>
      <c r="J24" s="736">
        <f t="shared" si="15"/>
        <v>0.23946262080948189</v>
      </c>
      <c r="K24" s="736">
        <f t="shared" si="15"/>
        <v>0.90526552936906279</v>
      </c>
      <c r="L24" s="736">
        <f t="shared" si="15"/>
        <v>0.6058269009689603</v>
      </c>
      <c r="M24" s="736">
        <f t="shared" si="15"/>
        <v>-2.2422038315053849E-2</v>
      </c>
      <c r="N24" s="736">
        <f t="shared" si="15"/>
        <v>2.6530970933103415E-2</v>
      </c>
      <c r="O24" s="736">
        <f t="shared" si="15"/>
        <v>7.4555860843191768E-2</v>
      </c>
      <c r="P24" s="736">
        <f t="shared" si="15"/>
        <v>-4.9333257459360125E-2</v>
      </c>
      <c r="Q24" s="736">
        <f t="shared" si="15"/>
        <v>0.16091958609846313</v>
      </c>
      <c r="R24" s="736">
        <f t="shared" si="15"/>
        <v>0.11744971056937392</v>
      </c>
      <c r="S24" s="736" t="s">
        <v>617</v>
      </c>
      <c r="T24" s="736" t="s">
        <v>618</v>
      </c>
      <c r="U24" s="736" t="s">
        <v>619</v>
      </c>
      <c r="V24" s="736" t="s">
        <v>1008</v>
      </c>
      <c r="W24" s="737"/>
      <c r="X24" s="737"/>
      <c r="Y24" s="138"/>
      <c r="Z24" s="135" t="s">
        <v>165</v>
      </c>
      <c r="AA24" s="135"/>
      <c r="AB24" s="564" t="str">
        <f t="shared" ref="AB24:AG24" si="16">IF(ISERROR(+AB22*AB23),"n.a.",+AB22*AB23)</f>
        <v>n.a.</v>
      </c>
      <c r="AC24" s="564" t="str">
        <f t="shared" si="16"/>
        <v>n.a.</v>
      </c>
      <c r="AD24" s="564" t="str">
        <f t="shared" si="16"/>
        <v>n.a.</v>
      </c>
      <c r="AE24" s="564" t="str">
        <f t="shared" si="16"/>
        <v>n.a.</v>
      </c>
      <c r="AF24" s="564" t="str">
        <f t="shared" si="16"/>
        <v>n.a.</v>
      </c>
      <c r="AG24" s="564" t="str">
        <f t="shared" si="16"/>
        <v>n.a.</v>
      </c>
      <c r="AH24" s="564" t="str">
        <f t="shared" ref="AH24:AQ24" si="17">IF(ISERROR(+AH22*AH23),"n.a.",+AH22*AH23)</f>
        <v>n.a.</v>
      </c>
      <c r="AI24" s="564" t="str">
        <f t="shared" si="17"/>
        <v>n.a.</v>
      </c>
      <c r="AJ24" s="564" t="str">
        <f t="shared" si="17"/>
        <v>n.a.</v>
      </c>
      <c r="AK24" s="564" t="str">
        <f t="shared" si="17"/>
        <v>n.a.</v>
      </c>
      <c r="AL24" s="564" t="str">
        <f t="shared" si="17"/>
        <v>n.a.</v>
      </c>
      <c r="AM24" s="564" t="str">
        <f t="shared" si="17"/>
        <v>n.a.</v>
      </c>
      <c r="AN24" s="564" t="str">
        <f t="shared" si="17"/>
        <v>n.a.</v>
      </c>
      <c r="AO24" s="564" t="str">
        <f t="shared" si="17"/>
        <v>n.a.</v>
      </c>
      <c r="AP24" s="564" t="str">
        <f t="shared" si="17"/>
        <v>n.a.</v>
      </c>
      <c r="AQ24" s="564">
        <f t="shared" si="17"/>
        <v>9181.8896800000002</v>
      </c>
      <c r="AR24" s="564">
        <f>IF(ISERROR(+AR22*AR23),"n.a.",+AR22*AR23)</f>
        <v>10296.196680000001</v>
      </c>
      <c r="AS24" s="564">
        <f>IF(ISERROR(+AS22*AS23),"n.a.",+AS22*AS23)</f>
        <v>9829.8527964367895</v>
      </c>
      <c r="AT24" s="564">
        <f>IF(ISERROR(+AT22*AT23),"n.a.",+AT22*AT23)</f>
        <v>9309.0519497700006</v>
      </c>
      <c r="AU24" s="564">
        <f>IF(ISERROR(+AU22*AU23),"n.a.",+AU22*AU23)</f>
        <v>9309.0519497700006</v>
      </c>
      <c r="AV24" s="564">
        <f>IF(ISERROR(+AV22*AV23),"n.a.",+AV22*AV23)</f>
        <v>9309.0519497700006</v>
      </c>
      <c r="AW24" s="138"/>
      <c r="AX24" s="138"/>
      <c r="AY24" s="670"/>
    </row>
    <row r="25" spans="1:52" s="580" customFormat="1" ht="15" customHeight="1" x14ac:dyDescent="0.2">
      <c r="A25" s="138"/>
      <c r="B25" s="135" t="s">
        <v>252</v>
      </c>
      <c r="C25" s="135"/>
      <c r="D25" s="136"/>
      <c r="E25" s="136"/>
      <c r="F25" s="136"/>
      <c r="G25" s="136"/>
      <c r="H25" s="136"/>
      <c r="I25" s="136" t="e">
        <f t="shared" ref="I25:R25" si="18">+I20+I23+I24+I22</f>
        <v>#VALUE!</v>
      </c>
      <c r="J25" s="136">
        <f t="shared" si="18"/>
        <v>81.896462620809473</v>
      </c>
      <c r="K25" s="136">
        <f t="shared" si="18"/>
        <v>75.739265529369064</v>
      </c>
      <c r="L25" s="136">
        <f t="shared" si="18"/>
        <v>92.234826900968969</v>
      </c>
      <c r="M25" s="136">
        <f t="shared" si="18"/>
        <v>88.61357796168501</v>
      </c>
      <c r="N25" s="136">
        <f t="shared" si="18"/>
        <v>123.2695309709331</v>
      </c>
      <c r="O25" s="136">
        <f t="shared" si="18"/>
        <v>90.604555860843192</v>
      </c>
      <c r="P25" s="136">
        <f t="shared" si="18"/>
        <v>154.6436667425406</v>
      </c>
      <c r="Q25" s="136">
        <f t="shared" si="18"/>
        <v>225.28891958609859</v>
      </c>
      <c r="R25" s="136">
        <f t="shared" si="18"/>
        <v>216.02644971056935</v>
      </c>
      <c r="S25" s="136">
        <f t="shared" ref="S25:X25" si="19">+S20+S23+S22</f>
        <v>288.89700000000005</v>
      </c>
      <c r="T25" s="136">
        <f t="shared" si="19"/>
        <v>301.97599999999989</v>
      </c>
      <c r="U25" s="136">
        <f t="shared" si="19"/>
        <v>386.33399999999961</v>
      </c>
      <c r="V25" s="136">
        <f t="shared" si="19"/>
        <v>403.48232497849358</v>
      </c>
      <c r="W25" s="136">
        <f t="shared" si="19"/>
        <v>446.22078434585546</v>
      </c>
      <c r="X25" s="136">
        <f t="shared" si="19"/>
        <v>503.01649423750541</v>
      </c>
      <c r="Y25" s="138"/>
      <c r="Z25" s="565" t="s">
        <v>167</v>
      </c>
      <c r="AA25" s="565"/>
      <c r="AB25" s="586">
        <f>+APA!F296</f>
        <v>0</v>
      </c>
      <c r="AC25" s="586">
        <f>+APA!G296</f>
        <v>0</v>
      </c>
      <c r="AD25" s="586">
        <f>+APA!H296</f>
        <v>0</v>
      </c>
      <c r="AE25" s="586">
        <f>+APA!I296</f>
        <v>0</v>
      </c>
      <c r="AF25" s="586">
        <f>+APA!J296</f>
        <v>0</v>
      </c>
      <c r="AG25" s="586">
        <f>+APA!K296</f>
        <v>985.59499999999991</v>
      </c>
      <c r="AH25" s="586">
        <f>+APA!L296</f>
        <v>1201.6220000000001</v>
      </c>
      <c r="AI25" s="586">
        <f>+APA!M296</f>
        <v>2537.5740000000001</v>
      </c>
      <c r="AJ25" s="586">
        <f>+APA!N296</f>
        <v>3005.6680000000001</v>
      </c>
      <c r="AK25" s="586">
        <f>+APA!O296</f>
        <v>2849.279</v>
      </c>
      <c r="AL25" s="586">
        <f>+APA!P296</f>
        <v>2914.8339999999998</v>
      </c>
      <c r="AM25" s="586">
        <f>+APA!Q296</f>
        <v>2795.078</v>
      </c>
      <c r="AN25" s="586">
        <f>+APA!R296</f>
        <v>2576.0119999999997</v>
      </c>
      <c r="AO25" s="586">
        <f>+APA!S296</f>
        <v>4233.1970000000001</v>
      </c>
      <c r="AP25" s="586">
        <f>+APA!T296</f>
        <v>4701.2740000000003</v>
      </c>
      <c r="AQ25" s="586">
        <f>+APA!U296</f>
        <v>8893.9289999999983</v>
      </c>
      <c r="AR25" s="586">
        <f>+APA!V296</f>
        <v>9639.6959999999981</v>
      </c>
      <c r="AS25" s="586">
        <f>+APA!W296</f>
        <v>9306.2639999999992</v>
      </c>
      <c r="AT25" s="586">
        <f>+APA!X296</f>
        <v>9157.7422456015047</v>
      </c>
      <c r="AU25" s="586">
        <f>+APA!Y296</f>
        <v>9266.9908943782302</v>
      </c>
      <c r="AV25" s="586">
        <f>+APA!Z296</f>
        <v>8974.8102727772748</v>
      </c>
      <c r="AW25" s="588"/>
      <c r="AX25" s="589"/>
      <c r="AY25" s="670"/>
    </row>
    <row r="26" spans="1:52" s="580" customFormat="1" ht="15" customHeight="1" x14ac:dyDescent="0.2">
      <c r="A26" s="138"/>
      <c r="B26" s="138" t="s">
        <v>390</v>
      </c>
      <c r="C26" s="138"/>
      <c r="D26" s="579"/>
      <c r="E26" s="579"/>
      <c r="F26" s="579"/>
      <c r="G26" s="579"/>
      <c r="H26" s="579"/>
      <c r="I26" s="579">
        <f>+APA!K118</f>
        <v>-26.381</v>
      </c>
      <c r="J26" s="579">
        <f>+APA!L118</f>
        <v>-20.661999999999981</v>
      </c>
      <c r="K26" s="579">
        <f>+APA!M118</f>
        <v>-25.799999999999997</v>
      </c>
      <c r="L26" s="579">
        <f>+APA!N118</f>
        <v>-9.354999999999988</v>
      </c>
      <c r="M26" s="579">
        <f>+APA!O118</f>
        <v>11.185999999999922</v>
      </c>
      <c r="N26" s="579">
        <f>+APA!P118</f>
        <v>-22.735000000000021</v>
      </c>
      <c r="O26" s="579">
        <f>+APA!Q118</f>
        <v>18.727000000000032</v>
      </c>
      <c r="P26" s="579">
        <f>+APA!R118</f>
        <v>-14.374999999999993</v>
      </c>
      <c r="Q26" s="579">
        <f>+APA!S118</f>
        <v>-49.155000000000108</v>
      </c>
      <c r="R26" s="579">
        <f>+APA!T118</f>
        <v>-66.376000000000005</v>
      </c>
      <c r="S26" s="579">
        <f>+APA!U118</f>
        <v>-85.976000000000013</v>
      </c>
      <c r="T26" s="579">
        <f>+APA!V118</f>
        <v>-122.524</v>
      </c>
      <c r="U26" s="579">
        <f>+APA!W118</f>
        <v>-149.488</v>
      </c>
      <c r="V26" s="579">
        <f>+APA!X118</f>
        <v>-121.04469749354806</v>
      </c>
      <c r="W26" s="579">
        <f>+APA!Y118</f>
        <v>-133.86623530375664</v>
      </c>
      <c r="X26" s="579">
        <f>+APA!Z118</f>
        <v>-150.90494827125161</v>
      </c>
      <c r="Y26" s="138"/>
      <c r="Z26" s="565" t="s">
        <v>191</v>
      </c>
      <c r="AA26" s="565"/>
      <c r="AB26" s="586">
        <f t="shared" ref="AB26:AU26" si="20">+AB87+AB88+AB89</f>
        <v>0</v>
      </c>
      <c r="AC26" s="586">
        <f t="shared" si="20"/>
        <v>0</v>
      </c>
      <c r="AD26" s="586">
        <f t="shared" si="20"/>
        <v>0</v>
      </c>
      <c r="AE26" s="586">
        <f t="shared" si="20"/>
        <v>0</v>
      </c>
      <c r="AF26" s="586">
        <f t="shared" si="20"/>
        <v>0</v>
      </c>
      <c r="AG26" s="586">
        <f t="shared" si="20"/>
        <v>8.5000000000000006E-2</v>
      </c>
      <c r="AH26" s="586">
        <f t="shared" si="20"/>
        <v>0.10100000000000001</v>
      </c>
      <c r="AI26" s="586">
        <f t="shared" si="20"/>
        <v>6.5000000000000002E-2</v>
      </c>
      <c r="AJ26" s="586">
        <f t="shared" si="20"/>
        <v>8.8999999999999996E-2</v>
      </c>
      <c r="AK26" s="586">
        <f t="shared" si="20"/>
        <v>8.1000000000000003E-2</v>
      </c>
      <c r="AL26" s="586">
        <f t="shared" si="20"/>
        <v>0.13200000000000001</v>
      </c>
      <c r="AM26" s="586">
        <f t="shared" si="20"/>
        <v>0.28299999999999997</v>
      </c>
      <c r="AN26" s="586">
        <f t="shared" si="20"/>
        <v>4.9000000000000002E-2</v>
      </c>
      <c r="AO26" s="579">
        <f t="shared" si="20"/>
        <v>0.05</v>
      </c>
      <c r="AP26" s="579">
        <f t="shared" si="20"/>
        <v>5.0999999999999997E-2</v>
      </c>
      <c r="AQ26" s="579">
        <f t="shared" si="20"/>
        <v>5.1999999999999998E-2</v>
      </c>
      <c r="AR26" s="579">
        <f t="shared" si="20"/>
        <v>5.2999999999999999E-2</v>
      </c>
      <c r="AS26" s="579">
        <f t="shared" si="20"/>
        <v>5.2999999999999999E-2</v>
      </c>
      <c r="AT26" s="579">
        <f t="shared" si="20"/>
        <v>5.2999999999999999E-2</v>
      </c>
      <c r="AU26" s="579">
        <f t="shared" si="20"/>
        <v>5.2999999999999999E-2</v>
      </c>
      <c r="AV26" s="579">
        <f>+AV87+AV88+AV89</f>
        <v>5.2999999999999999E-2</v>
      </c>
      <c r="AW26" s="138"/>
      <c r="AX26" s="138"/>
    </row>
    <row r="27" spans="1:52" s="580" customFormat="1" ht="15" customHeight="1" x14ac:dyDescent="0.2">
      <c r="A27" s="138"/>
      <c r="B27" s="138" t="s">
        <v>166</v>
      </c>
      <c r="C27" s="138"/>
      <c r="D27" s="579"/>
      <c r="E27" s="579"/>
      <c r="F27" s="579"/>
      <c r="G27" s="579"/>
      <c r="H27" s="579"/>
      <c r="I27" s="579" t="e">
        <f t="shared" ref="I27:T27" si="21">+I28-I25-I26</f>
        <v>#VALUE!</v>
      </c>
      <c r="J27" s="579">
        <f t="shared" si="21"/>
        <v>8.2015373791905439</v>
      </c>
      <c r="K27" s="579">
        <f t="shared" si="21"/>
        <v>14.590734470630963</v>
      </c>
      <c r="L27" s="579">
        <f t="shared" si="21"/>
        <v>3.9441730990310173</v>
      </c>
      <c r="M27" s="579">
        <f t="shared" si="21"/>
        <v>4.9074220383150191</v>
      </c>
      <c r="N27" s="579">
        <f t="shared" si="21"/>
        <v>15.760469029066904</v>
      </c>
      <c r="O27" s="579">
        <f t="shared" si="21"/>
        <v>16.132444139156789</v>
      </c>
      <c r="P27" s="579">
        <f t="shared" si="21"/>
        <v>15.949333257459436</v>
      </c>
      <c r="Q27" s="579">
        <f t="shared" si="21"/>
        <v>-6.1099195860986768</v>
      </c>
      <c r="R27" s="579">
        <f t="shared" si="21"/>
        <v>-0.118449710569422</v>
      </c>
      <c r="S27" s="579">
        <f t="shared" si="21"/>
        <v>0.99999999999995737</v>
      </c>
      <c r="T27" s="579">
        <f t="shared" si="21"/>
        <v>-0.15100000000001046</v>
      </c>
      <c r="U27" s="579">
        <f>+U28-U25-U26</f>
        <v>0</v>
      </c>
      <c r="V27" s="579">
        <f>+V28-V25-V26</f>
        <v>0</v>
      </c>
      <c r="W27" s="579">
        <f>+W28-W25-W26</f>
        <v>0</v>
      </c>
      <c r="X27" s="579">
        <f>+X28-X25-X26</f>
        <v>0</v>
      </c>
      <c r="Y27" s="138"/>
      <c r="Z27" s="135" t="s">
        <v>457</v>
      </c>
      <c r="AA27" s="135"/>
      <c r="AB27" s="564">
        <f t="shared" ref="AB27:AG27" si="22">SUM(AB24:AB26)</f>
        <v>0</v>
      </c>
      <c r="AC27" s="564">
        <f t="shared" si="22"/>
        <v>0</v>
      </c>
      <c r="AD27" s="564">
        <f t="shared" si="22"/>
        <v>0</v>
      </c>
      <c r="AE27" s="564">
        <f t="shared" si="22"/>
        <v>0</v>
      </c>
      <c r="AF27" s="564">
        <f t="shared" si="22"/>
        <v>0</v>
      </c>
      <c r="AG27" s="564">
        <f t="shared" si="22"/>
        <v>985.68</v>
      </c>
      <c r="AH27" s="564">
        <f t="shared" ref="AH27:AQ27" si="23">SUM(AH24:AH26)</f>
        <v>1201.7230000000002</v>
      </c>
      <c r="AI27" s="564">
        <f t="shared" si="23"/>
        <v>2537.6390000000001</v>
      </c>
      <c r="AJ27" s="564">
        <f t="shared" si="23"/>
        <v>3005.7570000000001</v>
      </c>
      <c r="AK27" s="564">
        <f t="shared" si="23"/>
        <v>2849.36</v>
      </c>
      <c r="AL27" s="564">
        <f t="shared" si="23"/>
        <v>2914.9659999999999</v>
      </c>
      <c r="AM27" s="564">
        <f t="shared" si="23"/>
        <v>2795.3609999999999</v>
      </c>
      <c r="AN27" s="564">
        <f t="shared" si="23"/>
        <v>2576.0609999999997</v>
      </c>
      <c r="AO27" s="564">
        <f t="shared" si="23"/>
        <v>4233.2470000000003</v>
      </c>
      <c r="AP27" s="564">
        <f t="shared" si="23"/>
        <v>4701.3250000000007</v>
      </c>
      <c r="AQ27" s="564">
        <f t="shared" si="23"/>
        <v>18075.870679999996</v>
      </c>
      <c r="AR27" s="564">
        <f>SUM(AR24:AR26)</f>
        <v>19935.945679999997</v>
      </c>
      <c r="AS27" s="564">
        <f>SUM(AS24:AS26)</f>
        <v>19136.169796436789</v>
      </c>
      <c r="AT27" s="564">
        <f>SUM(AT24:AT26)</f>
        <v>18466.847195371505</v>
      </c>
      <c r="AU27" s="564">
        <f>SUM(AU24:AU26)</f>
        <v>18576.095844148229</v>
      </c>
      <c r="AV27" s="564">
        <f>SUM(AV24:AV26)</f>
        <v>18283.915222547275</v>
      </c>
      <c r="AW27" s="138"/>
      <c r="AX27" s="138"/>
    </row>
    <row r="28" spans="1:52" s="580" customFormat="1" ht="15" customHeight="1" x14ac:dyDescent="0.2">
      <c r="A28" s="138"/>
      <c r="B28" s="135" t="s">
        <v>498</v>
      </c>
      <c r="C28" s="135"/>
      <c r="D28" s="136"/>
      <c r="E28" s="136"/>
      <c r="F28" s="136"/>
      <c r="G28" s="136"/>
      <c r="H28" s="136"/>
      <c r="I28" s="136">
        <f>+APA!K123</f>
        <v>51.350999999999985</v>
      </c>
      <c r="J28" s="136">
        <f>+APA!L123</f>
        <v>69.436000000000035</v>
      </c>
      <c r="K28" s="136">
        <f>+APA!M123</f>
        <v>64.53000000000003</v>
      </c>
      <c r="L28" s="136">
        <f>+APA!N123</f>
        <v>86.823999999999998</v>
      </c>
      <c r="M28" s="136">
        <f>+APA!O123</f>
        <v>104.70699999999995</v>
      </c>
      <c r="N28" s="136">
        <f>+APA!P123</f>
        <v>116.29499999999999</v>
      </c>
      <c r="O28" s="136">
        <f>+APA!Q123</f>
        <v>125.46400000000001</v>
      </c>
      <c r="P28" s="136">
        <f>+APA!R123</f>
        <v>156.21800000000005</v>
      </c>
      <c r="Q28" s="136">
        <f>+APA!S123</f>
        <v>170.0239999999998</v>
      </c>
      <c r="R28" s="136">
        <f>+APA!T123</f>
        <v>149.53199999999993</v>
      </c>
      <c r="S28" s="136">
        <f>+APA!U123</f>
        <v>203.92099999999999</v>
      </c>
      <c r="T28" s="136">
        <f>+APA!V123</f>
        <v>179.30099999999987</v>
      </c>
      <c r="U28" s="136">
        <f>+APA!W123</f>
        <v>236.84599999999961</v>
      </c>
      <c r="V28" s="136">
        <f>+APA!X123</f>
        <v>282.43762748494544</v>
      </c>
      <c r="W28" s="136">
        <f>+APA!Y123</f>
        <v>312.35454904209882</v>
      </c>
      <c r="X28" s="136">
        <f>+APA!Z123</f>
        <v>352.1115459662538</v>
      </c>
      <c r="Y28" s="138"/>
      <c r="Z28" s="138" t="s">
        <v>170</v>
      </c>
      <c r="AA28" s="138"/>
      <c r="AB28" s="586">
        <f>+APA!F107</f>
        <v>0</v>
      </c>
      <c r="AC28" s="586">
        <f>+APA!G107</f>
        <v>0</v>
      </c>
      <c r="AD28" s="586">
        <f>+APA!H107</f>
        <v>0</v>
      </c>
      <c r="AE28" s="586">
        <f>+APA!I107</f>
        <v>0</v>
      </c>
      <c r="AF28" s="586">
        <f>+APA!J107</f>
        <v>0</v>
      </c>
      <c r="AG28" s="586">
        <f>+APA!K107</f>
        <v>142.50299999999999</v>
      </c>
      <c r="AH28" s="586">
        <f>+APA!L107</f>
        <v>161.55399999999997</v>
      </c>
      <c r="AI28" s="586">
        <f>+APA!M107</f>
        <v>227.05899999999997</v>
      </c>
      <c r="AJ28" s="586">
        <f>+APA!N107</f>
        <v>336.07599999999996</v>
      </c>
      <c r="AK28" s="586">
        <f>+APA!O107</f>
        <v>327.60200000000009</v>
      </c>
      <c r="AL28" s="586">
        <f>+APA!P107</f>
        <v>368.54900000000004</v>
      </c>
      <c r="AM28" s="586">
        <f>+APA!Q107</f>
        <v>354.125</v>
      </c>
      <c r="AN28" s="586">
        <f>+APA!R107</f>
        <v>405.28399999999999</v>
      </c>
      <c r="AO28" s="586">
        <f>+APA!S107</f>
        <v>516.0440000000001</v>
      </c>
      <c r="AP28" s="586">
        <f>+APA!T107</f>
        <v>540.99299999999994</v>
      </c>
      <c r="AQ28" s="586">
        <f>+APA!U107</f>
        <v>613.05899999999997</v>
      </c>
      <c r="AR28" s="586">
        <f>+APA!V107</f>
        <v>809.6339999999999</v>
      </c>
      <c r="AS28" s="586">
        <f>+APA!W107</f>
        <v>900.10099999999966</v>
      </c>
      <c r="AT28" s="586">
        <f>+APA!X107</f>
        <v>915.06293262188956</v>
      </c>
      <c r="AU28" s="586">
        <f>+APA!Y107</f>
        <v>958.76570193394423</v>
      </c>
      <c r="AV28" s="586">
        <f>+APA!Z107</f>
        <v>1015.6874367890252</v>
      </c>
      <c r="AW28" s="138"/>
      <c r="AX28" s="138"/>
    </row>
    <row r="29" spans="1:52" s="580" customFormat="1" ht="15" customHeight="1" x14ac:dyDescent="0.2">
      <c r="A29" s="138"/>
      <c r="B29" s="138" t="s">
        <v>168</v>
      </c>
      <c r="C29" s="138"/>
      <c r="D29" s="579"/>
      <c r="E29" s="579"/>
      <c r="F29" s="579"/>
      <c r="G29" s="579"/>
      <c r="H29" s="579"/>
      <c r="I29" s="579">
        <f>+I30-I28</f>
        <v>58.157000000000011</v>
      </c>
      <c r="J29" s="579">
        <f t="shared" ref="J29:T29" si="24">+J30-J28</f>
        <v>-6.8900000000000361</v>
      </c>
      <c r="K29" s="579">
        <f t="shared" si="24"/>
        <v>-7.7700000000000315</v>
      </c>
      <c r="L29" s="579">
        <f t="shared" si="24"/>
        <v>-19.632000000000005</v>
      </c>
      <c r="M29" s="579">
        <f t="shared" si="24"/>
        <v>-25.934999999999945</v>
      </c>
      <c r="N29" s="579">
        <f t="shared" si="24"/>
        <v>-15.936999999999983</v>
      </c>
      <c r="O29" s="579">
        <f t="shared" si="24"/>
        <v>-16.955000000000013</v>
      </c>
      <c r="P29" s="579">
        <f t="shared" si="24"/>
        <v>-25.56800000000004</v>
      </c>
      <c r="Q29" s="579">
        <f t="shared" si="24"/>
        <v>128.74300000000019</v>
      </c>
      <c r="R29" s="579">
        <f t="shared" si="24"/>
        <v>194.17300000000012</v>
      </c>
      <c r="S29" s="579">
        <f t="shared" si="24"/>
        <v>357.00899999999996</v>
      </c>
      <c r="T29" s="579">
        <f t="shared" si="24"/>
        <v>0</v>
      </c>
      <c r="U29" s="579">
        <f>+U30-U28</f>
        <v>0</v>
      </c>
      <c r="V29" s="579">
        <f>+V30-V28</f>
        <v>0</v>
      </c>
      <c r="W29" s="579">
        <f>+W30-W28</f>
        <v>0</v>
      </c>
      <c r="X29" s="579">
        <f>+X30-X28</f>
        <v>0</v>
      </c>
      <c r="Y29" s="138"/>
      <c r="Z29" s="138" t="s">
        <v>171</v>
      </c>
      <c r="AA29" s="138"/>
      <c r="AB29" s="586">
        <f>+APA!F97</f>
        <v>0</v>
      </c>
      <c r="AC29" s="586">
        <f>+APA!G97</f>
        <v>0</v>
      </c>
      <c r="AD29" s="586">
        <f>+APA!H97</f>
        <v>0</v>
      </c>
      <c r="AE29" s="586">
        <f>+APA!I97</f>
        <v>0</v>
      </c>
      <c r="AF29" s="586">
        <f>+APA!J97</f>
        <v>0</v>
      </c>
      <c r="AG29" s="586">
        <f>+APA!K97</f>
        <v>178.876</v>
      </c>
      <c r="AH29" s="586">
        <f>+APA!L97</f>
        <v>200.40199999999999</v>
      </c>
      <c r="AI29" s="586">
        <f>+APA!M97</f>
        <v>296.84199999999998</v>
      </c>
      <c r="AJ29" s="586">
        <f>+APA!N97</f>
        <v>430.53499999999997</v>
      </c>
      <c r="AK29" s="586">
        <f>+APA!O97</f>
        <v>423.24200000000008</v>
      </c>
      <c r="AL29" s="586">
        <f>+APA!P97</f>
        <v>459.97500000000002</v>
      </c>
      <c r="AM29" s="586">
        <f>+APA!Q97</f>
        <v>454.47500000000002</v>
      </c>
      <c r="AN29" s="586">
        <f>+APA!R97</f>
        <v>515.33299999999997</v>
      </c>
      <c r="AO29" s="586">
        <f>+APA!S97</f>
        <v>646.50500000000011</v>
      </c>
      <c r="AP29" s="586">
        <f>+APA!T97</f>
        <v>697.221</v>
      </c>
      <c r="AQ29" s="586">
        <f>+APA!U97</f>
        <v>821.25900000000001</v>
      </c>
      <c r="AR29" s="586">
        <f>+APA!V97</f>
        <v>1330.5239999999999</v>
      </c>
      <c r="AS29" s="586">
        <f>+APA!W97</f>
        <v>1470.1219999999996</v>
      </c>
      <c r="AT29" s="586">
        <f>+APA!X97</f>
        <v>1485.0839326218895</v>
      </c>
      <c r="AU29" s="586">
        <f>+APA!Y97</f>
        <v>1553.6840226773406</v>
      </c>
      <c r="AV29" s="586">
        <f>+APA!Z97</f>
        <v>1620.0453242958517</v>
      </c>
      <c r="AW29" s="138"/>
      <c r="AX29" s="138"/>
    </row>
    <row r="30" spans="1:52" s="580" customFormat="1" ht="15" customHeight="1" x14ac:dyDescent="0.2">
      <c r="A30" s="138"/>
      <c r="B30" s="135" t="s">
        <v>169</v>
      </c>
      <c r="C30" s="135"/>
      <c r="D30" s="136"/>
      <c r="E30" s="136"/>
      <c r="F30" s="136"/>
      <c r="G30" s="136"/>
      <c r="H30" s="136"/>
      <c r="I30" s="136">
        <f>+APA!K126</f>
        <v>109.508</v>
      </c>
      <c r="J30" s="136">
        <f>+APA!L126</f>
        <v>62.545999999999999</v>
      </c>
      <c r="K30" s="136">
        <f>+APA!M126</f>
        <v>56.76</v>
      </c>
      <c r="L30" s="136">
        <f>+APA!N126</f>
        <v>67.191999999999993</v>
      </c>
      <c r="M30" s="136">
        <f>+APA!O126</f>
        <v>78.772000000000006</v>
      </c>
      <c r="N30" s="136">
        <f>+APA!P126</f>
        <v>100.358</v>
      </c>
      <c r="O30" s="136">
        <f>+APA!Q126</f>
        <v>108.509</v>
      </c>
      <c r="P30" s="136">
        <f>+APA!R126</f>
        <v>130.65</v>
      </c>
      <c r="Q30" s="136">
        <f>+APA!S126</f>
        <v>298.767</v>
      </c>
      <c r="R30" s="136">
        <f>+APA!T126</f>
        <v>343.70500000000004</v>
      </c>
      <c r="S30" s="136">
        <f>+APA!U126</f>
        <v>560.92999999999995</v>
      </c>
      <c r="T30" s="136">
        <f>+APA!V126</f>
        <v>179.30099999999987</v>
      </c>
      <c r="U30" s="136">
        <f>+APA!W126</f>
        <v>236.84599999999961</v>
      </c>
      <c r="V30" s="136">
        <f>+APA!X126</f>
        <v>282.43762748494544</v>
      </c>
      <c r="W30" s="136">
        <f>+APA!Y126</f>
        <v>312.35454904209882</v>
      </c>
      <c r="X30" s="136">
        <f>+APA!Z126</f>
        <v>352.1115459662538</v>
      </c>
      <c r="Y30" s="138"/>
      <c r="Z30" s="138" t="s">
        <v>190</v>
      </c>
      <c r="AA30" s="138"/>
      <c r="AB30" s="590">
        <f>+APA!F132</f>
        <v>0</v>
      </c>
      <c r="AC30" s="590">
        <f>+APA!G132</f>
        <v>0</v>
      </c>
      <c r="AD30" s="590">
        <f>+APA!H132</f>
        <v>0</v>
      </c>
      <c r="AE30" s="590">
        <f>+APA!I132</f>
        <v>0</v>
      </c>
      <c r="AF30" s="590">
        <f>+APA!J132</f>
        <v>0</v>
      </c>
      <c r="AG30" s="590">
        <f>+APA!K132</f>
        <v>39.26</v>
      </c>
      <c r="AH30" s="590">
        <f>+APA!L132</f>
        <v>21.6</v>
      </c>
      <c r="AI30" s="590">
        <f>+APA!M132</f>
        <v>14.95</v>
      </c>
      <c r="AJ30" s="590">
        <f>+APA!N132</f>
        <v>14.92</v>
      </c>
      <c r="AK30" s="590">
        <f>+APA!O132</f>
        <v>16.239999999999998</v>
      </c>
      <c r="AL30" s="590">
        <f>+APA!P132</f>
        <v>19.440000000000001</v>
      </c>
      <c r="AM30" s="590">
        <f>+APA!Q132</f>
        <v>19.690000000000001</v>
      </c>
      <c r="AN30" s="590">
        <f>+APA!R132</f>
        <v>20.420000000000002</v>
      </c>
      <c r="AO30" s="590">
        <f>+APA!S132</f>
        <v>38.68</v>
      </c>
      <c r="AP30" s="590">
        <f>+APA!T132</f>
        <v>41.13</v>
      </c>
      <c r="AQ30" s="590">
        <f>+APA!U132</f>
        <v>57.53</v>
      </c>
      <c r="AR30" s="590">
        <f>+APA!V132</f>
        <v>16.09</v>
      </c>
      <c r="AS30" s="590">
        <f>+APA!W132</f>
        <v>21.26</v>
      </c>
      <c r="AT30" s="590">
        <f>+APA!X132</f>
        <v>24.62</v>
      </c>
      <c r="AU30" s="590">
        <f>+APA!Y132</f>
        <v>26.47</v>
      </c>
      <c r="AV30" s="590">
        <f>+APA!Z132</f>
        <v>29.84</v>
      </c>
      <c r="AW30" s="138"/>
      <c r="AX30" s="138"/>
    </row>
    <row r="31" spans="1:52" s="580" customFormat="1" ht="15" customHeight="1" x14ac:dyDescent="0.2">
      <c r="A31" s="138"/>
      <c r="Y31" s="138"/>
      <c r="Z31" s="135" t="s">
        <v>173</v>
      </c>
      <c r="AA31" s="135"/>
      <c r="AB31" s="566">
        <f>+APA!F134</f>
        <v>0</v>
      </c>
      <c r="AC31" s="566">
        <f>+APA!G134</f>
        <v>0</v>
      </c>
      <c r="AD31" s="566">
        <f>+APA!H134</f>
        <v>0</v>
      </c>
      <c r="AE31" s="566">
        <f>+APA!I134</f>
        <v>0</v>
      </c>
      <c r="AF31" s="566">
        <f>+APA!J134</f>
        <v>0</v>
      </c>
      <c r="AG31" s="566">
        <f>+APA!K134</f>
        <v>18.41</v>
      </c>
      <c r="AH31" s="566">
        <f>+APA!L134</f>
        <v>23.98</v>
      </c>
      <c r="AI31" s="566">
        <f>+APA!M134</f>
        <v>17</v>
      </c>
      <c r="AJ31" s="566">
        <f>+APA!N134</f>
        <v>19.28</v>
      </c>
      <c r="AK31" s="566">
        <f>+APA!O134</f>
        <v>21.59</v>
      </c>
      <c r="AL31" s="566">
        <f>+APA!P134</f>
        <v>22.53</v>
      </c>
      <c r="AM31" s="566">
        <f>+APA!Q134</f>
        <v>22.76</v>
      </c>
      <c r="AN31" s="566">
        <f>+APA!R134</f>
        <v>24.42</v>
      </c>
      <c r="AO31" s="566">
        <f>+APA!S134</f>
        <v>22.01</v>
      </c>
      <c r="AP31" s="566">
        <f>+APA!T134</f>
        <v>17.89</v>
      </c>
      <c r="AQ31" s="566">
        <f>+APA!U134</f>
        <v>20.91</v>
      </c>
      <c r="AR31" s="566">
        <f>+APA!V134</f>
        <v>16.09</v>
      </c>
      <c r="AS31" s="566">
        <f>+APA!W134</f>
        <v>21.26</v>
      </c>
      <c r="AT31" s="566">
        <f>+APA!X134</f>
        <v>24.62</v>
      </c>
      <c r="AU31" s="566">
        <f>+APA!Y134</f>
        <v>26.47</v>
      </c>
      <c r="AV31" s="566">
        <f>+APA!Z134</f>
        <v>29.84</v>
      </c>
      <c r="AW31" s="138"/>
      <c r="AX31" s="567"/>
      <c r="AY31" s="560"/>
      <c r="AZ31" s="560"/>
    </row>
    <row r="32" spans="1:52" s="580" customFormat="1" ht="15" customHeight="1" x14ac:dyDescent="0.2">
      <c r="A32" s="138"/>
      <c r="B32" s="130" t="s">
        <v>172</v>
      </c>
      <c r="C32" s="130"/>
      <c r="D32" s="131">
        <v>36707</v>
      </c>
      <c r="E32" s="131">
        <v>37072</v>
      </c>
      <c r="F32" s="131">
        <v>37437</v>
      </c>
      <c r="G32" s="131">
        <v>37802</v>
      </c>
      <c r="H32" s="131">
        <v>38168</v>
      </c>
      <c r="I32" s="131">
        <v>38533</v>
      </c>
      <c r="J32" s="131">
        <v>38898</v>
      </c>
      <c r="K32" s="131">
        <v>39263</v>
      </c>
      <c r="L32" s="131">
        <v>39629</v>
      </c>
      <c r="M32" s="131">
        <v>39994</v>
      </c>
      <c r="N32" s="131">
        <v>40359</v>
      </c>
      <c r="O32" s="131">
        <v>40724</v>
      </c>
      <c r="P32" s="131">
        <v>41090</v>
      </c>
      <c r="Q32" s="131">
        <v>41455</v>
      </c>
      <c r="R32" s="131">
        <v>41820</v>
      </c>
      <c r="S32" s="131">
        <v>42185</v>
      </c>
      <c r="T32" s="131">
        <f>T5</f>
        <v>42551</v>
      </c>
      <c r="U32" s="131">
        <f>U5</f>
        <v>42916</v>
      </c>
      <c r="V32" s="132">
        <f>V5</f>
        <v>43281</v>
      </c>
      <c r="W32" s="132">
        <f>W5</f>
        <v>43646</v>
      </c>
      <c r="X32" s="132">
        <f>X5</f>
        <v>44013</v>
      </c>
      <c r="Y32" s="138"/>
      <c r="Z32" s="138" t="s">
        <v>463</v>
      </c>
      <c r="AA32" s="138"/>
      <c r="AB32" s="591">
        <f>+APA!F139</f>
        <v>0</v>
      </c>
      <c r="AC32" s="591">
        <f>+APA!G139</f>
        <v>0</v>
      </c>
      <c r="AD32" s="591">
        <f>+APA!H139</f>
        <v>0</v>
      </c>
      <c r="AE32" s="591">
        <f>+APA!I139</f>
        <v>0</v>
      </c>
      <c r="AF32" s="591">
        <f>+APA!J139</f>
        <v>0</v>
      </c>
      <c r="AG32" s="591">
        <f>+APA!K139</f>
        <v>22.5</v>
      </c>
      <c r="AH32" s="591">
        <f>+APA!L139</f>
        <v>24</v>
      </c>
      <c r="AI32" s="591">
        <f>+APA!M139</f>
        <v>28</v>
      </c>
      <c r="AJ32" s="591">
        <f>+APA!N139</f>
        <v>29.5</v>
      </c>
      <c r="AK32" s="591">
        <f>+APA!O139</f>
        <v>31</v>
      </c>
      <c r="AL32" s="591">
        <f>+APA!P139</f>
        <v>32.75</v>
      </c>
      <c r="AM32" s="591">
        <f>+APA!Q139</f>
        <v>34.4</v>
      </c>
      <c r="AN32" s="591">
        <f>+APA!R139</f>
        <v>35</v>
      </c>
      <c r="AO32" s="591">
        <f>+APA!S139</f>
        <v>35.5</v>
      </c>
      <c r="AP32" s="591">
        <f>+APA!T139</f>
        <v>36.25</v>
      </c>
      <c r="AQ32" s="591">
        <f>+APA!U139</f>
        <v>38</v>
      </c>
      <c r="AR32" s="591">
        <f>+APA!V139</f>
        <v>41.5</v>
      </c>
      <c r="AS32" s="591">
        <f>+APA!W139</f>
        <v>43.5</v>
      </c>
      <c r="AT32" s="591">
        <f>+APA!X139</f>
        <v>45</v>
      </c>
      <c r="AU32" s="591">
        <f>+APA!Y139</f>
        <v>48</v>
      </c>
      <c r="AV32" s="591">
        <f>+APA!Z139</f>
        <v>50</v>
      </c>
      <c r="AW32" s="138"/>
      <c r="AX32" s="568"/>
      <c r="AY32" s="568"/>
      <c r="AZ32" s="568"/>
    </row>
    <row r="33" spans="1:50" s="580" customFormat="1" ht="15" customHeight="1" x14ac:dyDescent="0.2">
      <c r="A33" s="138"/>
      <c r="B33" s="580" t="s">
        <v>18</v>
      </c>
      <c r="D33" s="579"/>
      <c r="E33" s="579"/>
      <c r="F33" s="579"/>
      <c r="G33" s="579"/>
      <c r="H33" s="579"/>
      <c r="I33" s="579">
        <f>+APA!K214</f>
        <v>178.876</v>
      </c>
      <c r="J33" s="579">
        <f>+APA!L214</f>
        <v>200.40199999999999</v>
      </c>
      <c r="K33" s="579">
        <f>+APA!M214</f>
        <v>296.84199999999998</v>
      </c>
      <c r="L33" s="579">
        <f>+APA!N214</f>
        <v>430.53499999999997</v>
      </c>
      <c r="M33" s="579">
        <f>+APA!O214</f>
        <v>423.24200000000008</v>
      </c>
      <c r="N33" s="579">
        <f>+APA!P214</f>
        <v>459.97500000000002</v>
      </c>
      <c r="O33" s="579">
        <f>+APA!Q214</f>
        <v>454.47500000000002</v>
      </c>
      <c r="P33" s="579">
        <f>+APA!R214</f>
        <v>515.33299999999997</v>
      </c>
      <c r="Q33" s="579">
        <f>+APA!S214</f>
        <v>646.50500000000011</v>
      </c>
      <c r="R33" s="579">
        <f>+APA!T214</f>
        <v>697.221</v>
      </c>
      <c r="S33" s="579">
        <f>+APA!U214</f>
        <v>821.25900000000001</v>
      </c>
      <c r="T33" s="579">
        <f>+APA!V214</f>
        <v>1330.5239999999999</v>
      </c>
      <c r="U33" s="579">
        <f>+APA!W214</f>
        <v>1470.1219999999996</v>
      </c>
      <c r="V33" s="579">
        <f>+APA!X214</f>
        <v>1485.0839326218895</v>
      </c>
      <c r="W33" s="579">
        <f>+APA!Y214</f>
        <v>1553.6840226773406</v>
      </c>
      <c r="X33" s="579">
        <f>+APA!Z214</f>
        <v>1620.0453242958517</v>
      </c>
      <c r="Y33" s="138"/>
      <c r="Z33" s="133" t="s">
        <v>122</v>
      </c>
      <c r="AA33" s="133"/>
      <c r="AB33" s="569" t="str">
        <f t="shared" ref="AB33:AG33" si="25">IF(ISERROR(+AB32/AA32-1),"n.a.",+AB32/AA32-1)</f>
        <v>n.a.</v>
      </c>
      <c r="AC33" s="569" t="str">
        <f t="shared" si="25"/>
        <v>n.a.</v>
      </c>
      <c r="AD33" s="569" t="str">
        <f t="shared" si="25"/>
        <v>n.a.</v>
      </c>
      <c r="AE33" s="569" t="str">
        <f t="shared" si="25"/>
        <v>n.a.</v>
      </c>
      <c r="AF33" s="569" t="str">
        <f t="shared" si="25"/>
        <v>n.a.</v>
      </c>
      <c r="AG33" s="569" t="str">
        <f t="shared" si="25"/>
        <v>n.a.</v>
      </c>
      <c r="AH33" s="569">
        <f t="shared" ref="AH33:AR33" si="26">IF(ISERROR(+AH32/AG32-1),"n.a.",+AH32/AG32-1)</f>
        <v>6.6666666666666652E-2</v>
      </c>
      <c r="AI33" s="569">
        <f t="shared" si="26"/>
        <v>0.16666666666666674</v>
      </c>
      <c r="AJ33" s="569">
        <f t="shared" si="26"/>
        <v>5.3571428571428603E-2</v>
      </c>
      <c r="AK33" s="569">
        <f t="shared" si="26"/>
        <v>5.0847457627118731E-2</v>
      </c>
      <c r="AL33" s="569">
        <f t="shared" si="26"/>
        <v>5.6451612903225756E-2</v>
      </c>
      <c r="AM33" s="569">
        <f t="shared" si="26"/>
        <v>5.0381679389313039E-2</v>
      </c>
      <c r="AN33" s="569">
        <f t="shared" si="26"/>
        <v>1.744186046511631E-2</v>
      </c>
      <c r="AO33" s="569">
        <f t="shared" si="26"/>
        <v>1.4285714285714235E-2</v>
      </c>
      <c r="AP33" s="569">
        <f t="shared" si="26"/>
        <v>2.1126760563380254E-2</v>
      </c>
      <c r="AQ33" s="569">
        <f t="shared" si="26"/>
        <v>4.8275862068965614E-2</v>
      </c>
      <c r="AR33" s="569">
        <f t="shared" si="26"/>
        <v>9.210526315789469E-2</v>
      </c>
      <c r="AS33" s="569">
        <f>IF(ISERROR(+AS32/AR32-1),"n.a.",+AS32/AR32-1)</f>
        <v>4.8192771084337283E-2</v>
      </c>
      <c r="AT33" s="569">
        <f>IF(ISERROR(+AT32/AS32-1),"n.a.",+AT32/AS32-1)</f>
        <v>3.4482758620689724E-2</v>
      </c>
      <c r="AU33" s="569">
        <f>IF(ISERROR(+AU32/AT32-1),"n.a.",+AU32/AT32-1)</f>
        <v>6.6666666666666652E-2</v>
      </c>
      <c r="AV33" s="569">
        <f>IF(ISERROR(+AV32/AU32-1),"n.a.",+AV32/AU32-1)</f>
        <v>4.1666666666666741E-2</v>
      </c>
      <c r="AW33" s="138"/>
      <c r="AX33" s="138"/>
    </row>
    <row r="34" spans="1:50" s="580" customFormat="1" ht="15" customHeight="1" x14ac:dyDescent="0.2">
      <c r="A34" s="138"/>
      <c r="B34" s="580" t="s">
        <v>174</v>
      </c>
      <c r="D34" s="579"/>
      <c r="E34" s="579"/>
      <c r="F34" s="579"/>
      <c r="G34" s="579"/>
      <c r="H34" s="579"/>
      <c r="I34" s="579">
        <f>+APA!K215+APA!K216</f>
        <v>-14.448</v>
      </c>
      <c r="J34" s="579">
        <f>+APA!L215+APA!L216</f>
        <v>1.2429999999999986</v>
      </c>
      <c r="K34" s="579">
        <f>+APA!M215+APA!M216</f>
        <v>0.16300000000000026</v>
      </c>
      <c r="L34" s="579">
        <f>+APA!N215+APA!N216</f>
        <v>0.56600000000000072</v>
      </c>
      <c r="M34" s="579">
        <f>+APA!O215+APA!O216</f>
        <v>-0.17799999999999727</v>
      </c>
      <c r="N34" s="579">
        <f>+APA!P215+APA!P216</f>
        <v>0</v>
      </c>
      <c r="O34" s="579">
        <f>+APA!Q215+APA!Q216</f>
        <v>0.44200000000000017</v>
      </c>
      <c r="P34" s="579">
        <f>+APA!R215+APA!R216</f>
        <v>0</v>
      </c>
      <c r="Q34" s="579">
        <f>+APA!S215+APA!S216</f>
        <v>-0.14099999999999824</v>
      </c>
      <c r="R34" s="579">
        <f>+APA!T215+APA!T216</f>
        <v>0.14100000000000534</v>
      </c>
      <c r="S34" s="579">
        <f>+APA!U215+APA!U216</f>
        <v>0</v>
      </c>
      <c r="T34" s="579">
        <f>+APA!V215+APA!V216</f>
        <v>-0.59300000000000352</v>
      </c>
      <c r="U34" s="579">
        <f>+APA!W215+APA!W216</f>
        <v>-17.88900000000001</v>
      </c>
      <c r="V34" s="579">
        <f>+APA!X215+APA!X216</f>
        <v>-51.272999999999996</v>
      </c>
      <c r="W34" s="579">
        <f>+APA!Y215+APA!Y216</f>
        <v>-37</v>
      </c>
      <c r="X34" s="579">
        <f>+APA!Z215+APA!Z216</f>
        <v>-45</v>
      </c>
      <c r="Z34" s="732" t="s">
        <v>554</v>
      </c>
      <c r="AA34" s="733"/>
      <c r="AB34" s="733"/>
      <c r="AC34" s="733"/>
      <c r="AD34" s="733"/>
      <c r="AE34" s="733"/>
      <c r="AF34" s="733"/>
      <c r="AG34" s="733"/>
      <c r="AH34" s="733"/>
      <c r="AI34" s="733"/>
      <c r="AJ34" s="733"/>
      <c r="AK34" s="733"/>
      <c r="AL34" s="733"/>
      <c r="AM34" s="733"/>
      <c r="AN34" s="733"/>
      <c r="AO34" s="733"/>
      <c r="AP34" s="733"/>
      <c r="AQ34" s="734" t="s">
        <v>558</v>
      </c>
      <c r="AR34" s="734">
        <v>41.5</v>
      </c>
      <c r="AS34" s="734">
        <v>43.5</v>
      </c>
      <c r="AT34" s="734">
        <v>45</v>
      </c>
      <c r="AU34" s="734"/>
      <c r="AV34" s="734"/>
      <c r="AX34" s="138"/>
    </row>
    <row r="35" spans="1:50" s="580" customFormat="1" ht="15" customHeight="1" x14ac:dyDescent="0.2">
      <c r="A35" s="138"/>
      <c r="B35" s="138" t="s">
        <v>81</v>
      </c>
      <c r="C35" s="138"/>
      <c r="D35" s="579"/>
      <c r="E35" s="579"/>
      <c r="F35" s="579"/>
      <c r="G35" s="579"/>
      <c r="H35" s="579"/>
      <c r="I35" s="579">
        <f>+APA!K217+APA!K218</f>
        <v>-64.308999999999997</v>
      </c>
      <c r="J35" s="579">
        <f>+APA!L217+APA!L218</f>
        <v>-72.656999999999996</v>
      </c>
      <c r="K35" s="579">
        <f>+APA!M217+APA!M218</f>
        <v>-127.1</v>
      </c>
      <c r="L35" s="579">
        <f>+APA!N217+APA!N218</f>
        <v>-195.768</v>
      </c>
      <c r="M35" s="579">
        <f>+APA!O217+APA!O218</f>
        <v>-213.34700000000001</v>
      </c>
      <c r="N35" s="579">
        <f>+APA!P217+APA!P218</f>
        <v>-212.66699999999997</v>
      </c>
      <c r="O35" s="579">
        <f>+APA!Q217+APA!Q218</f>
        <v>-223.792</v>
      </c>
      <c r="P35" s="579">
        <f>+APA!R217+APA!R218</f>
        <v>-218.17699999999999</v>
      </c>
      <c r="Q35" s="579">
        <f>+APA!S217+APA!S218</f>
        <v>-270.61700000000002</v>
      </c>
      <c r="R35" s="579">
        <f>+APA!T217+APA!T218</f>
        <v>-321.15900000000005</v>
      </c>
      <c r="S35" s="579">
        <f>+APA!U217+APA!U218</f>
        <v>-263.09899999999999</v>
      </c>
      <c r="T35" s="579">
        <f>+APA!V217+APA!V218</f>
        <v>-483.92599999999999</v>
      </c>
      <c r="U35" s="579">
        <f>+APA!W217+APA!W218</f>
        <v>-475.67200000000003</v>
      </c>
      <c r="V35" s="579">
        <f>+APA!X217+APA!X218</f>
        <v>-517.49812264339607</v>
      </c>
      <c r="W35" s="579">
        <f>+APA!Y217+APA!Y218</f>
        <v>-523.69025890406624</v>
      </c>
      <c r="X35" s="579">
        <f>+APA!Z217+APA!Z218</f>
        <v>-523.67755413584632</v>
      </c>
      <c r="Y35" s="138"/>
      <c r="Z35" s="138" t="s">
        <v>175</v>
      </c>
      <c r="AA35" s="138"/>
      <c r="AB35" s="591" t="str">
        <f t="shared" ref="AB35:AU35" si="27">IF(ISERROR(AB23/AB31*100),"n.a.",AB23/AB31*100)</f>
        <v>n.a.</v>
      </c>
      <c r="AC35" s="591" t="str">
        <f t="shared" si="27"/>
        <v>n.a.</v>
      </c>
      <c r="AD35" s="591" t="str">
        <f t="shared" si="27"/>
        <v>n.a.</v>
      </c>
      <c r="AE35" s="591" t="str">
        <f t="shared" si="27"/>
        <v>n.a.</v>
      </c>
      <c r="AF35" s="591" t="str">
        <f t="shared" si="27"/>
        <v>n.a.</v>
      </c>
      <c r="AG35" s="591">
        <f t="shared" si="27"/>
        <v>18.879956545355785</v>
      </c>
      <c r="AH35" s="591">
        <f t="shared" si="27"/>
        <v>16.460383653044204</v>
      </c>
      <c r="AI35" s="591">
        <f t="shared" si="27"/>
        <v>23.786470588235296</v>
      </c>
      <c r="AJ35" s="591">
        <f t="shared" si="27"/>
        <v>13.033713692946058</v>
      </c>
      <c r="AK35" s="591">
        <f t="shared" si="27"/>
        <v>14.136637332098193</v>
      </c>
      <c r="AL35" s="591">
        <f t="shared" si="27"/>
        <v>15.384376387039502</v>
      </c>
      <c r="AM35" s="591">
        <f t="shared" si="27"/>
        <v>17.217047451669597</v>
      </c>
      <c r="AN35" s="591">
        <f t="shared" si="27"/>
        <v>19.674037674037674</v>
      </c>
      <c r="AO35" s="591">
        <f t="shared" si="27"/>
        <v>26.202635165833708</v>
      </c>
      <c r="AP35" s="591">
        <f t="shared" si="27"/>
        <v>37.080491894913358</v>
      </c>
      <c r="AQ35" s="591">
        <f t="shared" si="27"/>
        <v>39.406982305117175</v>
      </c>
      <c r="AR35" s="591">
        <f t="shared" si="27"/>
        <v>57.42697327532629</v>
      </c>
      <c r="AS35" s="591">
        <f t="shared" si="27"/>
        <v>41.493387831013969</v>
      </c>
      <c r="AT35" s="591">
        <f t="shared" si="27"/>
        <v>32.047116165718926</v>
      </c>
      <c r="AU35" s="591">
        <f t="shared" si="27"/>
        <v>29.807329051756703</v>
      </c>
      <c r="AV35" s="591">
        <f>IF(ISERROR(AV23/AV31*100),"n.a.",AV23/AV31*100)</f>
        <v>26.441018766756031</v>
      </c>
      <c r="AW35" s="138"/>
      <c r="AX35" s="138"/>
    </row>
    <row r="36" spans="1:50" s="580" customFormat="1" ht="15" customHeight="1" x14ac:dyDescent="0.2">
      <c r="A36" s="138"/>
      <c r="B36" s="138" t="s">
        <v>48</v>
      </c>
      <c r="C36" s="138"/>
      <c r="D36" s="579"/>
      <c r="E36" s="579"/>
      <c r="F36" s="579"/>
      <c r="G36" s="579"/>
      <c r="H36" s="579"/>
      <c r="I36" s="579">
        <f>+APA!K219+APA!K220</f>
        <v>6.1009999999999991</v>
      </c>
      <c r="J36" s="579">
        <f>+APA!L219+APA!L220</f>
        <v>-16.813999999999986</v>
      </c>
      <c r="K36" s="579">
        <f>+APA!M219+APA!M220</f>
        <v>-33.196999999999989</v>
      </c>
      <c r="L36" s="579">
        <f>+APA!N219+APA!N220</f>
        <v>-48.909999999999982</v>
      </c>
      <c r="M36" s="579">
        <f>+APA!O219+APA!O220</f>
        <v>16.651999999999905</v>
      </c>
      <c r="N36" s="579">
        <f>+APA!P219+APA!P220</f>
        <v>20.453000000000003</v>
      </c>
      <c r="O36" s="579">
        <f>+APA!Q219+APA!Q220</f>
        <v>58.904000000000018</v>
      </c>
      <c r="P36" s="579">
        <f>+APA!R219+APA!R220</f>
        <v>38.413000000000054</v>
      </c>
      <c r="Q36" s="579">
        <f>+APA!S219+APA!S220</f>
        <v>-1.3660000000001098</v>
      </c>
      <c r="R36" s="579">
        <f>+APA!T219+APA!T220</f>
        <v>55.338000000000051</v>
      </c>
      <c r="S36" s="579">
        <f>+APA!U219+APA!U220</f>
        <v>4.0300000000000153</v>
      </c>
      <c r="T36" s="579">
        <f>+APA!V219+APA!V220</f>
        <v>16.429999999999801</v>
      </c>
      <c r="U36" s="579">
        <f>+APA!W219+APA!W220</f>
        <v>-2.6249999999995666</v>
      </c>
      <c r="V36" s="579">
        <f>+APA!X219+APA!X220</f>
        <v>0</v>
      </c>
      <c r="W36" s="579">
        <f>+APA!Y219+APA!Y220</f>
        <v>0</v>
      </c>
      <c r="X36" s="579">
        <f>+APA!Z219+APA!Z220</f>
        <v>0</v>
      </c>
      <c r="Y36" s="138"/>
      <c r="Z36" s="138" t="s">
        <v>523</v>
      </c>
      <c r="AA36" s="138"/>
      <c r="AB36" s="591" t="str">
        <f t="shared" ref="AB36:AU36" si="28">IF(ISERROR(AB$27/AB28),"n.a.",AB$27/AB28)</f>
        <v>n.a.</v>
      </c>
      <c r="AC36" s="591" t="str">
        <f t="shared" si="28"/>
        <v>n.a.</v>
      </c>
      <c r="AD36" s="591" t="str">
        <f t="shared" si="28"/>
        <v>n.a.</v>
      </c>
      <c r="AE36" s="591" t="str">
        <f t="shared" si="28"/>
        <v>n.a.</v>
      </c>
      <c r="AF36" s="591" t="str">
        <f t="shared" si="28"/>
        <v>n.a.</v>
      </c>
      <c r="AG36" s="591">
        <f t="shared" si="28"/>
        <v>6.9169070124839482</v>
      </c>
      <c r="AH36" s="591">
        <f t="shared" si="28"/>
        <v>7.4385221040642779</v>
      </c>
      <c r="AI36" s="591">
        <f t="shared" si="28"/>
        <v>11.176121624775941</v>
      </c>
      <c r="AJ36" s="591">
        <f t="shared" si="28"/>
        <v>8.9436823813661199</v>
      </c>
      <c r="AK36" s="591">
        <f t="shared" si="28"/>
        <v>8.6976269986141705</v>
      </c>
      <c r="AL36" s="591">
        <f t="shared" si="28"/>
        <v>7.9093037832147139</v>
      </c>
      <c r="AM36" s="591">
        <f t="shared" si="28"/>
        <v>7.8937126720790678</v>
      </c>
      <c r="AN36" s="591">
        <f t="shared" si="28"/>
        <v>6.356187266213321</v>
      </c>
      <c r="AO36" s="591">
        <f t="shared" si="28"/>
        <v>8.2032675508289987</v>
      </c>
      <c r="AP36" s="591">
        <f t="shared" si="28"/>
        <v>8.6901771372272858</v>
      </c>
      <c r="AQ36" s="591">
        <f t="shared" si="28"/>
        <v>29.484716283424593</v>
      </c>
      <c r="AR36" s="591">
        <f t="shared" si="28"/>
        <v>24.623404748318375</v>
      </c>
      <c r="AS36" s="591">
        <f t="shared" si="28"/>
        <v>21.260025037675547</v>
      </c>
      <c r="AT36" s="591">
        <f t="shared" si="28"/>
        <v>20.180958639051482</v>
      </c>
      <c r="AU36" s="591">
        <f t="shared" si="28"/>
        <v>19.375010815132455</v>
      </c>
      <c r="AV36" s="591">
        <f>IF(ISERROR(AV$27/AV28),"n.a.",AV$27/AV28)</f>
        <v>18.001517553815269</v>
      </c>
      <c r="AW36" s="138"/>
      <c r="AX36" s="138"/>
    </row>
    <row r="37" spans="1:50" s="580" customFormat="1" ht="15" customHeight="1" x14ac:dyDescent="0.2">
      <c r="A37" s="138"/>
      <c r="B37" s="135" t="s">
        <v>176</v>
      </c>
      <c r="C37" s="135"/>
      <c r="D37" s="136"/>
      <c r="E37" s="136"/>
      <c r="F37" s="136"/>
      <c r="G37" s="136"/>
      <c r="H37" s="136"/>
      <c r="I37" s="136">
        <f t="shared" ref="I37:W37" si="29">SUM(I33:I36)</f>
        <v>106.22</v>
      </c>
      <c r="J37" s="136">
        <f t="shared" si="29"/>
        <v>112.17400000000001</v>
      </c>
      <c r="K37" s="136">
        <f t="shared" si="29"/>
        <v>136.70800000000003</v>
      </c>
      <c r="L37" s="136">
        <f t="shared" si="29"/>
        <v>186.42299999999994</v>
      </c>
      <c r="M37" s="136">
        <f t="shared" si="29"/>
        <v>226.36899999999997</v>
      </c>
      <c r="N37" s="136">
        <f t="shared" si="29"/>
        <v>267.76100000000008</v>
      </c>
      <c r="O37" s="136">
        <f t="shared" si="29"/>
        <v>290.02900000000005</v>
      </c>
      <c r="P37" s="136">
        <f t="shared" si="29"/>
        <v>335.56900000000002</v>
      </c>
      <c r="Q37" s="136">
        <f t="shared" si="29"/>
        <v>374.38100000000003</v>
      </c>
      <c r="R37" s="136">
        <f t="shared" si="29"/>
        <v>431.54099999999994</v>
      </c>
      <c r="S37" s="136">
        <f t="shared" si="29"/>
        <v>562.19000000000005</v>
      </c>
      <c r="T37" s="136">
        <f t="shared" si="29"/>
        <v>862.43499999999972</v>
      </c>
      <c r="U37" s="136">
        <f t="shared" si="29"/>
        <v>973.93600000000015</v>
      </c>
      <c r="V37" s="136">
        <f t="shared" si="29"/>
        <v>916.31280997849353</v>
      </c>
      <c r="W37" s="136">
        <f t="shared" si="29"/>
        <v>992.9937637732744</v>
      </c>
      <c r="X37" s="136">
        <f>SUM(X33:X36)</f>
        <v>1051.3677701600054</v>
      </c>
      <c r="Y37" s="138"/>
      <c r="Z37" s="138" t="s">
        <v>524</v>
      </c>
      <c r="AA37" s="138"/>
      <c r="AB37" s="591" t="str">
        <f t="shared" ref="AB37:AU37" si="30">IF(ISERROR(AB$27/AB29),"n.a.",AB$27/AB29)</f>
        <v>n.a.</v>
      </c>
      <c r="AC37" s="591" t="str">
        <f t="shared" si="30"/>
        <v>n.a.</v>
      </c>
      <c r="AD37" s="591" t="str">
        <f t="shared" si="30"/>
        <v>n.a.</v>
      </c>
      <c r="AE37" s="591" t="str">
        <f t="shared" si="30"/>
        <v>n.a.</v>
      </c>
      <c r="AF37" s="591" t="str">
        <f t="shared" si="30"/>
        <v>n.a.</v>
      </c>
      <c r="AG37" s="591">
        <f t="shared" si="30"/>
        <v>5.5104094456494996</v>
      </c>
      <c r="AH37" s="591">
        <f t="shared" si="30"/>
        <v>5.9965619105597758</v>
      </c>
      <c r="AI37" s="591">
        <f t="shared" si="30"/>
        <v>8.5487868967329437</v>
      </c>
      <c r="AJ37" s="591">
        <f t="shared" si="30"/>
        <v>6.981446340018814</v>
      </c>
      <c r="AK37" s="591">
        <f t="shared" si="30"/>
        <v>6.7322241176442779</v>
      </c>
      <c r="AL37" s="591">
        <f t="shared" si="30"/>
        <v>6.3372270232077828</v>
      </c>
      <c r="AM37" s="591">
        <f t="shared" si="30"/>
        <v>6.1507475658727095</v>
      </c>
      <c r="AN37" s="591">
        <f t="shared" si="30"/>
        <v>4.9988279423207906</v>
      </c>
      <c r="AO37" s="591">
        <f t="shared" si="30"/>
        <v>6.5478952212279866</v>
      </c>
      <c r="AP37" s="591">
        <f t="shared" si="30"/>
        <v>6.7429480752874635</v>
      </c>
      <c r="AQ37" s="591">
        <f t="shared" si="30"/>
        <v>22.009951403881111</v>
      </c>
      <c r="AR37" s="591">
        <f t="shared" si="30"/>
        <v>14.983529556776126</v>
      </c>
      <c r="AS37" s="591">
        <f t="shared" si="30"/>
        <v>13.016722283209688</v>
      </c>
      <c r="AT37" s="591">
        <f t="shared" si="30"/>
        <v>12.434884513745033</v>
      </c>
      <c r="AU37" s="591">
        <f t="shared" si="30"/>
        <v>11.956160694848052</v>
      </c>
      <c r="AV37" s="591">
        <f>IF(ISERROR(AV$27/AV29),"n.a.",AV$27/AV29)</f>
        <v>11.28605166061902</v>
      </c>
      <c r="AW37" s="138"/>
      <c r="AX37" s="138"/>
    </row>
    <row r="38" spans="1:50" s="580" customFormat="1" ht="15" customHeight="1" x14ac:dyDescent="0.2">
      <c r="A38" s="138"/>
      <c r="B38" s="138" t="s">
        <v>23</v>
      </c>
      <c r="C38" s="138"/>
      <c r="D38" s="579"/>
      <c r="E38" s="579"/>
      <c r="F38" s="579"/>
      <c r="G38" s="579"/>
      <c r="H38" s="579"/>
      <c r="I38" s="579">
        <f>+APA!K223</f>
        <v>-12.824999999999999</v>
      </c>
      <c r="J38" s="579">
        <f>+APA!L223</f>
        <v>-31.975999999999999</v>
      </c>
      <c r="K38" s="579">
        <f>+APA!M223</f>
        <v>-130.279</v>
      </c>
      <c r="L38" s="579">
        <f>+APA!N223</f>
        <v>-193.80799999999999</v>
      </c>
      <c r="M38" s="579">
        <f>+APA!O223</f>
        <v>-301.72899999999998</v>
      </c>
      <c r="N38" s="579">
        <f>+APA!P223</f>
        <v>-135.42599999999999</v>
      </c>
      <c r="O38" s="579">
        <f>+APA!Q223</f>
        <v>-231.05099999999999</v>
      </c>
      <c r="P38" s="579">
        <f>+APA!R223</f>
        <v>-249.11199999999999</v>
      </c>
      <c r="Q38" s="579">
        <f>+APA!S223</f>
        <v>-397.45100000000002</v>
      </c>
      <c r="R38" s="579">
        <f>+APA!T223</f>
        <v>-446.75400000000002</v>
      </c>
      <c r="S38" s="579">
        <f>+APA!U223</f>
        <v>-2814.5590000000002</v>
      </c>
      <c r="T38" s="579">
        <f>+APA!V223</f>
        <v>-455.97500000000002</v>
      </c>
      <c r="U38" s="579">
        <f>+APA!W223</f>
        <v>-340.75299999999999</v>
      </c>
      <c r="V38" s="579">
        <f>+APA!X223</f>
        <v>-786.8</v>
      </c>
      <c r="W38" s="579">
        <f>+APA!Y223</f>
        <v>-555.57650000000001</v>
      </c>
      <c r="X38" s="579">
        <f>+APA!Z223</f>
        <v>-186.95771945405014</v>
      </c>
      <c r="Y38" s="138"/>
      <c r="Z38" s="138" t="s">
        <v>177</v>
      </c>
      <c r="AA38" s="138"/>
      <c r="AB38" s="592" t="str">
        <f t="shared" ref="AB38:AU38" si="31">IF(ISERROR(AB32/AB23/100),"n.a.",AB32/AB23/100)</f>
        <v>n.a.</v>
      </c>
      <c r="AC38" s="592" t="str">
        <f t="shared" si="31"/>
        <v>n.a.</v>
      </c>
      <c r="AD38" s="592" t="str">
        <f t="shared" si="31"/>
        <v>n.a.</v>
      </c>
      <c r="AE38" s="592" t="str">
        <f t="shared" si="31"/>
        <v>n.a.</v>
      </c>
      <c r="AF38" s="592" t="str">
        <f t="shared" si="31"/>
        <v>n.a.</v>
      </c>
      <c r="AG38" s="592">
        <f t="shared" si="31"/>
        <v>6.4733298808907297E-2</v>
      </c>
      <c r="AH38" s="592">
        <f t="shared" si="31"/>
        <v>6.0802594244021083E-2</v>
      </c>
      <c r="AI38" s="592">
        <f t="shared" si="31"/>
        <v>6.924351460296263E-2</v>
      </c>
      <c r="AJ38" s="592">
        <f t="shared" si="31"/>
        <v>0.11739424569222809</v>
      </c>
      <c r="AK38" s="592">
        <f t="shared" si="31"/>
        <v>0.10156941122505816</v>
      </c>
      <c r="AL38" s="592">
        <f t="shared" si="31"/>
        <v>9.4486598770952945E-2</v>
      </c>
      <c r="AM38" s="592">
        <f t="shared" si="31"/>
        <v>8.778645434593986E-2</v>
      </c>
      <c r="AN38" s="592">
        <f t="shared" si="31"/>
        <v>7.2849887603030558E-2</v>
      </c>
      <c r="AO38" s="592">
        <f t="shared" si="31"/>
        <v>6.1555000693577472E-2</v>
      </c>
      <c r="AP38" s="592">
        <f t="shared" si="31"/>
        <v>5.4645220615945851E-2</v>
      </c>
      <c r="AQ38" s="592">
        <f t="shared" si="31"/>
        <v>4.6116504854368932E-2</v>
      </c>
      <c r="AR38" s="592">
        <f t="shared" si="31"/>
        <v>4.4913419913419912E-2</v>
      </c>
      <c r="AS38" s="592">
        <f t="shared" si="31"/>
        <v>4.9311373734478178E-2</v>
      </c>
      <c r="AT38" s="592">
        <f t="shared" si="31"/>
        <v>5.7034220532319393E-2</v>
      </c>
      <c r="AU38" s="592">
        <f t="shared" si="31"/>
        <v>6.0836501901140691E-2</v>
      </c>
      <c r="AV38" s="592">
        <f>IF(ISERROR(AV32/AV23/100),"n.a.",AV32/AV23/100)</f>
        <v>6.3371356147021551E-2</v>
      </c>
      <c r="AW38" s="138"/>
      <c r="AX38" s="138"/>
    </row>
    <row r="39" spans="1:50" s="580" customFormat="1" ht="15" customHeight="1" x14ac:dyDescent="0.2">
      <c r="A39" s="138"/>
      <c r="B39" s="138" t="s">
        <v>90</v>
      </c>
      <c r="C39" s="138"/>
      <c r="D39" s="579"/>
      <c r="E39" s="579"/>
      <c r="F39" s="579"/>
      <c r="G39" s="579"/>
      <c r="H39" s="579"/>
      <c r="I39" s="579">
        <f>+APA!K227</f>
        <v>0</v>
      </c>
      <c r="J39" s="579">
        <f>+APA!L227</f>
        <v>0</v>
      </c>
      <c r="K39" s="579">
        <f>+APA!M227</f>
        <v>0</v>
      </c>
      <c r="L39" s="579">
        <f>+APA!N227</f>
        <v>0</v>
      </c>
      <c r="M39" s="579">
        <f>+APA!O227</f>
        <v>-2</v>
      </c>
      <c r="N39" s="579">
        <f>+APA!P227</f>
        <v>0</v>
      </c>
      <c r="O39" s="579">
        <f>+APA!Q227</f>
        <v>-8</v>
      </c>
      <c r="P39" s="579">
        <f>+APA!R227</f>
        <v>-0.443</v>
      </c>
      <c r="Q39" s="579">
        <f>+APA!S227</f>
        <v>-1.107</v>
      </c>
      <c r="R39" s="579">
        <f>+APA!T227</f>
        <v>-0.67700000000000005</v>
      </c>
      <c r="S39" s="579">
        <f>+APA!U227</f>
        <v>-3429.2809999999999</v>
      </c>
      <c r="T39" s="579">
        <f>+APA!V227</f>
        <v>-0.70499999999999996</v>
      </c>
      <c r="U39" s="579">
        <f>+APA!W227</f>
        <v>-1.456</v>
      </c>
      <c r="V39" s="579">
        <f>+APA!X227</f>
        <v>0</v>
      </c>
      <c r="W39" s="579">
        <f>+APA!Y227</f>
        <v>0</v>
      </c>
      <c r="X39" s="579">
        <f>+APA!Z227</f>
        <v>0</v>
      </c>
      <c r="Y39" s="138"/>
      <c r="AW39" s="138"/>
      <c r="AX39" s="138"/>
    </row>
    <row r="40" spans="1:50" s="580" customFormat="1" ht="15" customHeight="1" x14ac:dyDescent="0.2">
      <c r="A40" s="138"/>
      <c r="B40" s="593" t="s">
        <v>74</v>
      </c>
      <c r="C40" s="593"/>
      <c r="D40" s="579"/>
      <c r="E40" s="579"/>
      <c r="F40" s="579"/>
      <c r="G40" s="579"/>
      <c r="H40" s="579"/>
      <c r="I40" s="579">
        <f>+I41-SUM(I38:I39)</f>
        <v>-189.93799999999999</v>
      </c>
      <c r="J40" s="579">
        <f t="shared" ref="J40:T40" si="32">+J41-SUM(J38:J39)</f>
        <v>-223.48899999999998</v>
      </c>
      <c r="K40" s="579">
        <f t="shared" si="32"/>
        <v>-1255.6360000000002</v>
      </c>
      <c r="L40" s="579">
        <f t="shared" si="32"/>
        <v>-655.61</v>
      </c>
      <c r="M40" s="579">
        <f t="shared" si="32"/>
        <v>417.09699999999998</v>
      </c>
      <c r="N40" s="579">
        <f t="shared" si="32"/>
        <v>-212.34000000000003</v>
      </c>
      <c r="O40" s="579">
        <f t="shared" si="32"/>
        <v>-277.04000000000002</v>
      </c>
      <c r="P40" s="579">
        <f t="shared" si="32"/>
        <v>430.11800000000005</v>
      </c>
      <c r="Q40" s="579">
        <f t="shared" si="32"/>
        <v>81.197000000000003</v>
      </c>
      <c r="R40" s="579">
        <f t="shared" si="32"/>
        <v>-123.86699999999996</v>
      </c>
      <c r="S40" s="579">
        <f t="shared" si="32"/>
        <v>753.83200000000033</v>
      </c>
      <c r="T40" s="579">
        <f t="shared" si="32"/>
        <v>-216.95400000000001</v>
      </c>
      <c r="U40" s="579">
        <f>+U41-SUM(U38:U39)</f>
        <v>-35.317000000000007</v>
      </c>
      <c r="V40" s="579">
        <f>+V41-SUM(V38:V39)</f>
        <v>0</v>
      </c>
      <c r="W40" s="579">
        <f>+W41-SUM(W38:W39)</f>
        <v>0</v>
      </c>
      <c r="X40" s="579">
        <f>+X41-SUM(X38:X39)</f>
        <v>0</v>
      </c>
      <c r="Y40" s="138"/>
      <c r="Z40" s="130" t="s">
        <v>500</v>
      </c>
      <c r="AA40" s="130"/>
      <c r="AB40" s="131">
        <v>36707</v>
      </c>
      <c r="AC40" s="131">
        <v>37072</v>
      </c>
      <c r="AD40" s="131">
        <v>37437</v>
      </c>
      <c r="AE40" s="131">
        <v>37802</v>
      </c>
      <c r="AF40" s="131">
        <v>38168</v>
      </c>
      <c r="AG40" s="131">
        <v>38533</v>
      </c>
      <c r="AH40" s="131">
        <v>38898</v>
      </c>
      <c r="AI40" s="131">
        <v>39263</v>
      </c>
      <c r="AJ40" s="131">
        <v>39629</v>
      </c>
      <c r="AK40" s="131">
        <v>39994</v>
      </c>
      <c r="AL40" s="131">
        <v>40359</v>
      </c>
      <c r="AM40" s="131">
        <v>40724</v>
      </c>
      <c r="AN40" s="131">
        <v>41090</v>
      </c>
      <c r="AO40" s="131">
        <v>41455</v>
      </c>
      <c r="AP40" s="131">
        <v>41820</v>
      </c>
      <c r="AQ40" s="131">
        <v>42185</v>
      </c>
      <c r="AR40" s="131">
        <f>AR21</f>
        <v>42551</v>
      </c>
      <c r="AS40" s="131">
        <f>AS21</f>
        <v>42916</v>
      </c>
      <c r="AT40" s="132">
        <f>AT21</f>
        <v>43281</v>
      </c>
      <c r="AU40" s="132">
        <f>AU21</f>
        <v>43646</v>
      </c>
      <c r="AV40" s="132">
        <f>AV21</f>
        <v>44013</v>
      </c>
      <c r="AW40" s="138"/>
      <c r="AX40" s="138"/>
    </row>
    <row r="41" spans="1:50" s="580" customFormat="1" ht="15" customHeight="1" x14ac:dyDescent="0.2">
      <c r="A41" s="138"/>
      <c r="B41" s="135" t="s">
        <v>178</v>
      </c>
      <c r="C41" s="135"/>
      <c r="D41" s="136"/>
      <c r="E41" s="136"/>
      <c r="F41" s="136"/>
      <c r="G41" s="136"/>
      <c r="H41" s="136"/>
      <c r="I41" s="136">
        <f>+APA!K230</f>
        <v>-202.76299999999998</v>
      </c>
      <c r="J41" s="136">
        <f>+APA!L230</f>
        <v>-255.46499999999997</v>
      </c>
      <c r="K41" s="136">
        <f>+APA!M230</f>
        <v>-1385.9150000000002</v>
      </c>
      <c r="L41" s="136">
        <f>+APA!N230</f>
        <v>-849.41800000000001</v>
      </c>
      <c r="M41" s="136">
        <f>+APA!O230</f>
        <v>113.36800000000002</v>
      </c>
      <c r="N41" s="136">
        <f>+APA!P230</f>
        <v>-347.76600000000002</v>
      </c>
      <c r="O41" s="136">
        <f>+APA!Q230</f>
        <v>-516.09100000000001</v>
      </c>
      <c r="P41" s="136">
        <f>+APA!R230</f>
        <v>180.56300000000007</v>
      </c>
      <c r="Q41" s="136">
        <f>+APA!S230</f>
        <v>-317.36100000000005</v>
      </c>
      <c r="R41" s="136">
        <f>+APA!T230</f>
        <v>-571.298</v>
      </c>
      <c r="S41" s="136">
        <f>+APA!U230</f>
        <v>-5490.0079999999998</v>
      </c>
      <c r="T41" s="136">
        <f>+APA!V230</f>
        <v>-673.63400000000001</v>
      </c>
      <c r="U41" s="136">
        <f>+APA!W230</f>
        <v>-377.52600000000001</v>
      </c>
      <c r="V41" s="136">
        <f>+APA!X230</f>
        <v>-786.8</v>
      </c>
      <c r="W41" s="136">
        <f>+APA!Y230</f>
        <v>-555.57650000000001</v>
      </c>
      <c r="X41" s="136">
        <f>+APA!Z230</f>
        <v>-186.95771945405014</v>
      </c>
      <c r="Y41" s="138"/>
      <c r="Z41" s="882" t="s">
        <v>975</v>
      </c>
      <c r="AA41" s="138"/>
      <c r="AB41" s="594" t="str">
        <f t="shared" ref="AB41:AP41" si="33">IF(ISERROR(+AB25/(AB25+AB19)),"n.a.",AB25/(AB25+AB19))</f>
        <v>n.a.</v>
      </c>
      <c r="AC41" s="594" t="str">
        <f t="shared" si="33"/>
        <v>n.a.</v>
      </c>
      <c r="AD41" s="594" t="str">
        <f t="shared" si="33"/>
        <v>n.a.</v>
      </c>
      <c r="AE41" s="594" t="str">
        <f t="shared" si="33"/>
        <v>n.a.</v>
      </c>
      <c r="AF41" s="594" t="str">
        <f t="shared" si="33"/>
        <v>n.a.</v>
      </c>
      <c r="AG41" s="594">
        <f t="shared" si="33"/>
        <v>0.61624183112787323</v>
      </c>
      <c r="AH41" s="594">
        <f t="shared" si="33"/>
        <v>0.67014336209944669</v>
      </c>
      <c r="AI41" s="594">
        <f t="shared" si="33"/>
        <v>0.68613846046105531</v>
      </c>
      <c r="AJ41" s="594">
        <f t="shared" si="33"/>
        <v>0.70623956149098333</v>
      </c>
      <c r="AK41" s="594">
        <f t="shared" si="33"/>
        <v>0.69027679593694757</v>
      </c>
      <c r="AL41" s="594">
        <f t="shared" si="33"/>
        <v>0.67629888683912387</v>
      </c>
      <c r="AM41" s="594">
        <f t="shared" si="33"/>
        <v>0.62628864535641782</v>
      </c>
      <c r="AN41" s="594">
        <f t="shared" si="33"/>
        <v>0.61479207666536029</v>
      </c>
      <c r="AO41" s="594">
        <f t="shared" si="33"/>
        <v>0.62755792447359038</v>
      </c>
      <c r="AP41" s="594">
        <f t="shared" si="33"/>
        <v>0.6531576546768767</v>
      </c>
      <c r="AQ41" s="594">
        <f>APA!U298</f>
        <v>0.63508649422373165</v>
      </c>
      <c r="AR41" s="594">
        <f>APA!V298</f>
        <v>0.65515158150400776</v>
      </c>
      <c r="AS41" s="594">
        <f>APA!W298</f>
        <v>0.64474269085603619</v>
      </c>
      <c r="AT41" s="594">
        <f>APA!X298</f>
        <v>0.63396680481018741</v>
      </c>
      <c r="AU41" s="594">
        <f>APA!Y298</f>
        <v>0.6419091143779827</v>
      </c>
      <c r="AV41" s="594">
        <f>APA!Z298</f>
        <v>0.64891970542242738</v>
      </c>
      <c r="AW41" s="138"/>
      <c r="AX41" s="138"/>
    </row>
    <row r="42" spans="1:50" s="580" customFormat="1" ht="15" customHeight="1" x14ac:dyDescent="0.2">
      <c r="A42" s="138"/>
      <c r="B42" s="138" t="s">
        <v>25</v>
      </c>
      <c r="C42" s="138"/>
      <c r="D42" s="579"/>
      <c r="E42" s="579"/>
      <c r="F42" s="579"/>
      <c r="G42" s="579"/>
      <c r="H42" s="579"/>
      <c r="I42" s="579">
        <f>+APA!K233</f>
        <v>61.74</v>
      </c>
      <c r="J42" s="579">
        <f>+APA!L233</f>
        <v>195.69800000000009</v>
      </c>
      <c r="K42" s="579">
        <f>+APA!M233</f>
        <v>610.98500000000001</v>
      </c>
      <c r="L42" s="579">
        <f>+APA!N233</f>
        <v>123.995</v>
      </c>
      <c r="M42" s="579">
        <f>+APA!O233</f>
        <v>78.998000000000005</v>
      </c>
      <c r="N42" s="579">
        <f>+APA!P233</f>
        <v>142.04</v>
      </c>
      <c r="O42" s="579">
        <f>+APA!Q233</f>
        <v>352.37200000000001</v>
      </c>
      <c r="P42" s="579">
        <f>+APA!R233</f>
        <v>44.612000000000002</v>
      </c>
      <c r="Q42" s="579">
        <f>+APA!S233</f>
        <v>83.165999999999997</v>
      </c>
      <c r="R42" s="579">
        <f>+APA!T233</f>
        <v>0</v>
      </c>
      <c r="S42" s="579">
        <f>+APA!U233</f>
        <v>1798.9059999999999</v>
      </c>
      <c r="T42" s="579">
        <f>+APA!V233</f>
        <v>0</v>
      </c>
      <c r="U42" s="579">
        <f>+APA!W233</f>
        <v>0</v>
      </c>
      <c r="V42" s="579">
        <f>+APA!X233</f>
        <v>504.71569610000006</v>
      </c>
      <c r="W42" s="579">
        <f>+APA!Y233</f>
        <v>0</v>
      </c>
      <c r="X42" s="579">
        <f>+APA!Z233</f>
        <v>0</v>
      </c>
      <c r="Y42" s="138"/>
      <c r="Z42" s="138" t="s">
        <v>519</v>
      </c>
      <c r="AA42" s="138"/>
      <c r="AB42" s="595" t="str">
        <f t="shared" ref="AB42:AU42" si="34">IF(ISERROR(+AB25/AB29),"n.a.",AB25/AB29)</f>
        <v>n.a.</v>
      </c>
      <c r="AC42" s="595" t="str">
        <f t="shared" si="34"/>
        <v>n.a.</v>
      </c>
      <c r="AD42" s="595" t="str">
        <f t="shared" si="34"/>
        <v>n.a.</v>
      </c>
      <c r="AE42" s="595" t="str">
        <f t="shared" si="34"/>
        <v>n.a.</v>
      </c>
      <c r="AF42" s="595" t="str">
        <f t="shared" si="34"/>
        <v>n.a.</v>
      </c>
      <c r="AG42" s="595">
        <f t="shared" si="34"/>
        <v>5.5099342561327393</v>
      </c>
      <c r="AH42" s="595">
        <f t="shared" si="34"/>
        <v>5.996057923573618</v>
      </c>
      <c r="AI42" s="595">
        <f t="shared" si="34"/>
        <v>8.5485679250240878</v>
      </c>
      <c r="AJ42" s="595">
        <f t="shared" si="34"/>
        <v>6.9812396204722038</v>
      </c>
      <c r="AK42" s="595">
        <f t="shared" si="34"/>
        <v>6.7320327377717701</v>
      </c>
      <c r="AL42" s="595">
        <f t="shared" si="34"/>
        <v>6.3369400510897327</v>
      </c>
      <c r="AM42" s="595">
        <f t="shared" si="34"/>
        <v>6.1501248693547499</v>
      </c>
      <c r="AN42" s="595">
        <f t="shared" si="34"/>
        <v>4.9987328581713184</v>
      </c>
      <c r="AO42" s="595">
        <f t="shared" si="34"/>
        <v>6.547817882305627</v>
      </c>
      <c r="AP42" s="595">
        <f t="shared" si="34"/>
        <v>6.7428749277488782</v>
      </c>
      <c r="AQ42" s="595">
        <f t="shared" si="34"/>
        <v>10.829627437872825</v>
      </c>
      <c r="AR42" s="595">
        <f t="shared" si="34"/>
        <v>7.2450372935775675</v>
      </c>
      <c r="AS42" s="595">
        <f t="shared" si="34"/>
        <v>6.3302664676809144</v>
      </c>
      <c r="AT42" s="595">
        <f t="shared" si="34"/>
        <v>6.1664812637449202</v>
      </c>
      <c r="AU42" s="595">
        <f t="shared" si="34"/>
        <v>5.9645273808049843</v>
      </c>
      <c r="AV42" s="595">
        <f>IF(ISERROR(+AV25/AV29),"n.a.",AV25/AV29)</f>
        <v>5.5398513474789057</v>
      </c>
      <c r="AW42" s="138"/>
      <c r="AX42" s="138"/>
    </row>
    <row r="43" spans="1:50" s="580" customFormat="1" ht="15" customHeight="1" x14ac:dyDescent="0.2">
      <c r="A43" s="138"/>
      <c r="B43" s="138" t="s">
        <v>230</v>
      </c>
      <c r="C43" s="138"/>
      <c r="D43" s="579"/>
      <c r="E43" s="579"/>
      <c r="F43" s="579"/>
      <c r="G43" s="579"/>
      <c r="H43" s="579"/>
      <c r="I43" s="579">
        <f>+APA!K234</f>
        <v>-52.247999999999998</v>
      </c>
      <c r="J43" s="579">
        <f>+APA!L234</f>
        <v>-61.677999999999997</v>
      </c>
      <c r="K43" s="579">
        <f>+APA!M234</f>
        <v>-100.16300000000001</v>
      </c>
      <c r="L43" s="579">
        <f>+APA!N234</f>
        <v>-96.679000000000002</v>
      </c>
      <c r="M43" s="579">
        <f>+APA!O234</f>
        <v>-143.72899999999998</v>
      </c>
      <c r="N43" s="579">
        <f>+APA!P234</f>
        <v>-159.928</v>
      </c>
      <c r="O43" s="579">
        <f>+APA!Q234</f>
        <v>-183.22299999999998</v>
      </c>
      <c r="P43" s="579">
        <f>+APA!R234</f>
        <v>-208.245</v>
      </c>
      <c r="Q43" s="579">
        <f>+APA!S234</f>
        <v>-256.65600000000001</v>
      </c>
      <c r="R43" s="579">
        <f>+APA!T234</f>
        <v>-300.86900000000003</v>
      </c>
      <c r="S43" s="579">
        <f>+APA!U234</f>
        <v>-302.96000000000004</v>
      </c>
      <c r="T43" s="579">
        <f>+APA!V234</f>
        <v>-440.15200000000004</v>
      </c>
      <c r="U43" s="579">
        <f>+APA!W234</f>
        <v>-479.15199999999999</v>
      </c>
      <c r="V43" s="579">
        <f>+APA!X234</f>
        <v>-485.70675168000002</v>
      </c>
      <c r="W43" s="579">
        <f>+APA!Y234</f>
        <v>-546.66591255000003</v>
      </c>
      <c r="X43" s="579">
        <f>+APA!Z234</f>
        <v>-572.22942910500001</v>
      </c>
      <c r="Y43" s="138"/>
      <c r="Z43" s="138" t="s">
        <v>520</v>
      </c>
      <c r="AA43" s="138"/>
      <c r="AB43" s="594"/>
      <c r="AC43" s="594"/>
      <c r="AD43" s="594"/>
      <c r="AE43" s="594"/>
      <c r="AF43" s="594"/>
      <c r="AG43" s="594"/>
      <c r="AH43" s="594"/>
      <c r="AI43" s="594"/>
      <c r="AJ43" s="594"/>
      <c r="AK43" s="594"/>
      <c r="AL43" s="594"/>
      <c r="AM43" s="594"/>
      <c r="AN43" s="594"/>
      <c r="AO43" s="592">
        <f>Debt!S39</f>
        <v>7.6507967266800078E-2</v>
      </c>
      <c r="AP43" s="592">
        <f>Debt!T39</f>
        <v>7.8796240582819671E-2</v>
      </c>
      <c r="AQ43" s="592">
        <f>Debt!U39</f>
        <v>5.0804064110210254E-2</v>
      </c>
      <c r="AR43" s="592">
        <f>Debt!V39</f>
        <v>8.4240228658351596E-2</v>
      </c>
      <c r="AS43" s="592">
        <f>Debt!W39</f>
        <v>9.8123498507591889E-2</v>
      </c>
      <c r="AT43" s="592">
        <f>Debt!X39</f>
        <v>9.7728388662744095E-2</v>
      </c>
      <c r="AU43" s="592">
        <f>Debt!Y39</f>
        <v>0.10299149752776657</v>
      </c>
      <c r="AV43" s="592">
        <f>Debt!Z39</f>
        <v>0.10854304304277998</v>
      </c>
      <c r="AW43" s="138"/>
      <c r="AX43" s="138"/>
    </row>
    <row r="44" spans="1:50" s="580" customFormat="1" ht="15" customHeight="1" x14ac:dyDescent="0.2">
      <c r="A44" s="138"/>
      <c r="B44" s="138" t="s">
        <v>91</v>
      </c>
      <c r="C44" s="138"/>
      <c r="D44" s="579"/>
      <c r="E44" s="579"/>
      <c r="F44" s="579"/>
      <c r="G44" s="579"/>
      <c r="H44" s="579"/>
      <c r="I44" s="579">
        <f>+APA!K235</f>
        <v>-0.49</v>
      </c>
      <c r="J44" s="579">
        <f>+APA!L235</f>
        <v>-0.46</v>
      </c>
      <c r="K44" s="579">
        <f>+APA!M235</f>
        <v>-0.13800000000000001</v>
      </c>
      <c r="L44" s="579">
        <f>+APA!N235</f>
        <v>-3.2000000000000001E-2</v>
      </c>
      <c r="M44" s="579">
        <f>+APA!O235</f>
        <v>-9.0999999999999998E-2</v>
      </c>
      <c r="N44" s="579">
        <f>+APA!P235</f>
        <v>-9.9000000000000005E-2</v>
      </c>
      <c r="O44" s="579">
        <f>+APA!Q235</f>
        <v>-0.16500000000000001</v>
      </c>
      <c r="P44" s="579">
        <f>+APA!R235</f>
        <v>-0.23899999999999999</v>
      </c>
      <c r="Q44" s="579">
        <f>+APA!S235</f>
        <v>-13.249000000000001</v>
      </c>
      <c r="R44" s="579">
        <f>+APA!T235</f>
        <v>0</v>
      </c>
      <c r="S44" s="579">
        <f>+APA!U235</f>
        <v>0</v>
      </c>
      <c r="T44" s="579">
        <f>+APA!V235</f>
        <v>0</v>
      </c>
      <c r="U44" s="579">
        <f>+APA!W235</f>
        <v>0</v>
      </c>
      <c r="V44" s="579">
        <f>+APA!X235</f>
        <v>0</v>
      </c>
      <c r="W44" s="579">
        <f>+APA!Y235</f>
        <v>0</v>
      </c>
      <c r="X44" s="579">
        <f>+APA!Z235</f>
        <v>0</v>
      </c>
      <c r="Y44" s="138"/>
      <c r="Z44" s="138" t="s">
        <v>525</v>
      </c>
      <c r="AA44" s="138"/>
      <c r="AB44" s="595" t="str">
        <f t="shared" ref="AB44:AV44" si="35">IF(ISERROR(+D20/-D23),"n.a.",+D20/-D23)</f>
        <v>n.a.</v>
      </c>
      <c r="AC44" s="595" t="str">
        <f t="shared" si="35"/>
        <v>n.a.</v>
      </c>
      <c r="AD44" s="595" t="str">
        <f t="shared" si="35"/>
        <v>n.a.</v>
      </c>
      <c r="AE44" s="595" t="str">
        <f t="shared" si="35"/>
        <v>n.a.</v>
      </c>
      <c r="AF44" s="595" t="str">
        <f t="shared" si="35"/>
        <v>n.a.</v>
      </c>
      <c r="AG44" s="595">
        <f t="shared" si="35"/>
        <v>2.7749491940863473</v>
      </c>
      <c r="AH44" s="595">
        <f t="shared" si="35"/>
        <v>2.5082543775110455</v>
      </c>
      <c r="AI44" s="595">
        <f t="shared" si="35"/>
        <v>1.9500213499753654</v>
      </c>
      <c r="AJ44" s="595">
        <f t="shared" si="35"/>
        <v>1.7612611322699809</v>
      </c>
      <c r="AK44" s="595">
        <f t="shared" si="35"/>
        <v>1.7711389904840023</v>
      </c>
      <c r="AL44" s="595">
        <f t="shared" si="35"/>
        <v>1.8751070092048299</v>
      </c>
      <c r="AM44" s="595">
        <f t="shared" si="35"/>
        <v>1.7241412014643676</v>
      </c>
      <c r="AN44" s="595">
        <f t="shared" si="35"/>
        <v>2.0564705037291842</v>
      </c>
      <c r="AO44" s="595">
        <f t="shared" si="35"/>
        <v>2.2223081576812556</v>
      </c>
      <c r="AP44" s="595">
        <f t="shared" si="35"/>
        <v>2.1447410515436012</v>
      </c>
      <c r="AQ44" s="595">
        <f t="shared" si="35"/>
        <v>2.5334832583708149</v>
      </c>
      <c r="AR44" s="595">
        <f t="shared" si="35"/>
        <v>2.6209062006311332</v>
      </c>
      <c r="AS44" s="595">
        <f t="shared" si="35"/>
        <v>2.8614566525292582</v>
      </c>
      <c r="AT44" s="595">
        <f t="shared" si="35"/>
        <v>2.9029324224445325</v>
      </c>
      <c r="AU44" s="595">
        <f t="shared" si="35"/>
        <v>3.0313129042203721</v>
      </c>
      <c r="AV44" s="595">
        <f t="shared" si="35"/>
        <v>3.1600100373019453</v>
      </c>
      <c r="AW44" s="138"/>
      <c r="AX44" s="138"/>
    </row>
    <row r="45" spans="1:50" s="580" customFormat="1" ht="15" customHeight="1" x14ac:dyDescent="0.2">
      <c r="A45" s="138"/>
      <c r="B45" s="138" t="s">
        <v>24</v>
      </c>
      <c r="C45" s="138"/>
      <c r="D45" s="579"/>
      <c r="E45" s="579"/>
      <c r="F45" s="579"/>
      <c r="G45" s="579"/>
      <c r="H45" s="579"/>
      <c r="I45" s="579">
        <f>+APA!K232</f>
        <v>67.407000000000039</v>
      </c>
      <c r="J45" s="579">
        <f>+APA!L232</f>
        <v>0</v>
      </c>
      <c r="K45" s="579">
        <f>+APA!M232</f>
        <v>805.18799999999987</v>
      </c>
      <c r="L45" s="579">
        <f>+APA!N232</f>
        <v>681.67399999999998</v>
      </c>
      <c r="M45" s="579">
        <f>+APA!O232</f>
        <v>-271</v>
      </c>
      <c r="N45" s="579">
        <f>+APA!P232</f>
        <v>100.04999999999995</v>
      </c>
      <c r="O45" s="579">
        <f>+APA!Q232</f>
        <v>79.466999999999985</v>
      </c>
      <c r="P45" s="579">
        <f>+APA!R232</f>
        <v>-103.80300000000011</v>
      </c>
      <c r="Q45" s="579">
        <f>+APA!S232</f>
        <v>-49.757000000000062</v>
      </c>
      <c r="R45" s="579">
        <f>+APA!T232</f>
        <v>376.91800000000012</v>
      </c>
      <c r="S45" s="579">
        <f>+APA!U232</f>
        <v>3849.6880000000001</v>
      </c>
      <c r="T45" s="579">
        <f>+APA!V232</f>
        <v>-66.745999999999867</v>
      </c>
      <c r="U45" s="579">
        <f>+APA!W232</f>
        <v>199.64400000000001</v>
      </c>
      <c r="V45" s="579">
        <f>+APA!X232</f>
        <v>200</v>
      </c>
      <c r="W45" s="579">
        <f>+APA!Y232</f>
        <v>100</v>
      </c>
      <c r="X45" s="579">
        <f>+APA!Z232</f>
        <v>100</v>
      </c>
      <c r="Y45" s="138"/>
      <c r="Z45" s="138" t="s">
        <v>521</v>
      </c>
      <c r="AA45" s="138"/>
      <c r="AO45" s="595">
        <f>Debt!S40</f>
        <v>1.1345783662638016</v>
      </c>
      <c r="AP45" s="595">
        <f>Debt!T40</f>
        <v>1.1412281133491651</v>
      </c>
      <c r="AQ45" s="595">
        <f>Debt!U40</f>
        <v>1.4584528723292676</v>
      </c>
      <c r="AR45" s="595">
        <f>Debt!V40</f>
        <v>1.6136237388162895</v>
      </c>
      <c r="AS45" s="595">
        <f>Debt!W40</f>
        <v>1.852732853608736</v>
      </c>
      <c r="AT45" s="595">
        <f>Debt!X40</f>
        <v>1.8913653010337754</v>
      </c>
      <c r="AU45" s="595">
        <f>Debt!Y40</f>
        <v>2.0095678026038644</v>
      </c>
      <c r="AV45" s="595">
        <f>Debt!Z40</f>
        <v>2.1385408829754931</v>
      </c>
      <c r="AW45" s="138"/>
      <c r="AX45" s="138"/>
    </row>
    <row r="46" spans="1:50" s="580" customFormat="1" ht="15" customHeight="1" x14ac:dyDescent="0.2">
      <c r="A46" s="138"/>
      <c r="B46" s="138" t="s">
        <v>19</v>
      </c>
      <c r="C46" s="138"/>
      <c r="D46" s="579"/>
      <c r="E46" s="579"/>
      <c r="F46" s="579"/>
      <c r="G46" s="579"/>
      <c r="H46" s="579"/>
      <c r="I46" s="579">
        <f t="shared" ref="I46:T46" si="36">+I47-SUM(I42:I45)</f>
        <v>-1.7439999999999856</v>
      </c>
      <c r="J46" s="579">
        <f t="shared" si="36"/>
        <v>-1.4000000000010004E-2</v>
      </c>
      <c r="K46" s="579">
        <f t="shared" si="36"/>
        <v>-19.214999999999918</v>
      </c>
      <c r="L46" s="579">
        <f t="shared" si="36"/>
        <v>-0.58600000000001273</v>
      </c>
      <c r="M46" s="579">
        <f t="shared" si="36"/>
        <v>-0.55500000000000682</v>
      </c>
      <c r="N46" s="579">
        <f t="shared" si="36"/>
        <v>-29.933</v>
      </c>
      <c r="O46" s="579">
        <f t="shared" si="36"/>
        <v>-7.9610000000000127</v>
      </c>
      <c r="P46" s="579">
        <f t="shared" si="36"/>
        <v>-13.890999999999963</v>
      </c>
      <c r="Q46" s="579">
        <f t="shared" si="36"/>
        <v>-69.503000000000014</v>
      </c>
      <c r="R46" s="579">
        <f t="shared" si="36"/>
        <v>-10.238</v>
      </c>
      <c r="S46" s="579">
        <f t="shared" si="36"/>
        <v>-12.882999999999811</v>
      </c>
      <c r="T46" s="579">
        <f t="shared" si="36"/>
        <v>-9.67999999999995</v>
      </c>
      <c r="U46" s="579">
        <f>+U47-SUM(U42:U45)</f>
        <v>-6.2970000000000255</v>
      </c>
      <c r="V46" s="579">
        <f>+V47-SUM(V42:V45)</f>
        <v>0</v>
      </c>
      <c r="W46" s="579">
        <f>+W47-SUM(W42:W45)</f>
        <v>0</v>
      </c>
      <c r="X46" s="579">
        <f>+X47-SUM(X42:X45)</f>
        <v>0</v>
      </c>
      <c r="Y46" s="138"/>
      <c r="Z46" s="138" t="s">
        <v>180</v>
      </c>
      <c r="AA46" s="138"/>
      <c r="AB46" s="592">
        <f>+APA!F325</f>
        <v>0</v>
      </c>
      <c r="AC46" s="592">
        <f>+APA!G325</f>
        <v>0</v>
      </c>
      <c r="AD46" s="592">
        <f>+APA!H325</f>
        <v>0</v>
      </c>
      <c r="AE46" s="592">
        <f>+APA!I325</f>
        <v>0</v>
      </c>
      <c r="AF46" s="592">
        <f>+APA!J325</f>
        <v>0</v>
      </c>
      <c r="AG46" s="592">
        <f>+APA!K325</f>
        <v>7.3811997175347713E-2</v>
      </c>
      <c r="AH46" s="592">
        <f>+APA!L325</f>
        <v>7.8749015966327149E-2</v>
      </c>
      <c r="AI46" s="592">
        <f>+APA!M325</f>
        <v>6.9682121700613511E-2</v>
      </c>
      <c r="AJ46" s="592">
        <f>+APA!N325</f>
        <v>7.2476172915783815E-2</v>
      </c>
      <c r="AK46" s="592">
        <f>+APA!O325</f>
        <v>6.8998983766592803E-2</v>
      </c>
      <c r="AL46" s="592">
        <f>+APA!P325</f>
        <v>7.9592040942279035E-2</v>
      </c>
      <c r="AM46" s="592">
        <f>+APA!Q325</f>
        <v>7.2791245203349009E-2</v>
      </c>
      <c r="AN46" s="592">
        <f>+APA!R325</f>
        <v>8.3783063654396903E-2</v>
      </c>
      <c r="AO46" s="592">
        <f>+APA!S325</f>
        <v>8.6010686157303007E-2</v>
      </c>
      <c r="AP46" s="592">
        <f>+APA!T325</f>
        <v>7.133130715029791E-2</v>
      </c>
      <c r="AQ46" s="592">
        <f>+APA!U325</f>
        <v>5.5011148481259646E-2</v>
      </c>
      <c r="AR46" s="592">
        <f>+APA!V325</f>
        <v>5.4372856142212947E-2</v>
      </c>
      <c r="AS46" s="592">
        <f>+APA!W325</f>
        <v>5.9386759756085608E-2</v>
      </c>
      <c r="AT46" s="592">
        <f>+APA!X325</f>
        <v>6.0467710305481953E-2</v>
      </c>
      <c r="AU46" s="592">
        <f>+APA!Y325</f>
        <v>6.2945581483921154E-2</v>
      </c>
      <c r="AV46" s="592">
        <f>+APA!Z325</f>
        <v>6.7812340188018974E-2</v>
      </c>
      <c r="AW46" s="138"/>
      <c r="AX46" s="138"/>
    </row>
    <row r="47" spans="1:50" s="580" customFormat="1" ht="15" customHeight="1" x14ac:dyDescent="0.2">
      <c r="A47" s="138"/>
      <c r="B47" s="135" t="s">
        <v>179</v>
      </c>
      <c r="C47" s="135"/>
      <c r="D47" s="136"/>
      <c r="E47" s="136"/>
      <c r="F47" s="136"/>
      <c r="G47" s="136"/>
      <c r="H47" s="136"/>
      <c r="I47" s="136">
        <f>+APA!K237</f>
        <v>74.665000000000063</v>
      </c>
      <c r="J47" s="136">
        <f>+APA!L237</f>
        <v>133.54600000000008</v>
      </c>
      <c r="K47" s="136">
        <f>+APA!M237</f>
        <v>1296.6569999999999</v>
      </c>
      <c r="L47" s="136">
        <f>+APA!N237</f>
        <v>708.37199999999996</v>
      </c>
      <c r="M47" s="136">
        <f>+APA!O237</f>
        <v>-336.37700000000001</v>
      </c>
      <c r="N47" s="136">
        <f>+APA!P237</f>
        <v>52.129999999999946</v>
      </c>
      <c r="O47" s="136">
        <f>+APA!Q237</f>
        <v>240.49</v>
      </c>
      <c r="P47" s="136">
        <f>+APA!R237</f>
        <v>-281.56600000000009</v>
      </c>
      <c r="Q47" s="136">
        <f>+APA!S237</f>
        <v>-305.99900000000008</v>
      </c>
      <c r="R47" s="136">
        <f>+APA!T237</f>
        <v>65.811000000000092</v>
      </c>
      <c r="S47" s="136">
        <f>+APA!U237</f>
        <v>5332.7510000000002</v>
      </c>
      <c r="T47" s="136">
        <f>+APA!V237</f>
        <v>-516.57799999999986</v>
      </c>
      <c r="U47" s="136">
        <f>+APA!W237</f>
        <v>-285.80500000000001</v>
      </c>
      <c r="V47" s="136">
        <f>+APA!X237</f>
        <v>219.00894442000003</v>
      </c>
      <c r="W47" s="136">
        <f>+APA!Y237</f>
        <v>-446.66591255000003</v>
      </c>
      <c r="X47" s="136">
        <f>+APA!Z237</f>
        <v>-472.22942910500001</v>
      </c>
      <c r="Y47" s="138"/>
      <c r="Z47" s="570" t="s">
        <v>516</v>
      </c>
      <c r="AA47" s="570"/>
      <c r="AB47" s="596" t="str">
        <f t="shared" ref="AB47:AV47" si="37">IF(ISERROR(+D20/D13),"n.a.",+D20/D13)</f>
        <v>n.a.</v>
      </c>
      <c r="AC47" s="596" t="str">
        <f t="shared" si="37"/>
        <v>n.a.</v>
      </c>
      <c r="AD47" s="596" t="str">
        <f t="shared" si="37"/>
        <v>n.a.</v>
      </c>
      <c r="AE47" s="596" t="str">
        <f t="shared" si="37"/>
        <v>n.a.</v>
      </c>
      <c r="AF47" s="596" t="str">
        <f t="shared" si="37"/>
        <v>n.a.</v>
      </c>
      <c r="AG47" s="596">
        <f t="shared" si="37"/>
        <v>0.48698654005314285</v>
      </c>
      <c r="AH47" s="596">
        <f t="shared" si="37"/>
        <v>0.52421460148055132</v>
      </c>
      <c r="AI47" s="596">
        <f t="shared" si="37"/>
        <v>0.55724047306176072</v>
      </c>
      <c r="AJ47" s="596">
        <f t="shared" si="37"/>
        <v>0.48828494923043242</v>
      </c>
      <c r="AK47" s="596">
        <f t="shared" si="37"/>
        <v>0.44815208552163466</v>
      </c>
      <c r="AL47" s="596">
        <f t="shared" si="37"/>
        <v>0.46486068580784046</v>
      </c>
      <c r="AM47" s="596">
        <f t="shared" si="37"/>
        <v>0.41241337254727589</v>
      </c>
      <c r="AN47" s="596">
        <f t="shared" si="37"/>
        <v>0.48585977436732902</v>
      </c>
      <c r="AO47" s="596">
        <f t="shared" si="37"/>
        <v>0.50815198382100624</v>
      </c>
      <c r="AP47" s="596">
        <f t="shared" si="37"/>
        <v>0.49944473189429489</v>
      </c>
      <c r="AQ47" s="596">
        <f t="shared" si="37"/>
        <v>0.52861165732823134</v>
      </c>
      <c r="AR47" s="596">
        <f t="shared" si="37"/>
        <v>0.63530604916955702</v>
      </c>
      <c r="AS47" s="596">
        <f t="shared" si="37"/>
        <v>0.63192458799356932</v>
      </c>
      <c r="AT47" s="596">
        <f t="shared" si="37"/>
        <v>0.6271192154636025</v>
      </c>
      <c r="AU47" s="596">
        <f t="shared" si="37"/>
        <v>0.62779044063634459</v>
      </c>
      <c r="AV47" s="596">
        <f t="shared" si="37"/>
        <v>0.62889058523403885</v>
      </c>
      <c r="AW47" s="138"/>
      <c r="AX47" s="138"/>
    </row>
    <row r="48" spans="1:50" s="580" customFormat="1" ht="15" customHeight="1" x14ac:dyDescent="0.2">
      <c r="A48" s="138"/>
      <c r="B48" s="135" t="s">
        <v>181</v>
      </c>
      <c r="C48" s="135"/>
      <c r="D48" s="136"/>
      <c r="E48" s="136"/>
      <c r="F48" s="136"/>
      <c r="G48" s="136"/>
      <c r="H48" s="136"/>
      <c r="I48" s="136">
        <f t="shared" ref="I48:T48" si="38">SUM(I37,I41,I47)</f>
        <v>-21.877999999999915</v>
      </c>
      <c r="J48" s="136">
        <f t="shared" si="38"/>
        <v>-9.7449999999998909</v>
      </c>
      <c r="K48" s="136">
        <f t="shared" si="38"/>
        <v>47.449999999999818</v>
      </c>
      <c r="L48" s="136">
        <f t="shared" si="38"/>
        <v>45.376999999999839</v>
      </c>
      <c r="M48" s="136">
        <f t="shared" si="38"/>
        <v>3.3599999999999568</v>
      </c>
      <c r="N48" s="136">
        <f t="shared" si="38"/>
        <v>-27.874999999999993</v>
      </c>
      <c r="O48" s="136">
        <f t="shared" si="38"/>
        <v>14.428000000000054</v>
      </c>
      <c r="P48" s="136">
        <f t="shared" si="38"/>
        <v>234.56599999999997</v>
      </c>
      <c r="Q48" s="136">
        <f t="shared" si="38"/>
        <v>-248.9790000000001</v>
      </c>
      <c r="R48" s="136">
        <f t="shared" si="38"/>
        <v>-73.94599999999997</v>
      </c>
      <c r="S48" s="136">
        <f t="shared" si="38"/>
        <v>404.9330000000009</v>
      </c>
      <c r="T48" s="136">
        <f t="shared" si="38"/>
        <v>-327.77700000000016</v>
      </c>
      <c r="U48" s="136">
        <f>SUM(U37,U41,U47)</f>
        <v>310.60500000000008</v>
      </c>
      <c r="V48" s="136">
        <f>SUM(V37,V41,V47)</f>
        <v>348.52175439849361</v>
      </c>
      <c r="W48" s="136">
        <f>SUM(W37,W41,W47)</f>
        <v>-9.2486487767256449</v>
      </c>
      <c r="X48" s="136">
        <f>SUM(X37,X41,X47)</f>
        <v>392.18062160095531</v>
      </c>
      <c r="Y48" s="138"/>
      <c r="Z48" s="571" t="s">
        <v>517</v>
      </c>
      <c r="AA48" s="571"/>
      <c r="AB48" s="597" t="str">
        <f t="shared" ref="AB48:AV48" si="39">IF(ISERROR((+D20+D22)/D13),"n.a.",(+D20+D22)/D13)</f>
        <v>n.a.</v>
      </c>
      <c r="AC48" s="597" t="str">
        <f t="shared" si="39"/>
        <v>n.a.</v>
      </c>
      <c r="AD48" s="597" t="str">
        <f t="shared" si="39"/>
        <v>n.a.</v>
      </c>
      <c r="AE48" s="597" t="str">
        <f t="shared" si="39"/>
        <v>n.a.</v>
      </c>
      <c r="AF48" s="597" t="str">
        <f t="shared" si="39"/>
        <v>n.a.</v>
      </c>
      <c r="AG48" s="597">
        <f t="shared" si="39"/>
        <v>0.38796173280480895</v>
      </c>
      <c r="AH48" s="597">
        <f t="shared" si="39"/>
        <v>0.42259541186010613</v>
      </c>
      <c r="AI48" s="597">
        <f t="shared" si="39"/>
        <v>0.4262417871222075</v>
      </c>
      <c r="AJ48" s="597">
        <f t="shared" si="39"/>
        <v>0.38115566120656114</v>
      </c>
      <c r="AK48" s="597">
        <f t="shared" si="39"/>
        <v>0.34688315318673141</v>
      </c>
      <c r="AL48" s="597">
        <f t="shared" si="39"/>
        <v>0.37246359235565801</v>
      </c>
      <c r="AM48" s="597">
        <f t="shared" si="39"/>
        <v>0.32135075758469456</v>
      </c>
      <c r="AN48" s="597">
        <f t="shared" si="39"/>
        <v>0.38210476098889185</v>
      </c>
      <c r="AO48" s="597">
        <f t="shared" si="39"/>
        <v>0.40560982875449897</v>
      </c>
      <c r="AP48" s="597">
        <f t="shared" si="39"/>
        <v>0.38753293983068532</v>
      </c>
      <c r="AQ48" s="597">
        <f t="shared" si="39"/>
        <v>0.39460162266713444</v>
      </c>
      <c r="AR48" s="597">
        <f t="shared" si="39"/>
        <v>0.38658857548856318</v>
      </c>
      <c r="AS48" s="597">
        <f t="shared" si="39"/>
        <v>0.38690391244917066</v>
      </c>
      <c r="AT48" s="597">
        <f t="shared" si="39"/>
        <v>0.38641152584051897</v>
      </c>
      <c r="AU48" s="597">
        <f t="shared" si="39"/>
        <v>0.38740434586365358</v>
      </c>
      <c r="AV48" s="597">
        <f t="shared" si="39"/>
        <v>0.39428296045651967</v>
      </c>
      <c r="AW48" s="138"/>
      <c r="AX48" s="138"/>
    </row>
    <row r="49" spans="1:50" s="580" customFormat="1" ht="15" customHeight="1" x14ac:dyDescent="0.2">
      <c r="A49" s="138"/>
      <c r="B49" s="138" t="s">
        <v>182</v>
      </c>
      <c r="C49" s="138"/>
      <c r="D49" s="579"/>
      <c r="E49" s="579"/>
      <c r="F49" s="579"/>
      <c r="G49" s="579"/>
      <c r="H49" s="579"/>
      <c r="I49" s="579">
        <f t="shared" ref="I49:T49" si="40">+I37</f>
        <v>106.22</v>
      </c>
      <c r="J49" s="579">
        <f t="shared" si="40"/>
        <v>112.17400000000001</v>
      </c>
      <c r="K49" s="579">
        <f t="shared" si="40"/>
        <v>136.70800000000003</v>
      </c>
      <c r="L49" s="579">
        <f t="shared" si="40"/>
        <v>186.42299999999994</v>
      </c>
      <c r="M49" s="579">
        <f t="shared" si="40"/>
        <v>226.36899999999997</v>
      </c>
      <c r="N49" s="579">
        <f t="shared" si="40"/>
        <v>267.76100000000008</v>
      </c>
      <c r="O49" s="579">
        <f t="shared" si="40"/>
        <v>290.02900000000005</v>
      </c>
      <c r="P49" s="579">
        <f t="shared" si="40"/>
        <v>335.56900000000002</v>
      </c>
      <c r="Q49" s="579">
        <f t="shared" si="40"/>
        <v>374.38100000000003</v>
      </c>
      <c r="R49" s="579">
        <f t="shared" si="40"/>
        <v>431.54099999999994</v>
      </c>
      <c r="S49" s="579">
        <f t="shared" si="40"/>
        <v>562.19000000000005</v>
      </c>
      <c r="T49" s="579">
        <f t="shared" si="40"/>
        <v>862.43499999999972</v>
      </c>
      <c r="U49" s="579">
        <f>+U37</f>
        <v>973.93600000000015</v>
      </c>
      <c r="V49" s="579">
        <f>+V37</f>
        <v>916.31280997849353</v>
      </c>
      <c r="W49" s="579">
        <f>+W37</f>
        <v>992.9937637732744</v>
      </c>
      <c r="X49" s="579">
        <f>+X37</f>
        <v>1051.3677701600054</v>
      </c>
      <c r="Y49" s="138"/>
      <c r="Z49" s="598" t="s">
        <v>518</v>
      </c>
      <c r="AA49" s="598"/>
      <c r="AB49" s="599" t="str">
        <f t="shared" ref="AB49:AV49" si="41">IF(ISERROR(+D28/D13),"n.a.",+D28/D13)</f>
        <v>n.a.</v>
      </c>
      <c r="AC49" s="599" t="str">
        <f t="shared" si="41"/>
        <v>n.a.</v>
      </c>
      <c r="AD49" s="599" t="str">
        <f t="shared" si="41"/>
        <v>n.a.</v>
      </c>
      <c r="AE49" s="599" t="str">
        <f t="shared" si="41"/>
        <v>n.a.</v>
      </c>
      <c r="AF49" s="599" t="str">
        <f t="shared" si="41"/>
        <v>n.a.</v>
      </c>
      <c r="AG49" s="599">
        <f t="shared" si="41"/>
        <v>0.13980213006925987</v>
      </c>
      <c r="AH49" s="599">
        <f t="shared" si="41"/>
        <v>0.18163174553349559</v>
      </c>
      <c r="AI49" s="599">
        <f t="shared" si="41"/>
        <v>0.12113760090107006</v>
      </c>
      <c r="AJ49" s="599">
        <f t="shared" si="41"/>
        <v>9.8470164869251198E-2</v>
      </c>
      <c r="AK49" s="599">
        <f t="shared" si="41"/>
        <v>0.1108695744248297</v>
      </c>
      <c r="AL49" s="599">
        <f t="shared" si="41"/>
        <v>0.11753024285237849</v>
      </c>
      <c r="AM49" s="599">
        <f t="shared" si="41"/>
        <v>0.11385231613019732</v>
      </c>
      <c r="AN49" s="599">
        <f t="shared" si="41"/>
        <v>0.14728348899083785</v>
      </c>
      <c r="AO49" s="599">
        <f t="shared" si="41"/>
        <v>0.13363861516489842</v>
      </c>
      <c r="AP49" s="599">
        <f t="shared" si="41"/>
        <v>0.10711520400219968</v>
      </c>
      <c r="AQ49" s="599">
        <f t="shared" si="41"/>
        <v>0.13125581305535799</v>
      </c>
      <c r="AR49" s="599">
        <f t="shared" si="41"/>
        <v>8.5613645392454904E-2</v>
      </c>
      <c r="AS49" s="599">
        <f t="shared" si="41"/>
        <v>0.1018070683711452</v>
      </c>
      <c r="AT49" s="599">
        <f t="shared" si="41"/>
        <v>0.11926737571866011</v>
      </c>
      <c r="AU49" s="599">
        <f t="shared" si="41"/>
        <v>0.1262117632129563</v>
      </c>
      <c r="AV49" s="599">
        <f t="shared" si="41"/>
        <v>0.13668730923107208</v>
      </c>
      <c r="AW49" s="138"/>
      <c r="AX49" s="138"/>
    </row>
    <row r="50" spans="1:50" s="580" customFormat="1" ht="15" customHeight="1" x14ac:dyDescent="0.2">
      <c r="A50" s="138"/>
      <c r="B50" s="138" t="s">
        <v>425</v>
      </c>
      <c r="C50" s="138"/>
      <c r="D50" s="579"/>
      <c r="E50" s="579"/>
      <c r="F50" s="579"/>
      <c r="G50" s="579"/>
      <c r="H50" s="579"/>
      <c r="I50" s="579">
        <f>(+I38+I39)*(1/3)</f>
        <v>-4.2749999999999995</v>
      </c>
      <c r="J50" s="579">
        <f t="shared" ref="J50:O50" si="42">(+J38+J39)*(1/3)</f>
        <v>-10.658666666666665</v>
      </c>
      <c r="K50" s="579">
        <f t="shared" si="42"/>
        <v>-43.426333333333332</v>
      </c>
      <c r="L50" s="579">
        <f t="shared" si="42"/>
        <v>-64.602666666666664</v>
      </c>
      <c r="M50" s="579">
        <f t="shared" si="42"/>
        <v>-101.24299999999999</v>
      </c>
      <c r="N50" s="579">
        <f t="shared" si="42"/>
        <v>-45.141999999999996</v>
      </c>
      <c r="O50" s="579">
        <f t="shared" si="42"/>
        <v>-79.683666666666653</v>
      </c>
      <c r="P50" s="579">
        <f>(+P38+P39)+APA!R248</f>
        <v>-99.459666666666692</v>
      </c>
      <c r="Q50" s="579">
        <f>(+Q38+Q39)+APA!S248</f>
        <v>-149.35333333333338</v>
      </c>
      <c r="R50" s="579">
        <f>SUM(APA!T246:T248)</f>
        <v>-179.22566666666671</v>
      </c>
      <c r="S50" s="579">
        <f>SUM(APA!U246:U248)</f>
        <v>-1308.9603333333334</v>
      </c>
      <c r="T50" s="579">
        <f>SUM(APA!V246:V248)</f>
        <v>-146.60166666666666</v>
      </c>
      <c r="U50" s="579">
        <f>SUM(APA!W246:W248)</f>
        <v>-159.9186666666667</v>
      </c>
      <c r="V50" s="579">
        <f>SUM(APA!X246:X248)</f>
        <v>-322.26666666666665</v>
      </c>
      <c r="W50" s="579">
        <f>SUM(APA!Y246:Y248)</f>
        <v>-259.14316666666673</v>
      </c>
      <c r="X50" s="579">
        <f>SUM(APA!Z246:Z248)</f>
        <v>-145.18172756801673</v>
      </c>
      <c r="Y50" s="138"/>
      <c r="Z50" s="571" t="s">
        <v>460</v>
      </c>
      <c r="AA50" s="571"/>
      <c r="AB50" s="600" t="str">
        <f t="shared" ref="AB50:AV50" si="43">IF(ISERROR(+D52/AB22*100),"n.a.",+D52/AB22*100)</f>
        <v>n.a.</v>
      </c>
      <c r="AC50" s="600" t="str">
        <f t="shared" si="43"/>
        <v>n.a.</v>
      </c>
      <c r="AD50" s="600" t="str">
        <f t="shared" si="43"/>
        <v>n.a.</v>
      </c>
      <c r="AE50" s="600" t="str">
        <f t="shared" si="43"/>
        <v>n.a.</v>
      </c>
      <c r="AF50" s="600" t="str">
        <f t="shared" si="43"/>
        <v>n.a.</v>
      </c>
      <c r="AG50" s="600" t="str">
        <f t="shared" si="43"/>
        <v>n.a.</v>
      </c>
      <c r="AH50" s="600" t="str">
        <f t="shared" si="43"/>
        <v>n.a.</v>
      </c>
      <c r="AI50" s="600" t="str">
        <f t="shared" si="43"/>
        <v>n.a.</v>
      </c>
      <c r="AJ50" s="600" t="str">
        <f t="shared" si="43"/>
        <v>n.a.</v>
      </c>
      <c r="AK50" s="600" t="str">
        <f t="shared" si="43"/>
        <v>n.a.</v>
      </c>
      <c r="AL50" s="600" t="str">
        <f t="shared" si="43"/>
        <v>n.a.</v>
      </c>
      <c r="AM50" s="600" t="str">
        <f t="shared" si="43"/>
        <v>n.a.</v>
      </c>
      <c r="AN50" s="600" t="str">
        <f t="shared" si="43"/>
        <v>n.a.</v>
      </c>
      <c r="AO50" s="600" t="str">
        <f t="shared" si="43"/>
        <v>n.a.</v>
      </c>
      <c r="AP50" s="600" t="str">
        <f t="shared" si="43"/>
        <v>n.a.</v>
      </c>
      <c r="AQ50" s="600">
        <f t="shared" si="43"/>
        <v>-67.016570239021505</v>
      </c>
      <c r="AR50" s="616">
        <f t="shared" si="43"/>
        <v>64.240225838420912</v>
      </c>
      <c r="AS50" s="616">
        <f t="shared" si="43"/>
        <v>73.051442136981422</v>
      </c>
      <c r="AT50" s="616">
        <f t="shared" si="43"/>
        <v>50.349102099984698</v>
      </c>
      <c r="AU50" s="616">
        <f t="shared" si="43"/>
        <v>62.198398316105553</v>
      </c>
      <c r="AV50" s="616">
        <f t="shared" si="43"/>
        <v>76.804898228411346</v>
      </c>
      <c r="AW50" s="138"/>
      <c r="AX50" s="138"/>
    </row>
    <row r="51" spans="1:50" s="580" customFormat="1" ht="15" customHeight="1" x14ac:dyDescent="0.2">
      <c r="A51" s="138"/>
      <c r="B51" s="138" t="s">
        <v>183</v>
      </c>
      <c r="C51" s="138"/>
      <c r="D51" s="579"/>
      <c r="E51" s="579"/>
      <c r="F51" s="579"/>
      <c r="G51" s="579"/>
      <c r="H51" s="579"/>
      <c r="I51" s="579">
        <f t="shared" ref="I51:T51" si="44">+I44</f>
        <v>-0.49</v>
      </c>
      <c r="J51" s="579">
        <f t="shared" si="44"/>
        <v>-0.46</v>
      </c>
      <c r="K51" s="579">
        <f t="shared" si="44"/>
        <v>-0.13800000000000001</v>
      </c>
      <c r="L51" s="579">
        <f t="shared" si="44"/>
        <v>-3.2000000000000001E-2</v>
      </c>
      <c r="M51" s="579">
        <f t="shared" si="44"/>
        <v>-9.0999999999999998E-2</v>
      </c>
      <c r="N51" s="579">
        <f t="shared" si="44"/>
        <v>-9.9000000000000005E-2</v>
      </c>
      <c r="O51" s="579">
        <f t="shared" si="44"/>
        <v>-0.16500000000000001</v>
      </c>
      <c r="P51" s="579">
        <f t="shared" si="44"/>
        <v>-0.23899999999999999</v>
      </c>
      <c r="Q51" s="579">
        <f t="shared" si="44"/>
        <v>-13.249000000000001</v>
      </c>
      <c r="R51" s="579">
        <f t="shared" si="44"/>
        <v>0</v>
      </c>
      <c r="S51" s="579">
        <f t="shared" si="44"/>
        <v>0</v>
      </c>
      <c r="T51" s="579">
        <f t="shared" si="44"/>
        <v>0</v>
      </c>
      <c r="U51" s="579">
        <f>+U44</f>
        <v>0</v>
      </c>
      <c r="V51" s="579">
        <f>+V44</f>
        <v>0</v>
      </c>
      <c r="W51" s="579">
        <f>+W44</f>
        <v>0</v>
      </c>
      <c r="X51" s="579">
        <f>+X44</f>
        <v>0</v>
      </c>
      <c r="Y51" s="138"/>
      <c r="Z51" s="571" t="s">
        <v>522</v>
      </c>
      <c r="AA51" s="571"/>
      <c r="AB51" s="601" t="str">
        <f t="shared" ref="AB51:AV51" si="45">IF(ISERROR(-D52/D43),"n.a.",-D52/D43)</f>
        <v>n.a.</v>
      </c>
      <c r="AC51" s="601" t="str">
        <f t="shared" si="45"/>
        <v>n.a.</v>
      </c>
      <c r="AD51" s="601" t="str">
        <f t="shared" si="45"/>
        <v>n.a.</v>
      </c>
      <c r="AE51" s="601" t="str">
        <f t="shared" si="45"/>
        <v>n.a.</v>
      </c>
      <c r="AF51" s="601" t="str">
        <f t="shared" si="45"/>
        <v>n.a.</v>
      </c>
      <c r="AG51" s="601">
        <f t="shared" si="45"/>
        <v>1.9417968151890983</v>
      </c>
      <c r="AH51" s="601">
        <f t="shared" si="45"/>
        <v>1.6384340175319134</v>
      </c>
      <c r="AI51" s="601">
        <f t="shared" si="45"/>
        <v>0.92992089560682767</v>
      </c>
      <c r="AJ51" s="597">
        <f t="shared" si="45"/>
        <v>-2.0036581539596674</v>
      </c>
      <c r="AK51" s="601">
        <f t="shared" si="45"/>
        <v>1.134621405561856</v>
      </c>
      <c r="AL51" s="601">
        <f t="shared" si="45"/>
        <v>1.3303611625231357</v>
      </c>
      <c r="AM51" s="601">
        <f t="shared" si="45"/>
        <v>1.1865177042911281</v>
      </c>
      <c r="AN51" s="601">
        <f t="shared" si="45"/>
        <v>1.1326578469270969</v>
      </c>
      <c r="AO51" s="597">
        <f t="shared" si="45"/>
        <v>0.82514598009267914</v>
      </c>
      <c r="AP51" s="597">
        <f t="shared" si="45"/>
        <v>0.83862190299875761</v>
      </c>
      <c r="AQ51" s="597">
        <f t="shared" si="45"/>
        <v>-2.4649139600387286</v>
      </c>
      <c r="AR51" s="597">
        <f t="shared" si="45"/>
        <v>1.6263321155721955</v>
      </c>
      <c r="AS51" s="597">
        <f t="shared" si="45"/>
        <v>1.6988707828274399</v>
      </c>
      <c r="AT51" s="597">
        <f t="shared" si="45"/>
        <v>1.2230551485172776</v>
      </c>
      <c r="AU51" s="597">
        <f t="shared" si="45"/>
        <v>1.3424114806856318</v>
      </c>
      <c r="AV51" s="597">
        <f t="shared" si="45"/>
        <v>1.5836061490394091</v>
      </c>
      <c r="AW51" s="138"/>
      <c r="AX51" s="138"/>
    </row>
    <row r="52" spans="1:50" s="580" customFormat="1" ht="15" customHeight="1" x14ac:dyDescent="0.2">
      <c r="A52" s="138"/>
      <c r="B52" s="135" t="s">
        <v>184</v>
      </c>
      <c r="C52" s="135"/>
      <c r="D52" s="136">
        <f>+D49+D50+D51</f>
        <v>0</v>
      </c>
      <c r="E52" s="136">
        <f>+E49+E50+E51</f>
        <v>0</v>
      </c>
      <c r="F52" s="136">
        <f>+F49+F50+F51</f>
        <v>0</v>
      </c>
      <c r="G52" s="136">
        <f>+G49+G50+G51</f>
        <v>0</v>
      </c>
      <c r="H52" s="136">
        <f>+H49+H50+H51</f>
        <v>0</v>
      </c>
      <c r="I52" s="136">
        <f t="shared" ref="I52:T52" si="46">+I49+I50+I51</f>
        <v>101.455</v>
      </c>
      <c r="J52" s="136">
        <f t="shared" si="46"/>
        <v>101.05533333333335</v>
      </c>
      <c r="K52" s="136">
        <f t="shared" si="46"/>
        <v>93.143666666666689</v>
      </c>
      <c r="L52" s="136">
        <f>APA!N244</f>
        <v>-193.71166666666667</v>
      </c>
      <c r="M52" s="136">
        <f>APA!O244</f>
        <v>163.07799999999997</v>
      </c>
      <c r="N52" s="136">
        <f>APA!P244</f>
        <v>212.76200000000006</v>
      </c>
      <c r="O52" s="136">
        <f>APA!Q244</f>
        <v>217.39733333333334</v>
      </c>
      <c r="P52" s="136">
        <f t="shared" si="46"/>
        <v>235.87033333333332</v>
      </c>
      <c r="Q52" s="136">
        <f t="shared" si="46"/>
        <v>211.77866666666665</v>
      </c>
      <c r="R52" s="136">
        <f t="shared" si="46"/>
        <v>252.31533333333323</v>
      </c>
      <c r="S52" s="136">
        <f t="shared" si="46"/>
        <v>-746.77033333333338</v>
      </c>
      <c r="T52" s="136">
        <f t="shared" si="46"/>
        <v>715.83333333333303</v>
      </c>
      <c r="U52" s="136">
        <f>+U49+U50+U51</f>
        <v>814.01733333333345</v>
      </c>
      <c r="V52" s="136">
        <f>+V49+V50+V51</f>
        <v>594.04614331182688</v>
      </c>
      <c r="W52" s="136">
        <f>+W49+W50+W51</f>
        <v>733.85059710660767</v>
      </c>
      <c r="X52" s="136">
        <f>+X49+X50+X51</f>
        <v>906.18604259198867</v>
      </c>
      <c r="Y52" s="138"/>
      <c r="Z52" s="572" t="s">
        <v>613</v>
      </c>
      <c r="AA52" s="572"/>
      <c r="AB52" s="572"/>
      <c r="AC52" s="572"/>
      <c r="AD52" s="572"/>
      <c r="AE52" s="572"/>
      <c r="AF52" s="572"/>
      <c r="AG52" s="572"/>
      <c r="AH52" s="572"/>
      <c r="AI52" s="572"/>
      <c r="AJ52" s="572"/>
      <c r="AK52" s="572"/>
      <c r="AL52" s="572"/>
      <c r="AM52" s="572"/>
      <c r="AN52" s="572"/>
      <c r="AO52" s="572"/>
      <c r="AP52" s="572"/>
      <c r="AQ52" s="572"/>
      <c r="AR52" s="602">
        <f>T52/AR27</f>
        <v>3.5906665518830462E-2</v>
      </c>
      <c r="AS52" s="602">
        <f>U52/AS27</f>
        <v>4.25381537681018E-2</v>
      </c>
      <c r="AT52" s="602">
        <f>V52/AT27</f>
        <v>3.2168249242930727E-2</v>
      </c>
      <c r="AU52" s="602">
        <f>W52/AU27</f>
        <v>3.9505103939145671E-2</v>
      </c>
      <c r="AV52" s="602">
        <f>X52/AV27</f>
        <v>4.956192541707382E-2</v>
      </c>
      <c r="AW52" s="138"/>
      <c r="AX52" s="138"/>
    </row>
    <row r="53" spans="1:50" s="580" customFormat="1" ht="15" customHeight="1" x14ac:dyDescent="0.2">
      <c r="A53" s="138"/>
      <c r="Y53" s="138"/>
      <c r="AW53" s="138"/>
      <c r="AX53" s="573"/>
    </row>
    <row r="54" spans="1:50" s="580" customFormat="1" ht="15" customHeight="1" x14ac:dyDescent="0.2">
      <c r="A54" s="138"/>
      <c r="B54" s="130" t="s">
        <v>501</v>
      </c>
      <c r="C54" s="130"/>
      <c r="D54" s="131">
        <v>36707</v>
      </c>
      <c r="E54" s="131">
        <v>37072</v>
      </c>
      <c r="F54" s="131">
        <v>37437</v>
      </c>
      <c r="G54" s="131">
        <v>37802</v>
      </c>
      <c r="H54" s="131">
        <v>38168</v>
      </c>
      <c r="I54" s="131">
        <v>38533</v>
      </c>
      <c r="J54" s="131">
        <v>38898</v>
      </c>
      <c r="K54" s="131">
        <v>39263</v>
      </c>
      <c r="L54" s="131">
        <v>39629</v>
      </c>
      <c r="M54" s="131">
        <v>39994</v>
      </c>
      <c r="N54" s="131">
        <v>40359</v>
      </c>
      <c r="O54" s="131">
        <v>40724</v>
      </c>
      <c r="P54" s="131">
        <v>41090</v>
      </c>
      <c r="Q54" s="131">
        <v>41455</v>
      </c>
      <c r="R54" s="131">
        <v>41820</v>
      </c>
      <c r="S54" s="131">
        <v>42185</v>
      </c>
      <c r="T54" s="131">
        <f>T32</f>
        <v>42551</v>
      </c>
      <c r="U54" s="131">
        <f t="shared" ref="U54:X54" si="47">U32</f>
        <v>42916</v>
      </c>
      <c r="V54" s="132">
        <f t="shared" si="47"/>
        <v>43281</v>
      </c>
      <c r="W54" s="132">
        <f t="shared" si="47"/>
        <v>43646</v>
      </c>
      <c r="X54" s="132">
        <f t="shared" si="47"/>
        <v>44013</v>
      </c>
      <c r="Z54" s="130" t="s">
        <v>502</v>
      </c>
      <c r="AA54" s="130"/>
      <c r="AB54" s="131">
        <v>36707</v>
      </c>
      <c r="AC54" s="131">
        <v>37072</v>
      </c>
      <c r="AD54" s="131">
        <v>37437</v>
      </c>
      <c r="AE54" s="131">
        <v>37802</v>
      </c>
      <c r="AF54" s="131">
        <v>38168</v>
      </c>
      <c r="AG54" s="131">
        <v>38533</v>
      </c>
      <c r="AH54" s="131">
        <v>38898</v>
      </c>
      <c r="AI54" s="131">
        <v>39263</v>
      </c>
      <c r="AJ54" s="131">
        <v>39629</v>
      </c>
      <c r="AK54" s="131">
        <v>39994</v>
      </c>
      <c r="AL54" s="131">
        <v>40359</v>
      </c>
      <c r="AM54" s="131">
        <v>40724</v>
      </c>
      <c r="AN54" s="131">
        <v>41090</v>
      </c>
      <c r="AO54" s="131">
        <v>41455</v>
      </c>
      <c r="AP54" s="131">
        <v>41820</v>
      </c>
      <c r="AQ54" s="131">
        <v>42185</v>
      </c>
      <c r="AR54" s="131">
        <f>AR40</f>
        <v>42551</v>
      </c>
      <c r="AS54" s="131">
        <f>AS40</f>
        <v>42916</v>
      </c>
      <c r="AT54" s="132">
        <f>AT40</f>
        <v>43281</v>
      </c>
      <c r="AU54" s="132">
        <f>AU40</f>
        <v>43646</v>
      </c>
      <c r="AV54" s="132">
        <f>AV40</f>
        <v>44013</v>
      </c>
      <c r="AW54" s="138"/>
      <c r="AX54" s="138"/>
    </row>
    <row r="55" spans="1:50" s="256" customFormat="1" ht="15" customHeight="1" x14ac:dyDescent="0.2">
      <c r="A55" s="133"/>
      <c r="B55" s="574" t="s">
        <v>495</v>
      </c>
      <c r="C55" s="574"/>
      <c r="D55" s="598"/>
      <c r="E55" s="598"/>
      <c r="F55" s="598"/>
      <c r="G55" s="598"/>
      <c r="H55" s="598"/>
      <c r="I55" s="598"/>
      <c r="J55" s="598"/>
      <c r="K55" s="598"/>
      <c r="L55" s="598"/>
      <c r="M55" s="598"/>
      <c r="N55" s="598"/>
      <c r="O55" s="598"/>
      <c r="P55" s="598"/>
      <c r="Q55" s="598"/>
      <c r="R55" s="598"/>
      <c r="S55" s="598"/>
      <c r="T55" s="598"/>
      <c r="U55" s="571"/>
      <c r="V55" s="571"/>
      <c r="W55" s="571"/>
      <c r="X55" s="571"/>
      <c r="Y55" s="138"/>
      <c r="Z55" s="574" t="s">
        <v>462</v>
      </c>
      <c r="AA55" s="574"/>
      <c r="AB55" s="598"/>
      <c r="AC55" s="598"/>
      <c r="AD55" s="598"/>
      <c r="AE55" s="598"/>
      <c r="AF55" s="598"/>
      <c r="AG55" s="598"/>
      <c r="AH55" s="598"/>
      <c r="AI55" s="598"/>
      <c r="AJ55" s="598"/>
      <c r="AK55" s="598"/>
      <c r="AL55" s="598"/>
      <c r="AM55" s="598"/>
      <c r="AN55" s="598"/>
      <c r="AO55" s="598"/>
      <c r="AP55" s="598"/>
      <c r="AQ55" s="598"/>
      <c r="AR55" s="598"/>
      <c r="AS55" s="598"/>
      <c r="AT55" s="598"/>
      <c r="AU55" s="598"/>
      <c r="AV55" s="598"/>
      <c r="AW55" s="138"/>
      <c r="AX55" s="133"/>
    </row>
    <row r="56" spans="1:50" s="256" customFormat="1" ht="15" customHeight="1" x14ac:dyDescent="0.2">
      <c r="A56" s="133"/>
      <c r="B56" s="133" t="s">
        <v>301</v>
      </c>
      <c r="C56" s="133"/>
      <c r="D56" s="569" t="str">
        <f>IF(ISERROR(+APA!F24/APA!C24-1),"n.a.",+APA!F24/APA!C24-1)</f>
        <v>n.a.</v>
      </c>
      <c r="E56" s="569" t="str">
        <f>IF(ISERROR(+APA!G24/APA!F24-1),"n.a.",+APA!G24/APA!F24-1)</f>
        <v>n.a.</v>
      </c>
      <c r="F56" s="569" t="str">
        <f>IF(ISERROR(+APA!H24/APA!G24-1),"n.a.",+APA!H24/APA!G24-1)</f>
        <v>n.a.</v>
      </c>
      <c r="G56" s="569" t="str">
        <f>IF(ISERROR(+APA!I24/APA!H24-1),"n.a.",+APA!I24/APA!H24-1)</f>
        <v>n.a.</v>
      </c>
      <c r="H56" s="569" t="str">
        <f>IF(ISERROR(+APA!J24/APA!I24-1),"n.a.",+APA!J24/APA!I24-1)</f>
        <v>n.a.</v>
      </c>
      <c r="I56" s="569" t="str">
        <f>IF(ISERROR(+APA!K24/APA!J24-1),"n.a.",+APA!K24/APA!J24-1)</f>
        <v>n.a.</v>
      </c>
      <c r="J56" s="569" t="str">
        <f>IF(ISERROR(+APA!L24/APA!K24-1),"n.a.",+APA!L24/APA!K24-1)</f>
        <v>n.a.</v>
      </c>
      <c r="K56" s="569" t="str">
        <f>IF(ISERROR(+APA!M24/APA!L24-1),"n.a.",+APA!M24/APA!L24-1)</f>
        <v>n.a.</v>
      </c>
      <c r="L56" s="569">
        <f>IF(ISERROR(+APA!N24/APA!M24-1),"n.a.",+APA!N24/APA!M24-1)</f>
        <v>0.26984933912561226</v>
      </c>
      <c r="M56" s="569">
        <f>IF(ISERROR(+APA!O24/APA!N24-1),"n.a.",+APA!O24/APA!N24-1)</f>
        <v>4.7727190013465925E-2</v>
      </c>
      <c r="N56" s="569">
        <f>IF(ISERROR(+APA!P24/APA!O24-1),"n.a.",+APA!P24/APA!O24-1)</f>
        <v>5.0450876047296811E-2</v>
      </c>
      <c r="O56" s="569">
        <f>IF(ISERROR(+APA!Q24/APA!P24-1),"n.a.",+APA!Q24/APA!P24-1)</f>
        <v>-0.28766434750403436</v>
      </c>
      <c r="P56" s="569">
        <f>IF(ISERROR(+APA!R24/APA!Q24-1),"n.a.",+APA!R24/APA!Q24-1)</f>
        <v>4.1937460541463967E-2</v>
      </c>
      <c r="Q56" s="575">
        <f>IF(ISERROR(+APA!S44/APA!R44-1),"n.a.",+APA!S44/APA!R44-1)</f>
        <v>1.0580147299097602</v>
      </c>
      <c r="R56" s="575">
        <f>IF(ISERROR(+APA!T44/APA!S44-1),"n.a.",+APA!T44/APA!S44-1)</f>
        <v>0.43182817500061077</v>
      </c>
      <c r="S56" s="575">
        <f>IF(ISERROR(+APA!U44/APA!T44-1),"n.a.",+APA!U44/APA!T44-1)</f>
        <v>0.45070566708891513</v>
      </c>
      <c r="T56" s="575">
        <f>IF(ISERROR(+APA!V44/APA!U44-1),"n.a.",+APA!V44/APA!U44-1)</f>
        <v>1.515951207034937</v>
      </c>
      <c r="U56" s="576">
        <f>IF(ISERROR(+APA!W44/APA!V44-1),"n.a.",+APA!W44/APA!V44-1)</f>
        <v>8.1347070942199284E-2</v>
      </c>
      <c r="V56" s="576">
        <f>IF(ISERROR(+APA!X44/APA!W44-1),"n.a.",+APA!X44/APA!W44-1)</f>
        <v>2.3639014364558619E-2</v>
      </c>
      <c r="W56" s="576">
        <f>IF(ISERROR(+APA!Y44/APA!X44-1),"n.a.",+APA!Y44/APA!X44-1)</f>
        <v>4.3421167418564943E-2</v>
      </c>
      <c r="X56" s="576">
        <f>IF(ISERROR(+APA!Z44/APA!Y44-1),"n.a.",+APA!Z44/APA!Y44-1)</f>
        <v>1.9102082226848394E-2</v>
      </c>
      <c r="Y56" s="138"/>
      <c r="Z56" s="133" t="s">
        <v>301</v>
      </c>
      <c r="AA56" s="133"/>
      <c r="AB56" s="577"/>
      <c r="AC56" s="577"/>
      <c r="AD56" s="577"/>
      <c r="AE56" s="577"/>
      <c r="AF56" s="577"/>
      <c r="AG56" s="577"/>
      <c r="AH56" s="577"/>
      <c r="AI56" s="577"/>
      <c r="AJ56" s="577">
        <f>+APA!N71</f>
        <v>0.70442188011791684</v>
      </c>
      <c r="AK56" s="577">
        <f>+APA!O71</f>
        <v>0.67576523877672945</v>
      </c>
      <c r="AL56" s="577">
        <f>+APA!P71</f>
        <v>0.6831962117404301</v>
      </c>
      <c r="AM56" s="577">
        <f>+APA!Q71</f>
        <v>0.66554944850893161</v>
      </c>
      <c r="AN56" s="577">
        <f>+APA!R71</f>
        <v>0.70898641122744488</v>
      </c>
      <c r="AO56" s="578">
        <f>+APA!S71</f>
        <v>0.7527605387762607</v>
      </c>
      <c r="AP56" s="578">
        <f>+APA!T71</f>
        <v>0.86278413377148599</v>
      </c>
      <c r="AQ56" s="578">
        <f>+APA!U71</f>
        <v>0.87456160199117539</v>
      </c>
      <c r="AR56" s="578">
        <f>+APA!V71</f>
        <v>0.91041136725594529</v>
      </c>
      <c r="AS56" s="578">
        <f>+APA!W71</f>
        <v>0.83035063727759884</v>
      </c>
      <c r="AT56" s="578">
        <f>+APA!X71</f>
        <v>0.83191368207688243</v>
      </c>
      <c r="AU56" s="578">
        <f>+APA!Y71</f>
        <v>0.83113214017934145</v>
      </c>
      <c r="AV56" s="578">
        <f>+APA!Z71</f>
        <v>0.82811777239343431</v>
      </c>
      <c r="AW56" s="133"/>
      <c r="AX56" s="133"/>
    </row>
    <row r="57" spans="1:50" s="256" customFormat="1" ht="15" customHeight="1" x14ac:dyDescent="0.2">
      <c r="A57" s="133"/>
      <c r="B57" s="133" t="s">
        <v>302</v>
      </c>
      <c r="C57" s="133"/>
      <c r="D57" s="569" t="str">
        <f>IF(ISERROR(+APA!F25/APA!C25-1),"n.a.",+APA!F25/APA!C25-1)</f>
        <v>n.a.</v>
      </c>
      <c r="E57" s="569" t="str">
        <f>IF(ISERROR(+APA!G25/APA!F25-1),"n.a.",+APA!G25/APA!F25-1)</f>
        <v>n.a.</v>
      </c>
      <c r="F57" s="569" t="str">
        <f>IF(ISERROR(+APA!H25/APA!G25-1),"n.a.",+APA!H25/APA!G25-1)</f>
        <v>n.a.</v>
      </c>
      <c r="G57" s="569" t="str">
        <f>IF(ISERROR(+APA!I25/APA!H25-1),"n.a.",+APA!I25/APA!H25-1)</f>
        <v>n.a.</v>
      </c>
      <c r="H57" s="569" t="str">
        <f>IF(ISERROR(+APA!J25/APA!I25-1),"n.a.",+APA!J25/APA!I25-1)</f>
        <v>n.a.</v>
      </c>
      <c r="I57" s="569" t="str">
        <f>IF(ISERROR(+APA!K25/APA!J25-1),"n.a.",+APA!K25/APA!J25-1)</f>
        <v>n.a.</v>
      </c>
      <c r="J57" s="569" t="str">
        <f>IF(ISERROR(+APA!L25/APA!K25-1),"n.a.",+APA!L25/APA!K25-1)</f>
        <v>n.a.</v>
      </c>
      <c r="K57" s="569" t="str">
        <f>IF(ISERROR(+APA!M25/APA!L25-1),"n.a.",+APA!M25/APA!L25-1)</f>
        <v>n.a.</v>
      </c>
      <c r="L57" s="569">
        <f>IF(ISERROR(+APA!N25/APA!M25-1),"n.a.",+APA!N25/APA!M25-1)</f>
        <v>8.897585566463273E-2</v>
      </c>
      <c r="M57" s="569">
        <f>IF(ISERROR(+APA!O25/APA!N25-1),"n.a.",+APA!O25/APA!N25-1)</f>
        <v>0.31464178249905594</v>
      </c>
      <c r="N57" s="569">
        <f>IF(ISERROR(+APA!P25/APA!O25-1),"n.a.",+APA!P25/APA!O25-1)</f>
        <v>0.11914933049159049</v>
      </c>
      <c r="O57" s="569">
        <f>IF(ISERROR(+APA!Q25/APA!P25-1),"n.a.",+APA!Q25/APA!P25-1)</f>
        <v>4.8719498563420727E-2</v>
      </c>
      <c r="P57" s="569">
        <f>IF(ISERROR(+APA!R25/APA!Q25-1),"n.a.",+APA!R25/APA!Q25-1)</f>
        <v>9.3054469946390661E-2</v>
      </c>
      <c r="Q57" s="575">
        <f>IF(ISERROR(+APA!S45/APA!R45-1),"n.a.",+APA!S45/APA!R45-1)</f>
        <v>-3.881589418026743E-3</v>
      </c>
      <c r="R57" s="575">
        <f>IF(ISERROR(+APA!T45/APA!S45-1),"n.a.",+APA!T45/APA!S45-1)</f>
        <v>2.5830160040476002E-2</v>
      </c>
      <c r="S57" s="575">
        <f>IF(ISERROR(+APA!U45/APA!T45-1),"n.a.",+APA!U45/APA!T45-1)</f>
        <v>4.5332225769886492E-2</v>
      </c>
      <c r="T57" s="575">
        <f>IF(ISERROR(+APA!V45/APA!U45-1),"n.a.",+APA!V45/APA!U45-1)</f>
        <v>7.4581153565989045E-3</v>
      </c>
      <c r="U57" s="575">
        <f>IF(ISERROR(+APA!W45/APA!V45-1),"n.a.",+APA!W45/APA!V45-1)</f>
        <v>0.22820826726043264</v>
      </c>
      <c r="V57" s="575">
        <f>IF(ISERROR(+APA!X45/APA!W45-1),"n.a.",+APA!X45/APA!W45-1)</f>
        <v>-0.10879358325974686</v>
      </c>
      <c r="W57" s="575">
        <f>IF(ISERROR(+APA!Y45/APA!X45-1),"n.a.",+APA!Y45/APA!X45-1)</f>
        <v>2.4999999999999689E-2</v>
      </c>
      <c r="X57" s="575">
        <f>IF(ISERROR(+APA!Z45/APA!Y45-1),"n.a.",+APA!Z45/APA!Y45-1)</f>
        <v>2.4999999999999911E-2</v>
      </c>
      <c r="Y57" s="133"/>
      <c r="Z57" s="133" t="s">
        <v>302</v>
      </c>
      <c r="AA57" s="133"/>
      <c r="AB57" s="133"/>
      <c r="AC57" s="133"/>
      <c r="AD57" s="133"/>
      <c r="AE57" s="133"/>
      <c r="AF57" s="133"/>
      <c r="AG57" s="133"/>
      <c r="AH57" s="133"/>
      <c r="AI57" s="133"/>
      <c r="AJ57" s="577">
        <f>+APA!N72</f>
        <v>0.81053029103268492</v>
      </c>
      <c r="AK57" s="577">
        <f>+APA!O72</f>
        <v>0.77310846499559838</v>
      </c>
      <c r="AL57" s="577">
        <f>+APA!P72</f>
        <v>0.80184312718902406</v>
      </c>
      <c r="AM57" s="577">
        <f>+APA!Q72</f>
        <v>0.79952943777288277</v>
      </c>
      <c r="AN57" s="577">
        <f>+APA!R72</f>
        <v>0.81692826650679329</v>
      </c>
      <c r="AO57" s="578">
        <f>+APA!S72</f>
        <v>0.8086289934754991</v>
      </c>
      <c r="AP57" s="578">
        <f>+APA!T72</f>
        <v>0.86533536996271176</v>
      </c>
      <c r="AQ57" s="578">
        <f>+APA!U72</f>
        <v>0.87543297728952607</v>
      </c>
      <c r="AR57" s="578">
        <f>+APA!V72</f>
        <v>0.84857802226916834</v>
      </c>
      <c r="AS57" s="578">
        <f>+APA!W72</f>
        <v>0.84934090909090909</v>
      </c>
      <c r="AT57" s="578">
        <f>+APA!X72</f>
        <v>0.83078831737734893</v>
      </c>
      <c r="AU57" s="578">
        <f>+APA!Y72</f>
        <v>0.83078831737734882</v>
      </c>
      <c r="AV57" s="578">
        <f>+APA!Z72</f>
        <v>0.83078831737734871</v>
      </c>
      <c r="AW57" s="133"/>
      <c r="AX57" s="133"/>
    </row>
    <row r="58" spans="1:50" s="256" customFormat="1" ht="15" customHeight="1" x14ac:dyDescent="0.2">
      <c r="A58" s="133"/>
      <c r="B58" s="133" t="s">
        <v>351</v>
      </c>
      <c r="C58" s="133"/>
      <c r="D58" s="569" t="s">
        <v>78</v>
      </c>
      <c r="E58" s="569" t="s">
        <v>78</v>
      </c>
      <c r="F58" s="569" t="s">
        <v>78</v>
      </c>
      <c r="G58" s="569" t="s">
        <v>78</v>
      </c>
      <c r="H58" s="569" t="s">
        <v>78</v>
      </c>
      <c r="I58" s="569" t="s">
        <v>78</v>
      </c>
      <c r="J58" s="569" t="s">
        <v>78</v>
      </c>
      <c r="K58" s="569" t="s">
        <v>78</v>
      </c>
      <c r="L58" s="569">
        <v>0.53162334153809221</v>
      </c>
      <c r="M58" s="569">
        <v>0.32901841272329957</v>
      </c>
      <c r="N58" s="569">
        <v>9.0470046082948841E-3</v>
      </c>
      <c r="O58" s="569">
        <v>0.10490895273726353</v>
      </c>
      <c r="P58" s="569">
        <v>6.6715605552579493E-2</v>
      </c>
      <c r="Q58" s="575">
        <f>IF(ISERROR(+APA!S46/APA!R46-1),"n.a.",+APA!S46/APA!R46-1)</f>
        <v>2.0279887123711315E-2</v>
      </c>
      <c r="R58" s="575">
        <f>IF(ISERROR(+APA!T46/APA!S46-1),"n.a.",+APA!T46/APA!S46-1)</f>
        <v>2.9045107810408588E-2</v>
      </c>
      <c r="S58" s="575">
        <f>IF(ISERROR(+APA!U46/APA!T46-1),"n.a.",+APA!U46/APA!T46-1)</f>
        <v>2.0013164493480451E-2</v>
      </c>
      <c r="T58" s="575">
        <f>IF(ISERROR(+APA!V46/APA!U46-1),"n.a.",+APA!V46/APA!U46-1)</f>
        <v>-7.1982791733886442E-2</v>
      </c>
      <c r="U58" s="575">
        <f>IF(ISERROR(+APA!W46/APA!V46-1),"n.a.",+APA!W46/APA!V46-1)</f>
        <v>1.8278145695364234E-2</v>
      </c>
      <c r="V58" s="575">
        <f>IF(ISERROR(+APA!X46/APA!W46-1),"n.a.",+APA!X46/APA!W46-1)</f>
        <v>8.6526416573797782E-3</v>
      </c>
      <c r="W58" s="575">
        <f>IF(ISERROR(+APA!Y46/APA!X46-1),"n.a.",+APA!Y46/APA!X46-1)</f>
        <v>4.8422321481933484E-3</v>
      </c>
      <c r="X58" s="575">
        <f>IF(ISERROR(+APA!Z46/APA!Y46-1),"n.a.",+APA!Z46/APA!Y46-1)</f>
        <v>0.19282702355778247</v>
      </c>
      <c r="Y58" s="133"/>
      <c r="Z58" s="133" t="s">
        <v>351</v>
      </c>
      <c r="AA58" s="133"/>
      <c r="AB58" s="133"/>
      <c r="AC58" s="133"/>
      <c r="AD58" s="133"/>
      <c r="AE58" s="133"/>
      <c r="AF58" s="133"/>
      <c r="AG58" s="133"/>
      <c r="AH58" s="133"/>
      <c r="AI58" s="133"/>
      <c r="AJ58" s="577">
        <f>+APA!N73</f>
        <v>0.73677351076443665</v>
      </c>
      <c r="AK58" s="577">
        <f>+APA!O73</f>
        <v>0.77989308755760367</v>
      </c>
      <c r="AL58" s="577">
        <f>+APA!P73</f>
        <v>0.75985005699587871</v>
      </c>
      <c r="AM58" s="577">
        <f>+APA!Q73</f>
        <v>0.75566269203552705</v>
      </c>
      <c r="AN58" s="577">
        <f>+APA!R73</f>
        <v>0.75357260209427335</v>
      </c>
      <c r="AO58" s="578">
        <f>+APA!S73</f>
        <v>0.76277816732479609</v>
      </c>
      <c r="AP58" s="578">
        <f>+APA!T73</f>
        <v>0.83046027500667008</v>
      </c>
      <c r="AQ58" s="578">
        <f>+APA!U73</f>
        <v>0.79569905618856651</v>
      </c>
      <c r="AR58" s="578">
        <f>+APA!V73</f>
        <v>0.78958893006778164</v>
      </c>
      <c r="AS58" s="578">
        <f>+APA!W73</f>
        <v>0.78376001936971951</v>
      </c>
      <c r="AT58" s="578">
        <f>+APA!X73</f>
        <v>0.78389652838972024</v>
      </c>
      <c r="AU58" s="578">
        <f>+APA!Y73</f>
        <v>0.78397257469565307</v>
      </c>
      <c r="AV58" s="578">
        <f>+APA!Z73</f>
        <v>0.78651983826180971</v>
      </c>
      <c r="AW58" s="133"/>
      <c r="AX58" s="133"/>
    </row>
    <row r="59" spans="1:50" s="256" customFormat="1" ht="15" customHeight="1" x14ac:dyDescent="0.2">
      <c r="A59" s="133"/>
      <c r="B59" s="133" t="s">
        <v>350</v>
      </c>
      <c r="C59" s="133"/>
      <c r="D59" s="569" t="s">
        <v>78</v>
      </c>
      <c r="E59" s="569" t="s">
        <v>78</v>
      </c>
      <c r="F59" s="569" t="s">
        <v>78</v>
      </c>
      <c r="G59" s="569" t="s">
        <v>78</v>
      </c>
      <c r="H59" s="569" t="s">
        <v>78</v>
      </c>
      <c r="I59" s="569" t="s">
        <v>78</v>
      </c>
      <c r="J59" s="569" t="s">
        <v>78</v>
      </c>
      <c r="K59" s="569" t="s">
        <v>78</v>
      </c>
      <c r="L59" s="569" t="s">
        <v>78</v>
      </c>
      <c r="M59" s="569">
        <v>2.5871172122492236E-2</v>
      </c>
      <c r="N59" s="569">
        <v>3.1909418425115632E-2</v>
      </c>
      <c r="O59" s="569">
        <v>2.1945137157107331E-2</v>
      </c>
      <c r="P59" s="569">
        <v>2.9282576866764387E-2</v>
      </c>
      <c r="Q59" s="575">
        <f>IF(ISERROR(+APA!S47/APA!R47-1),"n.a.",+APA!S47/APA!R47-1)</f>
        <v>0.13872452333990792</v>
      </c>
      <c r="R59" s="575">
        <f>IF(ISERROR(+APA!T47/APA!S47-1),"n.a.",+APA!T47/APA!S47-1)</f>
        <v>0.37413394919168597</v>
      </c>
      <c r="S59" s="575">
        <f>IF(ISERROR(+APA!U47/APA!T47-1),"n.a.",+APA!U47/APA!T47-1)</f>
        <v>-0.18487394957983194</v>
      </c>
      <c r="T59" s="575">
        <f>IF(ISERROR(+APA!V47/APA!U47-1),"n.a.",+APA!V47/APA!U47-1)</f>
        <v>0.18556701030927836</v>
      </c>
      <c r="U59" s="575">
        <f>IF(ISERROR(+APA!W47/APA!V47-1),"n.a.",+APA!W47/APA!V47-1)</f>
        <v>8.2608695652175435E-3</v>
      </c>
      <c r="V59" s="575">
        <f>IF(ISERROR(+APA!X47/APA!W47-1),"n.a.",+APA!X47/APA!W47-1)</f>
        <v>2.4999999999999911E-2</v>
      </c>
      <c r="W59" s="575">
        <f>IF(ISERROR(+APA!Y47/APA!X47-1),"n.a.",+APA!Y47/APA!X47-1)</f>
        <v>2.4999999999999911E-2</v>
      </c>
      <c r="X59" s="575">
        <f>IF(ISERROR(+APA!Z47/APA!Y47-1),"n.a.",+APA!Z47/APA!Y47-1)</f>
        <v>2.4999999999999911E-2</v>
      </c>
      <c r="Y59" s="133"/>
      <c r="Z59" s="133" t="s">
        <v>350</v>
      </c>
      <c r="AA59" s="133"/>
      <c r="AB59" s="133"/>
      <c r="AC59" s="133"/>
      <c r="AD59" s="133"/>
      <c r="AE59" s="133"/>
      <c r="AF59" s="133"/>
      <c r="AG59" s="133"/>
      <c r="AH59" s="133"/>
      <c r="AI59" s="133"/>
      <c r="AJ59" s="577">
        <f>+APA!N74</f>
        <v>0.89757127771911305</v>
      </c>
      <c r="AK59" s="577">
        <f>+APA!O74</f>
        <v>0.88522902727740604</v>
      </c>
      <c r="AL59" s="577">
        <f>+APA!P74</f>
        <v>0.85785536159601006</v>
      </c>
      <c r="AM59" s="577">
        <f>+APA!Q74</f>
        <v>0.7896534895070767</v>
      </c>
      <c r="AN59" s="577">
        <f>+APA!R74</f>
        <v>0.72119487908961588</v>
      </c>
      <c r="AO59" s="578">
        <f>+APA!S74</f>
        <v>0.80036968576709788</v>
      </c>
      <c r="AP59" s="578">
        <f>+APA!T74</f>
        <v>0.88574618533680682</v>
      </c>
      <c r="AQ59" s="578">
        <f>+APA!U74</f>
        <v>0.71192660550458708</v>
      </c>
      <c r="AR59" s="578">
        <f>+APA!V74</f>
        <v>0.80111459421804243</v>
      </c>
      <c r="AS59" s="578">
        <f>+APA!W74</f>
        <v>0.78397565922920887</v>
      </c>
      <c r="AT59" s="578">
        <f>+APA!X74</f>
        <v>0.78397565922920887</v>
      </c>
      <c r="AU59" s="578">
        <f>+APA!Y74</f>
        <v>0.78397565922920887</v>
      </c>
      <c r="AV59" s="578">
        <f>+APA!Z74</f>
        <v>0.78397565922920898</v>
      </c>
      <c r="AW59" s="133"/>
      <c r="AX59" s="133"/>
    </row>
    <row r="60" spans="1:50" s="256" customFormat="1" ht="15" customHeight="1" x14ac:dyDescent="0.2">
      <c r="A60" s="133"/>
      <c r="B60" s="256" t="s">
        <v>333</v>
      </c>
      <c r="D60" s="569" t="s">
        <v>78</v>
      </c>
      <c r="E60" s="569" t="s">
        <v>78</v>
      </c>
      <c r="F60" s="569" t="s">
        <v>78</v>
      </c>
      <c r="G60" s="569" t="s">
        <v>78</v>
      </c>
      <c r="H60" s="569" t="s">
        <v>78</v>
      </c>
      <c r="I60" s="569" t="s">
        <v>78</v>
      </c>
      <c r="J60" s="569" t="s">
        <v>78</v>
      </c>
      <c r="K60" s="569" t="s">
        <v>78</v>
      </c>
      <c r="L60" s="569">
        <v>0.15575063119052257</v>
      </c>
      <c r="M60" s="569">
        <v>-8.0383669189508899E-2</v>
      </c>
      <c r="N60" s="569">
        <v>5.3575996783978397E-2</v>
      </c>
      <c r="O60" s="569">
        <v>-3.4826043220369529E-3</v>
      </c>
      <c r="P60" s="569">
        <v>0.2124920810620774</v>
      </c>
      <c r="Q60" s="575">
        <f>IF(ISERROR(+APA!S48/APA!R48-1),"n.a.",+APA!S48/APA!R48-1)</f>
        <v>0.15829194953874448</v>
      </c>
      <c r="R60" s="575">
        <f>IF(ISERROR(+APA!T48/APA!S48-1),"n.a.",+APA!T48/APA!S48-1)</f>
        <v>0.38952051772319463</v>
      </c>
      <c r="S60" s="575">
        <f>IF(ISERROR(+APA!U48/APA!T48-1),"n.a.",+APA!U48/APA!T48-1)</f>
        <v>0.1252044224041664</v>
      </c>
      <c r="T60" s="575">
        <f>IF(ISERROR(+APA!V48/APA!U48-1),"n.a.",+APA!V48/APA!U48-1)</f>
        <v>2.3301537130063332E-2</v>
      </c>
      <c r="U60" s="575">
        <f>IF(ISERROR(+APA!W48/APA!V48-1),"n.a.",+APA!W48/APA!V48-1)</f>
        <v>7.8903097105139874E-2</v>
      </c>
      <c r="V60" s="575">
        <f>IF(ISERROR(+APA!X48/APA!W48-1),"n.a.",+APA!X48/APA!W48-1)</f>
        <v>7.4908866381591999E-2</v>
      </c>
      <c r="W60" s="575">
        <f>IF(ISERROR(+APA!Y48/APA!X48-1),"n.a.",+APA!Y48/APA!X48-1)</f>
        <v>0.10378860254297995</v>
      </c>
      <c r="X60" s="575">
        <f>IF(ISERROR(+APA!Z48/APA!Y48-1),"n.a.",+APA!Z48/APA!Y48-1)</f>
        <v>7.5867137148233565E-2</v>
      </c>
      <c r="Y60" s="133"/>
      <c r="Z60" s="256" t="s">
        <v>333</v>
      </c>
      <c r="AB60" s="133"/>
      <c r="AC60" s="133"/>
      <c r="AD60" s="133"/>
      <c r="AE60" s="133"/>
      <c r="AF60" s="133"/>
      <c r="AG60" s="133"/>
      <c r="AH60" s="133"/>
      <c r="AI60" s="133"/>
      <c r="AJ60" s="577">
        <f>+APA!N75</f>
        <v>0.74644763197870601</v>
      </c>
      <c r="AK60" s="577">
        <f>+APA!O75</f>
        <v>0.71546248583854111</v>
      </c>
      <c r="AL60" s="577">
        <f>+APA!P75</f>
        <v>0.69929584793090283</v>
      </c>
      <c r="AM60" s="577">
        <f>+APA!Q75</f>
        <v>0.65595260472142747</v>
      </c>
      <c r="AN60" s="577">
        <f>+APA!R75</f>
        <v>0.67405234087020438</v>
      </c>
      <c r="AO60" s="578">
        <f>+APA!S75</f>
        <v>0.6906815388209957</v>
      </c>
      <c r="AP60" s="578">
        <f>+APA!T75</f>
        <v>0.79535198935865703</v>
      </c>
      <c r="AQ60" s="578">
        <f>+APA!U75</f>
        <v>0.79934729971575968</v>
      </c>
      <c r="AR60" s="578">
        <f>+APA!V75</f>
        <v>0.83521638814347299</v>
      </c>
      <c r="AS60" s="578">
        <f>+APA!W75</f>
        <v>0.80459880436571052</v>
      </c>
      <c r="AT60" s="578">
        <f>+APA!X75</f>
        <v>0.7876232459979895</v>
      </c>
      <c r="AU60" s="578">
        <f>+APA!Y75</f>
        <v>0.77812649359343733</v>
      </c>
      <c r="AV60" s="578">
        <f>+APA!Z75</f>
        <v>0.78146058130375107</v>
      </c>
      <c r="AW60" s="133"/>
      <c r="AX60" s="133"/>
    </row>
    <row r="61" spans="1:50" s="580" customFormat="1" ht="15" customHeight="1" x14ac:dyDescent="0.2">
      <c r="A61" s="138"/>
      <c r="B61" s="256" t="s">
        <v>352</v>
      </c>
      <c r="C61" s="256"/>
      <c r="D61" s="569" t="s">
        <v>78</v>
      </c>
      <c r="E61" s="569" t="s">
        <v>78</v>
      </c>
      <c r="F61" s="569" t="s">
        <v>78</v>
      </c>
      <c r="G61" s="569" t="s">
        <v>78</v>
      </c>
      <c r="H61" s="569" t="s">
        <v>78</v>
      </c>
      <c r="I61" s="569" t="s">
        <v>78</v>
      </c>
      <c r="J61" s="569" t="s">
        <v>78</v>
      </c>
      <c r="K61" s="569" t="s">
        <v>78</v>
      </c>
      <c r="L61" s="569">
        <v>0.21659077410413774</v>
      </c>
      <c r="M61" s="569">
        <v>-5.679414157851892E-2</v>
      </c>
      <c r="N61" s="569">
        <v>-0.35346215780998391</v>
      </c>
      <c r="O61" s="569">
        <v>0.23198719089130027</v>
      </c>
      <c r="P61" s="569">
        <v>0.56924187725631792</v>
      </c>
      <c r="Q61" s="575">
        <f>IF(ISERROR(+APA!S49/APA!R49-1),"n.a.",+APA!S49/APA!R49-1)</f>
        <v>0.37548296452406027</v>
      </c>
      <c r="R61" s="575">
        <f>IF(ISERROR(+APA!T49/APA!S49-1),"n.a.",+APA!T49/APA!S49-1)</f>
        <v>0.29502894109635691</v>
      </c>
      <c r="S61" s="575">
        <f>IF(ISERROR(+APA!U49/APA!T49-1),"n.a.",+APA!U49/APA!T49-1)</f>
        <v>0.18009727882213755</v>
      </c>
      <c r="T61" s="575">
        <f>IF(ISERROR(+APA!V49/APA!U49-1),"n.a.",+APA!V49/APA!U49-1)</f>
        <v>-2.7514759942074196E-2</v>
      </c>
      <c r="U61" s="575">
        <f>IF(ISERROR(+APA!W49/APA!V49-1),"n.a.",+APA!W49/APA!V49-1)</f>
        <v>7.5085910652920917E-2</v>
      </c>
      <c r="V61" s="575">
        <f>IF(ISERROR(+APA!X49/APA!W49-1),"n.a.",+APA!X49/APA!W49-1)</f>
        <v>1.0068723030206117E-2</v>
      </c>
      <c r="W61" s="575">
        <f>IF(ISERROR(+APA!Y49/APA!X49-1),"n.a.",+APA!Y49/APA!X49-1)</f>
        <v>4.2194092827005925E-3</v>
      </c>
      <c r="X61" s="575">
        <f>IF(ISERROR(+APA!Z49/APA!Y49-1),"n.a.",+APA!Z49/APA!Y49-1)</f>
        <v>1.26050420168069E-2</v>
      </c>
      <c r="Y61" s="133"/>
      <c r="Z61" s="256" t="s">
        <v>352</v>
      </c>
      <c r="AA61" s="256"/>
      <c r="AB61" s="133"/>
      <c r="AC61" s="133"/>
      <c r="AD61" s="133"/>
      <c r="AE61" s="133"/>
      <c r="AF61" s="133"/>
      <c r="AG61" s="133"/>
      <c r="AH61" s="133"/>
      <c r="AI61" s="133"/>
      <c r="AJ61" s="577">
        <f>+APA!N76</f>
        <v>0.16354759967453217</v>
      </c>
      <c r="AK61" s="577">
        <f>+APA!O76</f>
        <v>0.17080745341614906</v>
      </c>
      <c r="AL61" s="577">
        <f>+APA!P76</f>
        <v>0.17238925458103538</v>
      </c>
      <c r="AM61" s="577">
        <f>+APA!Q76</f>
        <v>0.40274368231046936</v>
      </c>
      <c r="AN61" s="577">
        <f>+APA!R76</f>
        <v>0.39297874298334406</v>
      </c>
      <c r="AO61" s="578">
        <f>+APA!S76</f>
        <v>0.51076040172166426</v>
      </c>
      <c r="AP61" s="578">
        <f>+APA!T76</f>
        <v>0.61227528643810647</v>
      </c>
      <c r="AQ61" s="578">
        <f>+APA!U76</f>
        <v>0.64404347670122331</v>
      </c>
      <c r="AR61" s="578">
        <f>+APA!V76</f>
        <v>0.60534618451617384</v>
      </c>
      <c r="AS61" s="578">
        <f>+APA!W76</f>
        <v>0.60684727789990955</v>
      </c>
      <c r="AT61" s="578">
        <f>+APA!X76</f>
        <v>0.84642857142857153</v>
      </c>
      <c r="AU61" s="578">
        <f>+APA!Y76</f>
        <v>0.84622222222222232</v>
      </c>
      <c r="AV61" s="578">
        <f>+APA!Z76</f>
        <v>0.84561403508771948</v>
      </c>
      <c r="AW61" s="133"/>
      <c r="AX61" s="138"/>
    </row>
    <row r="62" spans="1:50" s="580" customFormat="1" ht="15" customHeight="1" x14ac:dyDescent="0.2">
      <c r="A62" s="138"/>
      <c r="B62" s="135" t="s">
        <v>459</v>
      </c>
      <c r="C62" s="135"/>
      <c r="D62" s="603" t="str">
        <f>IF(ISERROR(+APA!F23/APA!C23-1),"n.a.",+APA!F23/APA!C23-1)</f>
        <v>n.a.</v>
      </c>
      <c r="E62" s="603" t="str">
        <f>IF(ISERROR(+APA!G23/APA!F23-1),"n.a.",+APA!G23/APA!F23-1)</f>
        <v>n.a.</v>
      </c>
      <c r="F62" s="603" t="str">
        <f>IF(ISERROR(+APA!H23/APA!G23-1),"n.a.",+APA!H23/APA!G23-1)</f>
        <v>n.a.</v>
      </c>
      <c r="G62" s="603" t="str">
        <f>IF(ISERROR(+APA!I23/APA!H23-1),"n.a.",+APA!I23/APA!H23-1)</f>
        <v>n.a.</v>
      </c>
      <c r="H62" s="603" t="str">
        <f>IF(ISERROR(+APA!J23/APA!I23-1),"n.a.",+APA!J23/APA!I23-1)</f>
        <v>n.a.</v>
      </c>
      <c r="I62" s="603" t="str">
        <f>IF(ISERROR(+APA!K23/APA!J23-1),"n.a.",+APA!K23/APA!J23-1)</f>
        <v>n.a.</v>
      </c>
      <c r="J62" s="603" t="str">
        <f>IF(ISERROR(+APA!L23/APA!K23-1),"n.a.",+APA!L23/APA!K23-1)</f>
        <v>n.a.</v>
      </c>
      <c r="K62" s="603" t="str">
        <f>IF(ISERROR(+APA!M23/APA!L23-1),"n.a.",+APA!M23/APA!L23-1)</f>
        <v>n.a.</v>
      </c>
      <c r="L62" s="603">
        <f>IF(ISERROR(+APA!N23/APA!M23-1),"n.a.",+APA!N23/APA!M23-1)</f>
        <v>0.24499842669941829</v>
      </c>
      <c r="M62" s="603">
        <f>IF(ISERROR(+APA!O23/APA!N23-1),"n.a.",+APA!O23/APA!N23-1)</f>
        <v>0.10803385076963234</v>
      </c>
      <c r="N62" s="603">
        <f>IF(ISERROR(+APA!P23/APA!O23-1),"n.a.",+APA!P23/APA!O23-1)</f>
        <v>4.1559669479864558E-2</v>
      </c>
      <c r="O62" s="603">
        <f>IF(ISERROR(+APA!Q23/APA!P23-1),"n.a.",+APA!Q23/APA!P23-1)</f>
        <v>-3.7273432105131898E-2</v>
      </c>
      <c r="P62" s="603">
        <f>IF(ISERROR(+APA!R23/APA!Q23-1),"n.a.",+APA!R23/APA!Q23-1)</f>
        <v>0.11898018036528013</v>
      </c>
      <c r="Q62" s="604">
        <f>IF(ISERROR(+APA!S43/APA!R43-1),"n.a.",+APA!S43/APA!R43-1)</f>
        <v>0.24499855096089429</v>
      </c>
      <c r="R62" s="604">
        <f>IF(ISERROR(+APA!T43/APA!S43-1),"n.a.",+APA!T43/APA!S43-1)</f>
        <v>0.24424193598251254</v>
      </c>
      <c r="S62" s="604">
        <f>IF(ISERROR(+APA!U43/APA!T43-1),"n.a.",+APA!U43/APA!T43-1)</f>
        <v>0.20377821787966699</v>
      </c>
      <c r="T62" s="604">
        <f>IF(ISERROR(+APA!V43/APA!U43-1),"n.a.",+APA!V43/APA!U43-1)</f>
        <v>0.62162293423926696</v>
      </c>
      <c r="U62" s="604">
        <f>IF(ISERROR(+APA!W43/APA!V43-1),"n.a.",+APA!W43/APA!V43-1)</f>
        <v>8.842001227930929E-2</v>
      </c>
      <c r="V62" s="604">
        <f>IF(ISERROR(+APA!X43/APA!W43-1),"n.a.",+APA!X43/APA!W43-1)</f>
        <v>1.6858045050065051E-2</v>
      </c>
      <c r="W62" s="604">
        <f>IF(ISERROR(+APA!Y43/APA!X43-1),"n.a.",+APA!Y43/APA!X43-1)</f>
        <v>4.8294329855562035E-2</v>
      </c>
      <c r="X62" s="604">
        <f>IF(ISERROR(+APA!Z43/APA!Y43-1),"n.a.",+APA!Z43/APA!Y43-1)</f>
        <v>4.3730639312028474E-2</v>
      </c>
      <c r="Y62" s="133"/>
      <c r="Z62" s="135" t="s">
        <v>461</v>
      </c>
      <c r="AA62" s="135"/>
      <c r="AB62" s="605"/>
      <c r="AC62" s="605"/>
      <c r="AD62" s="605"/>
      <c r="AE62" s="605"/>
      <c r="AF62" s="605"/>
      <c r="AG62" s="605"/>
      <c r="AH62" s="605"/>
      <c r="AI62" s="605"/>
      <c r="AJ62" s="606">
        <f>+APA!N70</f>
        <v>0.72207026154448217</v>
      </c>
      <c r="AK62" s="606">
        <f>+APA!O70</f>
        <v>0.71565482278322678</v>
      </c>
      <c r="AL62" s="606">
        <f>+APA!P70</f>
        <v>0.7216051683000102</v>
      </c>
      <c r="AM62" s="606">
        <f>+APA!Q70</f>
        <v>0.71293632914829141</v>
      </c>
      <c r="AN62" s="606">
        <f>+APA!R70</f>
        <v>0.72408332158419852</v>
      </c>
      <c r="AO62" s="607">
        <f>+APA!S82</f>
        <v>0.50815198382100624</v>
      </c>
      <c r="AP62" s="607">
        <f>+APA!T82</f>
        <v>0.49944473189429489</v>
      </c>
      <c r="AQ62" s="607">
        <f>+APA!U82</f>
        <v>0.52861165732823134</v>
      </c>
      <c r="AR62" s="607">
        <f>+APA!V82</f>
        <v>0.63530604916955702</v>
      </c>
      <c r="AS62" s="607">
        <f>+APA!W82</f>
        <v>0.63192458799356932</v>
      </c>
      <c r="AT62" s="607">
        <f>+APA!X82</f>
        <v>0.6271192154636025</v>
      </c>
      <c r="AU62" s="607">
        <f>+APA!Y82</f>
        <v>0.62779044063634459</v>
      </c>
      <c r="AV62" s="607">
        <f>+APA!Z82</f>
        <v>0.62889058523403885</v>
      </c>
      <c r="AW62" s="138"/>
      <c r="AX62" s="138"/>
    </row>
    <row r="63" spans="1:50" s="580" customFormat="1" ht="15" customHeight="1" x14ac:dyDescent="0.2">
      <c r="A63" s="138"/>
      <c r="B63" s="608"/>
      <c r="D63" s="138"/>
      <c r="E63" s="138"/>
      <c r="F63" s="138"/>
      <c r="G63" s="138"/>
      <c r="H63" s="138"/>
      <c r="I63" s="138"/>
      <c r="J63" s="138"/>
      <c r="K63" s="138"/>
      <c r="L63" s="138"/>
      <c r="M63" s="138"/>
      <c r="N63" s="138"/>
      <c r="O63" s="138"/>
      <c r="P63" s="138"/>
      <c r="Q63" s="609"/>
      <c r="R63" s="138"/>
      <c r="S63" s="138"/>
      <c r="T63" s="138"/>
      <c r="U63" s="138"/>
      <c r="V63" s="138"/>
      <c r="W63" s="138"/>
      <c r="X63" s="138"/>
      <c r="Y63" s="138"/>
      <c r="AW63" s="138"/>
      <c r="AX63" s="138"/>
    </row>
    <row r="64" spans="1:50" s="580" customFormat="1" ht="15" customHeight="1" x14ac:dyDescent="0.2">
      <c r="A64" s="138"/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609"/>
      <c r="R64" s="138"/>
      <c r="S64" s="138"/>
      <c r="T64" s="138"/>
      <c r="U64" s="138"/>
      <c r="V64" s="138"/>
      <c r="W64" s="138"/>
      <c r="X64" s="138"/>
      <c r="Y64" s="138"/>
      <c r="AW64" s="138"/>
      <c r="AX64" s="138"/>
    </row>
    <row r="65" spans="1:50" s="580" customFormat="1" ht="15" customHeight="1" x14ac:dyDescent="0.2">
      <c r="A65" s="138"/>
      <c r="B65" s="138"/>
      <c r="C65" s="138"/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AW65" s="138"/>
      <c r="AX65" s="138"/>
    </row>
    <row r="66" spans="1:50" s="580" customFormat="1" ht="15" customHeight="1" x14ac:dyDescent="0.2">
      <c r="A66" s="138"/>
      <c r="B66" s="138"/>
      <c r="C66" s="138"/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AW66" s="138"/>
      <c r="AX66" s="138"/>
    </row>
    <row r="67" spans="1:50" s="580" customFormat="1" ht="15" customHeight="1" x14ac:dyDescent="0.2">
      <c r="A67" s="138"/>
      <c r="B67" s="138"/>
      <c r="C67" s="138"/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AW67" s="138"/>
      <c r="AX67" s="138"/>
    </row>
    <row r="68" spans="1:50" s="580" customFormat="1" ht="15" customHeight="1" x14ac:dyDescent="0.2">
      <c r="A68" s="138"/>
      <c r="B68" s="138"/>
      <c r="C68" s="138"/>
      <c r="D68" s="138"/>
      <c r="E68" s="138"/>
      <c r="F68" s="138"/>
      <c r="G68" s="138"/>
      <c r="H68" s="138"/>
      <c r="I68" s="138"/>
      <c r="J68" s="138"/>
      <c r="K68" s="138"/>
      <c r="L68" s="138"/>
      <c r="M68" s="138"/>
      <c r="N68" s="138"/>
      <c r="O68" s="138"/>
      <c r="P68" s="138"/>
      <c r="Q68" s="138"/>
      <c r="R68" s="138"/>
      <c r="S68" s="138"/>
      <c r="T68" s="138"/>
      <c r="U68" s="138"/>
      <c r="V68" s="138"/>
      <c r="W68" s="138"/>
      <c r="X68" s="138"/>
      <c r="Y68" s="138"/>
      <c r="AW68" s="138"/>
      <c r="AX68" s="138"/>
    </row>
    <row r="69" spans="1:50" s="580" customFormat="1" ht="15" customHeight="1" x14ac:dyDescent="0.2">
      <c r="A69" s="138"/>
      <c r="B69" s="138"/>
      <c r="C69" s="138"/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AW69" s="138"/>
      <c r="AX69" s="138"/>
    </row>
    <row r="70" spans="1:50" s="580" customFormat="1" ht="15" customHeight="1" x14ac:dyDescent="0.2">
      <c r="A70" s="138"/>
      <c r="B70" s="138"/>
      <c r="C70" s="138"/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AW70" s="138"/>
      <c r="AX70" s="138"/>
    </row>
    <row r="71" spans="1:50" s="580" customFormat="1" ht="15" customHeight="1" x14ac:dyDescent="0.2">
      <c r="A71" s="138"/>
      <c r="B71" s="138"/>
      <c r="C71" s="138"/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AW71" s="138"/>
      <c r="AX71" s="138"/>
    </row>
    <row r="72" spans="1:50" s="580" customFormat="1" ht="15" customHeight="1" x14ac:dyDescent="0.2">
      <c r="A72" s="138"/>
      <c r="B72" s="138"/>
      <c r="C72" s="138"/>
      <c r="D72" s="138"/>
      <c r="E72" s="138"/>
      <c r="F72" s="138"/>
      <c r="G72" s="138"/>
      <c r="H72" s="138"/>
      <c r="I72" s="138"/>
      <c r="J72" s="138"/>
      <c r="K72" s="138"/>
      <c r="L72" s="138"/>
      <c r="M72" s="138"/>
      <c r="N72" s="138"/>
      <c r="O72" s="138"/>
      <c r="P72" s="138"/>
      <c r="Q72" s="138"/>
      <c r="R72" s="138"/>
      <c r="S72" s="138"/>
      <c r="T72" s="138"/>
      <c r="U72" s="138"/>
      <c r="V72" s="138"/>
      <c r="W72" s="138"/>
      <c r="X72" s="138"/>
      <c r="Y72" s="138"/>
      <c r="AW72" s="138"/>
      <c r="AX72" s="138"/>
    </row>
    <row r="73" spans="1:50" s="580" customFormat="1" ht="15" customHeight="1" x14ac:dyDescent="0.2">
      <c r="A73" s="138"/>
      <c r="B73" s="138"/>
      <c r="C73" s="138"/>
      <c r="D73" s="138"/>
      <c r="E73" s="138"/>
      <c r="F73" s="138"/>
      <c r="G73" s="138"/>
      <c r="H73" s="138"/>
      <c r="I73" s="138"/>
      <c r="J73" s="138"/>
      <c r="K73" s="138"/>
      <c r="L73" s="138"/>
      <c r="M73" s="138"/>
      <c r="N73" s="138"/>
      <c r="O73" s="138"/>
      <c r="P73" s="138"/>
      <c r="Q73" s="138"/>
      <c r="R73" s="138"/>
      <c r="S73" s="138"/>
      <c r="T73" s="138"/>
      <c r="U73" s="138"/>
      <c r="V73" s="138"/>
      <c r="W73" s="138"/>
      <c r="X73" s="138"/>
      <c r="Y73" s="138"/>
      <c r="AW73" s="138"/>
      <c r="AX73" s="138"/>
    </row>
    <row r="74" spans="1:50" s="580" customFormat="1" ht="15" customHeight="1" x14ac:dyDescent="0.2">
      <c r="A74" s="138"/>
      <c r="B74" s="138"/>
      <c r="C74" s="138"/>
      <c r="D74" s="138"/>
      <c r="E74" s="138"/>
      <c r="F74" s="138"/>
      <c r="G74" s="138"/>
      <c r="H74" s="138"/>
      <c r="I74" s="138"/>
      <c r="J74" s="138"/>
      <c r="K74" s="138"/>
      <c r="L74" s="138"/>
      <c r="M74" s="138"/>
      <c r="N74" s="138"/>
      <c r="O74" s="138"/>
      <c r="P74" s="138"/>
      <c r="Q74" s="138"/>
      <c r="R74" s="138"/>
      <c r="S74" s="138"/>
      <c r="T74" s="138"/>
      <c r="U74" s="138"/>
      <c r="V74" s="138"/>
      <c r="W74" s="138"/>
      <c r="X74" s="138"/>
      <c r="Y74" s="138"/>
      <c r="AW74" s="138"/>
      <c r="AX74" s="138"/>
    </row>
    <row r="75" spans="1:50" s="580" customFormat="1" ht="15" customHeight="1" x14ac:dyDescent="0.2">
      <c r="A75" s="138"/>
      <c r="B75" s="138"/>
      <c r="C75" s="138"/>
      <c r="D75" s="138"/>
      <c r="E75" s="138"/>
      <c r="F75" s="138"/>
      <c r="G75" s="138"/>
      <c r="H75" s="138"/>
      <c r="I75" s="138"/>
      <c r="J75" s="138"/>
      <c r="K75" s="138"/>
      <c r="L75" s="138"/>
      <c r="M75" s="138"/>
      <c r="N75" s="138"/>
      <c r="O75" s="138"/>
      <c r="P75" s="138"/>
      <c r="Q75" s="138"/>
      <c r="R75" s="138"/>
      <c r="S75" s="138"/>
      <c r="T75" s="138"/>
      <c r="U75" s="138"/>
      <c r="V75" s="138"/>
      <c r="W75" s="138"/>
      <c r="X75" s="138"/>
      <c r="Y75" s="138"/>
      <c r="AW75" s="138"/>
      <c r="AX75" s="138"/>
    </row>
    <row r="76" spans="1:50" s="580" customFormat="1" ht="15" customHeight="1" x14ac:dyDescent="0.2">
      <c r="A76" s="138"/>
      <c r="B76" s="138"/>
      <c r="C76" s="138"/>
      <c r="D76" s="138"/>
      <c r="E76" s="138"/>
      <c r="F76" s="138"/>
      <c r="G76" s="138"/>
      <c r="H76" s="138"/>
      <c r="I76" s="138"/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AW76" s="138"/>
      <c r="AX76" s="138"/>
    </row>
    <row r="77" spans="1:50" s="580" customFormat="1" ht="15" customHeight="1" x14ac:dyDescent="0.2">
      <c r="A77" s="138"/>
      <c r="B77" s="138"/>
      <c r="C77" s="138"/>
      <c r="D77" s="138"/>
      <c r="E77" s="138"/>
      <c r="F77" s="138"/>
      <c r="G77" s="138"/>
      <c r="H77" s="138"/>
      <c r="I77" s="138"/>
      <c r="J77" s="138"/>
      <c r="K77" s="138"/>
      <c r="L77" s="138"/>
      <c r="M77" s="138"/>
      <c r="N77" s="138"/>
      <c r="O77" s="138"/>
      <c r="P77" s="138"/>
      <c r="Q77" s="138"/>
      <c r="R77" s="138"/>
      <c r="S77" s="138"/>
      <c r="T77" s="138"/>
      <c r="U77" s="138"/>
      <c r="V77" s="138"/>
      <c r="W77" s="138"/>
      <c r="X77" s="138"/>
      <c r="Y77" s="138"/>
      <c r="AW77" s="138"/>
      <c r="AX77" s="138"/>
    </row>
    <row r="78" spans="1:50" s="580" customFormat="1" ht="15" customHeight="1" x14ac:dyDescent="0.2">
      <c r="A78" s="138"/>
      <c r="B78" s="138"/>
      <c r="C78" s="138"/>
      <c r="D78" s="138"/>
      <c r="E78" s="138"/>
      <c r="F78" s="138"/>
      <c r="G78" s="138"/>
      <c r="H78" s="138"/>
      <c r="I78" s="138"/>
      <c r="J78" s="138"/>
      <c r="K78" s="138"/>
      <c r="L78" s="138"/>
      <c r="M78" s="138"/>
      <c r="N78" s="138"/>
      <c r="O78" s="138"/>
      <c r="P78" s="138"/>
      <c r="Q78" s="138"/>
      <c r="R78" s="138"/>
      <c r="S78" s="138"/>
      <c r="T78" s="138"/>
      <c r="U78" s="138"/>
      <c r="V78" s="138"/>
      <c r="W78" s="138"/>
      <c r="X78" s="138"/>
      <c r="Y78" s="138"/>
      <c r="AW78" s="138"/>
      <c r="AX78" s="138"/>
    </row>
    <row r="79" spans="1:50" s="580" customFormat="1" ht="15" customHeight="1" x14ac:dyDescent="0.2">
      <c r="A79" s="138"/>
      <c r="B79" s="138"/>
      <c r="C79" s="138"/>
      <c r="D79" s="138"/>
      <c r="E79" s="138"/>
      <c r="F79" s="138"/>
      <c r="G79" s="138"/>
      <c r="H79" s="138"/>
      <c r="I79" s="138"/>
      <c r="J79" s="138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38"/>
      <c r="Y79" s="138"/>
      <c r="AW79" s="138"/>
      <c r="AX79" s="138"/>
    </row>
    <row r="80" spans="1:50" s="580" customFormat="1" ht="15" customHeight="1" x14ac:dyDescent="0.2">
      <c r="A80" s="138"/>
      <c r="B80" s="574" t="s">
        <v>185</v>
      </c>
      <c r="C80" s="574"/>
      <c r="D80" s="598"/>
      <c r="E80" s="598"/>
      <c r="F80" s="598"/>
      <c r="G80" s="598"/>
      <c r="H80" s="598"/>
      <c r="I80" s="598"/>
      <c r="J80" s="598"/>
      <c r="K80" s="598"/>
      <c r="L80" s="598"/>
      <c r="M80" s="598"/>
      <c r="N80" s="598"/>
      <c r="O80" s="598"/>
      <c r="P80" s="598"/>
      <c r="Q80" s="598"/>
      <c r="R80" s="598"/>
      <c r="S80" s="598"/>
      <c r="T80" s="598"/>
      <c r="U80" s="598"/>
      <c r="V80" s="598"/>
      <c r="W80" s="598"/>
      <c r="X80" s="598"/>
      <c r="Y80" s="138"/>
      <c r="Z80" s="574" t="s">
        <v>185</v>
      </c>
      <c r="AA80" s="574"/>
      <c r="AB80" s="598"/>
      <c r="AC80" s="598"/>
      <c r="AD80" s="598"/>
      <c r="AE80" s="598"/>
      <c r="AF80" s="598"/>
      <c r="AG80" s="598"/>
      <c r="AH80" s="598"/>
      <c r="AI80" s="598"/>
      <c r="AJ80" s="598"/>
      <c r="AK80" s="598"/>
      <c r="AL80" s="598"/>
      <c r="AM80" s="598"/>
      <c r="AN80" s="598"/>
      <c r="AO80" s="598"/>
      <c r="AP80" s="598"/>
      <c r="AQ80" s="598"/>
      <c r="AR80" s="598"/>
      <c r="AS80" s="598"/>
      <c r="AT80" s="598"/>
      <c r="AU80" s="598"/>
      <c r="AV80" s="598"/>
      <c r="AW80" s="138"/>
      <c r="AX80" s="138"/>
    </row>
    <row r="81" spans="1:50" s="580" customFormat="1" ht="15" customHeight="1" x14ac:dyDescent="0.2">
      <c r="A81" s="138"/>
      <c r="B81" s="610" t="s">
        <v>79</v>
      </c>
      <c r="C81" s="610"/>
      <c r="D81" s="611" t="b">
        <f>IF(ABS(D13-(APA!F90))&lt;0.001,TRUE,FALSE)</f>
        <v>1</v>
      </c>
      <c r="E81" s="611" t="b">
        <f>IF(ABS(E13-(APA!G90))&lt;0.001,TRUE,FALSE)</f>
        <v>1</v>
      </c>
      <c r="F81" s="611" t="b">
        <f>IF(ABS(F13-(APA!H90))&lt;0.001,TRUE,FALSE)</f>
        <v>1</v>
      </c>
      <c r="G81" s="611" t="b">
        <f>IF(ABS(G13-(APA!I90))&lt;0.001,TRUE,FALSE)</f>
        <v>1</v>
      </c>
      <c r="H81" s="611" t="b">
        <f>IF(ABS(H13-(APA!J90))&lt;0.001,TRUE,FALSE)</f>
        <v>1</v>
      </c>
      <c r="I81" s="611" t="b">
        <f>IF(ABS(I13-(APA!K90))&lt;0.001,TRUE,FALSE)</f>
        <v>1</v>
      </c>
      <c r="J81" s="611" t="b">
        <f>IF(ABS(J13-(APA!L90))&lt;0.001,TRUE,FALSE)</f>
        <v>1</v>
      </c>
      <c r="K81" s="611" t="b">
        <f>IF(ABS(K13-(APA!M90))&lt;0.001,TRUE,FALSE)</f>
        <v>1</v>
      </c>
      <c r="L81" s="611" t="b">
        <f>IF(ABS(L13-(APA!N90))&lt;0.001,TRUE,FALSE)</f>
        <v>1</v>
      </c>
      <c r="M81" s="611" t="b">
        <f>IF(ABS(M13-(APA!O90))&lt;0.001,TRUE,FALSE)</f>
        <v>1</v>
      </c>
      <c r="N81" s="611" t="b">
        <f>IF(ABS(N13-(APA!P90))&lt;0.001,TRUE,FALSE)</f>
        <v>1</v>
      </c>
      <c r="O81" s="611" t="b">
        <f>IF(ABS(O13-(APA!Q90))&lt;0.001,TRUE,FALSE)</f>
        <v>1</v>
      </c>
      <c r="P81" s="611" t="b">
        <f>IF(ABS(P13-(APA!R90))&lt;0.001,TRUE,FALSE)</f>
        <v>1</v>
      </c>
      <c r="Q81" s="611" t="b">
        <f>IF(ABS(Q13-(APA!S90))&lt;0.001,TRUE,FALSE)</f>
        <v>1</v>
      </c>
      <c r="R81" s="611" t="b">
        <f>IF(ABS(R13-(APA!T90))&lt;0.001,TRUE,FALSE)</f>
        <v>1</v>
      </c>
      <c r="S81" s="611" t="b">
        <f>IF(ABS(S13-(APA!U90))&lt;0.001,TRUE,FALSE)</f>
        <v>1</v>
      </c>
      <c r="T81" s="611" t="b">
        <f>IF(ABS(T13-(APA!V90))&lt;0.001,TRUE,FALSE)</f>
        <v>1</v>
      </c>
      <c r="U81" s="611" t="b">
        <f>IF(ABS(U13-(APA!W90))&lt;0.001,TRUE,FALSE)</f>
        <v>1</v>
      </c>
      <c r="V81" s="611" t="b">
        <f>IF(ABS(V13-(APA!X90))&lt;0.001,TRUE,FALSE)</f>
        <v>1</v>
      </c>
      <c r="W81" s="611" t="b">
        <f>IF(ABS(W13-(APA!Y90))&lt;0.001,TRUE,FALSE)</f>
        <v>1</v>
      </c>
      <c r="X81" s="611" t="b">
        <f>IF(ABS(X13-(APA!Z90))&lt;0.001,TRUE,FALSE)</f>
        <v>1</v>
      </c>
      <c r="Z81" s="138" t="s">
        <v>186</v>
      </c>
      <c r="AA81" s="138"/>
      <c r="AB81" s="611" t="b">
        <f t="shared" ref="AB81:AM81" si="48">IF(ABS(AB12-AB16-AB19)&lt;0.001,TRUE,FALSE)</f>
        <v>1</v>
      </c>
      <c r="AC81" s="611" t="b">
        <f t="shared" si="48"/>
        <v>1</v>
      </c>
      <c r="AD81" s="611" t="b">
        <f t="shared" si="48"/>
        <v>1</v>
      </c>
      <c r="AE81" s="611" t="b">
        <f t="shared" si="48"/>
        <v>1</v>
      </c>
      <c r="AF81" s="611" t="b">
        <f t="shared" si="48"/>
        <v>1</v>
      </c>
      <c r="AG81" s="611" t="b">
        <f t="shared" si="48"/>
        <v>1</v>
      </c>
      <c r="AH81" s="611" t="b">
        <f t="shared" si="48"/>
        <v>1</v>
      </c>
      <c r="AI81" s="611" t="b">
        <f t="shared" si="48"/>
        <v>1</v>
      </c>
      <c r="AJ81" s="611" t="b">
        <f t="shared" si="48"/>
        <v>1</v>
      </c>
      <c r="AK81" s="611" t="b">
        <f t="shared" si="48"/>
        <v>1</v>
      </c>
      <c r="AL81" s="611" t="b">
        <f t="shared" si="48"/>
        <v>1</v>
      </c>
      <c r="AM81" s="611" t="b">
        <f t="shared" si="48"/>
        <v>1</v>
      </c>
      <c r="AN81" s="611" t="b">
        <f t="shared" ref="AN81:AU81" si="49">IF(ABS(AN12-AN16-AN19)&lt;1,TRUE,FALSE)</f>
        <v>1</v>
      </c>
      <c r="AO81" s="611" t="b">
        <f t="shared" si="49"/>
        <v>1</v>
      </c>
      <c r="AP81" s="611" t="b">
        <f t="shared" si="49"/>
        <v>1</v>
      </c>
      <c r="AQ81" s="611" t="b">
        <f t="shared" si="49"/>
        <v>1</v>
      </c>
      <c r="AR81" s="611" t="b">
        <f t="shared" si="49"/>
        <v>1</v>
      </c>
      <c r="AS81" s="611" t="b">
        <f t="shared" si="49"/>
        <v>1</v>
      </c>
      <c r="AT81" s="611" t="b">
        <f t="shared" si="49"/>
        <v>1</v>
      </c>
      <c r="AU81" s="611" t="b">
        <f t="shared" si="49"/>
        <v>1</v>
      </c>
      <c r="AV81" s="611" t="b">
        <f>IF(ABS(AV12-AV16-AV19)&lt;1,TRUE,FALSE)</f>
        <v>1</v>
      </c>
      <c r="AW81" s="138"/>
      <c r="AX81" s="138"/>
    </row>
    <row r="82" spans="1:50" s="580" customFormat="1" ht="15" customHeight="1" x14ac:dyDescent="0.2">
      <c r="A82" s="138"/>
      <c r="B82" s="610" t="s">
        <v>18</v>
      </c>
      <c r="C82" s="610"/>
      <c r="D82" s="611" t="b">
        <f>IF(ABS(D20-(APA!F97))&lt;0.001,TRUE,FALSE)</f>
        <v>1</v>
      </c>
      <c r="E82" s="611" t="b">
        <f>IF(ABS(E20-(APA!G97))&lt;0.001,TRUE,FALSE)</f>
        <v>1</v>
      </c>
      <c r="F82" s="611" t="b">
        <f>IF(ABS(F20-(APA!H97))&lt;0.001,TRUE,FALSE)</f>
        <v>1</v>
      </c>
      <c r="G82" s="611" t="b">
        <f>IF(ABS(G20-(APA!I97))&lt;0.001,TRUE,FALSE)</f>
        <v>1</v>
      </c>
      <c r="H82" s="611" t="b">
        <f>IF(ABS(H20-(APA!J97))&lt;0.001,TRUE,FALSE)</f>
        <v>1</v>
      </c>
      <c r="I82" s="611" t="b">
        <f>IF(ABS(I20-(APA!K97))&lt;0.001,TRUE,FALSE)</f>
        <v>1</v>
      </c>
      <c r="J82" s="611" t="b">
        <f>IF(ABS(J20-(APA!L97))&lt;0.001,TRUE,FALSE)</f>
        <v>1</v>
      </c>
      <c r="K82" s="611" t="b">
        <f>IF(ABS(K20-(APA!M97))&lt;0.001,TRUE,FALSE)</f>
        <v>1</v>
      </c>
      <c r="L82" s="611" t="b">
        <f>IF(ABS(L20-(APA!N97))&lt;0.001,TRUE,FALSE)</f>
        <v>1</v>
      </c>
      <c r="M82" s="611" t="b">
        <f>IF(ABS(M20-(APA!O97))&lt;0.001,TRUE,FALSE)</f>
        <v>1</v>
      </c>
      <c r="N82" s="611" t="b">
        <f>IF(ABS(N20-(APA!P97))&lt;0.001,TRUE,FALSE)</f>
        <v>1</v>
      </c>
      <c r="O82" s="611" t="b">
        <f>IF(ABS(O20-(APA!Q97))&lt;0.001,TRUE,FALSE)</f>
        <v>1</v>
      </c>
      <c r="P82" s="611" t="b">
        <f>IF(ABS(P20-(APA!R97))&lt;0.001,TRUE,FALSE)</f>
        <v>1</v>
      </c>
      <c r="Q82" s="611" t="b">
        <f>IF(ABS(Q20-(APA!S97))&lt;0.001,TRUE,FALSE)</f>
        <v>1</v>
      </c>
      <c r="R82" s="611" t="b">
        <f>IF(ABS(R20-(APA!T97))&lt;0.001,TRUE,FALSE)</f>
        <v>1</v>
      </c>
      <c r="S82" s="611" t="b">
        <f>IF(ABS(S20-(APA!U97))&lt;0.001,TRUE,FALSE)</f>
        <v>1</v>
      </c>
      <c r="T82" s="611" t="b">
        <f>IF(ABS(T20-(APA!V97))&lt;0.001,TRUE,FALSE)</f>
        <v>1</v>
      </c>
      <c r="U82" s="611" t="b">
        <f>IF(ABS(U20-(APA!W97))&lt;0.001,TRUE,FALSE)</f>
        <v>1</v>
      </c>
      <c r="V82" s="611" t="b">
        <f>IF(ABS(V20-(APA!X97))&lt;0.001,TRUE,FALSE)</f>
        <v>1</v>
      </c>
      <c r="W82" s="611" t="b">
        <f>IF(ABS(W20-(APA!Y97))&lt;0.001,TRUE,FALSE)</f>
        <v>1</v>
      </c>
      <c r="X82" s="611" t="b">
        <f>IF(ABS(X20-(APA!Z97))&lt;0.001,TRUE,FALSE)</f>
        <v>1</v>
      </c>
      <c r="Y82" s="138"/>
      <c r="Z82" s="138" t="s">
        <v>164</v>
      </c>
      <c r="AA82" s="138"/>
      <c r="AB82" s="611" t="b">
        <f>IF(ABS(AB19-(APA!F292))&lt;0.001,TRUE,FALSE)</f>
        <v>1</v>
      </c>
      <c r="AC82" s="611" t="b">
        <f>IF(ABS(AC19-(APA!G292))&lt;0.001,TRUE,FALSE)</f>
        <v>1</v>
      </c>
      <c r="AD82" s="611" t="b">
        <f>IF(ABS(AD19-(APA!H292))&lt;0.001,TRUE,FALSE)</f>
        <v>1</v>
      </c>
      <c r="AE82" s="611" t="b">
        <f>IF(ABS(AE19-(APA!I292))&lt;0.001,TRUE,FALSE)</f>
        <v>1</v>
      </c>
      <c r="AF82" s="611" t="b">
        <f>IF(ABS(AF19-(APA!J292))&lt;0.001,TRUE,FALSE)</f>
        <v>1</v>
      </c>
      <c r="AG82" s="611" t="b">
        <f>IF(ABS(AG19-(APA!K292))&lt;0.001,TRUE,FALSE)</f>
        <v>1</v>
      </c>
      <c r="AH82" s="611" t="b">
        <f>IF(ABS(AH19-(APA!L292))&lt;0.001,TRUE,FALSE)</f>
        <v>1</v>
      </c>
      <c r="AI82" s="611" t="b">
        <f>IF(ABS(AI19-(APA!M292))&lt;0.001,TRUE,FALSE)</f>
        <v>1</v>
      </c>
      <c r="AJ82" s="611" t="b">
        <f>IF(ABS(AJ19-(APA!N292))&lt;0.001,TRUE,FALSE)</f>
        <v>1</v>
      </c>
      <c r="AK82" s="611" t="b">
        <f>IF(ABS(AK19-(APA!O292))&lt;0.001,TRUE,FALSE)</f>
        <v>1</v>
      </c>
      <c r="AL82" s="611" t="b">
        <f>IF(ABS(AL19-(APA!P292))&lt;0.001,TRUE,FALSE)</f>
        <v>1</v>
      </c>
      <c r="AM82" s="611" t="b">
        <f>IF(ABS(AM19-(APA!Q292))&lt;0.001,TRUE,FALSE)</f>
        <v>1</v>
      </c>
      <c r="AN82" s="611" t="b">
        <f>IF(ABS(AN19-(APA!R292))&lt;0.001,TRUE,FALSE)</f>
        <v>1</v>
      </c>
      <c r="AO82" s="611" t="b">
        <f>IF(ABS(AO19-(APA!S292))&lt;0.001,TRUE,FALSE)</f>
        <v>1</v>
      </c>
      <c r="AP82" s="611" t="b">
        <f>IF(ABS(AP19-(APA!T292))&lt;0.001,TRUE,FALSE)</f>
        <v>1</v>
      </c>
      <c r="AQ82" s="611" t="b">
        <f>IF(ABS(AQ19-(APA!U292))&lt;0.001,TRUE,FALSE)</f>
        <v>1</v>
      </c>
      <c r="AR82" s="611" t="b">
        <f>IF(ABS(AR19-(APA!V292))&lt;0.001,TRUE,FALSE)</f>
        <v>1</v>
      </c>
      <c r="AS82" s="611" t="b">
        <f>IF(ABS(AS19-(APA!W292))&lt;0.001,TRUE,FALSE)</f>
        <v>1</v>
      </c>
      <c r="AT82" s="611" t="b">
        <f>IF(ABS(AT19-(APA!X292))&lt;0.001,TRUE,FALSE)</f>
        <v>1</v>
      </c>
      <c r="AU82" s="611" t="b">
        <f>IF(ABS(AU19-(APA!Y292))&lt;0.001,TRUE,FALSE)</f>
        <v>1</v>
      </c>
      <c r="AV82" s="611" t="b">
        <f>IF(ABS(AV19-(APA!Z292))&lt;0.001,TRUE,FALSE)</f>
        <v>1</v>
      </c>
      <c r="AW82" s="138"/>
      <c r="AX82" s="138"/>
    </row>
    <row r="83" spans="1:50" s="580" customFormat="1" ht="15" customHeight="1" x14ac:dyDescent="0.2">
      <c r="A83" s="138"/>
      <c r="B83" s="610" t="s">
        <v>187</v>
      </c>
      <c r="C83" s="610"/>
      <c r="D83" s="611" t="b">
        <f>IF(ABS(D25-(APA!F114))&lt;0.001,TRUE,FALSE)</f>
        <v>1</v>
      </c>
      <c r="E83" s="611" t="b">
        <f>IF(ABS(E25-(APA!G114))&lt;0.001,TRUE,FALSE)</f>
        <v>1</v>
      </c>
      <c r="F83" s="611" t="b">
        <f>IF(ABS(F25-(APA!H114))&lt;0.001,TRUE,FALSE)</f>
        <v>1</v>
      </c>
      <c r="G83" s="611" t="b">
        <f>IF(ABS(G25-(APA!I114))&lt;0.001,TRUE,FALSE)</f>
        <v>1</v>
      </c>
      <c r="H83" s="611" t="b">
        <f>IF(ABS(H25-(APA!J114))&lt;0.001,TRUE,FALSE)</f>
        <v>1</v>
      </c>
      <c r="I83" s="611" t="e">
        <f>IF(ABS(I25-(APA!K114))&lt;0.001,TRUE,FALSE)</f>
        <v>#VALUE!</v>
      </c>
      <c r="J83" s="611" t="b">
        <f>IF(ABS(J25-(APA!L114))&lt;0.001,TRUE,FALSE)</f>
        <v>0</v>
      </c>
      <c r="K83" s="611" t="b">
        <f>IF(ABS(K25-(APA!M114))&lt;0.001,TRUE,FALSE)</f>
        <v>0</v>
      </c>
      <c r="L83" s="611" t="b">
        <f>IF(ABS(L25-(APA!N114))&lt;0.001,TRUE,FALSE)</f>
        <v>0</v>
      </c>
      <c r="M83" s="611" t="b">
        <f>IF(ABS(M25-(APA!O114))&lt;0.001,TRUE,FALSE)</f>
        <v>0</v>
      </c>
      <c r="N83" s="611" t="b">
        <f>IF(ABS(N25-(APA!P114))&lt;0.001,TRUE,FALSE)</f>
        <v>0</v>
      </c>
      <c r="O83" s="611" t="b">
        <f>IF(ABS(O25-(APA!Q114))&lt;0.001,TRUE,FALSE)</f>
        <v>0</v>
      </c>
      <c r="P83" s="611" t="b">
        <f>IF(ABS(P25-(APA!R114))&lt;0.001,TRUE,FALSE)</f>
        <v>0</v>
      </c>
      <c r="Q83" s="611" t="b">
        <f>IF(ABS(Q25-(APA!S114))&lt;0.001,TRUE,FALSE)</f>
        <v>0</v>
      </c>
      <c r="R83" s="611" t="b">
        <f>IF(ABS(R25-(APA!T114))&lt;0.001,TRUE,FALSE)</f>
        <v>0</v>
      </c>
      <c r="S83" s="611" t="b">
        <f>IF(ABS(S25-(APA!U114))&lt;0.001,TRUE,FALSE)</f>
        <v>1</v>
      </c>
      <c r="T83" s="611" t="b">
        <f>IF(ABS(T25-(APA!V114))&lt;0.001,TRUE,FALSE)</f>
        <v>1</v>
      </c>
      <c r="U83" s="611" t="b">
        <f>IF(ABS(U25-(APA!W114))&lt;0.001,TRUE,FALSE)</f>
        <v>1</v>
      </c>
      <c r="V83" s="611" t="b">
        <f>IF(ABS(V25-(APA!X114))&lt;0.001,TRUE,FALSE)</f>
        <v>1</v>
      </c>
      <c r="W83" s="611" t="b">
        <f>IF(ABS(W25-(APA!Y114))&lt;0.001,TRUE,FALSE)</f>
        <v>1</v>
      </c>
      <c r="X83" s="611" t="b">
        <f>IF(ABS(X25-(APA!Z114))&lt;0.001,TRUE,FALSE)</f>
        <v>1</v>
      </c>
      <c r="Y83" s="138"/>
      <c r="Z83" s="138" t="s">
        <v>171</v>
      </c>
      <c r="AA83" s="138"/>
      <c r="AB83" s="611" t="b">
        <f>IF(ABS(AB29-(APA!F97))&lt;0.001,TRUE,FALSE)</f>
        <v>1</v>
      </c>
      <c r="AC83" s="611" t="b">
        <f>IF(ABS(AC29-(APA!G97))&lt;0.001,TRUE,FALSE)</f>
        <v>1</v>
      </c>
      <c r="AD83" s="611" t="b">
        <f>IF(ABS(AD29-(APA!H97))&lt;0.001,TRUE,FALSE)</f>
        <v>1</v>
      </c>
      <c r="AE83" s="611" t="b">
        <f>IF(ABS(AE29-(APA!I97))&lt;0.001,TRUE,FALSE)</f>
        <v>1</v>
      </c>
      <c r="AF83" s="611" t="b">
        <f>IF(ABS(AF29-(APA!J97))&lt;0.001,TRUE,FALSE)</f>
        <v>1</v>
      </c>
      <c r="AG83" s="611" t="b">
        <f>IF(ABS(AG29-(APA!K97))&lt;0.001,TRUE,FALSE)</f>
        <v>1</v>
      </c>
      <c r="AH83" s="611" t="b">
        <f>IF(ABS(AH29-(APA!L97))&lt;0.001,TRUE,FALSE)</f>
        <v>1</v>
      </c>
      <c r="AI83" s="611" t="b">
        <f>IF(ABS(AI29-(APA!M97))&lt;0.001,TRUE,FALSE)</f>
        <v>1</v>
      </c>
      <c r="AJ83" s="611" t="b">
        <f>IF(ABS(AJ29-(APA!N97))&lt;0.001,TRUE,FALSE)</f>
        <v>1</v>
      </c>
      <c r="AK83" s="611" t="b">
        <f>IF(ABS(AK29-(APA!O97))&lt;0.001,TRUE,FALSE)</f>
        <v>1</v>
      </c>
      <c r="AL83" s="611" t="b">
        <f>IF(ABS(AL29-(APA!P97))&lt;0.001,TRUE,FALSE)</f>
        <v>1</v>
      </c>
      <c r="AM83" s="611" t="b">
        <f>IF(ABS(AM29-(APA!Q97))&lt;0.001,TRUE,FALSE)</f>
        <v>1</v>
      </c>
      <c r="AN83" s="611" t="b">
        <f>IF(ABS(AN29-(APA!R97))&lt;0.001,TRUE,FALSE)</f>
        <v>1</v>
      </c>
      <c r="AO83" s="611" t="b">
        <f>IF(ABS(AO29-(APA!S97))&lt;0.001,TRUE,FALSE)</f>
        <v>1</v>
      </c>
      <c r="AP83" s="611" t="b">
        <f>IF(ABS(AP29-(APA!T97))&lt;0.001,TRUE,FALSE)</f>
        <v>1</v>
      </c>
      <c r="AQ83" s="611" t="b">
        <f>IF(ABS(AQ29-(APA!U97))&lt;0.001,TRUE,FALSE)</f>
        <v>1</v>
      </c>
      <c r="AR83" s="611" t="b">
        <f>IF(ABS(AR29-(APA!V97))&lt;0.001,TRUE,FALSE)</f>
        <v>1</v>
      </c>
      <c r="AS83" s="611" t="b">
        <f>IF(ABS(AS29-(APA!W97))&lt;0.001,TRUE,FALSE)</f>
        <v>1</v>
      </c>
      <c r="AT83" s="611" t="b">
        <f>IF(ABS(AT29-(APA!X97))&lt;0.001,TRUE,FALSE)</f>
        <v>1</v>
      </c>
      <c r="AU83" s="611" t="b">
        <f>IF(ABS(AU29-(APA!Y97))&lt;0.001,TRUE,FALSE)</f>
        <v>1</v>
      </c>
      <c r="AV83" s="611" t="b">
        <f>IF(ABS(AV29-(APA!Z97))&lt;0.001,TRUE,FALSE)</f>
        <v>1</v>
      </c>
      <c r="AW83" s="138"/>
      <c r="AX83" s="138"/>
    </row>
    <row r="84" spans="1:50" s="580" customFormat="1" ht="15" customHeight="1" x14ac:dyDescent="0.2">
      <c r="A84" s="138"/>
      <c r="B84" s="610" t="s">
        <v>188</v>
      </c>
      <c r="C84" s="610"/>
      <c r="D84" s="611" t="b">
        <f>IF(ABS(D28-(APA!F123))&lt;0.001,TRUE,FALSE)</f>
        <v>1</v>
      </c>
      <c r="E84" s="611" t="b">
        <f>IF(ABS(E28-(APA!G123))&lt;0.001,TRUE,FALSE)</f>
        <v>1</v>
      </c>
      <c r="F84" s="611" t="b">
        <f>IF(ABS(F28-(APA!H123))&lt;0.001,TRUE,FALSE)</f>
        <v>1</v>
      </c>
      <c r="G84" s="611" t="b">
        <f>IF(ABS(G28-(APA!I123))&lt;0.001,TRUE,FALSE)</f>
        <v>1</v>
      </c>
      <c r="H84" s="611" t="b">
        <f>IF(ABS(H28-(APA!J123))&lt;0.001,TRUE,FALSE)</f>
        <v>1</v>
      </c>
      <c r="I84" s="611" t="b">
        <f>IF(ABS(I28-(APA!K123))&lt;0.001,TRUE,FALSE)</f>
        <v>1</v>
      </c>
      <c r="J84" s="611" t="b">
        <f>IF(ABS(J28-(APA!L123))&lt;0.001,TRUE,FALSE)</f>
        <v>1</v>
      </c>
      <c r="K84" s="611" t="b">
        <f>IF(ABS(K28-(APA!M123))&lt;0.001,TRUE,FALSE)</f>
        <v>1</v>
      </c>
      <c r="L84" s="611" t="b">
        <f>IF(ABS(L28-(APA!N123))&lt;0.001,TRUE,FALSE)</f>
        <v>1</v>
      </c>
      <c r="M84" s="611" t="b">
        <f>IF(ABS(M28-(APA!O123))&lt;0.001,TRUE,FALSE)</f>
        <v>1</v>
      </c>
      <c r="N84" s="611" t="b">
        <f>IF(ABS(N28-(APA!P123))&lt;0.001,TRUE,FALSE)</f>
        <v>1</v>
      </c>
      <c r="O84" s="611" t="b">
        <f>IF(ABS(O28-(APA!Q123))&lt;0.001,TRUE,FALSE)</f>
        <v>1</v>
      </c>
      <c r="P84" s="611" t="b">
        <f>IF(ABS(P28-(APA!R123))&lt;0.001,TRUE,FALSE)</f>
        <v>1</v>
      </c>
      <c r="Q84" s="611" t="b">
        <f>IF(ABS(Q28-(APA!S123))&lt;0.001,TRUE,FALSE)</f>
        <v>1</v>
      </c>
      <c r="R84" s="611" t="b">
        <f>IF(ABS(R28-(APA!T123))&lt;0.001,TRUE,FALSE)</f>
        <v>1</v>
      </c>
      <c r="S84" s="611" t="b">
        <f>IF(ABS(S28-(APA!U123))&lt;0.001,TRUE,FALSE)</f>
        <v>1</v>
      </c>
      <c r="T84" s="611" t="b">
        <f>IF(ABS(T28-(APA!V123))&lt;0.001,TRUE,FALSE)</f>
        <v>1</v>
      </c>
      <c r="U84" s="611" t="b">
        <f>IF(ABS(U28-(APA!W123))&lt;0.001,TRUE,FALSE)</f>
        <v>1</v>
      </c>
      <c r="V84" s="611" t="b">
        <f>IF(ABS(V28-(APA!X123))&lt;0.001,TRUE,FALSE)</f>
        <v>1</v>
      </c>
      <c r="W84" s="611" t="b">
        <f>IF(ABS(W28-(APA!Y123))&lt;0.001,TRUE,FALSE)</f>
        <v>1</v>
      </c>
      <c r="X84" s="611" t="b">
        <f>IF(ABS(X28-(APA!Z123))&lt;0.001,TRUE,FALSE)</f>
        <v>1</v>
      </c>
      <c r="Y84" s="138"/>
      <c r="Z84" s="138" t="s">
        <v>173</v>
      </c>
      <c r="AA84" s="138"/>
      <c r="AB84" s="611" t="b">
        <f>IF(ABS(AB31-(APA!F134))&lt;0.001,TRUE,FALSE)</f>
        <v>1</v>
      </c>
      <c r="AC84" s="611" t="b">
        <f>IF(ABS(AC31-(APA!G134))&lt;0.001,TRUE,FALSE)</f>
        <v>1</v>
      </c>
      <c r="AD84" s="611" t="b">
        <f>IF(ABS(AD31-(APA!H134))&lt;0.001,TRUE,FALSE)</f>
        <v>1</v>
      </c>
      <c r="AE84" s="611" t="b">
        <f>IF(ABS(AE31-(APA!I134))&lt;0.001,TRUE,FALSE)</f>
        <v>1</v>
      </c>
      <c r="AF84" s="611" t="b">
        <f>IF(ABS(AF31-(APA!J134))&lt;0.001,TRUE,FALSE)</f>
        <v>1</v>
      </c>
      <c r="AG84" s="611" t="b">
        <f>IF(ABS(AG31-(APA!K134))&lt;0.001,TRUE,FALSE)</f>
        <v>1</v>
      </c>
      <c r="AH84" s="611" t="b">
        <f>IF(ABS(AH31-(APA!L134))&lt;0.001,TRUE,FALSE)</f>
        <v>1</v>
      </c>
      <c r="AI84" s="611" t="b">
        <f>IF(ABS(AI31-(APA!M134))&lt;0.001,TRUE,FALSE)</f>
        <v>1</v>
      </c>
      <c r="AJ84" s="611" t="b">
        <f>IF(ABS(AJ31-(APA!N134))&lt;0.001,TRUE,FALSE)</f>
        <v>1</v>
      </c>
      <c r="AK84" s="611" t="b">
        <f>IF(ABS(AK31-(APA!O134))&lt;0.001,TRUE,FALSE)</f>
        <v>1</v>
      </c>
      <c r="AL84" s="611" t="b">
        <f>IF(ABS(AL31-(APA!P134))&lt;0.001,TRUE,FALSE)</f>
        <v>1</v>
      </c>
      <c r="AM84" s="611" t="b">
        <f>IF(ABS(AM31-(APA!Q134))&lt;0.001,TRUE,FALSE)</f>
        <v>1</v>
      </c>
      <c r="AN84" s="611" t="b">
        <f>IF(ABS(AN31-(APA!R134))&lt;0.001,TRUE,FALSE)</f>
        <v>1</v>
      </c>
      <c r="AO84" s="611" t="b">
        <f>IF(ABS(AO31-(APA!S134))&lt;0.001,TRUE,FALSE)</f>
        <v>1</v>
      </c>
      <c r="AP84" s="611" t="b">
        <f>IF(ABS(AP31-(APA!T134))&lt;0.001,TRUE,FALSE)</f>
        <v>1</v>
      </c>
      <c r="AQ84" s="611" t="b">
        <f>IF(ABS(AQ31-(APA!U134))&lt;0.001,TRUE,FALSE)</f>
        <v>1</v>
      </c>
      <c r="AR84" s="611" t="b">
        <f>IF(ABS(AR31-(APA!V134))&lt;0.001,TRUE,FALSE)</f>
        <v>1</v>
      </c>
      <c r="AS84" s="611" t="b">
        <f>IF(ABS(AS31-(APA!W134))&lt;0.001,TRUE,FALSE)</f>
        <v>1</v>
      </c>
      <c r="AT84" s="611" t="b">
        <f>IF(ABS(AT31-(APA!X134))&lt;0.001,TRUE,FALSE)</f>
        <v>1</v>
      </c>
      <c r="AU84" s="611" t="b">
        <f>IF(ABS(AU31-(APA!Y134))&lt;0.001,TRUE,FALSE)</f>
        <v>1</v>
      </c>
      <c r="AV84" s="611" t="b">
        <f>IF(ABS(AV31-(APA!Z134))&lt;0.001,TRUE,FALSE)</f>
        <v>1</v>
      </c>
      <c r="AW84" s="138"/>
      <c r="AX84" s="138"/>
    </row>
    <row r="85" spans="1:50" s="580" customFormat="1" ht="15" customHeight="1" x14ac:dyDescent="0.2">
      <c r="A85" s="138"/>
      <c r="B85" s="610" t="s">
        <v>189</v>
      </c>
      <c r="C85" s="610"/>
      <c r="D85" s="611" t="b">
        <f>IF(ABS(D30-(APA!F126))&lt;0.001,TRUE,FALSE)</f>
        <v>1</v>
      </c>
      <c r="E85" s="611" t="b">
        <f>IF(ABS(E30-(APA!G126))&lt;0.001,TRUE,FALSE)</f>
        <v>1</v>
      </c>
      <c r="F85" s="611" t="b">
        <f>IF(ABS(F30-(APA!H126))&lt;0.001,TRUE,FALSE)</f>
        <v>1</v>
      </c>
      <c r="G85" s="611" t="b">
        <f>IF(ABS(G30-(APA!I126))&lt;0.001,TRUE,FALSE)</f>
        <v>1</v>
      </c>
      <c r="H85" s="611" t="b">
        <f>IF(ABS(H30-(APA!J126))&lt;0.001,TRUE,FALSE)</f>
        <v>1</v>
      </c>
      <c r="I85" s="611" t="b">
        <f>IF(ABS(I30-(APA!K126))&lt;0.001,TRUE,FALSE)</f>
        <v>1</v>
      </c>
      <c r="J85" s="611" t="b">
        <f>IF(ABS(J30-(APA!L126))&lt;0.001,TRUE,FALSE)</f>
        <v>1</v>
      </c>
      <c r="K85" s="611" t="b">
        <f>IF(ABS(K30-(APA!M126))&lt;0.001,TRUE,FALSE)</f>
        <v>1</v>
      </c>
      <c r="L85" s="611" t="b">
        <f>IF(ABS(L30-(APA!N126))&lt;0.001,TRUE,FALSE)</f>
        <v>1</v>
      </c>
      <c r="M85" s="611" t="b">
        <f>IF(ABS(M30-(APA!O126))&lt;0.001,TRUE,FALSE)</f>
        <v>1</v>
      </c>
      <c r="N85" s="611" t="b">
        <f>IF(ABS(N30-(APA!P126))&lt;0.001,TRUE,FALSE)</f>
        <v>1</v>
      </c>
      <c r="O85" s="611" t="b">
        <f>IF(ABS(O30-(APA!Q126))&lt;0.001,TRUE,FALSE)</f>
        <v>1</v>
      </c>
      <c r="P85" s="611" t="b">
        <f>IF(ABS(P30-(APA!R126))&lt;0.001,TRUE,FALSE)</f>
        <v>1</v>
      </c>
      <c r="Q85" s="611" t="b">
        <f>IF(ABS(Q30-(APA!S126))&lt;0.001,TRUE,FALSE)</f>
        <v>1</v>
      </c>
      <c r="R85" s="611" t="b">
        <f>IF(ABS(R30-(APA!T126))&lt;0.001,TRUE,FALSE)</f>
        <v>1</v>
      </c>
      <c r="S85" s="611" t="b">
        <f>IF(ABS(S30-(APA!U126))&lt;0.001,TRUE,FALSE)</f>
        <v>1</v>
      </c>
      <c r="T85" s="611" t="b">
        <f>IF(ABS(T30-(APA!V126))&lt;0.001,TRUE,FALSE)</f>
        <v>1</v>
      </c>
      <c r="U85" s="611" t="b">
        <f>IF(ABS(U30-(APA!W126))&lt;0.001,TRUE,FALSE)</f>
        <v>1</v>
      </c>
      <c r="V85" s="611" t="b">
        <f>IF(ABS(V30-(APA!X126))&lt;0.001,TRUE,FALSE)</f>
        <v>1</v>
      </c>
      <c r="W85" s="611" t="b">
        <f>IF(ABS(W30-(APA!Y126))&lt;0.001,TRUE,FALSE)</f>
        <v>1</v>
      </c>
      <c r="X85" s="611" t="b">
        <f>IF(ABS(X30-(APA!Z126))&lt;0.001,TRUE,FALSE)</f>
        <v>1</v>
      </c>
      <c r="Y85" s="138"/>
      <c r="Z85" s="138"/>
      <c r="AA85" s="138"/>
      <c r="AH85" s="138"/>
      <c r="AI85" s="138"/>
      <c r="AJ85" s="138"/>
      <c r="AK85" s="138"/>
      <c r="AL85" s="138"/>
      <c r="AM85" s="138"/>
      <c r="AN85" s="138"/>
      <c r="AO85" s="138"/>
      <c r="AP85" s="138"/>
      <c r="AQ85" s="138"/>
      <c r="AR85" s="138"/>
      <c r="AS85" s="138"/>
      <c r="AT85" s="138"/>
      <c r="AU85" s="138"/>
      <c r="AV85" s="138"/>
      <c r="AW85" s="138"/>
      <c r="AX85" s="138"/>
    </row>
    <row r="86" spans="1:50" s="580" customFormat="1" ht="15" customHeight="1" x14ac:dyDescent="0.2">
      <c r="A86" s="138"/>
      <c r="B86" s="138"/>
      <c r="C86" s="138"/>
      <c r="D86" s="138"/>
      <c r="E86" s="138"/>
      <c r="F86" s="138"/>
      <c r="G86" s="138"/>
      <c r="H86" s="138"/>
      <c r="I86" s="138"/>
      <c r="J86" s="138"/>
      <c r="K86" s="138"/>
      <c r="L86" s="138"/>
      <c r="M86" s="138"/>
      <c r="N86" s="138"/>
      <c r="O86" s="138"/>
      <c r="P86" s="138"/>
      <c r="Q86" s="138"/>
      <c r="R86" s="138"/>
      <c r="S86" s="138"/>
      <c r="T86" s="138"/>
      <c r="U86" s="138"/>
      <c r="V86" s="138"/>
      <c r="W86" s="138"/>
      <c r="X86" s="138"/>
      <c r="Y86" s="138"/>
      <c r="Z86" s="612" t="s">
        <v>192</v>
      </c>
      <c r="AA86" s="612"/>
      <c r="AB86" s="598"/>
      <c r="AC86" s="598"/>
      <c r="AD86" s="598"/>
      <c r="AE86" s="598"/>
      <c r="AF86" s="598"/>
      <c r="AG86" s="598"/>
      <c r="AH86" s="598"/>
      <c r="AI86" s="598"/>
      <c r="AJ86" s="598"/>
      <c r="AK86" s="598"/>
      <c r="AL86" s="598"/>
      <c r="AM86" s="598"/>
      <c r="AN86" s="598"/>
      <c r="AO86" s="598"/>
      <c r="AP86" s="598"/>
      <c r="AQ86" s="598"/>
      <c r="AR86" s="598"/>
      <c r="AS86" s="598"/>
      <c r="AT86" s="598"/>
      <c r="AU86" s="598"/>
      <c r="AV86" s="598"/>
      <c r="AW86" s="138"/>
      <c r="AX86" s="138"/>
    </row>
    <row r="87" spans="1:50" s="580" customFormat="1" ht="15" customHeight="1" x14ac:dyDescent="0.2">
      <c r="A87" s="138"/>
      <c r="B87" s="610" t="s">
        <v>176</v>
      </c>
      <c r="C87" s="610"/>
      <c r="D87" s="611" t="b">
        <f>IF(ABS(D37-(APA!F221))&lt;0.001,TRUE,FALSE)</f>
        <v>1</v>
      </c>
      <c r="E87" s="611" t="b">
        <f>IF(ABS(E37-(APA!G221))&lt;0.001,TRUE,FALSE)</f>
        <v>1</v>
      </c>
      <c r="F87" s="611" t="b">
        <f>IF(ABS(F37-(APA!H221))&lt;0.001,TRUE,FALSE)</f>
        <v>1</v>
      </c>
      <c r="G87" s="611" t="b">
        <f>IF(ABS(G37-(APA!I221))&lt;0.001,TRUE,FALSE)</f>
        <v>1</v>
      </c>
      <c r="H87" s="611" t="b">
        <f>IF(ABS(H37-(APA!J221))&lt;0.001,TRUE,FALSE)</f>
        <v>1</v>
      </c>
      <c r="I87" s="611" t="b">
        <f>IF(ABS(I37-(APA!K221))&lt;0.001,TRUE,FALSE)</f>
        <v>1</v>
      </c>
      <c r="J87" s="611" t="b">
        <f>IF(ABS(J37-(APA!L221))&lt;0.001,TRUE,FALSE)</f>
        <v>1</v>
      </c>
      <c r="K87" s="611" t="b">
        <f>IF(ABS(K37-(APA!M221))&lt;0.001,TRUE,FALSE)</f>
        <v>1</v>
      </c>
      <c r="L87" s="611" t="b">
        <f>IF(ABS(L37-(APA!N221))&lt;0.001,TRUE,FALSE)</f>
        <v>1</v>
      </c>
      <c r="M87" s="611" t="b">
        <f>IF(ABS(M37-(APA!O221))&lt;0.001,TRUE,FALSE)</f>
        <v>1</v>
      </c>
      <c r="N87" s="611" t="b">
        <f>IF(ABS(N37-(APA!P221))&lt;0.001,TRUE,FALSE)</f>
        <v>1</v>
      </c>
      <c r="O87" s="611" t="b">
        <f>IF(ABS(O37-(APA!Q221))&lt;0.001,TRUE,FALSE)</f>
        <v>1</v>
      </c>
      <c r="P87" s="611" t="b">
        <f>IF(ABS(P37-(APA!R221))&lt;0.001,TRUE,FALSE)</f>
        <v>1</v>
      </c>
      <c r="Q87" s="611" t="b">
        <f>IF(ABS(Q37-(APA!S221))&lt;0.001,TRUE,FALSE)</f>
        <v>1</v>
      </c>
      <c r="R87" s="611" t="b">
        <f>IF(ABS(R37-(APA!T221))&lt;0.001,TRUE,FALSE)</f>
        <v>1</v>
      </c>
      <c r="S87" s="611" t="b">
        <f>IF(ABS(S37-(APA!U221))&lt;0.001,TRUE,FALSE)</f>
        <v>1</v>
      </c>
      <c r="T87" s="611" t="b">
        <f>IF(ABS(T37-(APA!V221))&lt;0.001,TRUE,FALSE)</f>
        <v>1</v>
      </c>
      <c r="U87" s="611" t="b">
        <f>IF(ABS(U37-(APA!W221))&lt;0.001,TRUE,FALSE)</f>
        <v>1</v>
      </c>
      <c r="V87" s="611" t="b">
        <f>IF(ABS(V37-(APA!X221))&lt;0.001,TRUE,FALSE)</f>
        <v>1</v>
      </c>
      <c r="W87" s="611" t="b">
        <f>IF(ABS(W37-(APA!Y221))&lt;0.001,TRUE,FALSE)</f>
        <v>1</v>
      </c>
      <c r="X87" s="611" t="b">
        <f>IF(ABS(X37-(APA!Z221))&lt;0.001,TRUE,FALSE)</f>
        <v>1</v>
      </c>
      <c r="Y87" s="138"/>
      <c r="Z87" s="138" t="s">
        <v>98</v>
      </c>
      <c r="AA87" s="138"/>
      <c r="AB87" s="580">
        <f>+APA!F291</f>
        <v>0</v>
      </c>
      <c r="AC87" s="580">
        <f>+APA!G291</f>
        <v>0</v>
      </c>
      <c r="AD87" s="580">
        <f>+APA!H291</f>
        <v>0</v>
      </c>
      <c r="AE87" s="580">
        <f>+APA!I291</f>
        <v>0</v>
      </c>
      <c r="AF87" s="580">
        <f>+APA!J291</f>
        <v>0</v>
      </c>
      <c r="AG87" s="580">
        <f>+APA!K291</f>
        <v>8.5000000000000006E-2</v>
      </c>
      <c r="AH87" s="580">
        <f>+APA!L291</f>
        <v>0.10100000000000001</v>
      </c>
      <c r="AI87" s="580">
        <f>+APA!M291</f>
        <v>6.5000000000000002E-2</v>
      </c>
      <c r="AJ87" s="580">
        <f>+APA!N291</f>
        <v>8.8999999999999996E-2</v>
      </c>
      <c r="AK87" s="580">
        <f>+APA!O291</f>
        <v>8.1000000000000003E-2</v>
      </c>
      <c r="AL87" s="580">
        <f>+APA!P291</f>
        <v>0.13200000000000001</v>
      </c>
      <c r="AM87" s="580">
        <f>+APA!Q291</f>
        <v>0.28299999999999997</v>
      </c>
      <c r="AN87" s="580">
        <f>+APA!R291</f>
        <v>4.9000000000000002E-2</v>
      </c>
      <c r="AO87" s="580">
        <f>+APA!S291</f>
        <v>0.05</v>
      </c>
      <c r="AP87" s="613">
        <f>+APA!T291</f>
        <v>5.0999999999999997E-2</v>
      </c>
      <c r="AQ87" s="613">
        <f>+APA!U291</f>
        <v>5.1999999999999998E-2</v>
      </c>
      <c r="AR87" s="613">
        <f>+APA!V291</f>
        <v>5.2999999999999999E-2</v>
      </c>
      <c r="AS87" s="613">
        <f>+APA!W291</f>
        <v>5.2999999999999999E-2</v>
      </c>
      <c r="AT87" s="613">
        <f>+APA!X291</f>
        <v>5.2999999999999999E-2</v>
      </c>
      <c r="AU87" s="613">
        <f>+APA!Y291</f>
        <v>5.2999999999999999E-2</v>
      </c>
      <c r="AV87" s="613">
        <f>+APA!Z291</f>
        <v>5.2999999999999999E-2</v>
      </c>
      <c r="AW87" s="138"/>
      <c r="AX87" s="138"/>
    </row>
    <row r="88" spans="1:50" s="580" customFormat="1" ht="15" customHeight="1" x14ac:dyDescent="0.2">
      <c r="A88" s="138"/>
      <c r="B88" s="610" t="s">
        <v>178</v>
      </c>
      <c r="C88" s="610"/>
      <c r="D88" s="611" t="b">
        <f>IF(ABS(D41-(APA!F230))&lt;0.001,TRUE,FALSE)</f>
        <v>1</v>
      </c>
      <c r="E88" s="611" t="b">
        <f>IF(ABS(E41-(APA!G230))&lt;0.001,TRUE,FALSE)</f>
        <v>1</v>
      </c>
      <c r="F88" s="611" t="b">
        <f>IF(ABS(F41-(APA!H230))&lt;0.001,TRUE,FALSE)</f>
        <v>1</v>
      </c>
      <c r="G88" s="611" t="b">
        <f>IF(ABS(G41-(APA!I230))&lt;0.001,TRUE,FALSE)</f>
        <v>1</v>
      </c>
      <c r="H88" s="611" t="b">
        <f>IF(ABS(H41-(APA!J230))&lt;0.001,TRUE,FALSE)</f>
        <v>1</v>
      </c>
      <c r="I88" s="611" t="b">
        <f>IF(ABS(I41-(APA!K230))&lt;0.001,TRUE,FALSE)</f>
        <v>1</v>
      </c>
      <c r="J88" s="611" t="b">
        <f>IF(ABS(J41-(APA!L230))&lt;0.001,TRUE,FALSE)</f>
        <v>1</v>
      </c>
      <c r="K88" s="611" t="b">
        <f>IF(ABS(K41-(APA!M230))&lt;0.001,TRUE,FALSE)</f>
        <v>1</v>
      </c>
      <c r="L88" s="611" t="b">
        <f>IF(ABS(L41-(APA!N230))&lt;0.001,TRUE,FALSE)</f>
        <v>1</v>
      </c>
      <c r="M88" s="611" t="b">
        <f>IF(ABS(M41-(APA!O230))&lt;0.001,TRUE,FALSE)</f>
        <v>1</v>
      </c>
      <c r="N88" s="611" t="b">
        <f>IF(ABS(N41-(APA!P230))&lt;0.001,TRUE,FALSE)</f>
        <v>1</v>
      </c>
      <c r="O88" s="611" t="b">
        <f>IF(ABS(O41-(APA!Q230))&lt;0.001,TRUE,FALSE)</f>
        <v>1</v>
      </c>
      <c r="P88" s="611" t="b">
        <f>IF(ABS(P41-(APA!R230))&lt;0.001,TRUE,FALSE)</f>
        <v>1</v>
      </c>
      <c r="Q88" s="611" t="b">
        <f>IF(ABS(Q41-(APA!S230))&lt;0.001,TRUE,FALSE)</f>
        <v>1</v>
      </c>
      <c r="R88" s="611" t="b">
        <f>IF(ABS(R41-(APA!T230))&lt;0.001,TRUE,FALSE)</f>
        <v>1</v>
      </c>
      <c r="S88" s="611" t="b">
        <f>IF(ABS(S41-(APA!U230))&lt;0.001,TRUE,FALSE)</f>
        <v>1</v>
      </c>
      <c r="T88" s="611" t="b">
        <f>IF(ABS(T41-(APA!V230))&lt;0.001,TRUE,FALSE)</f>
        <v>1</v>
      </c>
      <c r="U88" s="611" t="b">
        <f>IF(ABS(U41-(APA!W230))&lt;0.001,TRUE,FALSE)</f>
        <v>1</v>
      </c>
      <c r="V88" s="611" t="b">
        <f>IF(ABS(V41-(APA!X230))&lt;0.001,TRUE,FALSE)</f>
        <v>1</v>
      </c>
      <c r="W88" s="611" t="b">
        <f>IF(ABS(W41-(APA!Y230))&lt;0.001,TRUE,FALSE)</f>
        <v>1</v>
      </c>
      <c r="X88" s="611" t="b">
        <f>IF(ABS(X41-(APA!Z230))&lt;0.001,TRUE,FALSE)</f>
        <v>1</v>
      </c>
      <c r="Y88" s="138"/>
      <c r="Z88" s="138" t="s">
        <v>97</v>
      </c>
      <c r="AA88" s="138"/>
      <c r="AN88" s="580">
        <v>0</v>
      </c>
      <c r="AO88" s="580">
        <v>0</v>
      </c>
      <c r="AP88" s="613">
        <v>0</v>
      </c>
      <c r="AQ88" s="613">
        <v>0</v>
      </c>
      <c r="AR88" s="613">
        <v>0</v>
      </c>
      <c r="AS88" s="613">
        <v>0</v>
      </c>
      <c r="AT88" s="613">
        <v>0</v>
      </c>
      <c r="AU88" s="613">
        <v>0</v>
      </c>
      <c r="AV88" s="613">
        <v>0</v>
      </c>
      <c r="AW88" s="138"/>
      <c r="AX88" s="138"/>
    </row>
    <row r="89" spans="1:50" s="580" customFormat="1" ht="15" customHeight="1" x14ac:dyDescent="0.2">
      <c r="A89" s="138"/>
      <c r="B89" s="610" t="s">
        <v>179</v>
      </c>
      <c r="C89" s="610"/>
      <c r="D89" s="611" t="b">
        <f>IF(ABS(D47-(APA!F237))&lt;0.001,TRUE,FALSE)</f>
        <v>1</v>
      </c>
      <c r="E89" s="611" t="b">
        <f>IF(ABS(E47-(APA!G237))&lt;0.001,TRUE,FALSE)</f>
        <v>1</v>
      </c>
      <c r="F89" s="611" t="b">
        <f>IF(ABS(F47-(APA!H237))&lt;0.001,TRUE,FALSE)</f>
        <v>1</v>
      </c>
      <c r="G89" s="611" t="b">
        <f>IF(ABS(G47-(APA!I237))&lt;0.001,TRUE,FALSE)</f>
        <v>1</v>
      </c>
      <c r="H89" s="611" t="b">
        <f>IF(ABS(H47-(APA!J237))&lt;0.001,TRUE,FALSE)</f>
        <v>1</v>
      </c>
      <c r="I89" s="611" t="b">
        <f>IF(ABS(I47-(APA!K237))&lt;0.001,TRUE,FALSE)</f>
        <v>1</v>
      </c>
      <c r="J89" s="611" t="b">
        <f>IF(ABS(J47-(APA!L237))&lt;0.001,TRUE,FALSE)</f>
        <v>1</v>
      </c>
      <c r="K89" s="611" t="b">
        <f>IF(ABS(K47-(APA!M237))&lt;0.001,TRUE,FALSE)</f>
        <v>1</v>
      </c>
      <c r="L89" s="611" t="b">
        <f>IF(ABS(L47-(APA!N237))&lt;0.001,TRUE,FALSE)</f>
        <v>1</v>
      </c>
      <c r="M89" s="611" t="b">
        <f>IF(ABS(M47-(APA!O237))&lt;0.001,TRUE,FALSE)</f>
        <v>1</v>
      </c>
      <c r="N89" s="611" t="b">
        <f>IF(ABS(N47-(APA!P237))&lt;0.001,TRUE,FALSE)</f>
        <v>1</v>
      </c>
      <c r="O89" s="611" t="b">
        <f>IF(ABS(O47-(APA!Q237))&lt;0.001,TRUE,FALSE)</f>
        <v>1</v>
      </c>
      <c r="P89" s="611" t="b">
        <f>IF(ABS(P47-(APA!R237))&lt;0.001,TRUE,FALSE)</f>
        <v>1</v>
      </c>
      <c r="Q89" s="611" t="b">
        <f>IF(ABS(Q47-(APA!S237))&lt;0.001,TRUE,FALSE)</f>
        <v>1</v>
      </c>
      <c r="R89" s="611" t="b">
        <f>IF(ABS(R47-(APA!T237))&lt;0.001,TRUE,FALSE)</f>
        <v>1</v>
      </c>
      <c r="S89" s="611" t="b">
        <f>IF(ABS(S47-(APA!U237))&lt;0.001,TRUE,FALSE)</f>
        <v>1</v>
      </c>
      <c r="T89" s="611" t="b">
        <f>IF(ABS(T47-(APA!V237))&lt;0.001,TRUE,FALSE)</f>
        <v>1</v>
      </c>
      <c r="U89" s="611" t="b">
        <f>IF(ABS(U47-(APA!W237))&lt;0.001,TRUE,FALSE)</f>
        <v>1</v>
      </c>
      <c r="V89" s="611" t="b">
        <f>IF(ABS(V47-(APA!X237))&lt;0.001,TRUE,FALSE)</f>
        <v>1</v>
      </c>
      <c r="W89" s="611" t="b">
        <f>IF(ABS(W47-(APA!Y237))&lt;0.001,TRUE,FALSE)</f>
        <v>1</v>
      </c>
      <c r="X89" s="611" t="b">
        <f>IF(ABS(X47-(APA!Z237))&lt;0.001,TRUE,FALSE)</f>
        <v>1</v>
      </c>
      <c r="Z89" s="138" t="s">
        <v>193</v>
      </c>
      <c r="AA89" s="138"/>
      <c r="AB89" s="320">
        <v>0</v>
      </c>
      <c r="AC89" s="320">
        <v>0</v>
      </c>
      <c r="AD89" s="320">
        <v>0</v>
      </c>
      <c r="AE89" s="320">
        <v>0</v>
      </c>
      <c r="AF89" s="320">
        <v>0</v>
      </c>
      <c r="AG89" s="320">
        <v>0</v>
      </c>
      <c r="AH89" s="320">
        <v>0</v>
      </c>
      <c r="AI89" s="320">
        <v>0</v>
      </c>
      <c r="AJ89" s="320">
        <v>0</v>
      </c>
      <c r="AK89" s="320">
        <v>0</v>
      </c>
      <c r="AL89" s="320">
        <v>0</v>
      </c>
      <c r="AM89" s="320">
        <v>0</v>
      </c>
      <c r="AN89" s="320">
        <v>0</v>
      </c>
      <c r="AO89" s="320">
        <v>0</v>
      </c>
      <c r="AP89" s="320">
        <v>0</v>
      </c>
      <c r="AQ89" s="320">
        <v>0</v>
      </c>
      <c r="AR89" s="320">
        <v>0</v>
      </c>
      <c r="AS89" s="320">
        <v>0</v>
      </c>
      <c r="AT89" s="320">
        <v>0</v>
      </c>
      <c r="AU89" s="320">
        <v>0</v>
      </c>
      <c r="AV89" s="320">
        <v>0</v>
      </c>
      <c r="AW89" s="138"/>
      <c r="AX89" s="138"/>
    </row>
    <row r="90" spans="1:50" s="580" customFormat="1" ht="15" customHeight="1" x14ac:dyDescent="0.2">
      <c r="A90" s="138"/>
      <c r="B90" s="610" t="s">
        <v>181</v>
      </c>
      <c r="C90" s="610"/>
      <c r="D90" s="611" t="b">
        <f>IF(ABS(D48-(APA!F239))&lt;0.001,TRUE,FALSE)</f>
        <v>1</v>
      </c>
      <c r="E90" s="611" t="b">
        <f>IF(ABS(E48-(APA!G239))&lt;0.001,TRUE,FALSE)</f>
        <v>1</v>
      </c>
      <c r="F90" s="611" t="b">
        <f>IF(ABS(F48-(APA!H239))&lt;0.001,TRUE,FALSE)</f>
        <v>1</v>
      </c>
      <c r="G90" s="611" t="b">
        <f>IF(ABS(G48-(APA!I239))&lt;0.001,TRUE,FALSE)</f>
        <v>1</v>
      </c>
      <c r="H90" s="611" t="b">
        <f>IF(ABS(H48-(APA!J239))&lt;0.001,TRUE,FALSE)</f>
        <v>1</v>
      </c>
      <c r="I90" s="611" t="b">
        <f>IF(ABS(I48-(APA!K239))&lt;0.001,TRUE,FALSE)</f>
        <v>1</v>
      </c>
      <c r="J90" s="611" t="b">
        <f>IF(ABS(J48-(APA!L239))&lt;0.001,TRUE,FALSE)</f>
        <v>1</v>
      </c>
      <c r="K90" s="611" t="b">
        <f>IF(ABS(K48-(APA!M239))&lt;0.001,TRUE,FALSE)</f>
        <v>1</v>
      </c>
      <c r="L90" s="611" t="b">
        <f>IF(ABS(L48-(APA!N239))&lt;0.001,TRUE,FALSE)</f>
        <v>1</v>
      </c>
      <c r="M90" s="611" t="b">
        <f>IF(ABS(M48-(APA!O239))&lt;0.001,TRUE,FALSE)</f>
        <v>1</v>
      </c>
      <c r="N90" s="611" t="b">
        <f>IF(ABS(N48-(APA!P239))&lt;0.001,TRUE,FALSE)</f>
        <v>1</v>
      </c>
      <c r="O90" s="611" t="b">
        <f>IF(ABS(O48-(APA!Q239))&lt;0.001,TRUE,FALSE)</f>
        <v>1</v>
      </c>
      <c r="P90" s="611" t="b">
        <f>IF(ABS(P48-(APA!R239))&lt;0.001,TRUE,FALSE)</f>
        <v>1</v>
      </c>
      <c r="Q90" s="611" t="b">
        <f>IF(ABS(Q48-(APA!S239))&lt;0.001,TRUE,FALSE)</f>
        <v>1</v>
      </c>
      <c r="R90" s="611" t="b">
        <f>IF(ABS(R48-(APA!T239))&lt;0.001,TRUE,FALSE)</f>
        <v>1</v>
      </c>
      <c r="S90" s="611" t="b">
        <f>IF(ABS(S48-(APA!U239))&lt;0.001,TRUE,FALSE)</f>
        <v>1</v>
      </c>
      <c r="T90" s="611" t="b">
        <f>IF(ABS(T48-(APA!V239))&lt;0.001,TRUE,FALSE)</f>
        <v>1</v>
      </c>
      <c r="U90" s="611" t="b">
        <f>IF(ABS(U48-(APA!W239))&lt;0.001,TRUE,FALSE)</f>
        <v>1</v>
      </c>
      <c r="V90" s="611" t="b">
        <f>IF(ABS(V48-(APA!X239))&lt;0.001,TRUE,FALSE)</f>
        <v>1</v>
      </c>
      <c r="W90" s="611" t="b">
        <f>IF(ABS(W48-(APA!Y239))&lt;0.001,TRUE,FALSE)</f>
        <v>1</v>
      </c>
      <c r="X90" s="611" t="b">
        <f>IF(ABS(X48-(APA!Z239))&lt;0.001,TRUE,FALSE)</f>
        <v>1</v>
      </c>
      <c r="Z90" s="138"/>
      <c r="AA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  <c r="AX90" s="138"/>
    </row>
    <row r="91" spans="1:50" s="580" customFormat="1" ht="15" customHeight="1" x14ac:dyDescent="0.2">
      <c r="A91" s="138"/>
      <c r="B91" s="610" t="s">
        <v>184</v>
      </c>
      <c r="C91" s="610"/>
      <c r="D91" s="611" t="b">
        <f>IF(ABS(D52-(APA!F244))&lt;0.001,TRUE,FALSE)</f>
        <v>1</v>
      </c>
      <c r="E91" s="611" t="b">
        <f>IF(ABS(E52-(APA!G244))&lt;0.001,TRUE,FALSE)</f>
        <v>1</v>
      </c>
      <c r="F91" s="611" t="b">
        <f>IF(ABS(F52-(APA!H244))&lt;0.001,TRUE,FALSE)</f>
        <v>1</v>
      </c>
      <c r="G91" s="611" t="b">
        <f>IF(ABS(G52-(APA!I244))&lt;0.001,TRUE,FALSE)</f>
        <v>1</v>
      </c>
      <c r="H91" s="611" t="b">
        <f>IF(ABS(H52-(APA!J244))&lt;0.001,TRUE,FALSE)</f>
        <v>1</v>
      </c>
      <c r="I91" s="611" t="b">
        <f>IF(ABS(I52-(APA!K244))&lt;0.001,TRUE,FALSE)</f>
        <v>1</v>
      </c>
      <c r="J91" s="611" t="b">
        <f>IF(ABS(J52-(APA!L244))&lt;0.001,TRUE,FALSE)</f>
        <v>1</v>
      </c>
      <c r="K91" s="611" t="b">
        <f>IF(ABS(K52-(APA!M244))&lt;0.001,TRUE,FALSE)</f>
        <v>1</v>
      </c>
      <c r="L91" s="611" t="b">
        <f>IF(ABS(L52-(APA!N244))&lt;0.001,TRUE,FALSE)</f>
        <v>1</v>
      </c>
      <c r="M91" s="611" t="b">
        <f>IF(ABS(M52-(APA!O244))&lt;0.001,TRUE,FALSE)</f>
        <v>1</v>
      </c>
      <c r="N91" s="611" t="b">
        <f>IF(ABS(N52-(APA!P244))&lt;0.001,TRUE,FALSE)</f>
        <v>1</v>
      </c>
      <c r="O91" s="611" t="b">
        <f>IF(ABS(O52-(APA!Q244))&lt;0.1,TRUE,FALSE)</f>
        <v>1</v>
      </c>
      <c r="P91" s="611" t="b">
        <f>IF(ABS(P52-(APA!R244))&lt;0.1,TRUE,FALSE)</f>
        <v>1</v>
      </c>
      <c r="Q91" s="611" t="b">
        <f>IF(ABS(Q52-(APA!S244))&lt;0.1,TRUE,FALSE)</f>
        <v>1</v>
      </c>
      <c r="R91" s="611" t="b">
        <f>IF(ABS(R52-(APA!T244))&lt;0.1,TRUE,FALSE)</f>
        <v>1</v>
      </c>
      <c r="S91" s="611" t="b">
        <f>IF(ABS(S52-(APA!U244))&lt;0.1,TRUE,FALSE)</f>
        <v>1</v>
      </c>
      <c r="T91" s="611" t="b">
        <f>IF(ABS(T52-(APA!V244))&lt;0.1,TRUE,FALSE)</f>
        <v>1</v>
      </c>
      <c r="U91" s="611" t="b">
        <f>IF(ABS(U52-(APA!W244))&lt;0.1,TRUE,FALSE)</f>
        <v>1</v>
      </c>
      <c r="V91" s="611" t="b">
        <f>IF(ABS(V52-(APA!X244))&lt;0.1,TRUE,FALSE)</f>
        <v>1</v>
      </c>
      <c r="W91" s="611" t="b">
        <f>IF(ABS(W52-(APA!Y244))&lt;0.1,TRUE,FALSE)</f>
        <v>1</v>
      </c>
      <c r="X91" s="611" t="b">
        <f>IF(ABS(X52-(APA!Z244))&lt;0.1,TRUE,FALSE)</f>
        <v>1</v>
      </c>
      <c r="AU91" s="138"/>
      <c r="AV91" s="138"/>
      <c r="AW91" s="138"/>
      <c r="AX91" s="138"/>
    </row>
    <row r="92" spans="1:50" s="580" customFormat="1" ht="15" customHeight="1" x14ac:dyDescent="0.2">
      <c r="A92" s="138"/>
      <c r="AU92" s="138"/>
      <c r="AV92" s="138"/>
      <c r="AW92" s="138"/>
      <c r="AX92" s="138"/>
    </row>
    <row r="93" spans="1:50" s="580" customFormat="1" ht="15" customHeight="1" x14ac:dyDescent="0.2">
      <c r="A93" s="138"/>
      <c r="P93" s="614"/>
      <c r="Y93" s="579">
        <f>+APA!W45</f>
        <v>149.48400000000001</v>
      </c>
      <c r="AU93" s="138"/>
      <c r="AV93" s="138"/>
      <c r="AW93" s="138"/>
      <c r="AX93" s="138"/>
    </row>
    <row r="94" spans="1:50" s="580" customFormat="1" ht="15" customHeight="1" x14ac:dyDescent="0.2">
      <c r="A94" s="138"/>
      <c r="Y94" s="579"/>
      <c r="AU94" s="138"/>
      <c r="AV94" s="138"/>
      <c r="AW94" s="138"/>
      <c r="AX94" s="138"/>
    </row>
    <row r="95" spans="1:50" s="580" customFormat="1" ht="15" customHeight="1" x14ac:dyDescent="0.2">
      <c r="A95" s="138"/>
      <c r="Y95" s="579"/>
      <c r="AU95" s="138"/>
      <c r="AV95" s="138"/>
      <c r="AW95" s="138"/>
      <c r="AX95" s="138"/>
    </row>
    <row r="96" spans="1:50" s="580" customFormat="1" ht="15" customHeight="1" x14ac:dyDescent="0.2">
      <c r="A96" s="138"/>
      <c r="Y96" s="579"/>
      <c r="AU96" s="138"/>
      <c r="AV96" s="138"/>
      <c r="AW96" s="138"/>
      <c r="AX96" s="138"/>
    </row>
    <row r="97" spans="1:50" s="580" customFormat="1" ht="15" customHeight="1" x14ac:dyDescent="0.2">
      <c r="A97" s="138"/>
      <c r="Y97" s="138"/>
      <c r="AU97" s="138"/>
      <c r="AV97" s="138"/>
      <c r="AW97" s="138"/>
      <c r="AX97" s="138"/>
    </row>
    <row r="98" spans="1:50" s="580" customFormat="1" ht="15" customHeight="1" x14ac:dyDescent="0.2">
      <c r="A98" s="138"/>
      <c r="Y98" s="579"/>
      <c r="AU98" s="138"/>
      <c r="AV98" s="138"/>
      <c r="AW98" s="138"/>
      <c r="AX98" s="138"/>
    </row>
    <row r="99" spans="1:50" s="580" customFormat="1" ht="15" customHeight="1" x14ac:dyDescent="0.2">
      <c r="A99" s="138"/>
      <c r="Y99" s="579"/>
      <c r="AU99" s="138"/>
      <c r="AV99" s="138"/>
      <c r="AW99" s="138"/>
      <c r="AX99" s="138"/>
    </row>
    <row r="100" spans="1:50" s="580" customFormat="1" ht="15" customHeight="1" x14ac:dyDescent="0.2">
      <c r="A100" s="138"/>
      <c r="Y100" s="579">
        <f>+APA!W47</f>
        <v>2.319</v>
      </c>
      <c r="AU100" s="138"/>
      <c r="AV100" s="138"/>
      <c r="AW100" s="138"/>
      <c r="AX100" s="138"/>
    </row>
    <row r="101" spans="1:50" s="580" customFormat="1" ht="15" customHeight="1" x14ac:dyDescent="0.2">
      <c r="AU101" s="138"/>
      <c r="AV101" s="138"/>
    </row>
    <row r="102" spans="1:50" s="580" customFormat="1" ht="15" customHeight="1" x14ac:dyDescent="0.2">
      <c r="AU102" s="138"/>
      <c r="AV102" s="138"/>
    </row>
    <row r="103" spans="1:50" s="580" customFormat="1" ht="15" customHeight="1" x14ac:dyDescent="0.2">
      <c r="AU103" s="138"/>
      <c r="AV103" s="138"/>
    </row>
    <row r="104" spans="1:50" s="580" customFormat="1" ht="15" customHeight="1" x14ac:dyDescent="0.2">
      <c r="AU104" s="138"/>
      <c r="AV104" s="138"/>
    </row>
    <row r="105" spans="1:50" s="580" customFormat="1" ht="15" customHeight="1" x14ac:dyDescent="0.2">
      <c r="A105" s="138"/>
      <c r="AU105" s="138"/>
      <c r="AV105" s="138"/>
      <c r="AW105" s="138"/>
      <c r="AX105" s="138"/>
    </row>
    <row r="106" spans="1:50" s="580" customFormat="1" ht="15" customHeight="1" x14ac:dyDescent="0.2">
      <c r="A106" s="138"/>
      <c r="AU106" s="138"/>
      <c r="AV106" s="138"/>
      <c r="AW106" s="138"/>
      <c r="AX106" s="138"/>
    </row>
    <row r="107" spans="1:50" s="580" customFormat="1" ht="15" customHeight="1" x14ac:dyDescent="0.2">
      <c r="A107" s="138"/>
      <c r="AU107" s="138"/>
      <c r="AV107" s="138"/>
      <c r="AW107" s="138"/>
      <c r="AX107" s="138"/>
    </row>
    <row r="108" spans="1:50" s="580" customFormat="1" ht="15" customHeight="1" x14ac:dyDescent="0.2">
      <c r="A108" s="138"/>
      <c r="AU108" s="138"/>
      <c r="AV108" s="138"/>
      <c r="AW108" s="138"/>
      <c r="AX108" s="138"/>
    </row>
    <row r="109" spans="1:50" s="580" customFormat="1" ht="15" customHeight="1" x14ac:dyDescent="0.2">
      <c r="A109" s="138"/>
      <c r="AU109" s="138"/>
      <c r="AV109" s="138"/>
      <c r="AW109" s="138"/>
      <c r="AX109" s="138"/>
    </row>
    <row r="110" spans="1:50" s="580" customFormat="1" ht="15" customHeight="1" x14ac:dyDescent="0.2">
      <c r="A110" s="138"/>
      <c r="AU110" s="138"/>
      <c r="AV110" s="138"/>
      <c r="AW110" s="138"/>
      <c r="AX110" s="138"/>
    </row>
    <row r="111" spans="1:50" s="580" customFormat="1" ht="15" customHeight="1" x14ac:dyDescent="0.2">
      <c r="A111" s="138"/>
      <c r="AU111" s="138"/>
      <c r="AV111" s="138"/>
      <c r="AW111" s="138"/>
      <c r="AX111" s="138"/>
    </row>
    <row r="112" spans="1:50" s="580" customFormat="1" ht="15" customHeight="1" x14ac:dyDescent="0.2">
      <c r="A112" s="138"/>
      <c r="AU112" s="138"/>
      <c r="AV112" s="138"/>
      <c r="AW112" s="138"/>
      <c r="AX112" s="138"/>
    </row>
    <row r="113" spans="1:50" s="580" customFormat="1" ht="15" customHeight="1" x14ac:dyDescent="0.2">
      <c r="A113" s="138"/>
      <c r="AU113" s="138"/>
      <c r="AV113" s="138"/>
      <c r="AW113" s="138"/>
      <c r="AX113" s="138"/>
    </row>
    <row r="114" spans="1:50" s="580" customFormat="1" ht="15" customHeight="1" x14ac:dyDescent="0.2">
      <c r="A114" s="138"/>
      <c r="AU114" s="138"/>
      <c r="AV114" s="138"/>
      <c r="AW114" s="138"/>
      <c r="AX114" s="138"/>
    </row>
    <row r="115" spans="1:50" s="580" customFormat="1" ht="15" customHeight="1" x14ac:dyDescent="0.2">
      <c r="A115" s="138"/>
      <c r="AU115" s="138"/>
      <c r="AV115" s="138"/>
      <c r="AW115" s="138"/>
      <c r="AX115" s="138"/>
    </row>
    <row r="116" spans="1:50" s="580" customFormat="1" ht="15" customHeight="1" x14ac:dyDescent="0.2">
      <c r="A116" s="138"/>
      <c r="AU116" s="138"/>
      <c r="AV116" s="138"/>
      <c r="AW116" s="138"/>
      <c r="AX116" s="138"/>
    </row>
    <row r="117" spans="1:50" s="580" customFormat="1" ht="15" customHeight="1" x14ac:dyDescent="0.2">
      <c r="A117" s="138"/>
      <c r="AU117" s="138"/>
      <c r="AV117" s="138"/>
      <c r="AW117" s="138"/>
      <c r="AX117" s="138"/>
    </row>
    <row r="118" spans="1:50" s="580" customFormat="1" ht="15" customHeight="1" x14ac:dyDescent="0.2">
      <c r="A118" s="138"/>
      <c r="AU118" s="138"/>
      <c r="AV118" s="138"/>
      <c r="AW118" s="138"/>
      <c r="AX118" s="138"/>
    </row>
    <row r="119" spans="1:50" s="580" customFormat="1" ht="15" customHeight="1" x14ac:dyDescent="0.2">
      <c r="A119" s="138"/>
      <c r="AU119" s="138"/>
      <c r="AV119" s="138"/>
      <c r="AW119" s="138"/>
      <c r="AX119" s="138"/>
    </row>
    <row r="120" spans="1:50" s="580" customFormat="1" ht="15" customHeight="1" x14ac:dyDescent="0.2">
      <c r="A120" s="138"/>
      <c r="AU120" s="138"/>
      <c r="AV120" s="138"/>
      <c r="AW120" s="138"/>
      <c r="AX120" s="138"/>
    </row>
    <row r="121" spans="1:50" s="580" customFormat="1" ht="15" customHeight="1" x14ac:dyDescent="0.2">
      <c r="A121" s="138"/>
      <c r="AU121" s="138"/>
      <c r="AV121" s="138"/>
      <c r="AW121" s="138"/>
      <c r="AX121" s="138"/>
    </row>
    <row r="122" spans="1:50" s="580" customFormat="1" ht="15" customHeight="1" x14ac:dyDescent="0.2">
      <c r="A122" s="138"/>
      <c r="AU122" s="138"/>
      <c r="AV122" s="138"/>
      <c r="AW122" s="138"/>
      <c r="AX122" s="138"/>
    </row>
    <row r="123" spans="1:50" s="580" customFormat="1" ht="15" customHeight="1" x14ac:dyDescent="0.2">
      <c r="A123" s="138"/>
      <c r="AU123" s="138"/>
      <c r="AV123" s="138"/>
      <c r="AW123" s="138"/>
      <c r="AX123" s="138"/>
    </row>
    <row r="124" spans="1:50" s="580" customFormat="1" ht="15" customHeight="1" x14ac:dyDescent="0.2">
      <c r="A124" s="138"/>
      <c r="AU124" s="138"/>
      <c r="AV124" s="138"/>
      <c r="AW124" s="138"/>
      <c r="AX124" s="138"/>
    </row>
    <row r="125" spans="1:50" s="580" customFormat="1" ht="15" customHeight="1" x14ac:dyDescent="0.2">
      <c r="A125" s="138"/>
      <c r="AU125" s="138"/>
      <c r="AV125" s="138"/>
      <c r="AW125" s="138"/>
      <c r="AX125" s="138"/>
    </row>
    <row r="126" spans="1:50" s="580" customFormat="1" ht="15" customHeight="1" x14ac:dyDescent="0.2">
      <c r="A126" s="138"/>
      <c r="AU126" s="138"/>
      <c r="AV126" s="138"/>
      <c r="AW126" s="138"/>
      <c r="AX126" s="138"/>
    </row>
    <row r="127" spans="1:50" s="580" customFormat="1" ht="15" customHeight="1" x14ac:dyDescent="0.2">
      <c r="A127" s="138"/>
      <c r="AU127" s="138"/>
      <c r="AV127" s="138"/>
      <c r="AW127" s="138"/>
      <c r="AX127" s="138"/>
    </row>
    <row r="128" spans="1:50" s="580" customFormat="1" ht="15" customHeight="1" x14ac:dyDescent="0.2">
      <c r="A128" s="138"/>
      <c r="AU128" s="138"/>
      <c r="AV128" s="138"/>
      <c r="AW128" s="138"/>
      <c r="AX128" s="138"/>
    </row>
    <row r="129" spans="1:50" s="580" customFormat="1" ht="15" customHeight="1" x14ac:dyDescent="0.2">
      <c r="A129" s="138"/>
      <c r="AU129" s="138"/>
      <c r="AV129" s="138"/>
      <c r="AW129" s="138"/>
      <c r="AX129" s="138"/>
    </row>
    <row r="130" spans="1:50" s="580" customFormat="1" ht="15" customHeight="1" x14ac:dyDescent="0.2">
      <c r="A130" s="138"/>
      <c r="AU130" s="138"/>
      <c r="AV130" s="138"/>
      <c r="AW130" s="138"/>
      <c r="AX130" s="138"/>
    </row>
    <row r="131" spans="1:50" s="580" customFormat="1" ht="15" customHeight="1" x14ac:dyDescent="0.2">
      <c r="A131" s="138"/>
      <c r="AU131" s="138"/>
      <c r="AV131" s="138"/>
      <c r="AW131" s="138"/>
      <c r="AX131" s="138"/>
    </row>
    <row r="132" spans="1:50" s="580" customFormat="1" ht="15" customHeight="1" x14ac:dyDescent="0.2">
      <c r="A132" s="138"/>
      <c r="AU132" s="138"/>
      <c r="AV132" s="138"/>
      <c r="AW132" s="138"/>
      <c r="AX132" s="138"/>
    </row>
    <row r="133" spans="1:50" s="580" customFormat="1" ht="15" customHeight="1" x14ac:dyDescent="0.2">
      <c r="A133" s="138"/>
      <c r="AU133" s="138"/>
      <c r="AV133" s="138"/>
      <c r="AW133" s="138"/>
      <c r="AX133" s="138"/>
    </row>
    <row r="134" spans="1:50" s="580" customFormat="1" ht="15" customHeight="1" x14ac:dyDescent="0.2">
      <c r="A134" s="138"/>
      <c r="AU134" s="138"/>
      <c r="AV134" s="138"/>
      <c r="AW134" s="138"/>
      <c r="AX134" s="138"/>
    </row>
    <row r="135" spans="1:50" s="580" customFormat="1" ht="15" customHeight="1" x14ac:dyDescent="0.2">
      <c r="A135" s="138"/>
      <c r="AU135" s="138"/>
      <c r="AV135" s="138"/>
      <c r="AW135" s="138"/>
      <c r="AX135" s="138"/>
    </row>
    <row r="136" spans="1:50" s="580" customFormat="1" ht="15" customHeight="1" x14ac:dyDescent="0.2">
      <c r="A136" s="138"/>
      <c r="AU136" s="138"/>
      <c r="AV136" s="138"/>
      <c r="AW136" s="138"/>
      <c r="AX136" s="138"/>
    </row>
    <row r="137" spans="1:50" s="580" customFormat="1" ht="15" customHeight="1" x14ac:dyDescent="0.2">
      <c r="A137" s="138"/>
      <c r="AU137" s="138"/>
      <c r="AV137" s="138"/>
      <c r="AW137" s="138"/>
      <c r="AX137" s="138"/>
    </row>
    <row r="138" spans="1:50" s="580" customFormat="1" ht="15" customHeight="1" x14ac:dyDescent="0.2">
      <c r="A138" s="138"/>
      <c r="AU138" s="138"/>
      <c r="AV138" s="138"/>
      <c r="AW138" s="138"/>
      <c r="AX138" s="138"/>
    </row>
    <row r="139" spans="1:50" s="580" customFormat="1" ht="15" customHeight="1" x14ac:dyDescent="0.2">
      <c r="A139" s="138"/>
      <c r="AU139" s="138"/>
      <c r="AV139" s="138"/>
      <c r="AW139" s="138"/>
      <c r="AX139" s="138"/>
    </row>
    <row r="140" spans="1:50" s="580" customFormat="1" ht="15" customHeight="1" x14ac:dyDescent="0.2">
      <c r="A140" s="138"/>
      <c r="AU140" s="138"/>
      <c r="AV140" s="138"/>
      <c r="AW140" s="138"/>
      <c r="AX140" s="138"/>
    </row>
    <row r="141" spans="1:50" s="580" customFormat="1" ht="15" customHeight="1" x14ac:dyDescent="0.2">
      <c r="A141" s="138"/>
      <c r="AU141" s="138"/>
      <c r="AV141" s="138"/>
      <c r="AW141" s="138"/>
      <c r="AX141" s="138"/>
    </row>
    <row r="142" spans="1:50" s="580" customFormat="1" ht="15" customHeight="1" x14ac:dyDescent="0.2">
      <c r="A142" s="138"/>
      <c r="AU142" s="138"/>
      <c r="AV142" s="138"/>
      <c r="AW142" s="138"/>
      <c r="AX142" s="138"/>
    </row>
    <row r="143" spans="1:50" s="580" customFormat="1" ht="15" customHeight="1" x14ac:dyDescent="0.2">
      <c r="A143" s="138"/>
      <c r="AW143" s="138"/>
      <c r="AX143" s="138"/>
    </row>
    <row r="144" spans="1:50" s="580" customFormat="1" ht="15" customHeight="1" x14ac:dyDescent="0.2"/>
    <row r="145" spans="2:48" s="580" customFormat="1" ht="15" customHeight="1" x14ac:dyDescent="0.2"/>
    <row r="146" spans="2:48" s="580" customFormat="1" ht="15" customHeight="1" x14ac:dyDescent="0.2"/>
    <row r="147" spans="2:48" s="580" customFormat="1" ht="15" customHeight="1" x14ac:dyDescent="0.2">
      <c r="B147" s="138"/>
      <c r="C147" s="138"/>
      <c r="D147" s="138"/>
      <c r="E147" s="138"/>
      <c r="F147" s="138"/>
      <c r="G147" s="138"/>
      <c r="H147" s="138"/>
      <c r="I147" s="138"/>
      <c r="J147" s="138"/>
      <c r="K147" s="138"/>
      <c r="L147" s="138"/>
      <c r="M147" s="138"/>
      <c r="N147" s="138"/>
      <c r="O147" s="138"/>
      <c r="P147" s="138"/>
      <c r="Q147" s="138"/>
      <c r="R147" s="138"/>
      <c r="S147" s="138"/>
      <c r="T147" s="138"/>
      <c r="U147" s="138"/>
      <c r="V147" s="138"/>
      <c r="W147" s="138"/>
      <c r="X147" s="138"/>
    </row>
    <row r="148" spans="2:48" s="580" customFormat="1" ht="15" customHeight="1" x14ac:dyDescent="0.2">
      <c r="B148" s="615"/>
      <c r="C148" s="615"/>
      <c r="D148" s="615"/>
      <c r="E148" s="615"/>
      <c r="F148" s="615"/>
      <c r="G148" s="615"/>
      <c r="H148" s="615"/>
      <c r="I148" s="615"/>
      <c r="J148" s="615"/>
      <c r="K148" s="615"/>
      <c r="L148" s="615"/>
      <c r="M148" s="615"/>
      <c r="N148" s="615"/>
      <c r="O148" s="615"/>
      <c r="P148" s="615"/>
      <c r="Q148" s="615"/>
      <c r="R148" s="615"/>
      <c r="S148" s="615"/>
      <c r="T148" s="615"/>
      <c r="U148" s="615"/>
      <c r="V148" s="615"/>
      <c r="W148" s="615"/>
      <c r="X148" s="615"/>
      <c r="Z148" s="615"/>
      <c r="AA148" s="615"/>
      <c r="AB148" s="615"/>
      <c r="AC148" s="615"/>
      <c r="AD148" s="615"/>
      <c r="AE148" s="615"/>
      <c r="AF148" s="615"/>
      <c r="AG148" s="615"/>
      <c r="AH148" s="615"/>
      <c r="AI148" s="615"/>
      <c r="AJ148" s="615"/>
      <c r="AK148" s="615"/>
      <c r="AL148" s="615"/>
      <c r="AM148" s="615"/>
      <c r="AN148" s="615"/>
      <c r="AO148" s="615"/>
      <c r="AP148" s="615"/>
      <c r="AQ148" s="615"/>
      <c r="AR148" s="615"/>
      <c r="AS148" s="615"/>
      <c r="AT148" s="615"/>
      <c r="AU148" s="615"/>
      <c r="AV148" s="615"/>
    </row>
  </sheetData>
  <phoneticPr fontId="3" type="noConversion"/>
  <conditionalFormatting sqref="Q56:X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" right="0" top="0" bottom="0" header="0" footer="0"/>
  <pageSetup paperSize="5" scale="34" orientation="landscape" horizontalDpi="300" verticalDpi="300" r:id="rId1"/>
  <headerFooter alignWithMargins="0"/>
  <rowBreaks count="1" manualBreakCount="1">
    <brk id="53" max="44" man="1"/>
  </rowBreak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DR119"/>
  <sheetViews>
    <sheetView showGridLines="0" zoomScaleNormal="100" workbookViewId="0">
      <selection activeCell="T27" sqref="T27"/>
    </sheetView>
  </sheetViews>
  <sheetFormatPr defaultRowHeight="20.100000000000001" customHeight="1" outlineLevelRow="1" outlineLevelCol="1" x14ac:dyDescent="0.2"/>
  <cols>
    <col min="1" max="1" width="3.1640625" style="793" customWidth="1"/>
    <col min="2" max="2" width="24.33203125" style="793" hidden="1" customWidth="1" outlineLevel="1"/>
    <col min="3" max="3" width="10.6640625" style="794" hidden="1" customWidth="1" outlineLevel="1"/>
    <col min="4" max="4" width="10.6640625" style="793" hidden="1" customWidth="1" outlineLevel="1"/>
    <col min="5" max="5" width="10.6640625" style="795" hidden="1" customWidth="1" outlineLevel="1"/>
    <col min="6" max="6" width="10.6640625" style="793" hidden="1" customWidth="1" outlineLevel="1"/>
    <col min="7" max="8" width="10.6640625" style="795" hidden="1" customWidth="1" outlineLevel="1"/>
    <col min="9" max="9" width="22.1640625" style="793" hidden="1" customWidth="1" outlineLevel="1"/>
    <col min="10" max="12" width="10.6640625" style="793" hidden="1" customWidth="1" outlineLevel="1"/>
    <col min="13" max="13" width="50.5" style="796" bestFit="1" customWidth="1" collapsed="1"/>
    <col min="14" max="51" width="6.6640625" style="793" hidden="1" customWidth="1" outlineLevel="1"/>
    <col min="52" max="52" width="6.6640625" style="793" customWidth="1" collapsed="1"/>
    <col min="53" max="83" width="6.6640625" style="793" customWidth="1"/>
    <col min="84" max="115" width="6.6640625" style="793" hidden="1" customWidth="1" outlineLevel="1"/>
    <col min="116" max="116" width="9.33203125" style="793" collapsed="1"/>
    <col min="117" max="16384" width="9.33203125" style="793"/>
  </cols>
  <sheetData>
    <row r="1" spans="1:122" ht="15" customHeight="1" x14ac:dyDescent="0.2">
      <c r="A1" s="792" t="s">
        <v>914</v>
      </c>
    </row>
    <row r="2" spans="1:122" s="798" customFormat="1" ht="15" customHeight="1" x14ac:dyDescent="0.2">
      <c r="A2" s="797" t="s">
        <v>915</v>
      </c>
      <c r="C2" s="799"/>
      <c r="E2" s="800"/>
      <c r="G2" s="800"/>
      <c r="H2" s="800"/>
      <c r="M2" s="801"/>
      <c r="BK2" s="802">
        <f>SUMPRODUCT($L15:$L85,BK15:BK85)/(BK13*1000)</f>
        <v>12.765364992038119</v>
      </c>
      <c r="BL2" s="798" t="s">
        <v>916</v>
      </c>
    </row>
    <row r="3" spans="1:122" ht="15" customHeight="1" x14ac:dyDescent="0.2">
      <c r="B3" s="806"/>
      <c r="C3" s="806"/>
      <c r="D3" s="806"/>
      <c r="E3" s="806"/>
      <c r="F3" s="806"/>
      <c r="G3" s="806"/>
      <c r="H3" s="806"/>
      <c r="J3" s="795" t="str">
        <f>IF(ISNUMBER(E3),DATE(YEAR(E3),12,1),"")</f>
        <v/>
      </c>
      <c r="K3" s="795" t="str">
        <f>IF(ISNUMBER(G3),DATE(YEAR(G3),12,1),"")</f>
        <v/>
      </c>
      <c r="L3" s="810" t="str">
        <f>IF(ISNUMBER($G3),(G3-J$10)/365,"")</f>
        <v/>
      </c>
      <c r="M3" s="809" t="str">
        <f>IF(ISNUMBER($C3),B3&amp;" ("&amp;TEXT($C3,"0%")&amp;")","")</f>
        <v/>
      </c>
      <c r="N3" s="811" t="str">
        <f t="shared" ref="N3:AS3" si="0">IF(ISNUMBER($J3),IF(N$12&lt;$J3,"",IF(N$12=$J3,$D3*$C3,IF(AND(N$12&gt;$J3,N$12&lt;$J3+$F3*365),$D3*(1-(N$12-$J3)/($F3*365))*$C3,""))),"")</f>
        <v/>
      </c>
      <c r="O3" s="811" t="str">
        <f t="shared" si="0"/>
        <v/>
      </c>
      <c r="P3" s="811" t="str">
        <f t="shared" si="0"/>
        <v/>
      </c>
      <c r="Q3" s="811" t="str">
        <f t="shared" si="0"/>
        <v/>
      </c>
      <c r="R3" s="811" t="str">
        <f t="shared" si="0"/>
        <v/>
      </c>
      <c r="S3" s="811" t="str">
        <f t="shared" si="0"/>
        <v/>
      </c>
      <c r="T3" s="811" t="str">
        <f t="shared" si="0"/>
        <v/>
      </c>
      <c r="U3" s="811" t="str">
        <f t="shared" si="0"/>
        <v/>
      </c>
      <c r="V3" s="811" t="str">
        <f t="shared" si="0"/>
        <v/>
      </c>
      <c r="W3" s="811" t="str">
        <f t="shared" si="0"/>
        <v/>
      </c>
      <c r="X3" s="811" t="str">
        <f t="shared" si="0"/>
        <v/>
      </c>
      <c r="Y3" s="811" t="str">
        <f t="shared" si="0"/>
        <v/>
      </c>
      <c r="Z3" s="811" t="str">
        <f t="shared" si="0"/>
        <v/>
      </c>
      <c r="AA3" s="811" t="str">
        <f t="shared" si="0"/>
        <v/>
      </c>
      <c r="AB3" s="811" t="str">
        <f t="shared" si="0"/>
        <v/>
      </c>
      <c r="AC3" s="811" t="str">
        <f t="shared" si="0"/>
        <v/>
      </c>
      <c r="AD3" s="811" t="str">
        <f t="shared" si="0"/>
        <v/>
      </c>
      <c r="AE3" s="811" t="str">
        <f t="shared" si="0"/>
        <v/>
      </c>
      <c r="AF3" s="811" t="str">
        <f t="shared" si="0"/>
        <v/>
      </c>
      <c r="AG3" s="811" t="str">
        <f t="shared" si="0"/>
        <v/>
      </c>
      <c r="AH3" s="811" t="str">
        <f t="shared" si="0"/>
        <v/>
      </c>
      <c r="AI3" s="811" t="str">
        <f t="shared" si="0"/>
        <v/>
      </c>
      <c r="AJ3" s="811" t="str">
        <f t="shared" si="0"/>
        <v/>
      </c>
      <c r="AK3" s="811" t="str">
        <f t="shared" si="0"/>
        <v/>
      </c>
      <c r="AL3" s="811" t="str">
        <f t="shared" si="0"/>
        <v/>
      </c>
      <c r="AM3" s="811" t="str">
        <f t="shared" si="0"/>
        <v/>
      </c>
      <c r="AN3" s="811" t="str">
        <f t="shared" si="0"/>
        <v/>
      </c>
      <c r="AO3" s="811" t="str">
        <f t="shared" si="0"/>
        <v/>
      </c>
      <c r="AP3" s="811" t="str">
        <f t="shared" si="0"/>
        <v/>
      </c>
      <c r="AQ3" s="811" t="str">
        <f t="shared" si="0"/>
        <v/>
      </c>
      <c r="AR3" s="811" t="str">
        <f t="shared" si="0"/>
        <v/>
      </c>
      <c r="AS3" s="811" t="str">
        <f t="shared" si="0"/>
        <v/>
      </c>
      <c r="AT3" s="811" t="str">
        <f t="shared" ref="AT3:BY3" si="1">IF(ISNUMBER($J3),IF(AT$12&lt;$J3,"",IF(AT$12=$J3,$D3*$C3,IF(AND(AT$12&gt;$J3,AT$12&lt;$J3+$F3*365),$D3*(1-(AT$12-$J3)/($F3*365))*$C3,""))),"")</f>
        <v/>
      </c>
      <c r="AU3" s="811" t="str">
        <f t="shared" si="1"/>
        <v/>
      </c>
      <c r="AV3" s="811" t="str">
        <f t="shared" si="1"/>
        <v/>
      </c>
      <c r="AW3" s="811" t="str">
        <f t="shared" si="1"/>
        <v/>
      </c>
      <c r="AX3" s="811" t="str">
        <f t="shared" si="1"/>
        <v/>
      </c>
      <c r="AY3" s="811" t="str">
        <f t="shared" si="1"/>
        <v/>
      </c>
      <c r="AZ3" s="811" t="str">
        <f t="shared" si="1"/>
        <v/>
      </c>
      <c r="BA3" s="811" t="str">
        <f t="shared" si="1"/>
        <v/>
      </c>
      <c r="BB3" s="811" t="str">
        <f t="shared" si="1"/>
        <v/>
      </c>
      <c r="BC3" s="811" t="str">
        <f t="shared" si="1"/>
        <v/>
      </c>
      <c r="BD3" s="811" t="str">
        <f t="shared" si="1"/>
        <v/>
      </c>
      <c r="BE3" s="811" t="str">
        <f t="shared" si="1"/>
        <v/>
      </c>
      <c r="BF3" s="811" t="str">
        <f t="shared" si="1"/>
        <v/>
      </c>
      <c r="BG3" s="811" t="str">
        <f t="shared" si="1"/>
        <v/>
      </c>
      <c r="BH3" s="811" t="str">
        <f t="shared" si="1"/>
        <v/>
      </c>
      <c r="BI3" s="811" t="str">
        <f t="shared" si="1"/>
        <v/>
      </c>
      <c r="BJ3" s="811" t="str">
        <f t="shared" si="1"/>
        <v/>
      </c>
      <c r="BK3" s="811" t="str">
        <f t="shared" si="1"/>
        <v/>
      </c>
      <c r="BL3" s="811" t="str">
        <f t="shared" si="1"/>
        <v/>
      </c>
      <c r="BM3" s="811" t="str">
        <f t="shared" si="1"/>
        <v/>
      </c>
      <c r="BN3" s="811" t="str">
        <f t="shared" si="1"/>
        <v/>
      </c>
      <c r="BO3" s="811" t="str">
        <f t="shared" si="1"/>
        <v/>
      </c>
      <c r="BP3" s="811" t="str">
        <f t="shared" si="1"/>
        <v/>
      </c>
      <c r="BQ3" s="811" t="str">
        <f t="shared" si="1"/>
        <v/>
      </c>
      <c r="BR3" s="811" t="str">
        <f t="shared" si="1"/>
        <v/>
      </c>
      <c r="BS3" s="811" t="str">
        <f t="shared" si="1"/>
        <v/>
      </c>
      <c r="BT3" s="811" t="str">
        <f t="shared" si="1"/>
        <v/>
      </c>
      <c r="BU3" s="811" t="str">
        <f t="shared" si="1"/>
        <v/>
      </c>
      <c r="BV3" s="811" t="str">
        <f t="shared" si="1"/>
        <v/>
      </c>
      <c r="BW3" s="811" t="str">
        <f t="shared" si="1"/>
        <v/>
      </c>
      <c r="BX3" s="811" t="str">
        <f t="shared" si="1"/>
        <v/>
      </c>
      <c r="BY3" s="811" t="str">
        <f t="shared" si="1"/>
        <v/>
      </c>
      <c r="BZ3" s="811" t="str">
        <f t="shared" ref="BZ3:DE3" si="2">IF(ISNUMBER($J3),IF(BZ$12&lt;$J3,"",IF(BZ$12=$J3,$D3*$C3,IF(AND(BZ$12&gt;$J3,BZ$12&lt;$J3+$F3*365),$D3*(1-(BZ$12-$J3)/($F3*365))*$C3,""))),"")</f>
        <v/>
      </c>
      <c r="CA3" s="811" t="str">
        <f t="shared" si="2"/>
        <v/>
      </c>
      <c r="CB3" s="811" t="str">
        <f t="shared" si="2"/>
        <v/>
      </c>
      <c r="CC3" s="811" t="str">
        <f t="shared" si="2"/>
        <v/>
      </c>
      <c r="CD3" s="811" t="str">
        <f t="shared" si="2"/>
        <v/>
      </c>
      <c r="CE3" s="811" t="str">
        <f t="shared" si="2"/>
        <v/>
      </c>
      <c r="CF3" s="811" t="str">
        <f t="shared" si="2"/>
        <v/>
      </c>
      <c r="CG3" s="811" t="str">
        <f t="shared" si="2"/>
        <v/>
      </c>
      <c r="CH3" s="811" t="str">
        <f t="shared" si="2"/>
        <v/>
      </c>
      <c r="CI3" s="811" t="str">
        <f t="shared" si="2"/>
        <v/>
      </c>
      <c r="CJ3" s="811" t="str">
        <f t="shared" si="2"/>
        <v/>
      </c>
      <c r="CK3" s="811" t="str">
        <f t="shared" si="2"/>
        <v/>
      </c>
      <c r="CL3" s="811" t="str">
        <f t="shared" si="2"/>
        <v/>
      </c>
      <c r="CM3" s="811" t="str">
        <f t="shared" si="2"/>
        <v/>
      </c>
      <c r="CN3" s="811" t="str">
        <f t="shared" si="2"/>
        <v/>
      </c>
      <c r="CO3" s="811" t="str">
        <f t="shared" si="2"/>
        <v/>
      </c>
      <c r="CP3" s="811" t="str">
        <f t="shared" si="2"/>
        <v/>
      </c>
      <c r="CQ3" s="811" t="str">
        <f t="shared" si="2"/>
        <v/>
      </c>
      <c r="CR3" s="811" t="str">
        <f t="shared" si="2"/>
        <v/>
      </c>
      <c r="CS3" s="811" t="str">
        <f t="shared" si="2"/>
        <v/>
      </c>
      <c r="CT3" s="811" t="str">
        <f t="shared" si="2"/>
        <v/>
      </c>
      <c r="CU3" s="811" t="str">
        <f t="shared" si="2"/>
        <v/>
      </c>
      <c r="CV3" s="811" t="str">
        <f t="shared" si="2"/>
        <v/>
      </c>
      <c r="CW3" s="811" t="str">
        <f t="shared" si="2"/>
        <v/>
      </c>
      <c r="CX3" s="811" t="str">
        <f t="shared" si="2"/>
        <v/>
      </c>
      <c r="CY3" s="811" t="str">
        <f t="shared" si="2"/>
        <v/>
      </c>
      <c r="CZ3" s="811" t="str">
        <f t="shared" si="2"/>
        <v/>
      </c>
      <c r="DA3" s="811" t="str">
        <f t="shared" si="2"/>
        <v/>
      </c>
      <c r="DB3" s="811" t="str">
        <f t="shared" si="2"/>
        <v/>
      </c>
      <c r="DC3" s="811" t="str">
        <f t="shared" si="2"/>
        <v/>
      </c>
      <c r="DD3" s="811" t="str">
        <f t="shared" si="2"/>
        <v/>
      </c>
      <c r="DE3" s="811" t="str">
        <f t="shared" si="2"/>
        <v/>
      </c>
      <c r="DF3" s="811" t="str">
        <f t="shared" ref="DF3:DK3" si="3">IF(ISNUMBER($J3),IF(DF$12&lt;$J3,"",IF(DF$12=$J3,$D3*$C3,IF(AND(DF$12&gt;$J3,DF$12&lt;$J3+$F3*365),$D3*(1-(DF$12-$J3)/($F3*365))*$C3,""))),"")</f>
        <v/>
      </c>
      <c r="DG3" s="811" t="str">
        <f t="shared" si="3"/>
        <v/>
      </c>
      <c r="DH3" s="811" t="str">
        <f t="shared" si="3"/>
        <v/>
      </c>
      <c r="DI3" s="811" t="str">
        <f t="shared" si="3"/>
        <v/>
      </c>
      <c r="DJ3" s="811" t="str">
        <f t="shared" si="3"/>
        <v/>
      </c>
      <c r="DK3" s="811" t="str">
        <f t="shared" si="3"/>
        <v/>
      </c>
    </row>
    <row r="4" spans="1:122" s="796" customFormat="1" ht="15" customHeight="1" x14ac:dyDescent="0.2">
      <c r="B4" s="878"/>
      <c r="C4" s="878"/>
      <c r="D4" s="878"/>
      <c r="E4" s="878"/>
      <c r="F4" s="878"/>
      <c r="G4" s="878"/>
      <c r="H4" s="878"/>
      <c r="L4" s="879" t="str">
        <f>IF(ISNUMBER($G4),(G4-J$10)/365,"")</f>
        <v/>
      </c>
      <c r="M4" s="877" t="s">
        <v>964</v>
      </c>
      <c r="N4" s="877">
        <v>25538</v>
      </c>
      <c r="O4" s="877">
        <v>25903</v>
      </c>
      <c r="P4" s="877">
        <v>26268</v>
      </c>
      <c r="Q4" s="877">
        <v>26634</v>
      </c>
      <c r="R4" s="877">
        <v>26999</v>
      </c>
      <c r="S4" s="877">
        <v>27364</v>
      </c>
      <c r="T4" s="877">
        <v>27729</v>
      </c>
      <c r="U4" s="877">
        <v>28095</v>
      </c>
      <c r="V4" s="877">
        <v>28460</v>
      </c>
      <c r="W4" s="877">
        <v>28825</v>
      </c>
      <c r="X4" s="877">
        <v>29190</v>
      </c>
      <c r="Y4" s="877">
        <v>29556</v>
      </c>
      <c r="Z4" s="877">
        <v>29921</v>
      </c>
      <c r="AA4" s="877">
        <v>30286</v>
      </c>
      <c r="AB4" s="877">
        <v>30651</v>
      </c>
      <c r="AC4" s="877">
        <v>31017</v>
      </c>
      <c r="AD4" s="877">
        <v>31382</v>
      </c>
      <c r="AE4" s="877">
        <v>31747</v>
      </c>
      <c r="AF4" s="877">
        <v>32112</v>
      </c>
      <c r="AG4" s="877">
        <v>32478</v>
      </c>
      <c r="AH4" s="877">
        <v>32843</v>
      </c>
      <c r="AI4" s="877">
        <v>33208</v>
      </c>
      <c r="AJ4" s="877">
        <v>33573</v>
      </c>
      <c r="AK4" s="877">
        <v>33939</v>
      </c>
      <c r="AL4" s="877">
        <v>34304</v>
      </c>
      <c r="AM4" s="877">
        <v>34669</v>
      </c>
      <c r="AN4" s="877">
        <v>35034</v>
      </c>
      <c r="AO4" s="877">
        <v>35400</v>
      </c>
      <c r="AP4" s="877">
        <v>35765</v>
      </c>
      <c r="AQ4" s="877">
        <v>36130</v>
      </c>
      <c r="AR4" s="877">
        <v>36495</v>
      </c>
      <c r="AS4" s="877">
        <v>36861</v>
      </c>
      <c r="AT4" s="877">
        <v>37226</v>
      </c>
      <c r="AU4" s="877">
        <v>37591</v>
      </c>
      <c r="AV4" s="877">
        <v>37956</v>
      </c>
      <c r="AW4" s="877">
        <v>38322</v>
      </c>
      <c r="AX4" s="877">
        <v>38687</v>
      </c>
      <c r="AY4" s="877">
        <v>39052</v>
      </c>
      <c r="AZ4" s="877">
        <v>39417</v>
      </c>
      <c r="BA4" s="877">
        <v>39783</v>
      </c>
      <c r="BB4" s="877">
        <v>40148</v>
      </c>
      <c r="BC4" s="877">
        <v>40513</v>
      </c>
      <c r="BD4" s="877">
        <v>40878</v>
      </c>
      <c r="BE4" s="877">
        <v>41244</v>
      </c>
      <c r="BF4" s="877">
        <v>41609</v>
      </c>
      <c r="BG4" s="877">
        <v>41974</v>
      </c>
      <c r="BH4" s="877">
        <v>42339</v>
      </c>
      <c r="BI4" s="877">
        <v>42705</v>
      </c>
      <c r="BJ4" s="877">
        <v>43070</v>
      </c>
      <c r="BK4" s="877">
        <v>43435</v>
      </c>
      <c r="BL4" s="877">
        <v>43800</v>
      </c>
      <c r="BM4" s="877">
        <v>44166</v>
      </c>
      <c r="BN4" s="877">
        <v>44531</v>
      </c>
      <c r="BO4" s="877">
        <v>44896</v>
      </c>
      <c r="BP4" s="877">
        <v>45261</v>
      </c>
      <c r="BQ4" s="877">
        <v>45627</v>
      </c>
      <c r="BR4" s="877">
        <v>45992</v>
      </c>
      <c r="BS4" s="877">
        <v>46357</v>
      </c>
      <c r="BT4" s="877">
        <v>46722</v>
      </c>
      <c r="BU4" s="877">
        <v>47088</v>
      </c>
      <c r="BV4" s="877">
        <v>47453</v>
      </c>
      <c r="BW4" s="877">
        <v>47818</v>
      </c>
      <c r="BX4" s="877">
        <v>48183</v>
      </c>
      <c r="BY4" s="877">
        <v>48549</v>
      </c>
      <c r="BZ4" s="877">
        <v>48914</v>
      </c>
      <c r="CA4" s="877">
        <v>49279</v>
      </c>
      <c r="CB4" s="877">
        <v>49644</v>
      </c>
      <c r="CC4" s="877">
        <v>50010</v>
      </c>
      <c r="CD4" s="877">
        <v>50375</v>
      </c>
      <c r="CE4" s="877">
        <v>50740</v>
      </c>
      <c r="CF4" s="877">
        <v>51105</v>
      </c>
      <c r="CG4" s="877">
        <v>51471</v>
      </c>
      <c r="CH4" s="877">
        <v>51836</v>
      </c>
      <c r="CI4" s="877">
        <v>52201</v>
      </c>
      <c r="CJ4" s="877">
        <v>52566</v>
      </c>
      <c r="CK4" s="877">
        <v>52932</v>
      </c>
      <c r="CL4" s="877">
        <v>53297</v>
      </c>
      <c r="CM4" s="877">
        <v>53662</v>
      </c>
      <c r="CN4" s="877">
        <v>54027</v>
      </c>
      <c r="CO4" s="877">
        <v>54393</v>
      </c>
      <c r="CP4" s="877">
        <v>54758</v>
      </c>
      <c r="CQ4" s="877">
        <v>55123</v>
      </c>
      <c r="CR4" s="877">
        <v>55488</v>
      </c>
      <c r="CS4" s="877">
        <v>55854</v>
      </c>
      <c r="CT4" s="877">
        <v>56219</v>
      </c>
      <c r="CU4" s="877">
        <v>56584</v>
      </c>
      <c r="CV4" s="877">
        <v>56949</v>
      </c>
      <c r="CW4" s="877">
        <v>57315</v>
      </c>
      <c r="CX4" s="877">
        <v>57680</v>
      </c>
      <c r="CY4" s="877">
        <v>58045</v>
      </c>
      <c r="CZ4" s="877">
        <v>58410</v>
      </c>
      <c r="DA4" s="877">
        <v>58776</v>
      </c>
      <c r="DB4" s="877">
        <v>59141</v>
      </c>
      <c r="DC4" s="877">
        <v>59506</v>
      </c>
      <c r="DD4" s="877">
        <v>59871</v>
      </c>
      <c r="DE4" s="877">
        <v>60237</v>
      </c>
      <c r="DF4" s="877">
        <v>60602</v>
      </c>
      <c r="DG4" s="877">
        <v>60967</v>
      </c>
      <c r="DH4" s="877">
        <v>61332</v>
      </c>
      <c r="DI4" s="877">
        <v>61698</v>
      </c>
      <c r="DJ4" s="877">
        <v>62063</v>
      </c>
      <c r="DK4" s="877">
        <v>62428</v>
      </c>
      <c r="DL4" s="880"/>
      <c r="DM4" s="880"/>
      <c r="DN4" s="880"/>
      <c r="DO4" s="880"/>
      <c r="DP4" s="880"/>
    </row>
    <row r="5" spans="1:122" ht="15" customHeight="1" outlineLevel="1" x14ac:dyDescent="0.2">
      <c r="M5" s="793" t="s">
        <v>928</v>
      </c>
      <c r="N5" s="818">
        <v>9.4499999999999993</v>
      </c>
      <c r="O5" s="818">
        <v>9.7799999999999994</v>
      </c>
      <c r="P5" s="818">
        <v>10.38</v>
      </c>
      <c r="Q5" s="818">
        <v>11</v>
      </c>
      <c r="R5" s="818">
        <v>12</v>
      </c>
      <c r="S5" s="818">
        <v>13.85</v>
      </c>
      <c r="T5" s="818">
        <v>15.95</v>
      </c>
      <c r="U5" s="818">
        <v>18.079999999999998</v>
      </c>
      <c r="V5" s="818">
        <v>20.3</v>
      </c>
      <c r="W5" s="818">
        <v>21.93</v>
      </c>
      <c r="X5" s="818">
        <v>23.93</v>
      </c>
      <c r="Y5" s="818">
        <v>26.35</v>
      </c>
      <c r="Z5" s="818">
        <v>28.85</v>
      </c>
      <c r="AA5" s="818">
        <v>32.130000000000003</v>
      </c>
      <c r="AB5" s="818">
        <v>35.35</v>
      </c>
      <c r="AC5" s="818">
        <v>36.75</v>
      </c>
      <c r="AD5" s="818">
        <v>39.229999999999997</v>
      </c>
      <c r="AE5" s="818">
        <v>42.78</v>
      </c>
      <c r="AF5" s="818">
        <v>46.43</v>
      </c>
      <c r="AG5" s="818">
        <v>49.78</v>
      </c>
      <c r="AH5" s="818">
        <v>53.53</v>
      </c>
      <c r="AI5" s="818">
        <v>57.45</v>
      </c>
      <c r="AJ5" s="818">
        <v>59.28</v>
      </c>
      <c r="AK5" s="818">
        <v>59.88</v>
      </c>
      <c r="AL5" s="818">
        <v>60.93</v>
      </c>
      <c r="AM5" s="818">
        <v>62.13</v>
      </c>
      <c r="AN5" s="818">
        <v>65</v>
      </c>
      <c r="AO5" s="818">
        <v>66.7</v>
      </c>
      <c r="AP5" s="818">
        <v>66.849999999999994</v>
      </c>
      <c r="AQ5" s="818">
        <v>67.430000000000007</v>
      </c>
      <c r="AR5" s="818">
        <v>68.430000000000007</v>
      </c>
      <c r="AS5" s="818">
        <v>71.48</v>
      </c>
      <c r="AT5" s="818">
        <v>74.63</v>
      </c>
      <c r="AU5" s="818">
        <v>76.849999999999994</v>
      </c>
      <c r="AV5" s="818">
        <v>78.95</v>
      </c>
      <c r="AW5" s="818">
        <v>80.8</v>
      </c>
      <c r="AX5" s="818">
        <v>82.98</v>
      </c>
      <c r="AY5" s="818">
        <v>85.93</v>
      </c>
      <c r="AZ5" s="818">
        <v>87.93</v>
      </c>
      <c r="BA5" s="818">
        <v>91.75</v>
      </c>
      <c r="BB5" s="818">
        <v>93.38</v>
      </c>
      <c r="BC5" s="818">
        <v>96.1</v>
      </c>
      <c r="BD5" s="818">
        <v>99.28</v>
      </c>
      <c r="BE5" s="818">
        <v>101.03</v>
      </c>
      <c r="BF5" s="818">
        <v>103.5</v>
      </c>
      <c r="BG5" s="818">
        <v>106.08</v>
      </c>
      <c r="BH5" s="818">
        <v>107.68</v>
      </c>
      <c r="BI5" s="818">
        <v>109.05</v>
      </c>
      <c r="BJ5" s="811"/>
      <c r="BK5" s="811"/>
      <c r="BL5" s="811"/>
      <c r="BM5" s="811"/>
      <c r="BN5" s="811"/>
      <c r="BO5" s="811"/>
      <c r="BP5" s="811"/>
      <c r="BQ5" s="811"/>
      <c r="BR5" s="811"/>
      <c r="BS5" s="811"/>
      <c r="BT5" s="811"/>
      <c r="BU5" s="811"/>
      <c r="BV5" s="811"/>
      <c r="BW5" s="811"/>
      <c r="BX5" s="811"/>
      <c r="BY5" s="811"/>
      <c r="BZ5" s="811"/>
      <c r="CA5" s="811"/>
      <c r="CB5" s="811"/>
      <c r="CC5" s="811"/>
      <c r="CD5" s="811"/>
      <c r="CE5" s="811"/>
      <c r="CF5" s="811" t="str">
        <f>IF(ISNUMBER(#REF!),IF(BU$12&lt;#REF!,"",IF(BU$12=#REF!,#REF!*#REF!,IF(AND(BU$12&gt;#REF!,BU$12&lt;#REF!+#REF!*365),#REF!*(1-(BU$12-#REF!)/(#REF!*365))*#REF!,""))),"")</f>
        <v/>
      </c>
      <c r="CG5" s="811" t="str">
        <f>IF(ISNUMBER(#REF!),IF(BV$12&lt;#REF!,"",IF(BV$12=#REF!,#REF!*#REF!,IF(AND(BV$12&gt;#REF!,BV$12&lt;#REF!+#REF!*365),#REF!*(1-(BV$12-#REF!)/(#REF!*365))*#REF!,""))),"")</f>
        <v/>
      </c>
      <c r="CH5" s="811" t="str">
        <f>IF(ISNUMBER(#REF!),IF(BW$12&lt;#REF!,"",IF(BW$12=#REF!,#REF!*#REF!,IF(AND(BW$12&gt;#REF!,BW$12&lt;#REF!+#REF!*365),#REF!*(1-(BW$12-#REF!)/(#REF!*365))*#REF!,""))),"")</f>
        <v/>
      </c>
      <c r="CI5" s="811" t="str">
        <f>IF(ISNUMBER(#REF!),IF(BX$12&lt;#REF!,"",IF(BX$12=#REF!,#REF!*#REF!,IF(AND(BX$12&gt;#REF!,BX$12&lt;#REF!+#REF!*365),#REF!*(1-(BX$12-#REF!)/(#REF!*365))*#REF!,""))),"")</f>
        <v/>
      </c>
      <c r="CJ5" s="811" t="str">
        <f>IF(ISNUMBER(#REF!),IF(BY$12&lt;#REF!,"",IF(BY$12=#REF!,#REF!*#REF!,IF(AND(BY$12&gt;#REF!,BY$12&lt;#REF!+#REF!*365),#REF!*(1-(BY$12-#REF!)/(#REF!*365))*#REF!,""))),"")</f>
        <v/>
      </c>
      <c r="CK5" s="811" t="str">
        <f>IF(ISNUMBER(#REF!),IF(BZ$12&lt;#REF!,"",IF(BZ$12=#REF!,#REF!*#REF!,IF(AND(BZ$12&gt;#REF!,BZ$12&lt;#REF!+#REF!*365),#REF!*(1-(BZ$12-#REF!)/(#REF!*365))*#REF!,""))),"")</f>
        <v/>
      </c>
      <c r="CL5" s="811" t="str">
        <f>IF(ISNUMBER(#REF!),IF(CA$12&lt;#REF!,"",IF(CA$12=#REF!,#REF!*#REF!,IF(AND(CA$12&gt;#REF!,CA$12&lt;#REF!+#REF!*365),#REF!*(1-(CA$12-#REF!)/(#REF!*365))*#REF!,""))),"")</f>
        <v/>
      </c>
      <c r="CM5" s="811" t="str">
        <f>IF(ISNUMBER(#REF!),IF(CB$12&lt;#REF!,"",IF(CB$12=#REF!,#REF!*#REF!,IF(AND(CB$12&gt;#REF!,CB$12&lt;#REF!+#REF!*365),#REF!*(1-(CB$12-#REF!)/(#REF!*365))*#REF!,""))),"")</f>
        <v/>
      </c>
      <c r="CN5" s="811" t="str">
        <f>IF(ISNUMBER(#REF!),IF(CC$12&lt;#REF!,"",IF(CC$12=#REF!,#REF!*#REF!,IF(AND(CC$12&gt;#REF!,CC$12&lt;#REF!+#REF!*365),#REF!*(1-(CC$12-#REF!)/(#REF!*365))*#REF!,""))),"")</f>
        <v/>
      </c>
      <c r="CO5" s="811" t="str">
        <f>IF(ISNUMBER(#REF!),IF(CD$12&lt;#REF!,"",IF(CD$12=#REF!,#REF!*#REF!,IF(AND(CD$12&gt;#REF!,CD$12&lt;#REF!+#REF!*365),#REF!*(1-(CD$12-#REF!)/(#REF!*365))*#REF!,""))),"")</f>
        <v/>
      </c>
      <c r="CP5" s="811" t="str">
        <f>IF(ISNUMBER(#REF!),IF(CE$12&lt;#REF!,"",IF(CE$12=#REF!,#REF!*#REF!,IF(AND(CE$12&gt;#REF!,CE$12&lt;#REF!+#REF!*365),#REF!*(1-(CE$12-#REF!)/(#REF!*365))*#REF!,""))),"")</f>
        <v/>
      </c>
      <c r="CQ5" s="811" t="str">
        <f>IF(ISNUMBER(#REF!),IF(CQ$12&lt;#REF!,"",IF(CQ$12=#REF!,#REF!*#REF!,IF(AND(CQ$12&gt;#REF!,CQ$12&lt;#REF!+#REF!*365),#REF!*(1-(CQ$12-#REF!)/(#REF!*365))*#REF!,""))),"")</f>
        <v/>
      </c>
      <c r="CR5" s="811" t="str">
        <f>IF(ISNUMBER(#REF!),IF(CR$12&lt;#REF!,"",IF(CR$12=#REF!,#REF!*#REF!,IF(AND(CR$12&gt;#REF!,CR$12&lt;#REF!+#REF!*365),#REF!*(1-(CR$12-#REF!)/(#REF!*365))*#REF!,""))),"")</f>
        <v/>
      </c>
      <c r="CS5" s="811" t="str">
        <f>IF(ISNUMBER(#REF!),IF(CS$12&lt;#REF!,"",IF(CS$12=#REF!,#REF!*#REF!,IF(AND(CS$12&gt;#REF!,CS$12&lt;#REF!+#REF!*365),#REF!*(1-(CS$12-#REF!)/(#REF!*365))*#REF!,""))),"")</f>
        <v/>
      </c>
      <c r="CT5" s="811" t="str">
        <f>IF(ISNUMBER(#REF!),IF(CT$12&lt;#REF!,"",IF(CT$12=#REF!,#REF!*#REF!,IF(AND(CT$12&gt;#REF!,CT$12&lt;#REF!+#REF!*365),#REF!*(1-(CT$12-#REF!)/(#REF!*365))*#REF!,""))),"")</f>
        <v/>
      </c>
      <c r="CU5" s="811" t="str">
        <f>IF(ISNUMBER(#REF!),IF(CU$12&lt;#REF!,"",IF(CU$12=#REF!,#REF!*#REF!,IF(AND(CU$12&gt;#REF!,CU$12&lt;#REF!+#REF!*365),#REF!*(1-(CU$12-#REF!)/(#REF!*365))*#REF!,""))),"")</f>
        <v/>
      </c>
      <c r="CV5" s="811" t="str">
        <f>IF(ISNUMBER(#REF!),IF(CV$12&lt;#REF!,"",IF(CV$12=#REF!,#REF!*#REF!,IF(AND(CV$12&gt;#REF!,CV$12&lt;#REF!+#REF!*365),#REF!*(1-(CV$12-#REF!)/(#REF!*365))*#REF!,""))),"")</f>
        <v/>
      </c>
      <c r="CW5" s="811" t="str">
        <f>IF(ISNUMBER(#REF!),IF(CW$12&lt;#REF!,"",IF(CW$12=#REF!,#REF!*#REF!,IF(AND(CW$12&gt;#REF!,CW$12&lt;#REF!+#REF!*365),#REF!*(1-(CW$12-#REF!)/(#REF!*365))*#REF!,""))),"")</f>
        <v/>
      </c>
      <c r="CX5" s="811" t="str">
        <f>IF(ISNUMBER(#REF!),IF(CX$12&lt;#REF!,"",IF(CX$12=#REF!,#REF!*#REF!,IF(AND(CX$12&gt;#REF!,CX$12&lt;#REF!+#REF!*365),#REF!*(1-(CX$12-#REF!)/(#REF!*365))*#REF!,""))),"")</f>
        <v/>
      </c>
      <c r="CY5" s="811" t="str">
        <f>IF(ISNUMBER(#REF!),IF(CY$12&lt;#REF!,"",IF(CY$12=#REF!,#REF!*#REF!,IF(AND(CY$12&gt;#REF!,CY$12&lt;#REF!+#REF!*365),#REF!*(1-(CY$12-#REF!)/(#REF!*365))*#REF!,""))),"")</f>
        <v/>
      </c>
      <c r="CZ5" s="811" t="str">
        <f>IF(ISNUMBER(#REF!),IF(CZ$12&lt;#REF!,"",IF(CZ$12=#REF!,#REF!*#REF!,IF(AND(CZ$12&gt;#REF!,CZ$12&lt;#REF!+#REF!*365),#REF!*(1-(CZ$12-#REF!)/(#REF!*365))*#REF!,""))),"")</f>
        <v/>
      </c>
      <c r="DA5" s="811" t="str">
        <f>IF(ISNUMBER(#REF!),IF(DA$12&lt;#REF!,"",IF(DA$12=#REF!,#REF!*#REF!,IF(AND(DA$12&gt;#REF!,DA$12&lt;#REF!+#REF!*365),#REF!*(1-(DA$12-#REF!)/(#REF!*365))*#REF!,""))),"")</f>
        <v/>
      </c>
      <c r="DB5" s="811" t="str">
        <f>IF(ISNUMBER(#REF!),IF(DB$12&lt;#REF!,"",IF(DB$12=#REF!,#REF!*#REF!,IF(AND(DB$12&gt;#REF!,DB$12&lt;#REF!+#REF!*365),#REF!*(1-(DB$12-#REF!)/(#REF!*365))*#REF!,""))),"")</f>
        <v/>
      </c>
      <c r="DC5" s="811" t="str">
        <f>IF(ISNUMBER(#REF!),IF(DC$12&lt;#REF!,"",IF(DC$12=#REF!,#REF!*#REF!,IF(AND(DC$12&gt;#REF!,DC$12&lt;#REF!+#REF!*365),#REF!*(1-(DC$12-#REF!)/(#REF!*365))*#REF!,""))),"")</f>
        <v/>
      </c>
      <c r="DD5" s="811" t="str">
        <f>IF(ISNUMBER(#REF!),IF(DD$12&lt;#REF!,"",IF(DD$12=#REF!,#REF!*#REF!,IF(AND(DD$12&gt;#REF!,DD$12&lt;#REF!+#REF!*365),#REF!*(1-(DD$12-#REF!)/(#REF!*365))*#REF!,""))),"")</f>
        <v/>
      </c>
      <c r="DE5" s="811" t="str">
        <f>IF(ISNUMBER(#REF!),IF(DE$12&lt;#REF!,"",IF(DE$12=#REF!,#REF!*#REF!,IF(AND(DE$12&gt;#REF!,DE$12&lt;#REF!+#REF!*365),#REF!*(1-(DE$12-#REF!)/(#REF!*365))*#REF!,""))),"")</f>
        <v/>
      </c>
      <c r="DF5" s="811" t="str">
        <f>IF(ISNUMBER(#REF!),IF(DF$12&lt;#REF!,"",IF(DF$12=#REF!,#REF!*#REF!,IF(AND(DF$12&gt;#REF!,DF$12&lt;#REF!+#REF!*365),#REF!*(1-(DF$12-#REF!)/(#REF!*365))*#REF!,""))),"")</f>
        <v/>
      </c>
      <c r="DG5" s="811" t="str">
        <f>IF(ISNUMBER(#REF!),IF(DG$12&lt;#REF!,"",IF(DG$12=#REF!,#REF!*#REF!,IF(AND(DG$12&gt;#REF!,DG$12&lt;#REF!+#REF!*365),#REF!*(1-(DG$12-#REF!)/(#REF!*365))*#REF!,""))),"")</f>
        <v/>
      </c>
      <c r="DH5" s="811" t="str">
        <f>IF(ISNUMBER(#REF!),IF(DH$12&lt;#REF!,"",IF(DH$12=#REF!,#REF!*#REF!,IF(AND(DH$12&gt;#REF!,DH$12&lt;#REF!+#REF!*365),#REF!*(1-(DH$12-#REF!)/(#REF!*365))*#REF!,""))),"")</f>
        <v/>
      </c>
      <c r="DI5" s="811" t="str">
        <f>IF(ISNUMBER(#REF!),IF(DI$12&lt;#REF!,"",IF(DI$12=#REF!,#REF!*#REF!,IF(AND(DI$12&gt;#REF!,DI$12&lt;#REF!+#REF!*365),#REF!*(1-(DI$12-#REF!)/(#REF!*365))*#REF!,""))),"")</f>
        <v/>
      </c>
      <c r="DJ5" s="811" t="str">
        <f>IF(ISNUMBER(#REF!),IF(DJ$12&lt;#REF!,"",IF(DJ$12=#REF!,#REF!*#REF!,IF(AND(DJ$12&gt;#REF!,DJ$12&lt;#REF!+#REF!*365),#REF!*(1-(DJ$12-#REF!)/(#REF!*365))*#REF!,""))),"")</f>
        <v/>
      </c>
      <c r="DK5" s="811" t="str">
        <f>IF(ISNUMBER(#REF!),IF(DK$12&lt;#REF!,"",IF(DK$12=#REF!,#REF!*#REF!,IF(AND(DK$12&gt;#REF!,DK$12&lt;#REF!+#REF!*365),#REF!*(1-(DK$12-#REF!)/(#REF!*365))*#REF!,""))),"")</f>
        <v/>
      </c>
      <c r="DL5" s="868"/>
      <c r="DM5" s="868"/>
      <c r="DN5" s="868"/>
      <c r="DO5" s="868"/>
      <c r="DP5" s="868"/>
    </row>
    <row r="6" spans="1:122" ht="15" customHeight="1" outlineLevel="1" x14ac:dyDescent="0.2">
      <c r="B6" s="806"/>
      <c r="C6" s="806"/>
      <c r="D6" s="806"/>
      <c r="E6" s="806"/>
      <c r="F6" s="806"/>
      <c r="G6" s="806"/>
      <c r="H6" s="806"/>
      <c r="L6" s="810" t="str">
        <f>IF(ISNUMBER($G6),(G6-J$10)/365,"")</f>
        <v/>
      </c>
      <c r="M6" s="869" t="s">
        <v>929</v>
      </c>
      <c r="N6" s="786"/>
      <c r="O6" s="788">
        <f>O5/N5-1</f>
        <v>3.4920634920635019E-2</v>
      </c>
      <c r="P6" s="788">
        <f t="shared" ref="P6:BI6" si="4">P5/O5-1</f>
        <v>6.1349693251533832E-2</v>
      </c>
      <c r="Q6" s="788">
        <f t="shared" si="4"/>
        <v>5.9730250481695446E-2</v>
      </c>
      <c r="R6" s="788">
        <f t="shared" si="4"/>
        <v>9.0909090909090828E-2</v>
      </c>
      <c r="S6" s="788">
        <f t="shared" si="4"/>
        <v>0.15416666666666656</v>
      </c>
      <c r="T6" s="788">
        <f t="shared" si="4"/>
        <v>0.15162454873646203</v>
      </c>
      <c r="U6" s="788">
        <f t="shared" si="4"/>
        <v>0.13354231974921627</v>
      </c>
      <c r="V6" s="788">
        <f t="shared" si="4"/>
        <v>0.12278761061946919</v>
      </c>
      <c r="W6" s="788">
        <f t="shared" si="4"/>
        <v>8.0295566502462945E-2</v>
      </c>
      <c r="X6" s="788">
        <f t="shared" si="4"/>
        <v>9.1199270405836863E-2</v>
      </c>
      <c r="Y6" s="788">
        <f t="shared" si="4"/>
        <v>0.10112829084830754</v>
      </c>
      <c r="Z6" s="788">
        <f t="shared" si="4"/>
        <v>9.4876660341556063E-2</v>
      </c>
      <c r="AA6" s="788">
        <f t="shared" si="4"/>
        <v>0.1136915077989602</v>
      </c>
      <c r="AB6" s="788">
        <f t="shared" si="4"/>
        <v>0.10021786492374729</v>
      </c>
      <c r="AC6" s="788">
        <f t="shared" si="4"/>
        <v>3.9603960396039639E-2</v>
      </c>
      <c r="AD6" s="788">
        <f t="shared" si="4"/>
        <v>6.7482993197278907E-2</v>
      </c>
      <c r="AE6" s="788">
        <f t="shared" si="4"/>
        <v>9.0491970430792934E-2</v>
      </c>
      <c r="AF6" s="788">
        <f t="shared" si="4"/>
        <v>8.5320243104254345E-2</v>
      </c>
      <c r="AG6" s="788">
        <f t="shared" si="4"/>
        <v>7.2151626103812205E-2</v>
      </c>
      <c r="AH6" s="788">
        <f t="shared" si="4"/>
        <v>7.5331458417035035E-2</v>
      </c>
      <c r="AI6" s="788">
        <f t="shared" si="4"/>
        <v>7.3229964505884482E-2</v>
      </c>
      <c r="AJ6" s="788">
        <f t="shared" si="4"/>
        <v>3.1853785900783249E-2</v>
      </c>
      <c r="AK6" s="788">
        <f t="shared" si="4"/>
        <v>1.0121457489878471E-2</v>
      </c>
      <c r="AL6" s="788">
        <f t="shared" si="4"/>
        <v>1.7535070140280551E-2</v>
      </c>
      <c r="AM6" s="788">
        <f t="shared" si="4"/>
        <v>1.9694731659281262E-2</v>
      </c>
      <c r="AN6" s="788">
        <f t="shared" si="4"/>
        <v>4.6193465314662729E-2</v>
      </c>
      <c r="AO6" s="788">
        <f t="shared" si="4"/>
        <v>2.6153846153846194E-2</v>
      </c>
      <c r="AP6" s="788">
        <f t="shared" si="4"/>
        <v>2.2488755622187551E-3</v>
      </c>
      <c r="AQ6" s="788">
        <f t="shared" si="4"/>
        <v>8.6761406133135655E-3</v>
      </c>
      <c r="AR6" s="788">
        <f t="shared" si="4"/>
        <v>1.4830194275545105E-2</v>
      </c>
      <c r="AS6" s="788">
        <f t="shared" si="4"/>
        <v>4.4571094549174184E-2</v>
      </c>
      <c r="AT6" s="788">
        <f t="shared" si="4"/>
        <v>4.4068270844991542E-2</v>
      </c>
      <c r="AU6" s="788">
        <f t="shared" si="4"/>
        <v>2.9746750636473251E-2</v>
      </c>
      <c r="AV6" s="788">
        <f t="shared" si="4"/>
        <v>2.7325959661678612E-2</v>
      </c>
      <c r="AW6" s="788">
        <f t="shared" si="4"/>
        <v>2.3432552248258354E-2</v>
      </c>
      <c r="AX6" s="788">
        <f t="shared" si="4"/>
        <v>2.6980198019802115E-2</v>
      </c>
      <c r="AY6" s="788">
        <f t="shared" si="4"/>
        <v>3.5550735116895771E-2</v>
      </c>
      <c r="AZ6" s="788">
        <f t="shared" si="4"/>
        <v>2.3274758524380212E-2</v>
      </c>
      <c r="BA6" s="788">
        <f t="shared" si="4"/>
        <v>4.3443648356647158E-2</v>
      </c>
      <c r="BB6" s="788">
        <f t="shared" si="4"/>
        <v>1.7765667574931809E-2</v>
      </c>
      <c r="BC6" s="788">
        <f t="shared" si="4"/>
        <v>2.9128292996358995E-2</v>
      </c>
      <c r="BD6" s="788">
        <f t="shared" si="4"/>
        <v>3.3090530697190479E-2</v>
      </c>
      <c r="BE6" s="788">
        <f t="shared" si="4"/>
        <v>1.7626913779210218E-2</v>
      </c>
      <c r="BF6" s="788">
        <f t="shared" si="4"/>
        <v>2.4448183707809656E-2</v>
      </c>
      <c r="BG6" s="788">
        <f t="shared" si="4"/>
        <v>2.4927536231884151E-2</v>
      </c>
      <c r="BH6" s="788">
        <f t="shared" si="4"/>
        <v>1.5082956259427016E-2</v>
      </c>
      <c r="BI6" s="788">
        <f t="shared" si="4"/>
        <v>1.2722882615155973E-2</v>
      </c>
      <c r="BJ6" s="870">
        <v>0.02</v>
      </c>
      <c r="BK6" s="870">
        <v>2.5000000000000001E-2</v>
      </c>
      <c r="BL6" s="871">
        <f t="shared" ref="BL6:DK7" si="5">BK6</f>
        <v>2.5000000000000001E-2</v>
      </c>
      <c r="BM6" s="871">
        <f t="shared" si="5"/>
        <v>2.5000000000000001E-2</v>
      </c>
      <c r="BN6" s="871">
        <f t="shared" si="5"/>
        <v>2.5000000000000001E-2</v>
      </c>
      <c r="BO6" s="871">
        <f t="shared" si="5"/>
        <v>2.5000000000000001E-2</v>
      </c>
      <c r="BP6" s="871">
        <f t="shared" si="5"/>
        <v>2.5000000000000001E-2</v>
      </c>
      <c r="BQ6" s="871">
        <f t="shared" si="5"/>
        <v>2.5000000000000001E-2</v>
      </c>
      <c r="BR6" s="871">
        <f t="shared" si="5"/>
        <v>2.5000000000000001E-2</v>
      </c>
      <c r="BS6" s="871">
        <f t="shared" si="5"/>
        <v>2.5000000000000001E-2</v>
      </c>
      <c r="BT6" s="871">
        <f t="shared" si="5"/>
        <v>2.5000000000000001E-2</v>
      </c>
      <c r="BU6" s="871">
        <f t="shared" si="5"/>
        <v>2.5000000000000001E-2</v>
      </c>
      <c r="BV6" s="871">
        <f t="shared" si="5"/>
        <v>2.5000000000000001E-2</v>
      </c>
      <c r="BW6" s="871">
        <f t="shared" si="5"/>
        <v>2.5000000000000001E-2</v>
      </c>
      <c r="BX6" s="871">
        <f t="shared" si="5"/>
        <v>2.5000000000000001E-2</v>
      </c>
      <c r="BY6" s="871">
        <f t="shared" si="5"/>
        <v>2.5000000000000001E-2</v>
      </c>
      <c r="BZ6" s="871">
        <f t="shared" si="5"/>
        <v>2.5000000000000001E-2</v>
      </c>
      <c r="CA6" s="871">
        <f t="shared" si="5"/>
        <v>2.5000000000000001E-2</v>
      </c>
      <c r="CB6" s="871">
        <f t="shared" si="5"/>
        <v>2.5000000000000001E-2</v>
      </c>
      <c r="CC6" s="871">
        <f t="shared" si="5"/>
        <v>2.5000000000000001E-2</v>
      </c>
      <c r="CD6" s="871">
        <f t="shared" si="5"/>
        <v>2.5000000000000001E-2</v>
      </c>
      <c r="CE6" s="871">
        <f t="shared" si="5"/>
        <v>2.5000000000000001E-2</v>
      </c>
      <c r="CF6" s="871">
        <f t="shared" si="5"/>
        <v>2.5000000000000001E-2</v>
      </c>
      <c r="CG6" s="871">
        <f t="shared" si="5"/>
        <v>2.5000000000000001E-2</v>
      </c>
      <c r="CH6" s="871">
        <f t="shared" si="5"/>
        <v>2.5000000000000001E-2</v>
      </c>
      <c r="CI6" s="871">
        <f t="shared" si="5"/>
        <v>2.5000000000000001E-2</v>
      </c>
      <c r="CJ6" s="871">
        <f t="shared" si="5"/>
        <v>2.5000000000000001E-2</v>
      </c>
      <c r="CK6" s="871">
        <f t="shared" si="5"/>
        <v>2.5000000000000001E-2</v>
      </c>
      <c r="CL6" s="871">
        <f t="shared" si="5"/>
        <v>2.5000000000000001E-2</v>
      </c>
      <c r="CM6" s="871">
        <f t="shared" si="5"/>
        <v>2.5000000000000001E-2</v>
      </c>
      <c r="CN6" s="871">
        <f t="shared" si="5"/>
        <v>2.5000000000000001E-2</v>
      </c>
      <c r="CO6" s="871">
        <f t="shared" si="5"/>
        <v>2.5000000000000001E-2</v>
      </c>
      <c r="CP6" s="871">
        <f t="shared" si="5"/>
        <v>2.5000000000000001E-2</v>
      </c>
      <c r="CQ6" s="871">
        <f t="shared" si="5"/>
        <v>2.5000000000000001E-2</v>
      </c>
      <c r="CR6" s="871">
        <f t="shared" si="5"/>
        <v>2.5000000000000001E-2</v>
      </c>
      <c r="CS6" s="871">
        <f t="shared" si="5"/>
        <v>2.5000000000000001E-2</v>
      </c>
      <c r="CT6" s="871">
        <f t="shared" si="5"/>
        <v>2.5000000000000001E-2</v>
      </c>
      <c r="CU6" s="871">
        <f t="shared" si="5"/>
        <v>2.5000000000000001E-2</v>
      </c>
      <c r="CV6" s="871">
        <f t="shared" si="5"/>
        <v>2.5000000000000001E-2</v>
      </c>
      <c r="CW6" s="871">
        <f t="shared" si="5"/>
        <v>2.5000000000000001E-2</v>
      </c>
      <c r="CX6" s="871">
        <f t="shared" si="5"/>
        <v>2.5000000000000001E-2</v>
      </c>
      <c r="CY6" s="871">
        <f t="shared" si="5"/>
        <v>2.5000000000000001E-2</v>
      </c>
      <c r="CZ6" s="871">
        <f t="shared" si="5"/>
        <v>2.5000000000000001E-2</v>
      </c>
      <c r="DA6" s="871">
        <f t="shared" si="5"/>
        <v>2.5000000000000001E-2</v>
      </c>
      <c r="DB6" s="871">
        <f t="shared" si="5"/>
        <v>2.5000000000000001E-2</v>
      </c>
      <c r="DC6" s="871">
        <f t="shared" si="5"/>
        <v>2.5000000000000001E-2</v>
      </c>
      <c r="DD6" s="871">
        <f t="shared" si="5"/>
        <v>2.5000000000000001E-2</v>
      </c>
      <c r="DE6" s="871">
        <f t="shared" si="5"/>
        <v>2.5000000000000001E-2</v>
      </c>
      <c r="DF6" s="871">
        <f t="shared" si="5"/>
        <v>2.5000000000000001E-2</v>
      </c>
      <c r="DG6" s="871">
        <f t="shared" si="5"/>
        <v>2.5000000000000001E-2</v>
      </c>
      <c r="DH6" s="871">
        <f t="shared" si="5"/>
        <v>2.5000000000000001E-2</v>
      </c>
      <c r="DI6" s="871">
        <f t="shared" si="5"/>
        <v>2.5000000000000001E-2</v>
      </c>
      <c r="DJ6" s="871">
        <f t="shared" si="5"/>
        <v>2.5000000000000001E-2</v>
      </c>
      <c r="DK6" s="871">
        <f t="shared" si="5"/>
        <v>2.5000000000000001E-2</v>
      </c>
      <c r="DL6" s="868"/>
      <c r="DM6" s="868"/>
      <c r="DN6" s="868"/>
      <c r="DO6" s="868"/>
      <c r="DP6" s="868"/>
    </row>
    <row r="7" spans="1:122" ht="15" customHeight="1" outlineLevel="1" x14ac:dyDescent="0.2">
      <c r="B7" s="806"/>
      <c r="C7" s="806"/>
      <c r="D7" s="806"/>
      <c r="E7" s="806"/>
      <c r="F7" s="806"/>
      <c r="G7" s="806"/>
      <c r="H7" s="806"/>
      <c r="L7" s="810" t="str">
        <f>IF(ISNUMBER($G7),(G7-J$10)/365,"")</f>
        <v/>
      </c>
      <c r="M7" s="786" t="s">
        <v>122</v>
      </c>
      <c r="N7" s="870">
        <v>2.5000000000000001E-2</v>
      </c>
      <c r="O7" s="872">
        <f>N7</f>
        <v>2.5000000000000001E-2</v>
      </c>
      <c r="P7" s="872">
        <f t="shared" ref="P7:BK7" si="6">O7</f>
        <v>2.5000000000000001E-2</v>
      </c>
      <c r="Q7" s="872">
        <f t="shared" si="6"/>
        <v>2.5000000000000001E-2</v>
      </c>
      <c r="R7" s="872">
        <f t="shared" si="6"/>
        <v>2.5000000000000001E-2</v>
      </c>
      <c r="S7" s="872">
        <f t="shared" si="6"/>
        <v>2.5000000000000001E-2</v>
      </c>
      <c r="T7" s="872">
        <f t="shared" si="6"/>
        <v>2.5000000000000001E-2</v>
      </c>
      <c r="U7" s="872">
        <f t="shared" si="6"/>
        <v>2.5000000000000001E-2</v>
      </c>
      <c r="V7" s="872">
        <f t="shared" si="6"/>
        <v>2.5000000000000001E-2</v>
      </c>
      <c r="W7" s="872">
        <f t="shared" si="6"/>
        <v>2.5000000000000001E-2</v>
      </c>
      <c r="X7" s="872">
        <f t="shared" si="6"/>
        <v>2.5000000000000001E-2</v>
      </c>
      <c r="Y7" s="872">
        <f t="shared" si="6"/>
        <v>2.5000000000000001E-2</v>
      </c>
      <c r="Z7" s="872">
        <f t="shared" si="6"/>
        <v>2.5000000000000001E-2</v>
      </c>
      <c r="AA7" s="872">
        <f t="shared" si="6"/>
        <v>2.5000000000000001E-2</v>
      </c>
      <c r="AB7" s="872">
        <f t="shared" si="6"/>
        <v>2.5000000000000001E-2</v>
      </c>
      <c r="AC7" s="872">
        <f t="shared" si="6"/>
        <v>2.5000000000000001E-2</v>
      </c>
      <c r="AD7" s="872">
        <f t="shared" si="6"/>
        <v>2.5000000000000001E-2</v>
      </c>
      <c r="AE7" s="872">
        <f t="shared" si="6"/>
        <v>2.5000000000000001E-2</v>
      </c>
      <c r="AF7" s="872">
        <f t="shared" si="6"/>
        <v>2.5000000000000001E-2</v>
      </c>
      <c r="AG7" s="872">
        <f t="shared" si="6"/>
        <v>2.5000000000000001E-2</v>
      </c>
      <c r="AH7" s="872">
        <f t="shared" si="6"/>
        <v>2.5000000000000001E-2</v>
      </c>
      <c r="AI7" s="872">
        <f t="shared" si="6"/>
        <v>2.5000000000000001E-2</v>
      </c>
      <c r="AJ7" s="872">
        <f t="shared" si="6"/>
        <v>2.5000000000000001E-2</v>
      </c>
      <c r="AK7" s="872">
        <f t="shared" si="6"/>
        <v>2.5000000000000001E-2</v>
      </c>
      <c r="AL7" s="872">
        <f t="shared" si="6"/>
        <v>2.5000000000000001E-2</v>
      </c>
      <c r="AM7" s="872">
        <f t="shared" si="6"/>
        <v>2.5000000000000001E-2</v>
      </c>
      <c r="AN7" s="872">
        <f t="shared" si="6"/>
        <v>2.5000000000000001E-2</v>
      </c>
      <c r="AO7" s="872">
        <f t="shared" si="6"/>
        <v>2.5000000000000001E-2</v>
      </c>
      <c r="AP7" s="872">
        <f t="shared" si="6"/>
        <v>2.5000000000000001E-2</v>
      </c>
      <c r="AQ7" s="872">
        <f t="shared" si="6"/>
        <v>2.5000000000000001E-2</v>
      </c>
      <c r="AR7" s="872">
        <f t="shared" si="6"/>
        <v>2.5000000000000001E-2</v>
      </c>
      <c r="AS7" s="872">
        <f t="shared" si="6"/>
        <v>2.5000000000000001E-2</v>
      </c>
      <c r="AT7" s="872">
        <f t="shared" si="6"/>
        <v>2.5000000000000001E-2</v>
      </c>
      <c r="AU7" s="872">
        <f t="shared" si="6"/>
        <v>2.5000000000000001E-2</v>
      </c>
      <c r="AV7" s="872">
        <f t="shared" si="6"/>
        <v>2.5000000000000001E-2</v>
      </c>
      <c r="AW7" s="872">
        <f t="shared" si="6"/>
        <v>2.5000000000000001E-2</v>
      </c>
      <c r="AX7" s="872">
        <f t="shared" si="6"/>
        <v>2.5000000000000001E-2</v>
      </c>
      <c r="AY7" s="872">
        <f t="shared" si="6"/>
        <v>2.5000000000000001E-2</v>
      </c>
      <c r="AZ7" s="872">
        <f t="shared" si="6"/>
        <v>2.5000000000000001E-2</v>
      </c>
      <c r="BA7" s="872">
        <f t="shared" si="6"/>
        <v>2.5000000000000001E-2</v>
      </c>
      <c r="BB7" s="872">
        <f t="shared" si="6"/>
        <v>2.5000000000000001E-2</v>
      </c>
      <c r="BC7" s="872">
        <f t="shared" si="6"/>
        <v>2.5000000000000001E-2</v>
      </c>
      <c r="BD7" s="872">
        <f t="shared" si="6"/>
        <v>2.5000000000000001E-2</v>
      </c>
      <c r="BE7" s="872">
        <f t="shared" si="6"/>
        <v>2.5000000000000001E-2</v>
      </c>
      <c r="BF7" s="872">
        <f t="shared" si="6"/>
        <v>2.5000000000000001E-2</v>
      </c>
      <c r="BG7" s="872">
        <f t="shared" si="6"/>
        <v>2.5000000000000001E-2</v>
      </c>
      <c r="BH7" s="872">
        <f t="shared" si="6"/>
        <v>2.5000000000000001E-2</v>
      </c>
      <c r="BI7" s="872">
        <f t="shared" si="6"/>
        <v>2.5000000000000001E-2</v>
      </c>
      <c r="BJ7" s="872">
        <f t="shared" si="6"/>
        <v>2.5000000000000001E-2</v>
      </c>
      <c r="BK7" s="872">
        <f t="shared" si="6"/>
        <v>2.5000000000000001E-2</v>
      </c>
      <c r="BL7" s="872">
        <f t="shared" si="5"/>
        <v>2.5000000000000001E-2</v>
      </c>
      <c r="BM7" s="872">
        <f t="shared" si="5"/>
        <v>2.5000000000000001E-2</v>
      </c>
      <c r="BN7" s="872">
        <f t="shared" si="5"/>
        <v>2.5000000000000001E-2</v>
      </c>
      <c r="BO7" s="872">
        <f t="shared" si="5"/>
        <v>2.5000000000000001E-2</v>
      </c>
      <c r="BP7" s="872">
        <f t="shared" si="5"/>
        <v>2.5000000000000001E-2</v>
      </c>
      <c r="BQ7" s="872">
        <f t="shared" si="5"/>
        <v>2.5000000000000001E-2</v>
      </c>
      <c r="BR7" s="872">
        <f t="shared" si="5"/>
        <v>2.5000000000000001E-2</v>
      </c>
      <c r="BS7" s="872">
        <f t="shared" si="5"/>
        <v>2.5000000000000001E-2</v>
      </c>
      <c r="BT7" s="872">
        <f t="shared" si="5"/>
        <v>2.5000000000000001E-2</v>
      </c>
      <c r="BU7" s="872">
        <f t="shared" si="5"/>
        <v>2.5000000000000001E-2</v>
      </c>
      <c r="BV7" s="872">
        <f t="shared" si="5"/>
        <v>2.5000000000000001E-2</v>
      </c>
      <c r="BW7" s="872">
        <f t="shared" si="5"/>
        <v>2.5000000000000001E-2</v>
      </c>
      <c r="BX7" s="872">
        <f t="shared" si="5"/>
        <v>2.5000000000000001E-2</v>
      </c>
      <c r="BY7" s="872">
        <f t="shared" si="5"/>
        <v>2.5000000000000001E-2</v>
      </c>
      <c r="BZ7" s="872">
        <f t="shared" si="5"/>
        <v>2.5000000000000001E-2</v>
      </c>
      <c r="CA7" s="872">
        <f t="shared" si="5"/>
        <v>2.5000000000000001E-2</v>
      </c>
      <c r="CB7" s="872">
        <f t="shared" si="5"/>
        <v>2.5000000000000001E-2</v>
      </c>
      <c r="CC7" s="872">
        <f t="shared" si="5"/>
        <v>2.5000000000000001E-2</v>
      </c>
      <c r="CD7" s="872">
        <f t="shared" si="5"/>
        <v>2.5000000000000001E-2</v>
      </c>
      <c r="CE7" s="872">
        <f t="shared" si="5"/>
        <v>2.5000000000000001E-2</v>
      </c>
      <c r="CF7" s="872">
        <f t="shared" si="5"/>
        <v>2.5000000000000001E-2</v>
      </c>
      <c r="CG7" s="872">
        <f t="shared" si="5"/>
        <v>2.5000000000000001E-2</v>
      </c>
      <c r="CH7" s="872">
        <f t="shared" si="5"/>
        <v>2.5000000000000001E-2</v>
      </c>
      <c r="CI7" s="872">
        <f t="shared" si="5"/>
        <v>2.5000000000000001E-2</v>
      </c>
      <c r="CJ7" s="872">
        <f t="shared" si="5"/>
        <v>2.5000000000000001E-2</v>
      </c>
      <c r="CK7" s="872">
        <f t="shared" si="5"/>
        <v>2.5000000000000001E-2</v>
      </c>
      <c r="CL7" s="872">
        <f t="shared" si="5"/>
        <v>2.5000000000000001E-2</v>
      </c>
      <c r="CM7" s="872">
        <f t="shared" si="5"/>
        <v>2.5000000000000001E-2</v>
      </c>
      <c r="CN7" s="872">
        <f t="shared" si="5"/>
        <v>2.5000000000000001E-2</v>
      </c>
      <c r="CO7" s="872">
        <f t="shared" si="5"/>
        <v>2.5000000000000001E-2</v>
      </c>
      <c r="CP7" s="872">
        <f t="shared" si="5"/>
        <v>2.5000000000000001E-2</v>
      </c>
      <c r="CQ7" s="872">
        <f t="shared" si="5"/>
        <v>2.5000000000000001E-2</v>
      </c>
      <c r="CR7" s="872">
        <f t="shared" si="5"/>
        <v>2.5000000000000001E-2</v>
      </c>
      <c r="CS7" s="872">
        <f t="shared" si="5"/>
        <v>2.5000000000000001E-2</v>
      </c>
      <c r="CT7" s="872">
        <f t="shared" si="5"/>
        <v>2.5000000000000001E-2</v>
      </c>
      <c r="CU7" s="872">
        <f t="shared" si="5"/>
        <v>2.5000000000000001E-2</v>
      </c>
      <c r="CV7" s="872">
        <f t="shared" si="5"/>
        <v>2.5000000000000001E-2</v>
      </c>
      <c r="CW7" s="872">
        <f t="shared" si="5"/>
        <v>2.5000000000000001E-2</v>
      </c>
      <c r="CX7" s="872">
        <f t="shared" si="5"/>
        <v>2.5000000000000001E-2</v>
      </c>
      <c r="CY7" s="872">
        <f t="shared" si="5"/>
        <v>2.5000000000000001E-2</v>
      </c>
      <c r="CZ7" s="872">
        <f t="shared" si="5"/>
        <v>2.5000000000000001E-2</v>
      </c>
      <c r="DA7" s="872">
        <f t="shared" si="5"/>
        <v>2.5000000000000001E-2</v>
      </c>
      <c r="DB7" s="872">
        <f t="shared" si="5"/>
        <v>2.5000000000000001E-2</v>
      </c>
      <c r="DC7" s="872">
        <f t="shared" si="5"/>
        <v>2.5000000000000001E-2</v>
      </c>
      <c r="DD7" s="872">
        <f t="shared" si="5"/>
        <v>2.5000000000000001E-2</v>
      </c>
      <c r="DE7" s="872">
        <f t="shared" si="5"/>
        <v>2.5000000000000001E-2</v>
      </c>
      <c r="DF7" s="872">
        <f t="shared" si="5"/>
        <v>2.5000000000000001E-2</v>
      </c>
      <c r="DG7" s="872">
        <f t="shared" si="5"/>
        <v>2.5000000000000001E-2</v>
      </c>
      <c r="DH7" s="872">
        <f t="shared" si="5"/>
        <v>2.5000000000000001E-2</v>
      </c>
      <c r="DI7" s="872">
        <f t="shared" si="5"/>
        <v>2.5000000000000001E-2</v>
      </c>
      <c r="DJ7" s="872">
        <f t="shared" si="5"/>
        <v>2.5000000000000001E-2</v>
      </c>
      <c r="DK7" s="872">
        <f t="shared" si="5"/>
        <v>2.5000000000000001E-2</v>
      </c>
      <c r="DL7" s="868"/>
      <c r="DM7" s="868"/>
      <c r="DN7" s="868"/>
      <c r="DO7" s="868"/>
      <c r="DP7" s="868"/>
    </row>
    <row r="8" spans="1:122" ht="15" customHeight="1" outlineLevel="1" x14ac:dyDescent="0.2">
      <c r="B8" s="806"/>
      <c r="C8" s="806"/>
      <c r="D8" s="806"/>
      <c r="E8" s="806"/>
      <c r="F8" s="806"/>
      <c r="G8" s="806"/>
      <c r="H8" s="806"/>
      <c r="L8" s="810" t="str">
        <f>IF(ISNUMBER($G8),(G8-J$10)/365,"")</f>
        <v/>
      </c>
      <c r="M8" s="786"/>
      <c r="N8" s="873">
        <v>2.5114155251141551E-2</v>
      </c>
      <c r="O8" s="874">
        <f>N8*(1+O6)*(1+O7)</f>
        <v>2.6640936435456983E-2</v>
      </c>
      <c r="P8" s="874">
        <f t="shared" ref="P8:CA8" si="7">O8*(1+P6)*(1+P7)</f>
        <v>2.8982233456548524E-2</v>
      </c>
      <c r="Q8" s="874">
        <f t="shared" si="7"/>
        <v>3.1481183258437816E-2</v>
      </c>
      <c r="R8" s="874">
        <f t="shared" si="7"/>
        <v>3.5201686734435009E-2</v>
      </c>
      <c r="S8" s="874">
        <f t="shared" si="7"/>
        <v>4.1644328775310241E-2</v>
      </c>
      <c r="T8" s="874">
        <f t="shared" si="7"/>
        <v>4.9157597116632E-2</v>
      </c>
      <c r="U8" s="874">
        <f t="shared" si="7"/>
        <v>5.711527208560653E-2</v>
      </c>
      <c r="V8" s="874">
        <f t="shared" si="7"/>
        <v>6.5731527871750989E-2</v>
      </c>
      <c r="W8" s="874">
        <f t="shared" si="7"/>
        <v>7.2784715092767807E-2</v>
      </c>
      <c r="X8" s="874">
        <f t="shared" si="7"/>
        <v>8.1408193706073051E-2</v>
      </c>
      <c r="Y8" s="874">
        <f t="shared" si="7"/>
        <v>9.1881886826531561E-2</v>
      </c>
      <c r="Z8" s="874">
        <f t="shared" si="7"/>
        <v>0.10311431672937652</v>
      </c>
      <c r="AA8" s="874">
        <f t="shared" si="7"/>
        <v>0.11770847734584884</v>
      </c>
      <c r="AB8" s="874">
        <f t="shared" si="7"/>
        <v>0.13274259386959694</v>
      </c>
      <c r="AC8" s="874">
        <f t="shared" si="7"/>
        <v>0.14144971945757792</v>
      </c>
      <c r="AD8" s="874">
        <f t="shared" si="7"/>
        <v>0.15477004916132792</v>
      </c>
      <c r="AE8" s="874">
        <f t="shared" si="7"/>
        <v>0.17299488327044735</v>
      </c>
      <c r="AF8" s="874">
        <f t="shared" si="7"/>
        <v>0.19244871998604585</v>
      </c>
      <c r="AG8" s="874">
        <f t="shared" si="7"/>
        <v>0.21149256327650218</v>
      </c>
      <c r="AH8" s="874">
        <f t="shared" si="7"/>
        <v>0.23311022167529008</v>
      </c>
      <c r="AI8" s="874">
        <f t="shared" si="7"/>
        <v>0.25643539680789368</v>
      </c>
      <c r="AJ8" s="874">
        <f t="shared" si="7"/>
        <v>0.27121893091107457</v>
      </c>
      <c r="AK8" s="874">
        <f t="shared" si="7"/>
        <v>0.28081316333550982</v>
      </c>
      <c r="AL8" s="874">
        <f t="shared" si="7"/>
        <v>0.29288067289718483</v>
      </c>
      <c r="AM8" s="874">
        <f t="shared" si="7"/>
        <v>0.30611510113703672</v>
      </c>
      <c r="AN8" s="874">
        <f t="shared" si="7"/>
        <v>0.32826200890479745</v>
      </c>
      <c r="AO8" s="874">
        <f t="shared" si="7"/>
        <v>0.34526850605844212</v>
      </c>
      <c r="AP8" s="874">
        <f t="shared" si="7"/>
        <v>0.35469609626322368</v>
      </c>
      <c r="AQ8" s="874">
        <f t="shared" si="7"/>
        <v>0.36671782670613168</v>
      </c>
      <c r="AR8" s="874">
        <f t="shared" si="7"/>
        <v>0.38146023140350149</v>
      </c>
      <c r="AS8" s="874">
        <f t="shared" si="7"/>
        <v>0.40842388973024024</v>
      </c>
      <c r="AT8" s="874">
        <f t="shared" si="7"/>
        <v>0.43708298493049835</v>
      </c>
      <c r="AU8" s="874">
        <f t="shared" si="7"/>
        <v>0.46133690307793801</v>
      </c>
      <c r="AV8" s="874">
        <f t="shared" si="7"/>
        <v>0.48579196109893663</v>
      </c>
      <c r="AW8" s="874">
        <f t="shared" si="7"/>
        <v>0.50960468927440061</v>
      </c>
      <c r="AX8" s="874">
        <f t="shared" si="7"/>
        <v>0.53643777282041472</v>
      </c>
      <c r="AY8" s="874">
        <f t="shared" si="7"/>
        <v>0.56939624323836702</v>
      </c>
      <c r="AZ8" s="874">
        <f t="shared" si="7"/>
        <v>0.59721502338703991</v>
      </c>
      <c r="BA8" s="874">
        <f t="shared" si="7"/>
        <v>0.63873922842778252</v>
      </c>
      <c r="BB8" s="874">
        <f t="shared" si="7"/>
        <v>0.66633902865777628</v>
      </c>
      <c r="BC8" s="874">
        <f t="shared" si="7"/>
        <v>0.70289205579741487</v>
      </c>
      <c r="BD8" s="874">
        <f t="shared" si="7"/>
        <v>0.74430490512025527</v>
      </c>
      <c r="BE8" s="874">
        <f t="shared" si="7"/>
        <v>0.77636032109595943</v>
      </c>
      <c r="BF8" s="874">
        <f t="shared" si="7"/>
        <v>0.81522444387080661</v>
      </c>
      <c r="BG8" s="874">
        <f t="shared" si="7"/>
        <v>0.85643463025082656</v>
      </c>
      <c r="BH8" s="874">
        <f t="shared" si="7"/>
        <v>0.8910860012259072</v>
      </c>
      <c r="BI8" s="874">
        <f t="shared" si="7"/>
        <v>0.92498376341500088</v>
      </c>
      <c r="BJ8" s="874">
        <f t="shared" si="7"/>
        <v>0.96707052465038335</v>
      </c>
      <c r="BK8" s="874">
        <f t="shared" si="7"/>
        <v>1.0160284699608089</v>
      </c>
      <c r="BL8" s="874">
        <f t="shared" si="7"/>
        <v>1.0674649112525745</v>
      </c>
      <c r="BM8" s="874">
        <f t="shared" si="7"/>
        <v>1.121505322384736</v>
      </c>
      <c r="BN8" s="874">
        <f t="shared" si="7"/>
        <v>1.1782815293304632</v>
      </c>
      <c r="BO8" s="874">
        <f t="shared" si="7"/>
        <v>1.2379320317528177</v>
      </c>
      <c r="BP8" s="874">
        <f t="shared" si="7"/>
        <v>1.3006023408603038</v>
      </c>
      <c r="BQ8" s="874">
        <f t="shared" si="7"/>
        <v>1.3664453343663565</v>
      </c>
      <c r="BR8" s="874">
        <f t="shared" si="7"/>
        <v>1.435621629418653</v>
      </c>
      <c r="BS8" s="874">
        <f t="shared" si="7"/>
        <v>1.5082999744079719</v>
      </c>
      <c r="BT8" s="874">
        <f t="shared" si="7"/>
        <v>1.5846576606123752</v>
      </c>
      <c r="BU8" s="874">
        <f t="shared" si="7"/>
        <v>1.6648809546808765</v>
      </c>
      <c r="BV8" s="874">
        <f t="shared" si="7"/>
        <v>1.7491655530115955</v>
      </c>
      <c r="BW8" s="874">
        <f t="shared" si="7"/>
        <v>1.8377170591328074</v>
      </c>
      <c r="BX8" s="874">
        <f t="shared" si="7"/>
        <v>1.9307514852514054</v>
      </c>
      <c r="BY8" s="874">
        <f t="shared" si="7"/>
        <v>2.0284957791922573</v>
      </c>
      <c r="BZ8" s="874">
        <f t="shared" si="7"/>
        <v>2.1311883780138654</v>
      </c>
      <c r="CA8" s="874">
        <f t="shared" si="7"/>
        <v>2.239079789650817</v>
      </c>
      <c r="CB8" s="874">
        <f t="shared" ref="CB8:DK8" si="8">CA8*(1+CB6)*(1+CB7)</f>
        <v>2.3524332040018892</v>
      </c>
      <c r="CC8" s="874">
        <f t="shared" si="8"/>
        <v>2.4715251349544847</v>
      </c>
      <c r="CD8" s="874">
        <f t="shared" si="8"/>
        <v>2.5966460949115548</v>
      </c>
      <c r="CE8" s="874">
        <f t="shared" si="8"/>
        <v>2.7281013034664521</v>
      </c>
      <c r="CF8" s="874">
        <f t="shared" si="8"/>
        <v>2.8662114319544405</v>
      </c>
      <c r="CG8" s="874">
        <f t="shared" si="8"/>
        <v>3.0113133856971337</v>
      </c>
      <c r="CH8" s="874">
        <f t="shared" si="8"/>
        <v>3.1637611258480507</v>
      </c>
      <c r="CI8" s="874">
        <f t="shared" si="8"/>
        <v>3.3239265328441077</v>
      </c>
      <c r="CJ8" s="874">
        <f t="shared" si="8"/>
        <v>3.4922003135693402</v>
      </c>
      <c r="CK8" s="874">
        <f t="shared" si="8"/>
        <v>3.6689929544437874</v>
      </c>
      <c r="CL8" s="874">
        <f t="shared" si="8"/>
        <v>3.8547357227625034</v>
      </c>
      <c r="CM8" s="874">
        <f t="shared" si="8"/>
        <v>4.0498817187273541</v>
      </c>
      <c r="CN8" s="874">
        <f t="shared" si="8"/>
        <v>4.2549069807379256</v>
      </c>
      <c r="CO8" s="874">
        <f t="shared" si="8"/>
        <v>4.4703116466377821</v>
      </c>
      <c r="CP8" s="874">
        <f t="shared" si="8"/>
        <v>4.6966211737488193</v>
      </c>
      <c r="CQ8" s="874">
        <f t="shared" si="8"/>
        <v>4.9343876206698525</v>
      </c>
      <c r="CR8" s="874">
        <f t="shared" si="8"/>
        <v>5.1841909939662632</v>
      </c>
      <c r="CS8" s="874">
        <f t="shared" si="8"/>
        <v>5.4466406630358044</v>
      </c>
      <c r="CT8" s="874">
        <f t="shared" si="8"/>
        <v>5.7223768466019909</v>
      </c>
      <c r="CU8" s="874">
        <f t="shared" si="8"/>
        <v>6.012072174461216</v>
      </c>
      <c r="CV8" s="874">
        <f t="shared" si="8"/>
        <v>6.3164333282933143</v>
      </c>
      <c r="CW8" s="874">
        <f t="shared" si="8"/>
        <v>6.6362027655381626</v>
      </c>
      <c r="CX8" s="874">
        <f t="shared" si="8"/>
        <v>6.9721605305435306</v>
      </c>
      <c r="CY8" s="874">
        <f t="shared" si="8"/>
        <v>7.3251261574022957</v>
      </c>
      <c r="CZ8" s="874">
        <f t="shared" si="8"/>
        <v>7.6959606691207858</v>
      </c>
      <c r="DA8" s="874">
        <f t="shared" si="8"/>
        <v>8.085568677995024</v>
      </c>
      <c r="DB8" s="874">
        <f t="shared" si="8"/>
        <v>8.4949005923185208</v>
      </c>
      <c r="DC8" s="874">
        <f t="shared" si="8"/>
        <v>8.924954934804644</v>
      </c>
      <c r="DD8" s="874">
        <f t="shared" si="8"/>
        <v>9.3767807783791266</v>
      </c>
      <c r="DE8" s="874">
        <f t="shared" si="8"/>
        <v>9.8514803052845679</v>
      </c>
      <c r="DF8" s="874">
        <f t="shared" si="8"/>
        <v>10.350211495739599</v>
      </c>
      <c r="DG8" s="874">
        <f t="shared" si="8"/>
        <v>10.874190952711414</v>
      </c>
      <c r="DH8" s="874">
        <f t="shared" si="8"/>
        <v>11.424696869692427</v>
      </c>
      <c r="DI8" s="874">
        <f t="shared" si="8"/>
        <v>12.003072148720603</v>
      </c>
      <c r="DJ8" s="874">
        <f t="shared" si="8"/>
        <v>12.610727676249581</v>
      </c>
      <c r="DK8" s="874">
        <f t="shared" si="8"/>
        <v>13.249145764859714</v>
      </c>
      <c r="DL8" s="868"/>
      <c r="DM8" s="868"/>
      <c r="DN8" s="868"/>
      <c r="DO8" s="868"/>
      <c r="DP8" s="868"/>
    </row>
    <row r="9" spans="1:122" ht="15" customHeight="1" x14ac:dyDescent="0.2">
      <c r="B9" s="806"/>
      <c r="C9" s="806"/>
      <c r="D9" s="806"/>
      <c r="E9" s="806"/>
      <c r="F9" s="806"/>
      <c r="G9" s="806"/>
      <c r="H9" s="806"/>
      <c r="L9" s="810" t="str">
        <f>IF(ISNUMBER($G9),(G9-J$10)/365,"")</f>
        <v/>
      </c>
      <c r="M9" s="786"/>
      <c r="N9" s="874"/>
      <c r="O9" s="874"/>
      <c r="P9" s="874"/>
      <c r="Q9" s="874"/>
      <c r="R9" s="874"/>
      <c r="S9" s="874"/>
      <c r="T9" s="874"/>
      <c r="U9" s="874"/>
      <c r="V9" s="874"/>
      <c r="W9" s="874"/>
      <c r="X9" s="874"/>
      <c r="Y9" s="874"/>
      <c r="Z9" s="874"/>
      <c r="AA9" s="874"/>
      <c r="AB9" s="874"/>
      <c r="AC9" s="874"/>
      <c r="AD9" s="874"/>
      <c r="AE9" s="874"/>
      <c r="AF9" s="874"/>
      <c r="AG9" s="874"/>
      <c r="AH9" s="874"/>
      <c r="AI9" s="874"/>
      <c r="AJ9" s="874"/>
      <c r="AK9" s="874"/>
      <c r="AL9" s="874"/>
      <c r="AM9" s="874"/>
      <c r="AN9" s="874"/>
      <c r="AO9" s="874"/>
      <c r="AP9" s="874"/>
      <c r="AQ9" s="874"/>
      <c r="AR9" s="874"/>
      <c r="AS9" s="874"/>
      <c r="AT9" s="874"/>
      <c r="AU9" s="874"/>
      <c r="AV9" s="874"/>
      <c r="AW9" s="874"/>
      <c r="AX9" s="874"/>
      <c r="AY9" s="874"/>
      <c r="AZ9" s="874"/>
      <c r="BA9" s="874"/>
      <c r="BB9" s="874"/>
      <c r="BC9" s="874"/>
      <c r="BD9" s="874"/>
      <c r="BE9" s="874"/>
      <c r="BF9" s="874"/>
      <c r="BG9" s="874"/>
      <c r="BH9" s="874"/>
      <c r="BI9" s="874"/>
      <c r="BJ9" s="874"/>
      <c r="BK9" s="874"/>
      <c r="BL9" s="786"/>
      <c r="BM9" s="786"/>
      <c r="BN9" s="786"/>
      <c r="BO9" s="786"/>
      <c r="BP9" s="786"/>
      <c r="BQ9" s="786"/>
      <c r="BR9" s="786"/>
      <c r="BS9" s="786"/>
      <c r="BT9" s="786"/>
      <c r="BU9" s="786"/>
      <c r="BV9" s="786"/>
      <c r="BW9" s="786"/>
      <c r="BX9" s="786"/>
      <c r="BY9" s="786"/>
      <c r="BZ9" s="786"/>
      <c r="CA9" s="786"/>
      <c r="CB9" s="786"/>
      <c r="CC9" s="786"/>
      <c r="CD9" s="786"/>
      <c r="CE9" s="786"/>
      <c r="CF9" s="786"/>
      <c r="CG9" s="786"/>
      <c r="CH9" s="786"/>
      <c r="CI9" s="786"/>
      <c r="CJ9" s="786"/>
      <c r="CK9" s="786"/>
      <c r="CL9" s="786"/>
      <c r="CM9" s="786"/>
      <c r="CN9" s="786"/>
      <c r="CO9" s="786"/>
      <c r="CP9" s="786"/>
      <c r="CQ9" s="786"/>
      <c r="CR9" s="786"/>
      <c r="CS9" s="786"/>
      <c r="CT9" s="786"/>
      <c r="CU9" s="786"/>
      <c r="CV9" s="786"/>
      <c r="CW9" s="786"/>
      <c r="CX9" s="786"/>
      <c r="CY9" s="786"/>
      <c r="CZ9" s="786"/>
      <c r="DA9" s="786"/>
      <c r="DB9" s="786"/>
      <c r="DC9" s="786"/>
      <c r="DD9" s="786"/>
      <c r="DE9" s="786"/>
      <c r="DF9" s="786"/>
      <c r="DG9" s="786"/>
      <c r="DH9" s="786"/>
      <c r="DI9" s="786"/>
      <c r="DJ9" s="786"/>
      <c r="DK9" s="786"/>
      <c r="DL9" s="786"/>
      <c r="DM9" s="786"/>
      <c r="DN9" s="786"/>
      <c r="DO9" s="786"/>
      <c r="DP9" s="786"/>
    </row>
    <row r="10" spans="1:122" ht="15" customHeight="1" x14ac:dyDescent="0.2">
      <c r="B10" s="812" t="s">
        <v>285</v>
      </c>
      <c r="C10" s="813" t="s">
        <v>917</v>
      </c>
      <c r="J10" s="803">
        <f>Overview!B22</f>
        <v>43100</v>
      </c>
      <c r="DL10" s="868"/>
      <c r="DM10" s="868"/>
      <c r="DN10" s="868"/>
      <c r="DO10" s="868"/>
      <c r="DP10" s="868"/>
      <c r="DQ10" s="868"/>
      <c r="DR10" s="868"/>
    </row>
    <row r="11" spans="1:122" ht="15" customHeight="1" x14ac:dyDescent="0.2">
      <c r="DL11" s="868"/>
      <c r="DM11" s="868"/>
      <c r="DN11" s="868"/>
      <c r="DO11" s="868"/>
      <c r="DP11" s="868"/>
      <c r="DQ11" s="868"/>
      <c r="DR11" s="868"/>
    </row>
    <row r="12" spans="1:122" ht="20.100000000000001" customHeight="1" x14ac:dyDescent="0.2">
      <c r="B12" s="812" t="s">
        <v>918</v>
      </c>
      <c r="C12" s="816" t="s">
        <v>919</v>
      </c>
      <c r="D12" s="814" t="s">
        <v>920</v>
      </c>
      <c r="E12" s="776" t="s">
        <v>921</v>
      </c>
      <c r="F12" s="813" t="s">
        <v>922</v>
      </c>
      <c r="G12" s="776" t="s">
        <v>923</v>
      </c>
      <c r="H12" s="813" t="s">
        <v>924</v>
      </c>
      <c r="I12" s="806"/>
      <c r="M12" s="804" t="s">
        <v>969</v>
      </c>
      <c r="N12" s="805">
        <v>25538</v>
      </c>
      <c r="O12" s="805">
        <v>25903</v>
      </c>
      <c r="P12" s="805">
        <v>26268</v>
      </c>
      <c r="Q12" s="805">
        <v>26634</v>
      </c>
      <c r="R12" s="805">
        <v>26999</v>
      </c>
      <c r="S12" s="805">
        <v>27364</v>
      </c>
      <c r="T12" s="805">
        <v>27729</v>
      </c>
      <c r="U12" s="805">
        <v>28095</v>
      </c>
      <c r="V12" s="805">
        <v>28460</v>
      </c>
      <c r="W12" s="805">
        <v>28825</v>
      </c>
      <c r="X12" s="805">
        <v>29190</v>
      </c>
      <c r="Y12" s="805">
        <v>29556</v>
      </c>
      <c r="Z12" s="805">
        <v>29921</v>
      </c>
      <c r="AA12" s="805">
        <v>30286</v>
      </c>
      <c r="AB12" s="805">
        <v>30651</v>
      </c>
      <c r="AC12" s="805">
        <v>31017</v>
      </c>
      <c r="AD12" s="805">
        <v>31382</v>
      </c>
      <c r="AE12" s="805">
        <v>31747</v>
      </c>
      <c r="AF12" s="805">
        <v>32112</v>
      </c>
      <c r="AG12" s="805">
        <v>32478</v>
      </c>
      <c r="AH12" s="805">
        <v>32843</v>
      </c>
      <c r="AI12" s="805">
        <v>33208</v>
      </c>
      <c r="AJ12" s="805">
        <v>33573</v>
      </c>
      <c r="AK12" s="805">
        <v>33939</v>
      </c>
      <c r="AL12" s="805">
        <v>34304</v>
      </c>
      <c r="AM12" s="805">
        <v>34669</v>
      </c>
      <c r="AN12" s="805">
        <v>35034</v>
      </c>
      <c r="AO12" s="805">
        <v>35400</v>
      </c>
      <c r="AP12" s="805">
        <v>35765</v>
      </c>
      <c r="AQ12" s="805">
        <v>36130</v>
      </c>
      <c r="AR12" s="805">
        <v>36495</v>
      </c>
      <c r="AS12" s="805">
        <v>36861</v>
      </c>
      <c r="AT12" s="805">
        <v>37226</v>
      </c>
      <c r="AU12" s="805">
        <v>37591</v>
      </c>
      <c r="AV12" s="805">
        <v>37956</v>
      </c>
      <c r="AW12" s="805">
        <v>38322</v>
      </c>
      <c r="AX12" s="805">
        <v>38687</v>
      </c>
      <c r="AY12" s="805">
        <v>39052</v>
      </c>
      <c r="AZ12" s="805">
        <v>39417</v>
      </c>
      <c r="BA12" s="805">
        <v>39783</v>
      </c>
      <c r="BB12" s="805">
        <v>40148</v>
      </c>
      <c r="BC12" s="805">
        <v>40513</v>
      </c>
      <c r="BD12" s="805">
        <v>40878</v>
      </c>
      <c r="BE12" s="805">
        <v>41244</v>
      </c>
      <c r="BF12" s="805">
        <v>41609</v>
      </c>
      <c r="BG12" s="805">
        <v>41974</v>
      </c>
      <c r="BH12" s="805">
        <v>42339</v>
      </c>
      <c r="BI12" s="805">
        <v>42705</v>
      </c>
      <c r="BJ12" s="805">
        <v>43070</v>
      </c>
      <c r="BK12" s="805">
        <v>43435</v>
      </c>
      <c r="BL12" s="805">
        <v>43800</v>
      </c>
      <c r="BM12" s="805">
        <v>44166</v>
      </c>
      <c r="BN12" s="805">
        <v>44531</v>
      </c>
      <c r="BO12" s="805">
        <v>44896</v>
      </c>
      <c r="BP12" s="805">
        <v>45261</v>
      </c>
      <c r="BQ12" s="805">
        <v>45627</v>
      </c>
      <c r="BR12" s="805">
        <v>45992</v>
      </c>
      <c r="BS12" s="805">
        <v>46357</v>
      </c>
      <c r="BT12" s="805">
        <v>46722</v>
      </c>
      <c r="BU12" s="805">
        <v>47088</v>
      </c>
      <c r="BV12" s="805">
        <v>47453</v>
      </c>
      <c r="BW12" s="805">
        <v>47818</v>
      </c>
      <c r="BX12" s="805">
        <v>48183</v>
      </c>
      <c r="BY12" s="805">
        <v>48549</v>
      </c>
      <c r="BZ12" s="805">
        <v>48914</v>
      </c>
      <c r="CA12" s="805">
        <v>49279</v>
      </c>
      <c r="CB12" s="805">
        <v>49644</v>
      </c>
      <c r="CC12" s="805">
        <v>50010</v>
      </c>
      <c r="CD12" s="805">
        <v>50375</v>
      </c>
      <c r="CE12" s="805">
        <v>50740</v>
      </c>
      <c r="CF12" s="805">
        <v>51105</v>
      </c>
      <c r="CG12" s="805">
        <v>51471</v>
      </c>
      <c r="CH12" s="805">
        <v>51836</v>
      </c>
      <c r="CI12" s="805">
        <v>52201</v>
      </c>
      <c r="CJ12" s="805">
        <v>52566</v>
      </c>
      <c r="CK12" s="805">
        <v>52932</v>
      </c>
      <c r="CL12" s="805">
        <v>53297</v>
      </c>
      <c r="CM12" s="805">
        <v>53662</v>
      </c>
      <c r="CN12" s="805">
        <v>54027</v>
      </c>
      <c r="CO12" s="805">
        <v>54393</v>
      </c>
      <c r="CP12" s="805">
        <v>54758</v>
      </c>
      <c r="CQ12" s="805">
        <v>55123</v>
      </c>
      <c r="CR12" s="805">
        <v>55488</v>
      </c>
      <c r="CS12" s="805">
        <v>55854</v>
      </c>
      <c r="CT12" s="805">
        <v>56219</v>
      </c>
      <c r="CU12" s="805">
        <v>56584</v>
      </c>
      <c r="CV12" s="805">
        <v>56949</v>
      </c>
      <c r="CW12" s="805">
        <v>57315</v>
      </c>
      <c r="CX12" s="805">
        <v>57680</v>
      </c>
      <c r="CY12" s="805">
        <v>58045</v>
      </c>
      <c r="CZ12" s="805">
        <v>58410</v>
      </c>
      <c r="DA12" s="805">
        <v>58776</v>
      </c>
      <c r="DB12" s="805">
        <v>59141</v>
      </c>
      <c r="DC12" s="805">
        <v>59506</v>
      </c>
      <c r="DD12" s="805">
        <v>59871</v>
      </c>
      <c r="DE12" s="805">
        <v>60237</v>
      </c>
      <c r="DF12" s="805">
        <v>60602</v>
      </c>
      <c r="DG12" s="805">
        <v>60967</v>
      </c>
      <c r="DH12" s="805">
        <v>61332</v>
      </c>
      <c r="DI12" s="805">
        <v>61698</v>
      </c>
      <c r="DJ12" s="805">
        <v>62063</v>
      </c>
      <c r="DK12" s="805">
        <v>62428</v>
      </c>
      <c r="DL12" s="868"/>
      <c r="DM12" s="868"/>
      <c r="DN12" s="868"/>
      <c r="DO12" s="868"/>
      <c r="DP12" s="868"/>
      <c r="DQ12" s="868"/>
      <c r="DR12" s="868"/>
    </row>
    <row r="13" spans="1:122" ht="20.100000000000001" customHeight="1" x14ac:dyDescent="0.2">
      <c r="B13" s="815">
        <v>0</v>
      </c>
      <c r="C13" s="816"/>
      <c r="D13" s="814"/>
      <c r="E13" s="776"/>
      <c r="F13" s="817"/>
      <c r="G13" s="776"/>
      <c r="H13" s="817"/>
      <c r="I13" s="806"/>
      <c r="J13" s="793" t="s">
        <v>925</v>
      </c>
      <c r="K13" s="793" t="s">
        <v>926</v>
      </c>
      <c r="L13" s="793" t="s">
        <v>882</v>
      </c>
      <c r="M13" s="807" t="s">
        <v>927</v>
      </c>
      <c r="N13" s="808">
        <f t="shared" ref="N13:AS13" si="9">SUM(N15:N85)/1000</f>
        <v>7.9765305936073047E-2</v>
      </c>
      <c r="O13" s="808">
        <f t="shared" si="9"/>
        <v>7.8625801565557735E-2</v>
      </c>
      <c r="P13" s="808">
        <f t="shared" si="9"/>
        <v>8.9542906312966575E-2</v>
      </c>
      <c r="Q13" s="808">
        <f t="shared" si="9"/>
        <v>8.8227570856615783E-2</v>
      </c>
      <c r="R13" s="808">
        <f t="shared" si="9"/>
        <v>8.6915829212987253E-2</v>
      </c>
      <c r="S13" s="808">
        <f t="shared" si="9"/>
        <v>8.5604087569358708E-2</v>
      </c>
      <c r="T13" s="808">
        <f t="shared" si="9"/>
        <v>8.4292345925730192E-2</v>
      </c>
      <c r="U13" s="808">
        <f t="shared" si="9"/>
        <v>0.20183389167952656</v>
      </c>
      <c r="V13" s="808">
        <f t="shared" si="9"/>
        <v>0.19882419459003881</v>
      </c>
      <c r="W13" s="808">
        <f t="shared" si="9"/>
        <v>0.19581449750055102</v>
      </c>
      <c r="X13" s="808">
        <f t="shared" si="9"/>
        <v>0.19280480041106324</v>
      </c>
      <c r="Y13" s="808">
        <f t="shared" si="9"/>
        <v>0.18978685757612479</v>
      </c>
      <c r="Z13" s="808">
        <f t="shared" si="9"/>
        <v>0.18677716048663706</v>
      </c>
      <c r="AA13" s="808">
        <f t="shared" si="9"/>
        <v>0.18376746339714928</v>
      </c>
      <c r="AB13" s="808">
        <f t="shared" si="9"/>
        <v>0.18075776630766149</v>
      </c>
      <c r="AC13" s="808">
        <f t="shared" si="9"/>
        <v>0.17773982347272302</v>
      </c>
      <c r="AD13" s="808">
        <f t="shared" si="9"/>
        <v>0.17473012638323526</v>
      </c>
      <c r="AE13" s="808">
        <f t="shared" si="9"/>
        <v>0.17172042929374748</v>
      </c>
      <c r="AF13" s="808">
        <f t="shared" si="9"/>
        <v>0.48240214578151441</v>
      </c>
      <c r="AG13" s="808">
        <f t="shared" si="9"/>
        <v>0.47489061948789596</v>
      </c>
      <c r="AH13" s="808">
        <f t="shared" si="9"/>
        <v>0.46739961649016176</v>
      </c>
      <c r="AI13" s="808">
        <f t="shared" si="9"/>
        <v>0.45990861349242745</v>
      </c>
      <c r="AJ13" s="808">
        <f t="shared" si="9"/>
        <v>0.45241761049469315</v>
      </c>
      <c r="AK13" s="808">
        <f t="shared" si="9"/>
        <v>0.44490608420107469</v>
      </c>
      <c r="AL13" s="808">
        <f t="shared" si="9"/>
        <v>0.43741508120334044</v>
      </c>
      <c r="AM13" s="808">
        <f t="shared" si="9"/>
        <v>0.47992407820560612</v>
      </c>
      <c r="AN13" s="808">
        <f t="shared" si="9"/>
        <v>0.54307245515802238</v>
      </c>
      <c r="AO13" s="808">
        <f t="shared" si="9"/>
        <v>1.2399555626145236</v>
      </c>
      <c r="AP13" s="808">
        <f t="shared" si="9"/>
        <v>1.220092170428585</v>
      </c>
      <c r="AQ13" s="808">
        <f t="shared" si="9"/>
        <v>1.5170729805167442</v>
      </c>
      <c r="AR13" s="808">
        <f t="shared" si="9"/>
        <v>1.5819999237029936</v>
      </c>
      <c r="AS13" s="808">
        <f t="shared" si="9"/>
        <v>1.5860276748585147</v>
      </c>
      <c r="AT13" s="808">
        <f t="shared" ref="AT13:BY13" si="10">SUM(AT15:AT85)/1000</f>
        <v>1.559697817014001</v>
      </c>
      <c r="AU13" s="808">
        <f t="shared" si="10"/>
        <v>1.5333679591694873</v>
      </c>
      <c r="AV13" s="808">
        <f t="shared" si="10"/>
        <v>1.5070381013249734</v>
      </c>
      <c r="AW13" s="808">
        <f t="shared" si="10"/>
        <v>1.6539017012369222</v>
      </c>
      <c r="AX13" s="808">
        <f t="shared" si="10"/>
        <v>1.871318989796066</v>
      </c>
      <c r="AY13" s="808">
        <f t="shared" si="10"/>
        <v>1.9501178753296464</v>
      </c>
      <c r="AZ13" s="808">
        <f t="shared" si="10"/>
        <v>1.9304821537203698</v>
      </c>
      <c r="BA13" s="808">
        <f t="shared" si="10"/>
        <v>2.0923777767916159</v>
      </c>
      <c r="BB13" s="808">
        <f t="shared" si="10"/>
        <v>2.8950009196113404</v>
      </c>
      <c r="BC13" s="808">
        <f t="shared" si="10"/>
        <v>3.0882536287857323</v>
      </c>
      <c r="BD13" s="808">
        <f t="shared" si="10"/>
        <v>3.0277816979601226</v>
      </c>
      <c r="BE13" s="808">
        <f t="shared" si="10"/>
        <v>3.3289503678962289</v>
      </c>
      <c r="BF13" s="808">
        <f t="shared" si="10"/>
        <v>3.3126133473951271</v>
      </c>
      <c r="BG13" s="808">
        <f t="shared" si="10"/>
        <v>9.9551620411797401</v>
      </c>
      <c r="BH13" s="808">
        <f t="shared" si="10"/>
        <v>9.6796607521072069</v>
      </c>
      <c r="BI13" s="808">
        <f t="shared" si="10"/>
        <v>9.6472344794732248</v>
      </c>
      <c r="BJ13" s="808">
        <f t="shared" si="10"/>
        <v>9.2441797852578329</v>
      </c>
      <c r="BK13" s="808">
        <f t="shared" si="10"/>
        <v>9.392298728094687</v>
      </c>
      <c r="BL13" s="808">
        <f t="shared" si="10"/>
        <v>9.5387329819214077</v>
      </c>
      <c r="BM13" s="808">
        <f t="shared" si="10"/>
        <v>9.1001188364435475</v>
      </c>
      <c r="BN13" s="808">
        <f t="shared" si="10"/>
        <v>8.6627030902702664</v>
      </c>
      <c r="BO13" s="808">
        <f t="shared" si="10"/>
        <v>8.2252873440969925</v>
      </c>
      <c r="BP13" s="808">
        <f t="shared" si="10"/>
        <v>7.7878715979237185</v>
      </c>
      <c r="BQ13" s="808">
        <f t="shared" si="10"/>
        <v>7.3492574524458512</v>
      </c>
      <c r="BR13" s="808">
        <f t="shared" si="10"/>
        <v>6.9118417062725737</v>
      </c>
      <c r="BS13" s="808">
        <f t="shared" si="10"/>
        <v>6.4744259600992971</v>
      </c>
      <c r="BT13" s="808">
        <f t="shared" si="10"/>
        <v>6.0370102139260204</v>
      </c>
      <c r="BU13" s="808">
        <f t="shared" si="10"/>
        <v>5.5983960684481602</v>
      </c>
      <c r="BV13" s="808">
        <f t="shared" si="10"/>
        <v>5.16098032227488</v>
      </c>
      <c r="BW13" s="808">
        <f t="shared" si="10"/>
        <v>4.7236829322659872</v>
      </c>
      <c r="BX13" s="808">
        <f t="shared" si="10"/>
        <v>4.2934671860927089</v>
      </c>
      <c r="BY13" s="808">
        <f t="shared" si="10"/>
        <v>3.8620829946970376</v>
      </c>
      <c r="BZ13" s="808">
        <f t="shared" ref="BZ13:DE13" si="11">SUM(BZ15:BZ85)/1000</f>
        <v>3.4324005685237604</v>
      </c>
      <c r="CA13" s="808">
        <f t="shared" si="11"/>
        <v>3.0068514300217144</v>
      </c>
      <c r="CB13" s="808">
        <f t="shared" si="11"/>
        <v>2.8776927075196714</v>
      </c>
      <c r="CC13" s="808">
        <f t="shared" si="11"/>
        <v>2.7508022260418099</v>
      </c>
      <c r="CD13" s="808">
        <f t="shared" si="11"/>
        <v>2.6242584398685316</v>
      </c>
      <c r="CE13" s="808">
        <f t="shared" si="11"/>
        <v>2.4977146536952528</v>
      </c>
      <c r="CF13" s="808">
        <f t="shared" si="11"/>
        <v>2.3716992752257235</v>
      </c>
      <c r="CG13" s="808">
        <f t="shared" si="11"/>
        <v>2.2745793622263171</v>
      </c>
      <c r="CH13" s="808">
        <f t="shared" si="11"/>
        <v>2.177733298073381</v>
      </c>
      <c r="CI13" s="808">
        <f t="shared" si="11"/>
        <v>2.081050977300638</v>
      </c>
      <c r="CJ13" s="808">
        <f t="shared" si="11"/>
        <v>1.9845639441991281</v>
      </c>
      <c r="CK13" s="808">
        <f t="shared" si="11"/>
        <v>1.8997709321365961</v>
      </c>
      <c r="CL13" s="808">
        <f t="shared" si="11"/>
        <v>1.8275686113638534</v>
      </c>
      <c r="CM13" s="808">
        <f t="shared" si="11"/>
        <v>1.7554794487899581</v>
      </c>
      <c r="CN13" s="808">
        <f t="shared" si="11"/>
        <v>1.6862230588055402</v>
      </c>
      <c r="CO13" s="808">
        <f t="shared" si="11"/>
        <v>1.6169273359024183</v>
      </c>
      <c r="CP13" s="808">
        <f t="shared" si="11"/>
        <v>1.5478483428358085</v>
      </c>
      <c r="CQ13" s="808">
        <f t="shared" si="11"/>
        <v>1.4797419525089248</v>
      </c>
      <c r="CR13" s="808">
        <f t="shared" si="11"/>
        <v>1.4116355621820409</v>
      </c>
      <c r="CS13" s="808">
        <f t="shared" si="11"/>
        <v>1.343387099552892</v>
      </c>
      <c r="CT13" s="808">
        <f t="shared" si="11"/>
        <v>1.2769057092260081</v>
      </c>
      <c r="CU13" s="808">
        <f t="shared" si="11"/>
        <v>1.2104243188991239</v>
      </c>
      <c r="CV13" s="808">
        <f t="shared" si="11"/>
        <v>1.1439429285722407</v>
      </c>
      <c r="CW13" s="808">
        <f t="shared" si="11"/>
        <v>1.0773752878608995</v>
      </c>
      <c r="CX13" s="808">
        <f t="shared" si="11"/>
        <v>1.0146148934418193</v>
      </c>
      <c r="CY13" s="808">
        <f t="shared" si="11"/>
        <v>0.95611480902318191</v>
      </c>
      <c r="CZ13" s="808">
        <f t="shared" si="11"/>
        <v>0.897785957481257</v>
      </c>
      <c r="DA13" s="808">
        <f t="shared" si="11"/>
        <v>0.84539272214640437</v>
      </c>
      <c r="DB13" s="808">
        <f t="shared" si="11"/>
        <v>0.79314263772776683</v>
      </c>
      <c r="DC13" s="808">
        <f t="shared" si="11"/>
        <v>0.74089255330912962</v>
      </c>
      <c r="DD13" s="808">
        <f t="shared" si="11"/>
        <v>0.6886424688904923</v>
      </c>
      <c r="DE13" s="808">
        <f t="shared" si="11"/>
        <v>0.63624923355563956</v>
      </c>
      <c r="DF13" s="808">
        <f t="shared" ref="DF13:DK13" si="12">SUM(DF15:DF85)/1000</f>
        <v>0.58404979527551892</v>
      </c>
      <c r="DG13" s="808">
        <f t="shared" si="12"/>
        <v>0.53329689862035001</v>
      </c>
      <c r="DH13" s="808">
        <f t="shared" si="12"/>
        <v>0.49216920338991693</v>
      </c>
      <c r="DI13" s="808">
        <f t="shared" si="12"/>
        <v>0.45115204659294028</v>
      </c>
      <c r="DJ13" s="808">
        <f t="shared" si="12"/>
        <v>0.41459812956153747</v>
      </c>
      <c r="DK13" s="808">
        <f t="shared" si="12"/>
        <v>0.37897856566525867</v>
      </c>
      <c r="DL13" s="868"/>
      <c r="DM13" s="868"/>
      <c r="DN13" s="868"/>
      <c r="DO13" s="868"/>
      <c r="DP13" s="868"/>
      <c r="DQ13" s="868"/>
      <c r="DR13" s="868"/>
    </row>
    <row r="14" spans="1:122" ht="20.100000000000001" customHeight="1" x14ac:dyDescent="0.2">
      <c r="B14" s="815" t="s">
        <v>677</v>
      </c>
      <c r="C14" s="816"/>
      <c r="D14" s="814"/>
      <c r="E14" s="776"/>
      <c r="F14" s="817"/>
      <c r="G14" s="776"/>
      <c r="H14" s="817"/>
      <c r="I14" s="806"/>
      <c r="M14" s="809"/>
      <c r="DL14" s="868"/>
      <c r="DM14" s="868"/>
      <c r="DN14" s="868"/>
      <c r="DO14" s="868"/>
      <c r="DP14" s="868"/>
      <c r="DQ14" s="868"/>
      <c r="DR14" s="868"/>
    </row>
    <row r="15" spans="1:122" ht="20.100000000000001" customHeight="1" x14ac:dyDescent="0.2">
      <c r="B15" s="815" t="s">
        <v>828</v>
      </c>
      <c r="C15" s="816">
        <v>0.19900000000000001</v>
      </c>
      <c r="D15" s="814">
        <v>50</v>
      </c>
      <c r="E15" s="776">
        <v>38777</v>
      </c>
      <c r="F15" s="817">
        <v>40</v>
      </c>
      <c r="G15" s="776">
        <v>44252</v>
      </c>
      <c r="H15" s="817">
        <v>0</v>
      </c>
      <c r="I15" s="806"/>
      <c r="J15" s="795">
        <f t="shared" ref="J15:J78" si="13">IF(ISNUMBER(E15),DATE(YEAR(E15),12,1),"")</f>
        <v>39052</v>
      </c>
      <c r="K15" s="795">
        <f t="shared" ref="K15:K78" si="14">IF(ISNUMBER(G15),DATE(YEAR(G15),12,1),"")</f>
        <v>44531</v>
      </c>
      <c r="L15" s="810">
        <f>IF(ISNUMBER($G15),(G15-J$10)/365,"")</f>
        <v>3.1561643835616437</v>
      </c>
      <c r="M15" s="809" t="str">
        <f t="shared" ref="M15:M78" si="15">IF(ISNUMBER($C15),B15&amp;" ("&amp;TEXT($C15,"0%")&amp;")","")</f>
        <v>Kogan North Gas Processing Facility (20%)</v>
      </c>
      <c r="N15" s="811" t="str">
        <f t="shared" ref="N15:W24" si="16">IF(ISNUMBER($J15),IF(N$12&lt;$J15,"",IF(N$12=$J15,$D15*$C15,IF(AND(N$12&gt;$J15,N$12&lt;$J15+$F15*365),$D15*(1-(N$12-$J15)/($F15*365))*$C15,""))),"")</f>
        <v/>
      </c>
      <c r="O15" s="811" t="str">
        <f t="shared" si="16"/>
        <v/>
      </c>
      <c r="P15" s="811" t="str">
        <f t="shared" si="16"/>
        <v/>
      </c>
      <c r="Q15" s="811" t="str">
        <f t="shared" si="16"/>
        <v/>
      </c>
      <c r="R15" s="811" t="str">
        <f t="shared" si="16"/>
        <v/>
      </c>
      <c r="S15" s="811" t="str">
        <f t="shared" si="16"/>
        <v/>
      </c>
      <c r="T15" s="811" t="str">
        <f t="shared" si="16"/>
        <v/>
      </c>
      <c r="U15" s="811" t="str">
        <f t="shared" si="16"/>
        <v/>
      </c>
      <c r="V15" s="811" t="str">
        <f t="shared" si="16"/>
        <v/>
      </c>
      <c r="W15" s="811" t="str">
        <f t="shared" si="16"/>
        <v/>
      </c>
      <c r="X15" s="811" t="str">
        <f t="shared" ref="X15:AG24" si="17">IF(ISNUMBER($J15),IF(X$12&lt;$J15,"",IF(X$12=$J15,$D15*$C15,IF(AND(X$12&gt;$J15,X$12&lt;$J15+$F15*365),$D15*(1-(X$12-$J15)/($F15*365))*$C15,""))),"")</f>
        <v/>
      </c>
      <c r="Y15" s="811" t="str">
        <f t="shared" si="17"/>
        <v/>
      </c>
      <c r="Z15" s="811" t="str">
        <f t="shared" si="17"/>
        <v/>
      </c>
      <c r="AA15" s="811" t="str">
        <f t="shared" si="17"/>
        <v/>
      </c>
      <c r="AB15" s="811" t="str">
        <f t="shared" si="17"/>
        <v/>
      </c>
      <c r="AC15" s="811" t="str">
        <f t="shared" si="17"/>
        <v/>
      </c>
      <c r="AD15" s="811" t="str">
        <f t="shared" si="17"/>
        <v/>
      </c>
      <c r="AE15" s="811" t="str">
        <f t="shared" si="17"/>
        <v/>
      </c>
      <c r="AF15" s="811" t="str">
        <f t="shared" si="17"/>
        <v/>
      </c>
      <c r="AG15" s="811" t="str">
        <f t="shared" si="17"/>
        <v/>
      </c>
      <c r="AH15" s="811" t="str">
        <f t="shared" ref="AH15:AQ24" si="18">IF(ISNUMBER($J15),IF(AH$12&lt;$J15,"",IF(AH$12=$J15,$D15*$C15,IF(AND(AH$12&gt;$J15,AH$12&lt;$J15+$F15*365),$D15*(1-(AH$12-$J15)/($F15*365))*$C15,""))),"")</f>
        <v/>
      </c>
      <c r="AI15" s="811" t="str">
        <f t="shared" si="18"/>
        <v/>
      </c>
      <c r="AJ15" s="811" t="str">
        <f t="shared" si="18"/>
        <v/>
      </c>
      <c r="AK15" s="811" t="str">
        <f t="shared" si="18"/>
        <v/>
      </c>
      <c r="AL15" s="811" t="str">
        <f t="shared" si="18"/>
        <v/>
      </c>
      <c r="AM15" s="811" t="str">
        <f t="shared" si="18"/>
        <v/>
      </c>
      <c r="AN15" s="811" t="str">
        <f t="shared" si="18"/>
        <v/>
      </c>
      <c r="AO15" s="811" t="str">
        <f t="shared" si="18"/>
        <v/>
      </c>
      <c r="AP15" s="811" t="str">
        <f t="shared" si="18"/>
        <v/>
      </c>
      <c r="AQ15" s="811" t="str">
        <f t="shared" si="18"/>
        <v/>
      </c>
      <c r="AR15" s="811" t="str">
        <f t="shared" ref="AR15:BA24" si="19">IF(ISNUMBER($J15),IF(AR$12&lt;$J15,"",IF(AR$12=$J15,$D15*$C15,IF(AND(AR$12&gt;$J15,AR$12&lt;$J15+$F15*365),$D15*(1-(AR$12-$J15)/($F15*365))*$C15,""))),"")</f>
        <v/>
      </c>
      <c r="AS15" s="811" t="str">
        <f t="shared" si="19"/>
        <v/>
      </c>
      <c r="AT15" s="811" t="str">
        <f t="shared" si="19"/>
        <v/>
      </c>
      <c r="AU15" s="811" t="str">
        <f t="shared" si="19"/>
        <v/>
      </c>
      <c r="AV15" s="811" t="str">
        <f t="shared" si="19"/>
        <v/>
      </c>
      <c r="AW15" s="811" t="str">
        <f t="shared" si="19"/>
        <v/>
      </c>
      <c r="AX15" s="811" t="str">
        <f t="shared" si="19"/>
        <v/>
      </c>
      <c r="AY15" s="811">
        <f t="shared" si="19"/>
        <v>9.9500000000000011</v>
      </c>
      <c r="AZ15" s="811">
        <f t="shared" si="19"/>
        <v>9.7012499999999999</v>
      </c>
      <c r="BA15" s="811">
        <f t="shared" si="19"/>
        <v>9.4518184931506859</v>
      </c>
      <c r="BB15" s="811">
        <f t="shared" ref="BB15:BK24" si="20">IF(ISNUMBER($J15),IF(BB$12&lt;$J15,"",IF(BB$12=$J15,$D15*$C15,IF(AND(BB$12&gt;$J15,BB$12&lt;$J15+$F15*365),$D15*(1-(BB$12-$J15)/($F15*365))*$C15,""))),"")</f>
        <v>9.2030684931506848</v>
      </c>
      <c r="BC15" s="811">
        <f t="shared" si="20"/>
        <v>8.9543184931506854</v>
      </c>
      <c r="BD15" s="811">
        <f t="shared" si="20"/>
        <v>8.705568493150686</v>
      </c>
      <c r="BE15" s="811">
        <f t="shared" si="20"/>
        <v>8.4561369863013702</v>
      </c>
      <c r="BF15" s="811">
        <f t="shared" si="20"/>
        <v>8.2073869863013709</v>
      </c>
      <c r="BG15" s="811">
        <f t="shared" si="20"/>
        <v>7.9586369863013706</v>
      </c>
      <c r="BH15" s="811">
        <f t="shared" si="20"/>
        <v>7.7098869863013704</v>
      </c>
      <c r="BI15" s="811">
        <f t="shared" si="20"/>
        <v>7.4604554794520554</v>
      </c>
      <c r="BJ15" s="811">
        <f t="shared" si="20"/>
        <v>7.2117054794520534</v>
      </c>
      <c r="BK15" s="811">
        <f t="shared" si="20"/>
        <v>6.962955479452055</v>
      </c>
      <c r="BL15" s="811">
        <f t="shared" ref="BL15:BU24" si="21">IF(ISNUMBER($J15),IF(BL$12&lt;$J15,"",IF(BL$12=$J15,$D15*$C15,IF(AND(BL$12&gt;$J15,BL$12&lt;$J15+$F15*365),$D15*(1-(BL$12-$J15)/($F15*365))*$C15,""))),"")</f>
        <v>6.7142054794520556</v>
      </c>
      <c r="BM15" s="811">
        <f t="shared" si="21"/>
        <v>6.4647739726027398</v>
      </c>
      <c r="BN15" s="811">
        <f t="shared" si="21"/>
        <v>6.2160239726027404</v>
      </c>
      <c r="BO15" s="811">
        <f t="shared" si="21"/>
        <v>5.9672739726027393</v>
      </c>
      <c r="BP15" s="811">
        <f t="shared" si="21"/>
        <v>5.7185239726027399</v>
      </c>
      <c r="BQ15" s="811">
        <f t="shared" si="21"/>
        <v>5.4690924657534241</v>
      </c>
      <c r="BR15" s="811">
        <f t="shared" si="21"/>
        <v>5.2203424657534248</v>
      </c>
      <c r="BS15" s="811">
        <f t="shared" si="21"/>
        <v>4.9715924657534254</v>
      </c>
      <c r="BT15" s="811">
        <f t="shared" si="21"/>
        <v>4.7228424657534243</v>
      </c>
      <c r="BU15" s="811">
        <f t="shared" si="21"/>
        <v>4.4734109589041093</v>
      </c>
      <c r="BV15" s="811">
        <f t="shared" ref="BV15:CE24" si="22">IF(ISNUMBER($J15),IF(BV$12&lt;$J15,"",IF(BV$12=$J15,$D15*$C15,IF(AND(BV$12&gt;$J15,BV$12&lt;$J15+$F15*365),$D15*(1-(BV$12-$J15)/($F15*365))*$C15,""))),"")</f>
        <v>4.2246609589041109</v>
      </c>
      <c r="BW15" s="811">
        <f t="shared" si="22"/>
        <v>3.9759109589041097</v>
      </c>
      <c r="BX15" s="811">
        <f t="shared" si="22"/>
        <v>3.7271609589041099</v>
      </c>
      <c r="BY15" s="811">
        <f t="shared" si="22"/>
        <v>3.477729452054795</v>
      </c>
      <c r="BZ15" s="811">
        <f t="shared" si="22"/>
        <v>3.2289794520547948</v>
      </c>
      <c r="CA15" s="811">
        <f t="shared" si="22"/>
        <v>2.9802294520547941</v>
      </c>
      <c r="CB15" s="811">
        <f t="shared" si="22"/>
        <v>2.7314794520547951</v>
      </c>
      <c r="CC15" s="811">
        <f t="shared" si="22"/>
        <v>2.4820479452054802</v>
      </c>
      <c r="CD15" s="811">
        <f t="shared" si="22"/>
        <v>2.2332979452054795</v>
      </c>
      <c r="CE15" s="811">
        <f t="shared" si="22"/>
        <v>1.9845479452054797</v>
      </c>
      <c r="CF15" s="811">
        <f t="shared" ref="CF15:CO24" si="23">IF(ISNUMBER($J15),IF(CF$12&lt;$J15,"",IF(CF$12=$J15,$D15*$C15,IF(AND(CF$12&gt;$J15,CF$12&lt;$J15+$F15*365),$D15*(1-(CF$12-$J15)/($F15*365))*$C15,""))),"")</f>
        <v>1.7357979452054793</v>
      </c>
      <c r="CG15" s="811">
        <f t="shared" si="23"/>
        <v>1.4863664383561643</v>
      </c>
      <c r="CH15" s="811">
        <f t="shared" si="23"/>
        <v>1.2376164383561639</v>
      </c>
      <c r="CI15" s="811">
        <f t="shared" si="23"/>
        <v>0.98886643835616495</v>
      </c>
      <c r="CJ15" s="811">
        <f t="shared" si="23"/>
        <v>0.74011643835616459</v>
      </c>
      <c r="CK15" s="811">
        <f t="shared" si="23"/>
        <v>0.49068493150684955</v>
      </c>
      <c r="CL15" s="811">
        <f t="shared" si="23"/>
        <v>0.2419349315068493</v>
      </c>
      <c r="CM15" s="811" t="str">
        <f t="shared" si="23"/>
        <v/>
      </c>
      <c r="CN15" s="811" t="str">
        <f t="shared" si="23"/>
        <v/>
      </c>
      <c r="CO15" s="811" t="str">
        <f t="shared" si="23"/>
        <v/>
      </c>
      <c r="CP15" s="811" t="str">
        <f t="shared" ref="CP15:CY24" si="24">IF(ISNUMBER($J15),IF(CP$12&lt;$J15,"",IF(CP$12=$J15,$D15*$C15,IF(AND(CP$12&gt;$J15,CP$12&lt;$J15+$F15*365),$D15*(1-(CP$12-$J15)/($F15*365))*$C15,""))),"")</f>
        <v/>
      </c>
      <c r="CQ15" s="811" t="str">
        <f t="shared" si="24"/>
        <v/>
      </c>
      <c r="CR15" s="811" t="str">
        <f t="shared" si="24"/>
        <v/>
      </c>
      <c r="CS15" s="811" t="str">
        <f t="shared" si="24"/>
        <v/>
      </c>
      <c r="CT15" s="811" t="str">
        <f t="shared" si="24"/>
        <v/>
      </c>
      <c r="CU15" s="811" t="str">
        <f t="shared" si="24"/>
        <v/>
      </c>
      <c r="CV15" s="811" t="str">
        <f t="shared" si="24"/>
        <v/>
      </c>
      <c r="CW15" s="811" t="str">
        <f t="shared" si="24"/>
        <v/>
      </c>
      <c r="CX15" s="811" t="str">
        <f t="shared" si="24"/>
        <v/>
      </c>
      <c r="CY15" s="811" t="str">
        <f t="shared" si="24"/>
        <v/>
      </c>
      <c r="CZ15" s="811" t="str">
        <f t="shared" ref="CZ15:DK24" si="25">IF(ISNUMBER($J15),IF(CZ$12&lt;$J15,"",IF(CZ$12=$J15,$D15*$C15,IF(AND(CZ$12&gt;$J15,CZ$12&lt;$J15+$F15*365),$D15*(1-(CZ$12-$J15)/($F15*365))*$C15,""))),"")</f>
        <v/>
      </c>
      <c r="DA15" s="811" t="str">
        <f t="shared" si="25"/>
        <v/>
      </c>
      <c r="DB15" s="811" t="str">
        <f t="shared" si="25"/>
        <v/>
      </c>
      <c r="DC15" s="811" t="str">
        <f t="shared" si="25"/>
        <v/>
      </c>
      <c r="DD15" s="811" t="str">
        <f t="shared" si="25"/>
        <v/>
      </c>
      <c r="DE15" s="811" t="str">
        <f t="shared" si="25"/>
        <v/>
      </c>
      <c r="DF15" s="811" t="str">
        <f t="shared" si="25"/>
        <v/>
      </c>
      <c r="DG15" s="811" t="str">
        <f t="shared" si="25"/>
        <v/>
      </c>
      <c r="DH15" s="811" t="str">
        <f t="shared" si="25"/>
        <v/>
      </c>
      <c r="DI15" s="811" t="str">
        <f t="shared" si="25"/>
        <v/>
      </c>
      <c r="DJ15" s="811" t="str">
        <f t="shared" si="25"/>
        <v/>
      </c>
      <c r="DK15" s="811" t="str">
        <f t="shared" si="25"/>
        <v/>
      </c>
    </row>
    <row r="16" spans="1:122" ht="20.100000000000001" customHeight="1" x14ac:dyDescent="0.2">
      <c r="B16" s="815" t="s">
        <v>679</v>
      </c>
      <c r="C16" s="816">
        <v>1</v>
      </c>
      <c r="D16" s="814">
        <v>250</v>
      </c>
      <c r="E16" s="776">
        <v>43617</v>
      </c>
      <c r="F16" s="817">
        <v>40</v>
      </c>
      <c r="G16" s="776">
        <v>49092</v>
      </c>
      <c r="H16" s="817">
        <v>0</v>
      </c>
      <c r="I16" s="806"/>
      <c r="J16" s="795">
        <f t="shared" si="13"/>
        <v>43800</v>
      </c>
      <c r="K16" s="795">
        <f t="shared" si="14"/>
        <v>49279</v>
      </c>
      <c r="L16" s="810">
        <f t="shared" ref="L16:L79" si="26">IF(ISNUMBER($G16),(G16-J$10)/365,"")</f>
        <v>16.416438356164385</v>
      </c>
      <c r="M16" s="809" t="str">
        <f t="shared" si="15"/>
        <v>Orbost Gas Plant (100%)</v>
      </c>
      <c r="N16" s="811" t="str">
        <f t="shared" si="16"/>
        <v/>
      </c>
      <c r="O16" s="811" t="str">
        <f t="shared" si="16"/>
        <v/>
      </c>
      <c r="P16" s="811" t="str">
        <f t="shared" si="16"/>
        <v/>
      </c>
      <c r="Q16" s="811" t="str">
        <f t="shared" si="16"/>
        <v/>
      </c>
      <c r="R16" s="811" t="str">
        <f t="shared" si="16"/>
        <v/>
      </c>
      <c r="S16" s="811" t="str">
        <f t="shared" si="16"/>
        <v/>
      </c>
      <c r="T16" s="811" t="str">
        <f t="shared" si="16"/>
        <v/>
      </c>
      <c r="U16" s="811" t="str">
        <f t="shared" si="16"/>
        <v/>
      </c>
      <c r="V16" s="811" t="str">
        <f t="shared" si="16"/>
        <v/>
      </c>
      <c r="W16" s="811" t="str">
        <f t="shared" si="16"/>
        <v/>
      </c>
      <c r="X16" s="811" t="str">
        <f t="shared" si="17"/>
        <v/>
      </c>
      <c r="Y16" s="811" t="str">
        <f t="shared" si="17"/>
        <v/>
      </c>
      <c r="Z16" s="811" t="str">
        <f t="shared" si="17"/>
        <v/>
      </c>
      <c r="AA16" s="811" t="str">
        <f t="shared" si="17"/>
        <v/>
      </c>
      <c r="AB16" s="811" t="str">
        <f t="shared" si="17"/>
        <v/>
      </c>
      <c r="AC16" s="811" t="str">
        <f t="shared" si="17"/>
        <v/>
      </c>
      <c r="AD16" s="811" t="str">
        <f t="shared" si="17"/>
        <v/>
      </c>
      <c r="AE16" s="811" t="str">
        <f t="shared" si="17"/>
        <v/>
      </c>
      <c r="AF16" s="811" t="str">
        <f t="shared" si="17"/>
        <v/>
      </c>
      <c r="AG16" s="811" t="str">
        <f t="shared" si="17"/>
        <v/>
      </c>
      <c r="AH16" s="811" t="str">
        <f t="shared" si="18"/>
        <v/>
      </c>
      <c r="AI16" s="811" t="str">
        <f t="shared" si="18"/>
        <v/>
      </c>
      <c r="AJ16" s="811" t="str">
        <f t="shared" si="18"/>
        <v/>
      </c>
      <c r="AK16" s="811" t="str">
        <f t="shared" si="18"/>
        <v/>
      </c>
      <c r="AL16" s="811" t="str">
        <f t="shared" si="18"/>
        <v/>
      </c>
      <c r="AM16" s="811" t="str">
        <f t="shared" si="18"/>
        <v/>
      </c>
      <c r="AN16" s="811" t="str">
        <f t="shared" si="18"/>
        <v/>
      </c>
      <c r="AO16" s="811" t="str">
        <f t="shared" si="18"/>
        <v/>
      </c>
      <c r="AP16" s="811" t="str">
        <f t="shared" si="18"/>
        <v/>
      </c>
      <c r="AQ16" s="811" t="str">
        <f t="shared" si="18"/>
        <v/>
      </c>
      <c r="AR16" s="811" t="str">
        <f t="shared" si="19"/>
        <v/>
      </c>
      <c r="AS16" s="811" t="str">
        <f t="shared" si="19"/>
        <v/>
      </c>
      <c r="AT16" s="811" t="str">
        <f t="shared" si="19"/>
        <v/>
      </c>
      <c r="AU16" s="811" t="str">
        <f t="shared" si="19"/>
        <v/>
      </c>
      <c r="AV16" s="811" t="str">
        <f t="shared" si="19"/>
        <v/>
      </c>
      <c r="AW16" s="811" t="str">
        <f t="shared" si="19"/>
        <v/>
      </c>
      <c r="AX16" s="811" t="str">
        <f t="shared" si="19"/>
        <v/>
      </c>
      <c r="AY16" s="811" t="str">
        <f t="shared" si="19"/>
        <v/>
      </c>
      <c r="AZ16" s="811" t="str">
        <f t="shared" si="19"/>
        <v/>
      </c>
      <c r="BA16" s="811" t="str">
        <f t="shared" si="19"/>
        <v/>
      </c>
      <c r="BB16" s="811" t="str">
        <f t="shared" si="20"/>
        <v/>
      </c>
      <c r="BC16" s="811" t="str">
        <f t="shared" si="20"/>
        <v/>
      </c>
      <c r="BD16" s="811" t="str">
        <f t="shared" si="20"/>
        <v/>
      </c>
      <c r="BE16" s="811" t="str">
        <f t="shared" si="20"/>
        <v/>
      </c>
      <c r="BF16" s="811" t="str">
        <f t="shared" si="20"/>
        <v/>
      </c>
      <c r="BG16" s="811" t="str">
        <f t="shared" si="20"/>
        <v/>
      </c>
      <c r="BH16" s="811" t="str">
        <f t="shared" si="20"/>
        <v/>
      </c>
      <c r="BI16" s="811" t="str">
        <f t="shared" si="20"/>
        <v/>
      </c>
      <c r="BJ16" s="811" t="str">
        <f t="shared" si="20"/>
        <v/>
      </c>
      <c r="BK16" s="811" t="str">
        <f t="shared" si="20"/>
        <v/>
      </c>
      <c r="BL16" s="811">
        <f t="shared" si="21"/>
        <v>250</v>
      </c>
      <c r="BM16" s="811">
        <f t="shared" si="21"/>
        <v>243.73287671232876</v>
      </c>
      <c r="BN16" s="811">
        <f t="shared" si="21"/>
        <v>237.48287671232876</v>
      </c>
      <c r="BO16" s="811">
        <f t="shared" si="21"/>
        <v>231.23287671232876</v>
      </c>
      <c r="BP16" s="811">
        <f t="shared" si="21"/>
        <v>224.98287671232879</v>
      </c>
      <c r="BQ16" s="811">
        <f t="shared" si="21"/>
        <v>218.71575342465755</v>
      </c>
      <c r="BR16" s="811">
        <f t="shared" si="21"/>
        <v>212.46575342465755</v>
      </c>
      <c r="BS16" s="811">
        <f t="shared" si="21"/>
        <v>206.21575342465752</v>
      </c>
      <c r="BT16" s="811">
        <f t="shared" si="21"/>
        <v>199.96575342465752</v>
      </c>
      <c r="BU16" s="811">
        <f t="shared" si="21"/>
        <v>193.69863013698628</v>
      </c>
      <c r="BV16" s="811">
        <f t="shared" si="22"/>
        <v>187.44863013698631</v>
      </c>
      <c r="BW16" s="811">
        <f t="shared" si="22"/>
        <v>181.19863013698628</v>
      </c>
      <c r="BX16" s="811">
        <f t="shared" si="22"/>
        <v>174.94863013698631</v>
      </c>
      <c r="BY16" s="811">
        <f t="shared" si="22"/>
        <v>168.68150684931507</v>
      </c>
      <c r="BZ16" s="811">
        <f t="shared" si="22"/>
        <v>162.43150684931507</v>
      </c>
      <c r="CA16" s="811">
        <f t="shared" si="22"/>
        <v>156.1815068493151</v>
      </c>
      <c r="CB16" s="811">
        <f t="shared" si="22"/>
        <v>149.93150684931504</v>
      </c>
      <c r="CC16" s="811">
        <f t="shared" si="22"/>
        <v>143.66438356164386</v>
      </c>
      <c r="CD16" s="811">
        <f t="shared" si="22"/>
        <v>137.4143835616438</v>
      </c>
      <c r="CE16" s="811">
        <f t="shared" si="22"/>
        <v>131.16438356164383</v>
      </c>
      <c r="CF16" s="811">
        <f t="shared" si="23"/>
        <v>124.91438356164383</v>
      </c>
      <c r="CG16" s="811">
        <f t="shared" si="23"/>
        <v>118.64726027397261</v>
      </c>
      <c r="CH16" s="811">
        <f t="shared" si="23"/>
        <v>112.39726027397259</v>
      </c>
      <c r="CI16" s="811">
        <f t="shared" si="23"/>
        <v>106.14726027397262</v>
      </c>
      <c r="CJ16" s="811">
        <f t="shared" si="23"/>
        <v>99.897260273972606</v>
      </c>
      <c r="CK16" s="811">
        <f t="shared" si="23"/>
        <v>93.63013698630138</v>
      </c>
      <c r="CL16" s="811">
        <f t="shared" si="23"/>
        <v>87.380136986301366</v>
      </c>
      <c r="CM16" s="811">
        <f t="shared" si="23"/>
        <v>81.130136986301366</v>
      </c>
      <c r="CN16" s="811">
        <f t="shared" si="23"/>
        <v>74.880136986301366</v>
      </c>
      <c r="CO16" s="811">
        <f t="shared" si="23"/>
        <v>68.613013698630127</v>
      </c>
      <c r="CP16" s="811">
        <f t="shared" si="24"/>
        <v>62.363013698630148</v>
      </c>
      <c r="CQ16" s="811">
        <f t="shared" si="24"/>
        <v>56.113013698630141</v>
      </c>
      <c r="CR16" s="811">
        <f t="shared" si="24"/>
        <v>49.863013698630141</v>
      </c>
      <c r="CS16" s="811">
        <f t="shared" si="24"/>
        <v>43.595890410958901</v>
      </c>
      <c r="CT16" s="811">
        <f t="shared" si="24"/>
        <v>37.345890410958901</v>
      </c>
      <c r="CU16" s="811">
        <f t="shared" si="24"/>
        <v>31.095890410958894</v>
      </c>
      <c r="CV16" s="811">
        <f t="shared" si="24"/>
        <v>24.845890410958916</v>
      </c>
      <c r="CW16" s="811">
        <f t="shared" si="24"/>
        <v>18.578767123287683</v>
      </c>
      <c r="CX16" s="811">
        <f t="shared" si="24"/>
        <v>12.328767123287676</v>
      </c>
      <c r="CY16" s="811">
        <f t="shared" si="24"/>
        <v>6.0787671232876708</v>
      </c>
      <c r="CZ16" s="811" t="str">
        <f t="shared" si="25"/>
        <v/>
      </c>
      <c r="DA16" s="811" t="str">
        <f t="shared" si="25"/>
        <v/>
      </c>
      <c r="DB16" s="811" t="str">
        <f t="shared" si="25"/>
        <v/>
      </c>
      <c r="DC16" s="811" t="str">
        <f t="shared" si="25"/>
        <v/>
      </c>
      <c r="DD16" s="811" t="str">
        <f t="shared" si="25"/>
        <v/>
      </c>
      <c r="DE16" s="811" t="str">
        <f t="shared" si="25"/>
        <v/>
      </c>
      <c r="DF16" s="811" t="str">
        <f t="shared" si="25"/>
        <v/>
      </c>
      <c r="DG16" s="811" t="str">
        <f t="shared" si="25"/>
        <v/>
      </c>
      <c r="DH16" s="811" t="str">
        <f t="shared" si="25"/>
        <v/>
      </c>
      <c r="DI16" s="811" t="str">
        <f t="shared" si="25"/>
        <v/>
      </c>
      <c r="DJ16" s="811" t="str">
        <f t="shared" si="25"/>
        <v/>
      </c>
      <c r="DK16" s="811" t="str">
        <f t="shared" si="25"/>
        <v/>
      </c>
    </row>
    <row r="17" spans="2:115" ht="20.100000000000001" customHeight="1" x14ac:dyDescent="0.2">
      <c r="B17" s="815" t="s">
        <v>820</v>
      </c>
      <c r="C17" s="816">
        <v>0.19900000000000001</v>
      </c>
      <c r="D17" s="814">
        <v>31</v>
      </c>
      <c r="E17" s="776">
        <v>39142</v>
      </c>
      <c r="F17" s="817">
        <v>40</v>
      </c>
      <c r="G17" s="776">
        <v>44617</v>
      </c>
      <c r="H17" s="817">
        <v>0</v>
      </c>
      <c r="I17" s="806"/>
      <c r="J17" s="795">
        <f t="shared" si="13"/>
        <v>39417</v>
      </c>
      <c r="K17" s="795">
        <f t="shared" si="14"/>
        <v>44896</v>
      </c>
      <c r="L17" s="810">
        <f t="shared" si="26"/>
        <v>4.1561643835616442</v>
      </c>
      <c r="M17" s="809" t="str">
        <f t="shared" si="15"/>
        <v>Tipton West Gas Processing Facility (20%)</v>
      </c>
      <c r="N17" s="811" t="str">
        <f t="shared" si="16"/>
        <v/>
      </c>
      <c r="O17" s="811" t="str">
        <f t="shared" si="16"/>
        <v/>
      </c>
      <c r="P17" s="811" t="str">
        <f t="shared" si="16"/>
        <v/>
      </c>
      <c r="Q17" s="811" t="str">
        <f t="shared" si="16"/>
        <v/>
      </c>
      <c r="R17" s="811" t="str">
        <f t="shared" si="16"/>
        <v/>
      </c>
      <c r="S17" s="811" t="str">
        <f t="shared" si="16"/>
        <v/>
      </c>
      <c r="T17" s="811" t="str">
        <f t="shared" si="16"/>
        <v/>
      </c>
      <c r="U17" s="811" t="str">
        <f t="shared" si="16"/>
        <v/>
      </c>
      <c r="V17" s="811" t="str">
        <f t="shared" si="16"/>
        <v/>
      </c>
      <c r="W17" s="811" t="str">
        <f t="shared" si="16"/>
        <v/>
      </c>
      <c r="X17" s="811" t="str">
        <f t="shared" si="17"/>
        <v/>
      </c>
      <c r="Y17" s="811" t="str">
        <f t="shared" si="17"/>
        <v/>
      </c>
      <c r="Z17" s="811" t="str">
        <f t="shared" si="17"/>
        <v/>
      </c>
      <c r="AA17" s="811" t="str">
        <f t="shared" si="17"/>
        <v/>
      </c>
      <c r="AB17" s="811" t="str">
        <f t="shared" si="17"/>
        <v/>
      </c>
      <c r="AC17" s="811" t="str">
        <f t="shared" si="17"/>
        <v/>
      </c>
      <c r="AD17" s="811" t="str">
        <f t="shared" si="17"/>
        <v/>
      </c>
      <c r="AE17" s="811" t="str">
        <f t="shared" si="17"/>
        <v/>
      </c>
      <c r="AF17" s="811" t="str">
        <f t="shared" si="17"/>
        <v/>
      </c>
      <c r="AG17" s="811" t="str">
        <f t="shared" si="17"/>
        <v/>
      </c>
      <c r="AH17" s="811" t="str">
        <f t="shared" si="18"/>
        <v/>
      </c>
      <c r="AI17" s="811" t="str">
        <f t="shared" si="18"/>
        <v/>
      </c>
      <c r="AJ17" s="811" t="str">
        <f t="shared" si="18"/>
        <v/>
      </c>
      <c r="AK17" s="811" t="str">
        <f t="shared" si="18"/>
        <v/>
      </c>
      <c r="AL17" s="811" t="str">
        <f t="shared" si="18"/>
        <v/>
      </c>
      <c r="AM17" s="811" t="str">
        <f t="shared" si="18"/>
        <v/>
      </c>
      <c r="AN17" s="811" t="str">
        <f t="shared" si="18"/>
        <v/>
      </c>
      <c r="AO17" s="811" t="str">
        <f t="shared" si="18"/>
        <v/>
      </c>
      <c r="AP17" s="811" t="str">
        <f t="shared" si="18"/>
        <v/>
      </c>
      <c r="AQ17" s="811" t="str">
        <f t="shared" si="18"/>
        <v/>
      </c>
      <c r="AR17" s="811" t="str">
        <f t="shared" si="19"/>
        <v/>
      </c>
      <c r="AS17" s="811" t="str">
        <f t="shared" si="19"/>
        <v/>
      </c>
      <c r="AT17" s="811" t="str">
        <f t="shared" si="19"/>
        <v/>
      </c>
      <c r="AU17" s="811" t="str">
        <f t="shared" si="19"/>
        <v/>
      </c>
      <c r="AV17" s="811" t="str">
        <f t="shared" si="19"/>
        <v/>
      </c>
      <c r="AW17" s="811" t="str">
        <f t="shared" si="19"/>
        <v/>
      </c>
      <c r="AX17" s="811" t="str">
        <f t="shared" si="19"/>
        <v/>
      </c>
      <c r="AY17" s="811" t="str">
        <f t="shared" si="19"/>
        <v/>
      </c>
      <c r="AZ17" s="811">
        <f t="shared" si="19"/>
        <v>6.1690000000000005</v>
      </c>
      <c r="BA17" s="811">
        <f t="shared" si="19"/>
        <v>6.0143524657534249</v>
      </c>
      <c r="BB17" s="811">
        <f t="shared" si="20"/>
        <v>5.8601274657534255</v>
      </c>
      <c r="BC17" s="811">
        <f t="shared" si="20"/>
        <v>5.7059024657534243</v>
      </c>
      <c r="BD17" s="811">
        <f t="shared" si="20"/>
        <v>5.5516774657534249</v>
      </c>
      <c r="BE17" s="811">
        <f t="shared" si="20"/>
        <v>5.3970299315068502</v>
      </c>
      <c r="BF17" s="811">
        <f t="shared" si="20"/>
        <v>5.2428049315068499</v>
      </c>
      <c r="BG17" s="811">
        <f t="shared" si="20"/>
        <v>5.0885799315068496</v>
      </c>
      <c r="BH17" s="811">
        <f t="shared" si="20"/>
        <v>4.9343549315068493</v>
      </c>
      <c r="BI17" s="811">
        <f t="shared" si="20"/>
        <v>4.7797073972602737</v>
      </c>
      <c r="BJ17" s="811">
        <f t="shared" si="20"/>
        <v>4.6254823972602752</v>
      </c>
      <c r="BK17" s="811">
        <f t="shared" si="20"/>
        <v>4.471257397260274</v>
      </c>
      <c r="BL17" s="811">
        <f t="shared" si="21"/>
        <v>4.3170323972602738</v>
      </c>
      <c r="BM17" s="811">
        <f t="shared" si="21"/>
        <v>4.162384863013699</v>
      </c>
      <c r="BN17" s="811">
        <f t="shared" si="21"/>
        <v>4.0081598630136988</v>
      </c>
      <c r="BO17" s="811">
        <f t="shared" si="21"/>
        <v>3.8539348630136998</v>
      </c>
      <c r="BP17" s="811">
        <f t="shared" si="21"/>
        <v>3.6997098630136986</v>
      </c>
      <c r="BQ17" s="811">
        <f t="shared" si="21"/>
        <v>3.5450623287671235</v>
      </c>
      <c r="BR17" s="811">
        <f t="shared" si="21"/>
        <v>3.3908373287671232</v>
      </c>
      <c r="BS17" s="811">
        <f t="shared" si="21"/>
        <v>3.2366123287671233</v>
      </c>
      <c r="BT17" s="811">
        <f t="shared" si="21"/>
        <v>3.0823873287671235</v>
      </c>
      <c r="BU17" s="811">
        <f t="shared" si="21"/>
        <v>2.9277397945205479</v>
      </c>
      <c r="BV17" s="811">
        <f t="shared" si="22"/>
        <v>2.7735147945205476</v>
      </c>
      <c r="BW17" s="811">
        <f t="shared" si="22"/>
        <v>2.6192897945205482</v>
      </c>
      <c r="BX17" s="811">
        <f t="shared" si="22"/>
        <v>2.4650647945205484</v>
      </c>
      <c r="BY17" s="811">
        <f t="shared" si="22"/>
        <v>2.3104172602739728</v>
      </c>
      <c r="BZ17" s="811">
        <f t="shared" si="22"/>
        <v>2.1561922602739725</v>
      </c>
      <c r="CA17" s="811">
        <f t="shared" si="22"/>
        <v>2.0019672602739726</v>
      </c>
      <c r="CB17" s="811">
        <f t="shared" si="22"/>
        <v>1.8477422602739726</v>
      </c>
      <c r="CC17" s="811">
        <f t="shared" si="22"/>
        <v>1.693094726027397</v>
      </c>
      <c r="CD17" s="811">
        <f t="shared" si="22"/>
        <v>1.5388697260273976</v>
      </c>
      <c r="CE17" s="811">
        <f t="shared" si="22"/>
        <v>1.3846447260273975</v>
      </c>
      <c r="CF17" s="811">
        <f t="shared" si="23"/>
        <v>1.2304197260273972</v>
      </c>
      <c r="CG17" s="811">
        <f t="shared" si="23"/>
        <v>1.0757721917808218</v>
      </c>
      <c r="CH17" s="811">
        <f t="shared" si="23"/>
        <v>0.92154719178082178</v>
      </c>
      <c r="CI17" s="811">
        <f t="shared" si="23"/>
        <v>0.76732219178082173</v>
      </c>
      <c r="CJ17" s="811">
        <f t="shared" si="23"/>
        <v>0.61309719178082223</v>
      </c>
      <c r="CK17" s="811">
        <f t="shared" si="23"/>
        <v>0.45844965753424688</v>
      </c>
      <c r="CL17" s="811">
        <f t="shared" si="23"/>
        <v>0.30422465753424671</v>
      </c>
      <c r="CM17" s="811">
        <f t="shared" si="23"/>
        <v>0.14999965753424657</v>
      </c>
      <c r="CN17" s="811" t="str">
        <f t="shared" si="23"/>
        <v/>
      </c>
      <c r="CO17" s="811" t="str">
        <f t="shared" si="23"/>
        <v/>
      </c>
      <c r="CP17" s="811" t="str">
        <f t="shared" si="24"/>
        <v/>
      </c>
      <c r="CQ17" s="811" t="str">
        <f t="shared" si="24"/>
        <v/>
      </c>
      <c r="CR17" s="811" t="str">
        <f t="shared" si="24"/>
        <v/>
      </c>
      <c r="CS17" s="811" t="str">
        <f t="shared" si="24"/>
        <v/>
      </c>
      <c r="CT17" s="811" t="str">
        <f t="shared" si="24"/>
        <v/>
      </c>
      <c r="CU17" s="811" t="str">
        <f t="shared" si="24"/>
        <v/>
      </c>
      <c r="CV17" s="811" t="str">
        <f t="shared" si="24"/>
        <v/>
      </c>
      <c r="CW17" s="811" t="str">
        <f t="shared" si="24"/>
        <v/>
      </c>
      <c r="CX17" s="811" t="str">
        <f t="shared" si="24"/>
        <v/>
      </c>
      <c r="CY17" s="811" t="str">
        <f t="shared" si="24"/>
        <v/>
      </c>
      <c r="CZ17" s="811" t="str">
        <f t="shared" si="25"/>
        <v/>
      </c>
      <c r="DA17" s="811" t="str">
        <f t="shared" si="25"/>
        <v/>
      </c>
      <c r="DB17" s="811" t="str">
        <f t="shared" si="25"/>
        <v/>
      </c>
      <c r="DC17" s="811" t="str">
        <f t="shared" si="25"/>
        <v/>
      </c>
      <c r="DD17" s="811" t="str">
        <f t="shared" si="25"/>
        <v/>
      </c>
      <c r="DE17" s="811" t="str">
        <f t="shared" si="25"/>
        <v/>
      </c>
      <c r="DF17" s="811" t="str">
        <f t="shared" si="25"/>
        <v/>
      </c>
      <c r="DG17" s="811" t="str">
        <f t="shared" si="25"/>
        <v/>
      </c>
      <c r="DH17" s="811" t="str">
        <f t="shared" si="25"/>
        <v/>
      </c>
      <c r="DI17" s="811" t="str">
        <f t="shared" si="25"/>
        <v/>
      </c>
      <c r="DJ17" s="811" t="str">
        <f t="shared" si="25"/>
        <v/>
      </c>
      <c r="DK17" s="811" t="str">
        <f t="shared" si="25"/>
        <v/>
      </c>
    </row>
    <row r="18" spans="2:115" ht="20.100000000000001" customHeight="1" x14ac:dyDescent="0.2">
      <c r="B18" s="815" t="s">
        <v>736</v>
      </c>
      <c r="C18" s="816"/>
      <c r="D18" s="814"/>
      <c r="E18" s="776"/>
      <c r="F18" s="817"/>
      <c r="G18" s="776"/>
      <c r="H18" s="817"/>
      <c r="I18" s="806"/>
      <c r="J18" s="795" t="str">
        <f t="shared" si="13"/>
        <v/>
      </c>
      <c r="K18" s="795" t="str">
        <f t="shared" si="14"/>
        <v/>
      </c>
      <c r="L18" s="810" t="str">
        <f t="shared" si="26"/>
        <v/>
      </c>
      <c r="M18" s="809" t="str">
        <f t="shared" si="15"/>
        <v/>
      </c>
      <c r="N18" s="811" t="str">
        <f t="shared" si="16"/>
        <v/>
      </c>
      <c r="O18" s="811" t="str">
        <f t="shared" si="16"/>
        <v/>
      </c>
      <c r="P18" s="811" t="str">
        <f t="shared" si="16"/>
        <v/>
      </c>
      <c r="Q18" s="811" t="str">
        <f t="shared" si="16"/>
        <v/>
      </c>
      <c r="R18" s="811" t="str">
        <f t="shared" si="16"/>
        <v/>
      </c>
      <c r="S18" s="811" t="str">
        <f t="shared" si="16"/>
        <v/>
      </c>
      <c r="T18" s="811" t="str">
        <f t="shared" si="16"/>
        <v/>
      </c>
      <c r="U18" s="811" t="str">
        <f t="shared" si="16"/>
        <v/>
      </c>
      <c r="V18" s="811" t="str">
        <f t="shared" si="16"/>
        <v/>
      </c>
      <c r="W18" s="811" t="str">
        <f t="shared" si="16"/>
        <v/>
      </c>
      <c r="X18" s="811" t="str">
        <f t="shared" si="17"/>
        <v/>
      </c>
      <c r="Y18" s="811" t="str">
        <f t="shared" si="17"/>
        <v/>
      </c>
      <c r="Z18" s="811" t="str">
        <f t="shared" si="17"/>
        <v/>
      </c>
      <c r="AA18" s="811" t="str">
        <f t="shared" si="17"/>
        <v/>
      </c>
      <c r="AB18" s="811" t="str">
        <f t="shared" si="17"/>
        <v/>
      </c>
      <c r="AC18" s="811" t="str">
        <f t="shared" si="17"/>
        <v/>
      </c>
      <c r="AD18" s="811" t="str">
        <f t="shared" si="17"/>
        <v/>
      </c>
      <c r="AE18" s="811" t="str">
        <f t="shared" si="17"/>
        <v/>
      </c>
      <c r="AF18" s="811" t="str">
        <f t="shared" si="17"/>
        <v/>
      </c>
      <c r="AG18" s="811" t="str">
        <f t="shared" si="17"/>
        <v/>
      </c>
      <c r="AH18" s="811" t="str">
        <f t="shared" si="18"/>
        <v/>
      </c>
      <c r="AI18" s="811" t="str">
        <f t="shared" si="18"/>
        <v/>
      </c>
      <c r="AJ18" s="811" t="str">
        <f t="shared" si="18"/>
        <v/>
      </c>
      <c r="AK18" s="811" t="str">
        <f t="shared" si="18"/>
        <v/>
      </c>
      <c r="AL18" s="811" t="str">
        <f t="shared" si="18"/>
        <v/>
      </c>
      <c r="AM18" s="811" t="str">
        <f t="shared" si="18"/>
        <v/>
      </c>
      <c r="AN18" s="811" t="str">
        <f t="shared" si="18"/>
        <v/>
      </c>
      <c r="AO18" s="811" t="str">
        <f t="shared" si="18"/>
        <v/>
      </c>
      <c r="AP18" s="811" t="str">
        <f t="shared" si="18"/>
        <v/>
      </c>
      <c r="AQ18" s="811" t="str">
        <f t="shared" si="18"/>
        <v/>
      </c>
      <c r="AR18" s="811" t="str">
        <f t="shared" si="19"/>
        <v/>
      </c>
      <c r="AS18" s="811" t="str">
        <f t="shared" si="19"/>
        <v/>
      </c>
      <c r="AT18" s="811" t="str">
        <f t="shared" si="19"/>
        <v/>
      </c>
      <c r="AU18" s="811" t="str">
        <f t="shared" si="19"/>
        <v/>
      </c>
      <c r="AV18" s="811" t="str">
        <f t="shared" si="19"/>
        <v/>
      </c>
      <c r="AW18" s="811" t="str">
        <f t="shared" si="19"/>
        <v/>
      </c>
      <c r="AX18" s="811" t="str">
        <f t="shared" si="19"/>
        <v/>
      </c>
      <c r="AY18" s="811" t="str">
        <f t="shared" si="19"/>
        <v/>
      </c>
      <c r="AZ18" s="811" t="str">
        <f t="shared" si="19"/>
        <v/>
      </c>
      <c r="BA18" s="811" t="str">
        <f t="shared" si="19"/>
        <v/>
      </c>
      <c r="BB18" s="811" t="str">
        <f t="shared" si="20"/>
        <v/>
      </c>
      <c r="BC18" s="811" t="str">
        <f t="shared" si="20"/>
        <v/>
      </c>
      <c r="BD18" s="811" t="str">
        <f t="shared" si="20"/>
        <v/>
      </c>
      <c r="BE18" s="811" t="str">
        <f t="shared" si="20"/>
        <v/>
      </c>
      <c r="BF18" s="811" t="str">
        <f t="shared" si="20"/>
        <v/>
      </c>
      <c r="BG18" s="811" t="str">
        <f t="shared" si="20"/>
        <v/>
      </c>
      <c r="BH18" s="811" t="str">
        <f t="shared" si="20"/>
        <v/>
      </c>
      <c r="BI18" s="811" t="str">
        <f t="shared" si="20"/>
        <v/>
      </c>
      <c r="BJ18" s="811" t="str">
        <f t="shared" si="20"/>
        <v/>
      </c>
      <c r="BK18" s="811" t="str">
        <f t="shared" si="20"/>
        <v/>
      </c>
      <c r="BL18" s="811" t="str">
        <f t="shared" si="21"/>
        <v/>
      </c>
      <c r="BM18" s="811" t="str">
        <f t="shared" si="21"/>
        <v/>
      </c>
      <c r="BN18" s="811" t="str">
        <f t="shared" si="21"/>
        <v/>
      </c>
      <c r="BO18" s="811" t="str">
        <f t="shared" si="21"/>
        <v/>
      </c>
      <c r="BP18" s="811" t="str">
        <f t="shared" si="21"/>
        <v/>
      </c>
      <c r="BQ18" s="811" t="str">
        <f t="shared" si="21"/>
        <v/>
      </c>
      <c r="BR18" s="811" t="str">
        <f t="shared" si="21"/>
        <v/>
      </c>
      <c r="BS18" s="811" t="str">
        <f t="shared" si="21"/>
        <v/>
      </c>
      <c r="BT18" s="811" t="str">
        <f t="shared" si="21"/>
        <v/>
      </c>
      <c r="BU18" s="811" t="str">
        <f t="shared" si="21"/>
        <v/>
      </c>
      <c r="BV18" s="811" t="str">
        <f t="shared" si="22"/>
        <v/>
      </c>
      <c r="BW18" s="811" t="str">
        <f t="shared" si="22"/>
        <v/>
      </c>
      <c r="BX18" s="811" t="str">
        <f t="shared" si="22"/>
        <v/>
      </c>
      <c r="BY18" s="811" t="str">
        <f t="shared" si="22"/>
        <v/>
      </c>
      <c r="BZ18" s="811" t="str">
        <f t="shared" si="22"/>
        <v/>
      </c>
      <c r="CA18" s="811" t="str">
        <f t="shared" si="22"/>
        <v/>
      </c>
      <c r="CB18" s="811" t="str">
        <f t="shared" si="22"/>
        <v/>
      </c>
      <c r="CC18" s="811" t="str">
        <f t="shared" si="22"/>
        <v/>
      </c>
      <c r="CD18" s="811" t="str">
        <f t="shared" si="22"/>
        <v/>
      </c>
      <c r="CE18" s="811" t="str">
        <f t="shared" si="22"/>
        <v/>
      </c>
      <c r="CF18" s="811" t="str">
        <f t="shared" si="23"/>
        <v/>
      </c>
      <c r="CG18" s="811" t="str">
        <f t="shared" si="23"/>
        <v/>
      </c>
      <c r="CH18" s="811" t="str">
        <f t="shared" si="23"/>
        <v/>
      </c>
      <c r="CI18" s="811" t="str">
        <f t="shared" si="23"/>
        <v/>
      </c>
      <c r="CJ18" s="811" t="str">
        <f t="shared" si="23"/>
        <v/>
      </c>
      <c r="CK18" s="811" t="str">
        <f t="shared" si="23"/>
        <v/>
      </c>
      <c r="CL18" s="811" t="str">
        <f t="shared" si="23"/>
        <v/>
      </c>
      <c r="CM18" s="811" t="str">
        <f t="shared" si="23"/>
        <v/>
      </c>
      <c r="CN18" s="811" t="str">
        <f t="shared" si="23"/>
        <v/>
      </c>
      <c r="CO18" s="811" t="str">
        <f t="shared" si="23"/>
        <v/>
      </c>
      <c r="CP18" s="811" t="str">
        <f t="shared" si="24"/>
        <v/>
      </c>
      <c r="CQ18" s="811" t="str">
        <f t="shared" si="24"/>
        <v/>
      </c>
      <c r="CR18" s="811" t="str">
        <f t="shared" si="24"/>
        <v/>
      </c>
      <c r="CS18" s="811" t="str">
        <f t="shared" si="24"/>
        <v/>
      </c>
      <c r="CT18" s="811" t="str">
        <f t="shared" si="24"/>
        <v/>
      </c>
      <c r="CU18" s="811" t="str">
        <f t="shared" si="24"/>
        <v/>
      </c>
      <c r="CV18" s="811" t="str">
        <f t="shared" si="24"/>
        <v/>
      </c>
      <c r="CW18" s="811" t="str">
        <f t="shared" si="24"/>
        <v/>
      </c>
      <c r="CX18" s="811" t="str">
        <f t="shared" si="24"/>
        <v/>
      </c>
      <c r="CY18" s="811" t="str">
        <f t="shared" si="24"/>
        <v/>
      </c>
      <c r="CZ18" s="811" t="str">
        <f t="shared" si="25"/>
        <v/>
      </c>
      <c r="DA18" s="811" t="str">
        <f t="shared" si="25"/>
        <v/>
      </c>
      <c r="DB18" s="811" t="str">
        <f t="shared" si="25"/>
        <v/>
      </c>
      <c r="DC18" s="811" t="str">
        <f t="shared" si="25"/>
        <v/>
      </c>
      <c r="DD18" s="811" t="str">
        <f t="shared" si="25"/>
        <v/>
      </c>
      <c r="DE18" s="811" t="str">
        <f t="shared" si="25"/>
        <v/>
      </c>
      <c r="DF18" s="811" t="str">
        <f t="shared" si="25"/>
        <v/>
      </c>
      <c r="DG18" s="811" t="str">
        <f t="shared" si="25"/>
        <v/>
      </c>
      <c r="DH18" s="811" t="str">
        <f t="shared" si="25"/>
        <v/>
      </c>
      <c r="DI18" s="811" t="str">
        <f t="shared" si="25"/>
        <v/>
      </c>
      <c r="DJ18" s="811" t="str">
        <f t="shared" si="25"/>
        <v/>
      </c>
      <c r="DK18" s="811" t="str">
        <f t="shared" si="25"/>
        <v/>
      </c>
    </row>
    <row r="19" spans="2:115" ht="20.100000000000001" customHeight="1" x14ac:dyDescent="0.2">
      <c r="B19" s="815" t="s">
        <v>752</v>
      </c>
      <c r="C19" s="816">
        <v>1</v>
      </c>
      <c r="D19" s="814">
        <v>65</v>
      </c>
      <c r="E19" s="776">
        <v>41061</v>
      </c>
      <c r="F19" s="817">
        <v>40</v>
      </c>
      <c r="G19" s="776">
        <v>48361</v>
      </c>
      <c r="H19" s="817">
        <v>0</v>
      </c>
      <c r="I19" s="806"/>
      <c r="J19" s="795">
        <f t="shared" si="13"/>
        <v>41244</v>
      </c>
      <c r="K19" s="795">
        <f t="shared" si="14"/>
        <v>48549</v>
      </c>
      <c r="L19" s="810">
        <f t="shared" si="26"/>
        <v>14.413698630136986</v>
      </c>
      <c r="M19" s="809" t="str">
        <f t="shared" si="15"/>
        <v>Dandenong LNG Storage Facility (100%)</v>
      </c>
      <c r="N19" s="811" t="str">
        <f t="shared" si="16"/>
        <v/>
      </c>
      <c r="O19" s="811" t="str">
        <f t="shared" si="16"/>
        <v/>
      </c>
      <c r="P19" s="811" t="str">
        <f t="shared" si="16"/>
        <v/>
      </c>
      <c r="Q19" s="811" t="str">
        <f t="shared" si="16"/>
        <v/>
      </c>
      <c r="R19" s="811" t="str">
        <f t="shared" si="16"/>
        <v/>
      </c>
      <c r="S19" s="811" t="str">
        <f t="shared" si="16"/>
        <v/>
      </c>
      <c r="T19" s="811" t="str">
        <f t="shared" si="16"/>
        <v/>
      </c>
      <c r="U19" s="811" t="str">
        <f t="shared" si="16"/>
        <v/>
      </c>
      <c r="V19" s="811" t="str">
        <f t="shared" si="16"/>
        <v/>
      </c>
      <c r="W19" s="811" t="str">
        <f t="shared" si="16"/>
        <v/>
      </c>
      <c r="X19" s="811" t="str">
        <f t="shared" si="17"/>
        <v/>
      </c>
      <c r="Y19" s="811" t="str">
        <f t="shared" si="17"/>
        <v/>
      </c>
      <c r="Z19" s="811" t="str">
        <f t="shared" si="17"/>
        <v/>
      </c>
      <c r="AA19" s="811" t="str">
        <f t="shared" si="17"/>
        <v/>
      </c>
      <c r="AB19" s="811" t="str">
        <f t="shared" si="17"/>
        <v/>
      </c>
      <c r="AC19" s="811" t="str">
        <f t="shared" si="17"/>
        <v/>
      </c>
      <c r="AD19" s="811" t="str">
        <f t="shared" si="17"/>
        <v/>
      </c>
      <c r="AE19" s="811" t="str">
        <f t="shared" si="17"/>
        <v/>
      </c>
      <c r="AF19" s="811" t="str">
        <f t="shared" si="17"/>
        <v/>
      </c>
      <c r="AG19" s="811" t="str">
        <f t="shared" si="17"/>
        <v/>
      </c>
      <c r="AH19" s="811" t="str">
        <f t="shared" si="18"/>
        <v/>
      </c>
      <c r="AI19" s="811" t="str">
        <f t="shared" si="18"/>
        <v/>
      </c>
      <c r="AJ19" s="811" t="str">
        <f t="shared" si="18"/>
        <v/>
      </c>
      <c r="AK19" s="811" t="str">
        <f t="shared" si="18"/>
        <v/>
      </c>
      <c r="AL19" s="811" t="str">
        <f t="shared" si="18"/>
        <v/>
      </c>
      <c r="AM19" s="811" t="str">
        <f t="shared" si="18"/>
        <v/>
      </c>
      <c r="AN19" s="811" t="str">
        <f t="shared" si="18"/>
        <v/>
      </c>
      <c r="AO19" s="811" t="str">
        <f t="shared" si="18"/>
        <v/>
      </c>
      <c r="AP19" s="811" t="str">
        <f t="shared" si="18"/>
        <v/>
      </c>
      <c r="AQ19" s="811" t="str">
        <f t="shared" si="18"/>
        <v/>
      </c>
      <c r="AR19" s="811" t="str">
        <f t="shared" si="19"/>
        <v/>
      </c>
      <c r="AS19" s="811" t="str">
        <f t="shared" si="19"/>
        <v/>
      </c>
      <c r="AT19" s="811" t="str">
        <f t="shared" si="19"/>
        <v/>
      </c>
      <c r="AU19" s="811" t="str">
        <f t="shared" si="19"/>
        <v/>
      </c>
      <c r="AV19" s="811" t="str">
        <f t="shared" si="19"/>
        <v/>
      </c>
      <c r="AW19" s="811" t="str">
        <f t="shared" si="19"/>
        <v/>
      </c>
      <c r="AX19" s="811" t="str">
        <f t="shared" si="19"/>
        <v/>
      </c>
      <c r="AY19" s="811" t="str">
        <f t="shared" si="19"/>
        <v/>
      </c>
      <c r="AZ19" s="811" t="str">
        <f t="shared" si="19"/>
        <v/>
      </c>
      <c r="BA19" s="811" t="str">
        <f t="shared" si="19"/>
        <v/>
      </c>
      <c r="BB19" s="811" t="str">
        <f t="shared" si="20"/>
        <v/>
      </c>
      <c r="BC19" s="811" t="str">
        <f t="shared" si="20"/>
        <v/>
      </c>
      <c r="BD19" s="811" t="str">
        <f t="shared" si="20"/>
        <v/>
      </c>
      <c r="BE19" s="811">
        <f t="shared" si="20"/>
        <v>65</v>
      </c>
      <c r="BF19" s="811">
        <f t="shared" si="20"/>
        <v>63.375</v>
      </c>
      <c r="BG19" s="811">
        <f t="shared" si="20"/>
        <v>61.75</v>
      </c>
      <c r="BH19" s="811">
        <f t="shared" si="20"/>
        <v>60.125</v>
      </c>
      <c r="BI19" s="811">
        <f t="shared" si="20"/>
        <v>58.49554794520548</v>
      </c>
      <c r="BJ19" s="811">
        <f t="shared" si="20"/>
        <v>56.87054794520548</v>
      </c>
      <c r="BK19" s="811">
        <f t="shared" si="20"/>
        <v>55.24554794520548</v>
      </c>
      <c r="BL19" s="811">
        <f t="shared" si="21"/>
        <v>53.62054794520548</v>
      </c>
      <c r="BM19" s="811">
        <f t="shared" si="21"/>
        <v>51.991095890410961</v>
      </c>
      <c r="BN19" s="811">
        <f t="shared" si="21"/>
        <v>50.366095890410953</v>
      </c>
      <c r="BO19" s="811">
        <f t="shared" si="21"/>
        <v>48.741095890410961</v>
      </c>
      <c r="BP19" s="811">
        <f t="shared" si="21"/>
        <v>47.116095890410961</v>
      </c>
      <c r="BQ19" s="811">
        <f t="shared" si="21"/>
        <v>45.486643835616441</v>
      </c>
      <c r="BR19" s="811">
        <f t="shared" si="21"/>
        <v>43.861643835616441</v>
      </c>
      <c r="BS19" s="811">
        <f t="shared" si="21"/>
        <v>42.236643835616434</v>
      </c>
      <c r="BT19" s="811">
        <f t="shared" si="21"/>
        <v>40.611643835616441</v>
      </c>
      <c r="BU19" s="811">
        <f t="shared" si="21"/>
        <v>38.982191780821914</v>
      </c>
      <c r="BV19" s="811">
        <f t="shared" si="22"/>
        <v>37.357191780821921</v>
      </c>
      <c r="BW19" s="811">
        <f t="shared" si="22"/>
        <v>35.732191780821921</v>
      </c>
      <c r="BX19" s="811">
        <f t="shared" si="22"/>
        <v>34.107191780821914</v>
      </c>
      <c r="BY19" s="811">
        <f t="shared" si="22"/>
        <v>32.477739726027394</v>
      </c>
      <c r="BZ19" s="811">
        <f t="shared" si="22"/>
        <v>30.852739726027394</v>
      </c>
      <c r="CA19" s="811">
        <f t="shared" si="22"/>
        <v>29.227739726027401</v>
      </c>
      <c r="CB19" s="811">
        <f t="shared" si="22"/>
        <v>27.602739726027398</v>
      </c>
      <c r="CC19" s="811">
        <f t="shared" si="22"/>
        <v>25.973287671232878</v>
      </c>
      <c r="CD19" s="811">
        <f t="shared" si="22"/>
        <v>24.348287671232878</v>
      </c>
      <c r="CE19" s="811">
        <f t="shared" si="22"/>
        <v>22.723287671232875</v>
      </c>
      <c r="CF19" s="811">
        <f t="shared" si="23"/>
        <v>21.098287671232875</v>
      </c>
      <c r="CG19" s="811">
        <f t="shared" si="23"/>
        <v>19.468835616438355</v>
      </c>
      <c r="CH19" s="811">
        <f t="shared" si="23"/>
        <v>17.843835616438358</v>
      </c>
      <c r="CI19" s="811">
        <f t="shared" si="23"/>
        <v>16.218835616438358</v>
      </c>
      <c r="CJ19" s="811">
        <f t="shared" si="23"/>
        <v>14.593835616438357</v>
      </c>
      <c r="CK19" s="811">
        <f t="shared" si="23"/>
        <v>12.964383561643835</v>
      </c>
      <c r="CL19" s="811">
        <f t="shared" si="23"/>
        <v>11.339383561643835</v>
      </c>
      <c r="CM19" s="811">
        <f t="shared" si="23"/>
        <v>9.7143835616438334</v>
      </c>
      <c r="CN19" s="811">
        <f t="shared" si="23"/>
        <v>8.0893835616438388</v>
      </c>
      <c r="CO19" s="811">
        <f t="shared" si="23"/>
        <v>6.4599315068493182</v>
      </c>
      <c r="CP19" s="811">
        <f t="shared" si="24"/>
        <v>4.8349315068493164</v>
      </c>
      <c r="CQ19" s="811">
        <f t="shared" si="24"/>
        <v>3.2099315068493151</v>
      </c>
      <c r="CR19" s="811">
        <f t="shared" si="24"/>
        <v>1.5849315068493137</v>
      </c>
      <c r="CS19" s="811" t="str">
        <f t="shared" si="24"/>
        <v/>
      </c>
      <c r="CT19" s="811" t="str">
        <f t="shared" si="24"/>
        <v/>
      </c>
      <c r="CU19" s="811" t="str">
        <f t="shared" si="24"/>
        <v/>
      </c>
      <c r="CV19" s="811" t="str">
        <f t="shared" si="24"/>
        <v/>
      </c>
      <c r="CW19" s="811" t="str">
        <f t="shared" si="24"/>
        <v/>
      </c>
      <c r="CX19" s="811" t="str">
        <f t="shared" si="24"/>
        <v/>
      </c>
      <c r="CY19" s="811" t="str">
        <f t="shared" si="24"/>
        <v/>
      </c>
      <c r="CZ19" s="811" t="str">
        <f t="shared" si="25"/>
        <v/>
      </c>
      <c r="DA19" s="811" t="str">
        <f t="shared" si="25"/>
        <v/>
      </c>
      <c r="DB19" s="811" t="str">
        <f t="shared" si="25"/>
        <v/>
      </c>
      <c r="DC19" s="811" t="str">
        <f t="shared" si="25"/>
        <v/>
      </c>
      <c r="DD19" s="811" t="str">
        <f t="shared" si="25"/>
        <v/>
      </c>
      <c r="DE19" s="811" t="str">
        <f t="shared" si="25"/>
        <v/>
      </c>
      <c r="DF19" s="811" t="str">
        <f t="shared" si="25"/>
        <v/>
      </c>
      <c r="DG19" s="811" t="str">
        <f t="shared" si="25"/>
        <v/>
      </c>
      <c r="DH19" s="811" t="str">
        <f t="shared" si="25"/>
        <v/>
      </c>
      <c r="DI19" s="811" t="str">
        <f t="shared" si="25"/>
        <v/>
      </c>
      <c r="DJ19" s="811" t="str">
        <f t="shared" si="25"/>
        <v/>
      </c>
      <c r="DK19" s="811" t="str">
        <f t="shared" si="25"/>
        <v/>
      </c>
    </row>
    <row r="20" spans="2:115" ht="20.100000000000001" customHeight="1" x14ac:dyDescent="0.2">
      <c r="B20" s="815" t="s">
        <v>335</v>
      </c>
      <c r="C20" s="816">
        <v>1</v>
      </c>
      <c r="D20" s="814">
        <v>50</v>
      </c>
      <c r="E20" s="776">
        <v>34486</v>
      </c>
      <c r="F20" s="817">
        <v>40</v>
      </c>
      <c r="G20" s="776">
        <v>48731</v>
      </c>
      <c r="H20" s="817">
        <v>0</v>
      </c>
      <c r="I20" s="806"/>
      <c r="J20" s="795">
        <f t="shared" si="13"/>
        <v>34669</v>
      </c>
      <c r="K20" s="795">
        <f t="shared" si="14"/>
        <v>48914</v>
      </c>
      <c r="L20" s="810">
        <f t="shared" si="26"/>
        <v>15.427397260273972</v>
      </c>
      <c r="M20" s="809" t="str">
        <f t="shared" si="15"/>
        <v>Mondarra Gas Storage Facility (100%)</v>
      </c>
      <c r="N20" s="811" t="str">
        <f t="shared" si="16"/>
        <v/>
      </c>
      <c r="O20" s="811" t="str">
        <f t="shared" si="16"/>
        <v/>
      </c>
      <c r="P20" s="811" t="str">
        <f t="shared" si="16"/>
        <v/>
      </c>
      <c r="Q20" s="811" t="str">
        <f t="shared" si="16"/>
        <v/>
      </c>
      <c r="R20" s="811" t="str">
        <f t="shared" si="16"/>
        <v/>
      </c>
      <c r="S20" s="811" t="str">
        <f t="shared" si="16"/>
        <v/>
      </c>
      <c r="T20" s="811" t="str">
        <f t="shared" si="16"/>
        <v/>
      </c>
      <c r="U20" s="811" t="str">
        <f t="shared" si="16"/>
        <v/>
      </c>
      <c r="V20" s="811" t="str">
        <f t="shared" si="16"/>
        <v/>
      </c>
      <c r="W20" s="811" t="str">
        <f t="shared" si="16"/>
        <v/>
      </c>
      <c r="X20" s="811" t="str">
        <f t="shared" si="17"/>
        <v/>
      </c>
      <c r="Y20" s="811" t="str">
        <f t="shared" si="17"/>
        <v/>
      </c>
      <c r="Z20" s="811" t="str">
        <f t="shared" si="17"/>
        <v/>
      </c>
      <c r="AA20" s="811" t="str">
        <f t="shared" si="17"/>
        <v/>
      </c>
      <c r="AB20" s="811" t="str">
        <f t="shared" si="17"/>
        <v/>
      </c>
      <c r="AC20" s="811" t="str">
        <f t="shared" si="17"/>
        <v/>
      </c>
      <c r="AD20" s="811" t="str">
        <f t="shared" si="17"/>
        <v/>
      </c>
      <c r="AE20" s="811" t="str">
        <f t="shared" si="17"/>
        <v/>
      </c>
      <c r="AF20" s="811" t="str">
        <f t="shared" si="17"/>
        <v/>
      </c>
      <c r="AG20" s="811" t="str">
        <f t="shared" si="17"/>
        <v/>
      </c>
      <c r="AH20" s="811" t="str">
        <f t="shared" si="18"/>
        <v/>
      </c>
      <c r="AI20" s="811" t="str">
        <f t="shared" si="18"/>
        <v/>
      </c>
      <c r="AJ20" s="811" t="str">
        <f t="shared" si="18"/>
        <v/>
      </c>
      <c r="AK20" s="811" t="str">
        <f t="shared" si="18"/>
        <v/>
      </c>
      <c r="AL20" s="811" t="str">
        <f t="shared" si="18"/>
        <v/>
      </c>
      <c r="AM20" s="811">
        <f t="shared" si="18"/>
        <v>50</v>
      </c>
      <c r="AN20" s="811">
        <f t="shared" si="18"/>
        <v>48.75</v>
      </c>
      <c r="AO20" s="811">
        <f t="shared" si="18"/>
        <v>47.496575342465754</v>
      </c>
      <c r="AP20" s="811">
        <f t="shared" si="18"/>
        <v>46.246575342465754</v>
      </c>
      <c r="AQ20" s="811">
        <f t="shared" si="18"/>
        <v>44.996575342465754</v>
      </c>
      <c r="AR20" s="811">
        <f t="shared" si="19"/>
        <v>43.746575342465754</v>
      </c>
      <c r="AS20" s="811">
        <f t="shared" si="19"/>
        <v>42.493150684931507</v>
      </c>
      <c r="AT20" s="811">
        <f t="shared" si="19"/>
        <v>41.243150684931507</v>
      </c>
      <c r="AU20" s="811">
        <f t="shared" si="19"/>
        <v>39.993150684931507</v>
      </c>
      <c r="AV20" s="811">
        <f t="shared" si="19"/>
        <v>38.743150684931507</v>
      </c>
      <c r="AW20" s="811">
        <f t="shared" si="19"/>
        <v>37.489726027397261</v>
      </c>
      <c r="AX20" s="811">
        <f t="shared" si="19"/>
        <v>36.239726027397253</v>
      </c>
      <c r="AY20" s="811">
        <f t="shared" si="19"/>
        <v>34.989726027397261</v>
      </c>
      <c r="AZ20" s="811">
        <f t="shared" si="19"/>
        <v>33.739726027397261</v>
      </c>
      <c r="BA20" s="811">
        <f t="shared" si="19"/>
        <v>32.486301369863014</v>
      </c>
      <c r="BB20" s="811">
        <f t="shared" si="20"/>
        <v>31.236301369863018</v>
      </c>
      <c r="BC20" s="811">
        <f t="shared" si="20"/>
        <v>29.986301369863011</v>
      </c>
      <c r="BD20" s="811">
        <f t="shared" si="20"/>
        <v>28.736301369863014</v>
      </c>
      <c r="BE20" s="811">
        <f t="shared" si="20"/>
        <v>27.482876712328764</v>
      </c>
      <c r="BF20" s="811">
        <f t="shared" si="20"/>
        <v>26.232876712328768</v>
      </c>
      <c r="BG20" s="811">
        <f t="shared" si="20"/>
        <v>24.982876712328768</v>
      </c>
      <c r="BH20" s="811">
        <f t="shared" si="20"/>
        <v>23.732876712328764</v>
      </c>
      <c r="BI20" s="811">
        <f t="shared" si="20"/>
        <v>22.479452054794518</v>
      </c>
      <c r="BJ20" s="811">
        <f t="shared" si="20"/>
        <v>21.229452054794525</v>
      </c>
      <c r="BK20" s="811">
        <f t="shared" si="20"/>
        <v>19.979452054794521</v>
      </c>
      <c r="BL20" s="811">
        <f t="shared" si="21"/>
        <v>18.729452054794521</v>
      </c>
      <c r="BM20" s="811">
        <f t="shared" si="21"/>
        <v>17.476027397260275</v>
      </c>
      <c r="BN20" s="811">
        <f t="shared" si="21"/>
        <v>16.226027397260275</v>
      </c>
      <c r="BO20" s="811">
        <f t="shared" si="21"/>
        <v>14.976027397260271</v>
      </c>
      <c r="BP20" s="811">
        <f t="shared" si="21"/>
        <v>13.726027397260276</v>
      </c>
      <c r="BQ20" s="811">
        <f t="shared" si="21"/>
        <v>12.47260273972603</v>
      </c>
      <c r="BR20" s="811">
        <f t="shared" si="21"/>
        <v>11.222602739726028</v>
      </c>
      <c r="BS20" s="811">
        <f t="shared" si="21"/>
        <v>9.9726027397260282</v>
      </c>
      <c r="BT20" s="811">
        <f t="shared" si="21"/>
        <v>8.7226027397260264</v>
      </c>
      <c r="BU20" s="811">
        <f t="shared" si="21"/>
        <v>7.4691780821917799</v>
      </c>
      <c r="BV20" s="811">
        <f t="shared" si="22"/>
        <v>6.2191780821917781</v>
      </c>
      <c r="BW20" s="811">
        <f t="shared" si="22"/>
        <v>4.9691780821917835</v>
      </c>
      <c r="BX20" s="811">
        <f t="shared" si="22"/>
        <v>3.7191780821917817</v>
      </c>
      <c r="BY20" s="811">
        <f t="shared" si="22"/>
        <v>2.4657534246575352</v>
      </c>
      <c r="BZ20" s="811">
        <f t="shared" si="22"/>
        <v>1.2157534246575341</v>
      </c>
      <c r="CA20" s="811" t="str">
        <f t="shared" si="22"/>
        <v/>
      </c>
      <c r="CB20" s="811" t="str">
        <f t="shared" si="22"/>
        <v/>
      </c>
      <c r="CC20" s="811" t="str">
        <f t="shared" si="22"/>
        <v/>
      </c>
      <c r="CD20" s="811" t="str">
        <f t="shared" si="22"/>
        <v/>
      </c>
      <c r="CE20" s="811" t="str">
        <f t="shared" si="22"/>
        <v/>
      </c>
      <c r="CF20" s="811" t="str">
        <f t="shared" si="23"/>
        <v/>
      </c>
      <c r="CG20" s="811" t="str">
        <f t="shared" si="23"/>
        <v/>
      </c>
      <c r="CH20" s="811" t="str">
        <f t="shared" si="23"/>
        <v/>
      </c>
      <c r="CI20" s="811" t="str">
        <f t="shared" si="23"/>
        <v/>
      </c>
      <c r="CJ20" s="811" t="str">
        <f t="shared" si="23"/>
        <v/>
      </c>
      <c r="CK20" s="811" t="str">
        <f t="shared" si="23"/>
        <v/>
      </c>
      <c r="CL20" s="811" t="str">
        <f t="shared" si="23"/>
        <v/>
      </c>
      <c r="CM20" s="811" t="str">
        <f t="shared" si="23"/>
        <v/>
      </c>
      <c r="CN20" s="811" t="str">
        <f t="shared" si="23"/>
        <v/>
      </c>
      <c r="CO20" s="811" t="str">
        <f t="shared" si="23"/>
        <v/>
      </c>
      <c r="CP20" s="811" t="str">
        <f t="shared" si="24"/>
        <v/>
      </c>
      <c r="CQ20" s="811" t="str">
        <f t="shared" si="24"/>
        <v/>
      </c>
      <c r="CR20" s="811" t="str">
        <f t="shared" si="24"/>
        <v/>
      </c>
      <c r="CS20" s="811" t="str">
        <f t="shared" si="24"/>
        <v/>
      </c>
      <c r="CT20" s="811" t="str">
        <f t="shared" si="24"/>
        <v/>
      </c>
      <c r="CU20" s="811" t="str">
        <f t="shared" si="24"/>
        <v/>
      </c>
      <c r="CV20" s="811" t="str">
        <f t="shared" si="24"/>
        <v/>
      </c>
      <c r="CW20" s="811" t="str">
        <f t="shared" si="24"/>
        <v/>
      </c>
      <c r="CX20" s="811" t="str">
        <f t="shared" si="24"/>
        <v/>
      </c>
      <c r="CY20" s="811" t="str">
        <f t="shared" si="24"/>
        <v/>
      </c>
      <c r="CZ20" s="811" t="str">
        <f t="shared" si="25"/>
        <v/>
      </c>
      <c r="DA20" s="811" t="str">
        <f t="shared" si="25"/>
        <v/>
      </c>
      <c r="DB20" s="811" t="str">
        <f t="shared" si="25"/>
        <v/>
      </c>
      <c r="DC20" s="811" t="str">
        <f t="shared" si="25"/>
        <v/>
      </c>
      <c r="DD20" s="811" t="str">
        <f t="shared" si="25"/>
        <v/>
      </c>
      <c r="DE20" s="811" t="str">
        <f t="shared" si="25"/>
        <v/>
      </c>
      <c r="DF20" s="811" t="str">
        <f t="shared" si="25"/>
        <v/>
      </c>
      <c r="DG20" s="811" t="str">
        <f t="shared" si="25"/>
        <v/>
      </c>
      <c r="DH20" s="811" t="str">
        <f t="shared" si="25"/>
        <v/>
      </c>
      <c r="DI20" s="811" t="str">
        <f t="shared" si="25"/>
        <v/>
      </c>
      <c r="DJ20" s="811" t="str">
        <f t="shared" si="25"/>
        <v/>
      </c>
      <c r="DK20" s="811" t="str">
        <f t="shared" si="25"/>
        <v/>
      </c>
    </row>
    <row r="21" spans="2:115" ht="20.100000000000001" customHeight="1" x14ac:dyDescent="0.2">
      <c r="B21" s="815" t="s">
        <v>738</v>
      </c>
      <c r="C21" s="816">
        <v>1</v>
      </c>
      <c r="D21" s="814">
        <v>140</v>
      </c>
      <c r="E21" s="776">
        <v>42430</v>
      </c>
      <c r="F21" s="817">
        <v>40</v>
      </c>
      <c r="G21" s="776">
        <v>49730</v>
      </c>
      <c r="H21" s="817">
        <v>0</v>
      </c>
      <c r="I21" s="806"/>
      <c r="J21" s="795">
        <f t="shared" si="13"/>
        <v>42705</v>
      </c>
      <c r="K21" s="795">
        <f t="shared" si="14"/>
        <v>50010</v>
      </c>
      <c r="L21" s="810">
        <f t="shared" si="26"/>
        <v>18.164383561643834</v>
      </c>
      <c r="M21" s="809" t="str">
        <f t="shared" si="15"/>
        <v>Mondarra Gas Storage Facility expansion (100%)</v>
      </c>
      <c r="N21" s="811" t="str">
        <f t="shared" si="16"/>
        <v/>
      </c>
      <c r="O21" s="811" t="str">
        <f t="shared" si="16"/>
        <v/>
      </c>
      <c r="P21" s="811" t="str">
        <f t="shared" si="16"/>
        <v/>
      </c>
      <c r="Q21" s="811" t="str">
        <f t="shared" si="16"/>
        <v/>
      </c>
      <c r="R21" s="811" t="str">
        <f t="shared" si="16"/>
        <v/>
      </c>
      <c r="S21" s="811" t="str">
        <f t="shared" si="16"/>
        <v/>
      </c>
      <c r="T21" s="811" t="str">
        <f t="shared" si="16"/>
        <v/>
      </c>
      <c r="U21" s="811" t="str">
        <f t="shared" si="16"/>
        <v/>
      </c>
      <c r="V21" s="811" t="str">
        <f t="shared" si="16"/>
        <v/>
      </c>
      <c r="W21" s="811" t="str">
        <f t="shared" si="16"/>
        <v/>
      </c>
      <c r="X21" s="811" t="str">
        <f t="shared" si="17"/>
        <v/>
      </c>
      <c r="Y21" s="811" t="str">
        <f t="shared" si="17"/>
        <v/>
      </c>
      <c r="Z21" s="811" t="str">
        <f t="shared" si="17"/>
        <v/>
      </c>
      <c r="AA21" s="811" t="str">
        <f t="shared" si="17"/>
        <v/>
      </c>
      <c r="AB21" s="811" t="str">
        <f t="shared" si="17"/>
        <v/>
      </c>
      <c r="AC21" s="811" t="str">
        <f t="shared" si="17"/>
        <v/>
      </c>
      <c r="AD21" s="811" t="str">
        <f t="shared" si="17"/>
        <v/>
      </c>
      <c r="AE21" s="811" t="str">
        <f t="shared" si="17"/>
        <v/>
      </c>
      <c r="AF21" s="811" t="str">
        <f t="shared" si="17"/>
        <v/>
      </c>
      <c r="AG21" s="811" t="str">
        <f t="shared" si="17"/>
        <v/>
      </c>
      <c r="AH21" s="811" t="str">
        <f t="shared" si="18"/>
        <v/>
      </c>
      <c r="AI21" s="811" t="str">
        <f t="shared" si="18"/>
        <v/>
      </c>
      <c r="AJ21" s="811" t="str">
        <f t="shared" si="18"/>
        <v/>
      </c>
      <c r="AK21" s="811" t="str">
        <f t="shared" si="18"/>
        <v/>
      </c>
      <c r="AL21" s="811" t="str">
        <f t="shared" si="18"/>
        <v/>
      </c>
      <c r="AM21" s="811" t="str">
        <f t="shared" si="18"/>
        <v/>
      </c>
      <c r="AN21" s="811" t="str">
        <f t="shared" si="18"/>
        <v/>
      </c>
      <c r="AO21" s="811" t="str">
        <f t="shared" si="18"/>
        <v/>
      </c>
      <c r="AP21" s="811" t="str">
        <f t="shared" si="18"/>
        <v/>
      </c>
      <c r="AQ21" s="811" t="str">
        <f t="shared" si="18"/>
        <v/>
      </c>
      <c r="AR21" s="811" t="str">
        <f t="shared" si="19"/>
        <v/>
      </c>
      <c r="AS21" s="811" t="str">
        <f t="shared" si="19"/>
        <v/>
      </c>
      <c r="AT21" s="811" t="str">
        <f t="shared" si="19"/>
        <v/>
      </c>
      <c r="AU21" s="811" t="str">
        <f t="shared" si="19"/>
        <v/>
      </c>
      <c r="AV21" s="811" t="str">
        <f t="shared" si="19"/>
        <v/>
      </c>
      <c r="AW21" s="811" t="str">
        <f t="shared" si="19"/>
        <v/>
      </c>
      <c r="AX21" s="811" t="str">
        <f t="shared" si="19"/>
        <v/>
      </c>
      <c r="AY21" s="811" t="str">
        <f t="shared" si="19"/>
        <v/>
      </c>
      <c r="AZ21" s="811" t="str">
        <f t="shared" si="19"/>
        <v/>
      </c>
      <c r="BA21" s="811" t="str">
        <f t="shared" si="19"/>
        <v/>
      </c>
      <c r="BB21" s="811" t="str">
        <f t="shared" si="20"/>
        <v/>
      </c>
      <c r="BC21" s="811" t="str">
        <f t="shared" si="20"/>
        <v/>
      </c>
      <c r="BD21" s="811" t="str">
        <f t="shared" si="20"/>
        <v/>
      </c>
      <c r="BE21" s="811" t="str">
        <f t="shared" si="20"/>
        <v/>
      </c>
      <c r="BF21" s="811" t="str">
        <f t="shared" si="20"/>
        <v/>
      </c>
      <c r="BG21" s="811" t="str">
        <f t="shared" si="20"/>
        <v/>
      </c>
      <c r="BH21" s="811" t="str">
        <f t="shared" si="20"/>
        <v/>
      </c>
      <c r="BI21" s="811">
        <f t="shared" si="20"/>
        <v>140</v>
      </c>
      <c r="BJ21" s="811">
        <f t="shared" si="20"/>
        <v>136.5</v>
      </c>
      <c r="BK21" s="811">
        <f t="shared" si="20"/>
        <v>133</v>
      </c>
      <c r="BL21" s="811">
        <f t="shared" si="21"/>
        <v>129.5</v>
      </c>
      <c r="BM21" s="811">
        <f t="shared" si="21"/>
        <v>125.99041095890412</v>
      </c>
      <c r="BN21" s="811">
        <f t="shared" si="21"/>
        <v>122.49041095890411</v>
      </c>
      <c r="BO21" s="811">
        <f t="shared" si="21"/>
        <v>118.99041095890411</v>
      </c>
      <c r="BP21" s="811">
        <f t="shared" si="21"/>
        <v>115.49041095890411</v>
      </c>
      <c r="BQ21" s="811">
        <f t="shared" si="21"/>
        <v>111.98082191780821</v>
      </c>
      <c r="BR21" s="811">
        <f t="shared" si="21"/>
        <v>108.48082191780821</v>
      </c>
      <c r="BS21" s="811">
        <f t="shared" si="21"/>
        <v>104.98082191780823</v>
      </c>
      <c r="BT21" s="811">
        <f t="shared" si="21"/>
        <v>101.48082191780823</v>
      </c>
      <c r="BU21" s="811">
        <f t="shared" si="21"/>
        <v>97.971232876712335</v>
      </c>
      <c r="BV21" s="811">
        <f t="shared" si="22"/>
        <v>94.471232876712321</v>
      </c>
      <c r="BW21" s="811">
        <f t="shared" si="22"/>
        <v>90.971232876712321</v>
      </c>
      <c r="BX21" s="811">
        <f t="shared" si="22"/>
        <v>87.471232876712335</v>
      </c>
      <c r="BY21" s="811">
        <f t="shared" si="22"/>
        <v>83.961643835616428</v>
      </c>
      <c r="BZ21" s="811">
        <f t="shared" si="22"/>
        <v>80.461643835616442</v>
      </c>
      <c r="CA21" s="811">
        <f t="shared" si="22"/>
        <v>76.961643835616442</v>
      </c>
      <c r="CB21" s="811">
        <f t="shared" si="22"/>
        <v>73.461643835616442</v>
      </c>
      <c r="CC21" s="811">
        <f t="shared" si="22"/>
        <v>69.952054794520549</v>
      </c>
      <c r="CD21" s="811">
        <f t="shared" si="22"/>
        <v>66.452054794520549</v>
      </c>
      <c r="CE21" s="811">
        <f t="shared" si="22"/>
        <v>62.952054794520556</v>
      </c>
      <c r="CF21" s="811">
        <f t="shared" si="23"/>
        <v>59.452054794520549</v>
      </c>
      <c r="CG21" s="811">
        <f t="shared" si="23"/>
        <v>55.942465753424663</v>
      </c>
      <c r="CH21" s="811">
        <f t="shared" si="23"/>
        <v>52.442465753424656</v>
      </c>
      <c r="CI21" s="811">
        <f t="shared" si="23"/>
        <v>48.942465753424656</v>
      </c>
      <c r="CJ21" s="811">
        <f t="shared" si="23"/>
        <v>45.442465753424649</v>
      </c>
      <c r="CK21" s="811">
        <f t="shared" si="23"/>
        <v>41.932876712328763</v>
      </c>
      <c r="CL21" s="811">
        <f t="shared" si="23"/>
        <v>38.432876712328778</v>
      </c>
      <c r="CM21" s="811">
        <f t="shared" si="23"/>
        <v>34.93287671232877</v>
      </c>
      <c r="CN21" s="811">
        <f t="shared" si="23"/>
        <v>31.432876712328767</v>
      </c>
      <c r="CO21" s="811">
        <f t="shared" si="23"/>
        <v>27.923287671232877</v>
      </c>
      <c r="CP21" s="811">
        <f t="shared" si="24"/>
        <v>24.423287671232874</v>
      </c>
      <c r="CQ21" s="811">
        <f t="shared" si="24"/>
        <v>20.92328767123287</v>
      </c>
      <c r="CR21" s="811">
        <f t="shared" si="24"/>
        <v>17.423287671232885</v>
      </c>
      <c r="CS21" s="811">
        <f t="shared" si="24"/>
        <v>13.913698630136992</v>
      </c>
      <c r="CT21" s="811">
        <f t="shared" si="24"/>
        <v>10.41369863013699</v>
      </c>
      <c r="CU21" s="811">
        <f t="shared" si="24"/>
        <v>6.9136986301369863</v>
      </c>
      <c r="CV21" s="811">
        <f t="shared" si="24"/>
        <v>3.4136986301369832</v>
      </c>
      <c r="CW21" s="811" t="str">
        <f t="shared" si="24"/>
        <v/>
      </c>
      <c r="CX21" s="811" t="str">
        <f t="shared" si="24"/>
        <v/>
      </c>
      <c r="CY21" s="811" t="str">
        <f t="shared" si="24"/>
        <v/>
      </c>
      <c r="CZ21" s="811" t="str">
        <f t="shared" si="25"/>
        <v/>
      </c>
      <c r="DA21" s="811" t="str">
        <f t="shared" si="25"/>
        <v/>
      </c>
      <c r="DB21" s="811" t="str">
        <f t="shared" si="25"/>
        <v/>
      </c>
      <c r="DC21" s="811" t="str">
        <f t="shared" si="25"/>
        <v/>
      </c>
      <c r="DD21" s="811" t="str">
        <f t="shared" si="25"/>
        <v/>
      </c>
      <c r="DE21" s="811" t="str">
        <f t="shared" si="25"/>
        <v/>
      </c>
      <c r="DF21" s="811" t="str">
        <f t="shared" si="25"/>
        <v/>
      </c>
      <c r="DG21" s="811" t="str">
        <f t="shared" si="25"/>
        <v/>
      </c>
      <c r="DH21" s="811" t="str">
        <f t="shared" si="25"/>
        <v/>
      </c>
      <c r="DI21" s="811" t="str">
        <f t="shared" si="25"/>
        <v/>
      </c>
      <c r="DJ21" s="811" t="str">
        <f t="shared" si="25"/>
        <v/>
      </c>
      <c r="DK21" s="811" t="str">
        <f t="shared" si="25"/>
        <v/>
      </c>
    </row>
    <row r="22" spans="2:115" ht="20.100000000000001" customHeight="1" x14ac:dyDescent="0.2">
      <c r="B22" s="815" t="s">
        <v>683</v>
      </c>
      <c r="C22" s="816"/>
      <c r="D22" s="814"/>
      <c r="E22" s="776"/>
      <c r="F22" s="817"/>
      <c r="G22" s="776"/>
      <c r="H22" s="817"/>
      <c r="I22" s="806"/>
      <c r="J22" s="795" t="str">
        <f t="shared" si="13"/>
        <v/>
      </c>
      <c r="K22" s="795" t="str">
        <f t="shared" si="14"/>
        <v/>
      </c>
      <c r="L22" s="810" t="str">
        <f t="shared" si="26"/>
        <v/>
      </c>
      <c r="M22" s="809" t="str">
        <f t="shared" si="15"/>
        <v/>
      </c>
      <c r="N22" s="811" t="str">
        <f t="shared" si="16"/>
        <v/>
      </c>
      <c r="O22" s="811" t="str">
        <f t="shared" si="16"/>
        <v/>
      </c>
      <c r="P22" s="811" t="str">
        <f t="shared" si="16"/>
        <v/>
      </c>
      <c r="Q22" s="811" t="str">
        <f t="shared" si="16"/>
        <v/>
      </c>
      <c r="R22" s="811" t="str">
        <f t="shared" si="16"/>
        <v/>
      </c>
      <c r="S22" s="811" t="str">
        <f t="shared" si="16"/>
        <v/>
      </c>
      <c r="T22" s="811" t="str">
        <f t="shared" si="16"/>
        <v/>
      </c>
      <c r="U22" s="811" t="str">
        <f t="shared" si="16"/>
        <v/>
      </c>
      <c r="V22" s="811" t="str">
        <f t="shared" si="16"/>
        <v/>
      </c>
      <c r="W22" s="811" t="str">
        <f t="shared" si="16"/>
        <v/>
      </c>
      <c r="X22" s="811" t="str">
        <f t="shared" si="17"/>
        <v/>
      </c>
      <c r="Y22" s="811" t="str">
        <f t="shared" si="17"/>
        <v/>
      </c>
      <c r="Z22" s="811" t="str">
        <f t="shared" si="17"/>
        <v/>
      </c>
      <c r="AA22" s="811" t="str">
        <f t="shared" si="17"/>
        <v/>
      </c>
      <c r="AB22" s="811" t="str">
        <f t="shared" si="17"/>
        <v/>
      </c>
      <c r="AC22" s="811" t="str">
        <f t="shared" si="17"/>
        <v/>
      </c>
      <c r="AD22" s="811" t="str">
        <f t="shared" si="17"/>
        <v/>
      </c>
      <c r="AE22" s="811" t="str">
        <f t="shared" si="17"/>
        <v/>
      </c>
      <c r="AF22" s="811" t="str">
        <f t="shared" si="17"/>
        <v/>
      </c>
      <c r="AG22" s="811" t="str">
        <f t="shared" si="17"/>
        <v/>
      </c>
      <c r="AH22" s="811" t="str">
        <f t="shared" si="18"/>
        <v/>
      </c>
      <c r="AI22" s="811" t="str">
        <f t="shared" si="18"/>
        <v/>
      </c>
      <c r="AJ22" s="811" t="str">
        <f t="shared" si="18"/>
        <v/>
      </c>
      <c r="AK22" s="811" t="str">
        <f t="shared" si="18"/>
        <v/>
      </c>
      <c r="AL22" s="811" t="str">
        <f t="shared" si="18"/>
        <v/>
      </c>
      <c r="AM22" s="811" t="str">
        <f t="shared" si="18"/>
        <v/>
      </c>
      <c r="AN22" s="811" t="str">
        <f t="shared" si="18"/>
        <v/>
      </c>
      <c r="AO22" s="811" t="str">
        <f t="shared" si="18"/>
        <v/>
      </c>
      <c r="AP22" s="811" t="str">
        <f t="shared" si="18"/>
        <v/>
      </c>
      <c r="AQ22" s="811" t="str">
        <f t="shared" si="18"/>
        <v/>
      </c>
      <c r="AR22" s="811" t="str">
        <f t="shared" si="19"/>
        <v/>
      </c>
      <c r="AS22" s="811" t="str">
        <f t="shared" si="19"/>
        <v/>
      </c>
      <c r="AT22" s="811" t="str">
        <f t="shared" si="19"/>
        <v/>
      </c>
      <c r="AU22" s="811" t="str">
        <f t="shared" si="19"/>
        <v/>
      </c>
      <c r="AV22" s="811" t="str">
        <f t="shared" si="19"/>
        <v/>
      </c>
      <c r="AW22" s="811" t="str">
        <f t="shared" si="19"/>
        <v/>
      </c>
      <c r="AX22" s="811" t="str">
        <f t="shared" si="19"/>
        <v/>
      </c>
      <c r="AY22" s="811" t="str">
        <f t="shared" si="19"/>
        <v/>
      </c>
      <c r="AZ22" s="811" t="str">
        <f t="shared" si="19"/>
        <v/>
      </c>
      <c r="BA22" s="811" t="str">
        <f t="shared" si="19"/>
        <v/>
      </c>
      <c r="BB22" s="811" t="str">
        <f t="shared" si="20"/>
        <v/>
      </c>
      <c r="BC22" s="811" t="str">
        <f t="shared" si="20"/>
        <v/>
      </c>
      <c r="BD22" s="811" t="str">
        <f t="shared" si="20"/>
        <v/>
      </c>
      <c r="BE22" s="811" t="str">
        <f t="shared" si="20"/>
        <v/>
      </c>
      <c r="BF22" s="811" t="str">
        <f t="shared" si="20"/>
        <v/>
      </c>
      <c r="BG22" s="811" t="str">
        <f t="shared" si="20"/>
        <v/>
      </c>
      <c r="BH22" s="811" t="str">
        <f t="shared" si="20"/>
        <v/>
      </c>
      <c r="BI22" s="811" t="str">
        <f t="shared" si="20"/>
        <v/>
      </c>
      <c r="BJ22" s="811" t="str">
        <f t="shared" si="20"/>
        <v/>
      </c>
      <c r="BK22" s="811" t="str">
        <f t="shared" si="20"/>
        <v/>
      </c>
      <c r="BL22" s="811" t="str">
        <f t="shared" si="21"/>
        <v/>
      </c>
      <c r="BM22" s="811" t="str">
        <f t="shared" si="21"/>
        <v/>
      </c>
      <c r="BN22" s="811" t="str">
        <f t="shared" si="21"/>
        <v/>
      </c>
      <c r="BO22" s="811" t="str">
        <f t="shared" si="21"/>
        <v/>
      </c>
      <c r="BP22" s="811" t="str">
        <f t="shared" si="21"/>
        <v/>
      </c>
      <c r="BQ22" s="811" t="str">
        <f t="shared" si="21"/>
        <v/>
      </c>
      <c r="BR22" s="811" t="str">
        <f t="shared" si="21"/>
        <v/>
      </c>
      <c r="BS22" s="811" t="str">
        <f t="shared" si="21"/>
        <v/>
      </c>
      <c r="BT22" s="811" t="str">
        <f t="shared" si="21"/>
        <v/>
      </c>
      <c r="BU22" s="811" t="str">
        <f t="shared" si="21"/>
        <v/>
      </c>
      <c r="BV22" s="811" t="str">
        <f t="shared" si="22"/>
        <v/>
      </c>
      <c r="BW22" s="811" t="str">
        <f t="shared" si="22"/>
        <v/>
      </c>
      <c r="BX22" s="811" t="str">
        <f t="shared" si="22"/>
        <v/>
      </c>
      <c r="BY22" s="811" t="str">
        <f t="shared" si="22"/>
        <v/>
      </c>
      <c r="BZ22" s="811" t="str">
        <f t="shared" si="22"/>
        <v/>
      </c>
      <c r="CA22" s="811" t="str">
        <f t="shared" si="22"/>
        <v/>
      </c>
      <c r="CB22" s="811" t="str">
        <f t="shared" si="22"/>
        <v/>
      </c>
      <c r="CC22" s="811" t="str">
        <f t="shared" si="22"/>
        <v/>
      </c>
      <c r="CD22" s="811" t="str">
        <f t="shared" si="22"/>
        <v/>
      </c>
      <c r="CE22" s="811" t="str">
        <f t="shared" si="22"/>
        <v/>
      </c>
      <c r="CF22" s="811" t="str">
        <f t="shared" si="23"/>
        <v/>
      </c>
      <c r="CG22" s="811" t="str">
        <f t="shared" si="23"/>
        <v/>
      </c>
      <c r="CH22" s="811" t="str">
        <f t="shared" si="23"/>
        <v/>
      </c>
      <c r="CI22" s="811" t="str">
        <f t="shared" si="23"/>
        <v/>
      </c>
      <c r="CJ22" s="811" t="str">
        <f t="shared" si="23"/>
        <v/>
      </c>
      <c r="CK22" s="811" t="str">
        <f t="shared" si="23"/>
        <v/>
      </c>
      <c r="CL22" s="811" t="str">
        <f t="shared" si="23"/>
        <v/>
      </c>
      <c r="CM22" s="811" t="str">
        <f t="shared" si="23"/>
        <v/>
      </c>
      <c r="CN22" s="811" t="str">
        <f t="shared" si="23"/>
        <v/>
      </c>
      <c r="CO22" s="811" t="str">
        <f t="shared" si="23"/>
        <v/>
      </c>
      <c r="CP22" s="811" t="str">
        <f t="shared" si="24"/>
        <v/>
      </c>
      <c r="CQ22" s="811" t="str">
        <f t="shared" si="24"/>
        <v/>
      </c>
      <c r="CR22" s="811" t="str">
        <f t="shared" si="24"/>
        <v/>
      </c>
      <c r="CS22" s="811" t="str">
        <f t="shared" si="24"/>
        <v/>
      </c>
      <c r="CT22" s="811" t="str">
        <f t="shared" si="24"/>
        <v/>
      </c>
      <c r="CU22" s="811" t="str">
        <f t="shared" si="24"/>
        <v/>
      </c>
      <c r="CV22" s="811" t="str">
        <f t="shared" si="24"/>
        <v/>
      </c>
      <c r="CW22" s="811" t="str">
        <f t="shared" si="24"/>
        <v/>
      </c>
      <c r="CX22" s="811" t="str">
        <f t="shared" si="24"/>
        <v/>
      </c>
      <c r="CY22" s="811" t="str">
        <f t="shared" si="24"/>
        <v/>
      </c>
      <c r="CZ22" s="811" t="str">
        <f t="shared" si="25"/>
        <v/>
      </c>
      <c r="DA22" s="811" t="str">
        <f t="shared" si="25"/>
        <v/>
      </c>
      <c r="DB22" s="811" t="str">
        <f t="shared" si="25"/>
        <v/>
      </c>
      <c r="DC22" s="811" t="str">
        <f t="shared" si="25"/>
        <v/>
      </c>
      <c r="DD22" s="811" t="str">
        <f t="shared" si="25"/>
        <v/>
      </c>
      <c r="DE22" s="811" t="str">
        <f t="shared" si="25"/>
        <v/>
      </c>
      <c r="DF22" s="811" t="str">
        <f t="shared" si="25"/>
        <v/>
      </c>
      <c r="DG22" s="811" t="str">
        <f t="shared" si="25"/>
        <v/>
      </c>
      <c r="DH22" s="811" t="str">
        <f t="shared" si="25"/>
        <v/>
      </c>
      <c r="DI22" s="811" t="str">
        <f t="shared" si="25"/>
        <v/>
      </c>
      <c r="DJ22" s="811" t="str">
        <f t="shared" si="25"/>
        <v/>
      </c>
      <c r="DK22" s="811" t="str">
        <f t="shared" si="25"/>
        <v/>
      </c>
    </row>
    <row r="23" spans="2:115" ht="20.100000000000001" customHeight="1" x14ac:dyDescent="0.2">
      <c r="B23" s="815" t="s">
        <v>814</v>
      </c>
      <c r="C23" s="816">
        <v>1</v>
      </c>
      <c r="D23" s="814">
        <v>70</v>
      </c>
      <c r="E23" s="776">
        <v>39891</v>
      </c>
      <c r="F23" s="817">
        <v>70</v>
      </c>
      <c r="G23" s="776">
        <v>46096</v>
      </c>
      <c r="H23" s="817">
        <v>0</v>
      </c>
      <c r="I23" s="806"/>
      <c r="J23" s="795">
        <f t="shared" si="13"/>
        <v>40148</v>
      </c>
      <c r="K23" s="795">
        <f t="shared" si="14"/>
        <v>46357</v>
      </c>
      <c r="L23" s="810">
        <f t="shared" si="26"/>
        <v>8.2082191780821923</v>
      </c>
      <c r="M23" s="809" t="str">
        <f t="shared" si="15"/>
        <v>Berwyndale Wallumbilla Pipeline (100%)</v>
      </c>
      <c r="N23" s="811" t="str">
        <f t="shared" si="16"/>
        <v/>
      </c>
      <c r="O23" s="811" t="str">
        <f t="shared" si="16"/>
        <v/>
      </c>
      <c r="P23" s="811" t="str">
        <f t="shared" si="16"/>
        <v/>
      </c>
      <c r="Q23" s="811" t="str">
        <f t="shared" si="16"/>
        <v/>
      </c>
      <c r="R23" s="811" t="str">
        <f t="shared" si="16"/>
        <v/>
      </c>
      <c r="S23" s="811" t="str">
        <f t="shared" si="16"/>
        <v/>
      </c>
      <c r="T23" s="811" t="str">
        <f t="shared" si="16"/>
        <v/>
      </c>
      <c r="U23" s="811" t="str">
        <f t="shared" si="16"/>
        <v/>
      </c>
      <c r="V23" s="811" t="str">
        <f t="shared" si="16"/>
        <v/>
      </c>
      <c r="W23" s="811" t="str">
        <f t="shared" si="16"/>
        <v/>
      </c>
      <c r="X23" s="811" t="str">
        <f t="shared" si="17"/>
        <v/>
      </c>
      <c r="Y23" s="811" t="str">
        <f t="shared" si="17"/>
        <v/>
      </c>
      <c r="Z23" s="811" t="str">
        <f t="shared" si="17"/>
        <v/>
      </c>
      <c r="AA23" s="811" t="str">
        <f t="shared" si="17"/>
        <v/>
      </c>
      <c r="AB23" s="811" t="str">
        <f t="shared" si="17"/>
        <v/>
      </c>
      <c r="AC23" s="811" t="str">
        <f t="shared" si="17"/>
        <v/>
      </c>
      <c r="AD23" s="811" t="str">
        <f t="shared" si="17"/>
        <v/>
      </c>
      <c r="AE23" s="811" t="str">
        <f t="shared" si="17"/>
        <v/>
      </c>
      <c r="AF23" s="811" t="str">
        <f t="shared" si="17"/>
        <v/>
      </c>
      <c r="AG23" s="811" t="str">
        <f t="shared" si="17"/>
        <v/>
      </c>
      <c r="AH23" s="811" t="str">
        <f t="shared" si="18"/>
        <v/>
      </c>
      <c r="AI23" s="811" t="str">
        <f t="shared" si="18"/>
        <v/>
      </c>
      <c r="AJ23" s="811" t="str">
        <f t="shared" si="18"/>
        <v/>
      </c>
      <c r="AK23" s="811" t="str">
        <f t="shared" si="18"/>
        <v/>
      </c>
      <c r="AL23" s="811" t="str">
        <f t="shared" si="18"/>
        <v/>
      </c>
      <c r="AM23" s="811" t="str">
        <f t="shared" si="18"/>
        <v/>
      </c>
      <c r="AN23" s="811" t="str">
        <f t="shared" si="18"/>
        <v/>
      </c>
      <c r="AO23" s="811" t="str">
        <f t="shared" si="18"/>
        <v/>
      </c>
      <c r="AP23" s="811" t="str">
        <f t="shared" si="18"/>
        <v/>
      </c>
      <c r="AQ23" s="811" t="str">
        <f t="shared" si="18"/>
        <v/>
      </c>
      <c r="AR23" s="811" t="str">
        <f t="shared" si="19"/>
        <v/>
      </c>
      <c r="AS23" s="811" t="str">
        <f t="shared" si="19"/>
        <v/>
      </c>
      <c r="AT23" s="811" t="str">
        <f t="shared" si="19"/>
        <v/>
      </c>
      <c r="AU23" s="811" t="str">
        <f t="shared" si="19"/>
        <v/>
      </c>
      <c r="AV23" s="811" t="str">
        <f t="shared" si="19"/>
        <v/>
      </c>
      <c r="AW23" s="811" t="str">
        <f t="shared" si="19"/>
        <v/>
      </c>
      <c r="AX23" s="811" t="str">
        <f t="shared" si="19"/>
        <v/>
      </c>
      <c r="AY23" s="811" t="str">
        <f t="shared" si="19"/>
        <v/>
      </c>
      <c r="AZ23" s="811" t="str">
        <f t="shared" si="19"/>
        <v/>
      </c>
      <c r="BA23" s="811" t="str">
        <f t="shared" si="19"/>
        <v/>
      </c>
      <c r="BB23" s="811">
        <f t="shared" si="20"/>
        <v>70</v>
      </c>
      <c r="BC23" s="811">
        <f t="shared" si="20"/>
        <v>69</v>
      </c>
      <c r="BD23" s="811">
        <f t="shared" si="20"/>
        <v>68</v>
      </c>
      <c r="BE23" s="811">
        <f t="shared" si="20"/>
        <v>66.9972602739726</v>
      </c>
      <c r="BF23" s="811">
        <f t="shared" si="20"/>
        <v>65.9972602739726</v>
      </c>
      <c r="BG23" s="811">
        <f t="shared" si="20"/>
        <v>64.9972602739726</v>
      </c>
      <c r="BH23" s="811">
        <f t="shared" si="20"/>
        <v>63.997260273972607</v>
      </c>
      <c r="BI23" s="811">
        <f t="shared" si="20"/>
        <v>62.994520547945207</v>
      </c>
      <c r="BJ23" s="811">
        <f t="shared" si="20"/>
        <v>61.9945205479452</v>
      </c>
      <c r="BK23" s="811">
        <f t="shared" si="20"/>
        <v>60.994520547945207</v>
      </c>
      <c r="BL23" s="811">
        <f t="shared" si="21"/>
        <v>59.9945205479452</v>
      </c>
      <c r="BM23" s="811">
        <f t="shared" si="21"/>
        <v>58.991780821917807</v>
      </c>
      <c r="BN23" s="811">
        <f t="shared" si="21"/>
        <v>57.991780821917807</v>
      </c>
      <c r="BO23" s="811">
        <f t="shared" si="21"/>
        <v>56.991780821917814</v>
      </c>
      <c r="BP23" s="811">
        <f t="shared" si="21"/>
        <v>55.991780821917807</v>
      </c>
      <c r="BQ23" s="811">
        <f t="shared" si="21"/>
        <v>54.989041095890414</v>
      </c>
      <c r="BR23" s="811">
        <f t="shared" si="21"/>
        <v>53.989041095890407</v>
      </c>
      <c r="BS23" s="811">
        <f t="shared" si="21"/>
        <v>52.989041095890407</v>
      </c>
      <c r="BT23" s="811">
        <f t="shared" si="21"/>
        <v>51.989041095890414</v>
      </c>
      <c r="BU23" s="811">
        <f t="shared" si="21"/>
        <v>50.986301369863014</v>
      </c>
      <c r="BV23" s="811">
        <f t="shared" si="22"/>
        <v>49.986301369863014</v>
      </c>
      <c r="BW23" s="811">
        <f t="shared" si="22"/>
        <v>48.986301369863014</v>
      </c>
      <c r="BX23" s="811">
        <f t="shared" si="22"/>
        <v>47.986301369863014</v>
      </c>
      <c r="BY23" s="811">
        <f t="shared" si="22"/>
        <v>46.983561643835614</v>
      </c>
      <c r="BZ23" s="811">
        <f t="shared" si="22"/>
        <v>45.983561643835614</v>
      </c>
      <c r="CA23" s="811">
        <f t="shared" si="22"/>
        <v>44.983561643835621</v>
      </c>
      <c r="CB23" s="811">
        <f t="shared" si="22"/>
        <v>43.983561643835614</v>
      </c>
      <c r="CC23" s="811">
        <f t="shared" si="22"/>
        <v>42.980821917808221</v>
      </c>
      <c r="CD23" s="811">
        <f t="shared" si="22"/>
        <v>41.980821917808214</v>
      </c>
      <c r="CE23" s="811">
        <f t="shared" si="22"/>
        <v>40.980821917808221</v>
      </c>
      <c r="CF23" s="811">
        <f t="shared" si="23"/>
        <v>39.980821917808221</v>
      </c>
      <c r="CG23" s="811">
        <f t="shared" si="23"/>
        <v>38.978082191780828</v>
      </c>
      <c r="CH23" s="811">
        <f t="shared" si="23"/>
        <v>37.978082191780821</v>
      </c>
      <c r="CI23" s="811">
        <f t="shared" si="23"/>
        <v>36.978082191780814</v>
      </c>
      <c r="CJ23" s="811">
        <f t="shared" si="23"/>
        <v>35.978082191780821</v>
      </c>
      <c r="CK23" s="811">
        <f t="shared" si="23"/>
        <v>34.975342465753421</v>
      </c>
      <c r="CL23" s="811">
        <f t="shared" si="23"/>
        <v>33.975342465753428</v>
      </c>
      <c r="CM23" s="811">
        <f t="shared" si="23"/>
        <v>32.975342465753421</v>
      </c>
      <c r="CN23" s="811">
        <f t="shared" si="23"/>
        <v>31.975342465753425</v>
      </c>
      <c r="CO23" s="811">
        <f t="shared" si="23"/>
        <v>30.972602739726028</v>
      </c>
      <c r="CP23" s="811">
        <f t="shared" si="24"/>
        <v>29.972602739726025</v>
      </c>
      <c r="CQ23" s="811">
        <f t="shared" si="24"/>
        <v>28.972602739726028</v>
      </c>
      <c r="CR23" s="811">
        <f t="shared" si="24"/>
        <v>27.972602739726032</v>
      </c>
      <c r="CS23" s="811">
        <f t="shared" si="24"/>
        <v>26.969863013698635</v>
      </c>
      <c r="CT23" s="811">
        <f t="shared" si="24"/>
        <v>25.969863013698628</v>
      </c>
      <c r="CU23" s="811">
        <f t="shared" si="24"/>
        <v>24.969863013698632</v>
      </c>
      <c r="CV23" s="811">
        <f t="shared" si="24"/>
        <v>23.969863013698628</v>
      </c>
      <c r="CW23" s="811">
        <f t="shared" si="24"/>
        <v>22.967123287671232</v>
      </c>
      <c r="CX23" s="811">
        <f t="shared" si="24"/>
        <v>21.967123287671235</v>
      </c>
      <c r="CY23" s="811">
        <f t="shared" si="24"/>
        <v>20.967123287671232</v>
      </c>
      <c r="CZ23" s="811">
        <f t="shared" si="25"/>
        <v>19.967123287671235</v>
      </c>
      <c r="DA23" s="811">
        <f t="shared" si="25"/>
        <v>18.964383561643839</v>
      </c>
      <c r="DB23" s="811">
        <f t="shared" si="25"/>
        <v>17.964383561643832</v>
      </c>
      <c r="DC23" s="811">
        <f t="shared" si="25"/>
        <v>16.964383561643835</v>
      </c>
      <c r="DD23" s="811">
        <f t="shared" si="25"/>
        <v>15.964383561643832</v>
      </c>
      <c r="DE23" s="811">
        <f t="shared" si="25"/>
        <v>14.961643835616435</v>
      </c>
      <c r="DF23" s="811">
        <f t="shared" si="25"/>
        <v>13.961643835616439</v>
      </c>
      <c r="DG23" s="811">
        <f t="shared" si="25"/>
        <v>12.961643835616442</v>
      </c>
      <c r="DH23" s="811">
        <f t="shared" si="25"/>
        <v>11.961643835616439</v>
      </c>
      <c r="DI23" s="811">
        <f t="shared" si="25"/>
        <v>10.95890410958904</v>
      </c>
      <c r="DJ23" s="811">
        <f t="shared" si="25"/>
        <v>9.958904109589044</v>
      </c>
      <c r="DK23" s="811">
        <f t="shared" si="25"/>
        <v>8.9589041095890405</v>
      </c>
    </row>
    <row r="24" spans="2:115" ht="20.100000000000001" customHeight="1" x14ac:dyDescent="0.2">
      <c r="B24" s="815" t="s">
        <v>849</v>
      </c>
      <c r="C24" s="816">
        <v>0.19900000000000001</v>
      </c>
      <c r="D24" s="814">
        <v>170</v>
      </c>
      <c r="E24" s="776">
        <v>39783</v>
      </c>
      <c r="F24" s="817">
        <v>70</v>
      </c>
      <c r="G24" s="776">
        <v>48908</v>
      </c>
      <c r="H24" s="817">
        <v>0</v>
      </c>
      <c r="I24" s="806"/>
      <c r="J24" s="795">
        <f t="shared" si="13"/>
        <v>39783</v>
      </c>
      <c r="K24" s="795">
        <f t="shared" si="14"/>
        <v>48914</v>
      </c>
      <c r="L24" s="810">
        <f t="shared" si="26"/>
        <v>15.912328767123288</v>
      </c>
      <c r="M24" s="809" t="str">
        <f t="shared" si="15"/>
        <v>Bonaparte Gas Pipeline (20%)</v>
      </c>
      <c r="N24" s="811" t="str">
        <f t="shared" si="16"/>
        <v/>
      </c>
      <c r="O24" s="811" t="str">
        <f t="shared" si="16"/>
        <v/>
      </c>
      <c r="P24" s="811" t="str">
        <f t="shared" si="16"/>
        <v/>
      </c>
      <c r="Q24" s="811" t="str">
        <f t="shared" si="16"/>
        <v/>
      </c>
      <c r="R24" s="811" t="str">
        <f t="shared" si="16"/>
        <v/>
      </c>
      <c r="S24" s="811" t="str">
        <f t="shared" si="16"/>
        <v/>
      </c>
      <c r="T24" s="811" t="str">
        <f t="shared" si="16"/>
        <v/>
      </c>
      <c r="U24" s="811" t="str">
        <f t="shared" si="16"/>
        <v/>
      </c>
      <c r="V24" s="811" t="str">
        <f t="shared" si="16"/>
        <v/>
      </c>
      <c r="W24" s="811" t="str">
        <f t="shared" si="16"/>
        <v/>
      </c>
      <c r="X24" s="811" t="str">
        <f t="shared" si="17"/>
        <v/>
      </c>
      <c r="Y24" s="811" t="str">
        <f t="shared" si="17"/>
        <v/>
      </c>
      <c r="Z24" s="811" t="str">
        <f t="shared" si="17"/>
        <v/>
      </c>
      <c r="AA24" s="811" t="str">
        <f t="shared" si="17"/>
        <v/>
      </c>
      <c r="AB24" s="811" t="str">
        <f t="shared" si="17"/>
        <v/>
      </c>
      <c r="AC24" s="811" t="str">
        <f t="shared" si="17"/>
        <v/>
      </c>
      <c r="AD24" s="811" t="str">
        <f t="shared" si="17"/>
        <v/>
      </c>
      <c r="AE24" s="811" t="str">
        <f t="shared" si="17"/>
        <v/>
      </c>
      <c r="AF24" s="811" t="str">
        <f t="shared" si="17"/>
        <v/>
      </c>
      <c r="AG24" s="811" t="str">
        <f t="shared" si="17"/>
        <v/>
      </c>
      <c r="AH24" s="811" t="str">
        <f t="shared" si="18"/>
        <v/>
      </c>
      <c r="AI24" s="811" t="str">
        <f t="shared" si="18"/>
        <v/>
      </c>
      <c r="AJ24" s="811" t="str">
        <f t="shared" si="18"/>
        <v/>
      </c>
      <c r="AK24" s="811" t="str">
        <f t="shared" si="18"/>
        <v/>
      </c>
      <c r="AL24" s="811" t="str">
        <f t="shared" si="18"/>
        <v/>
      </c>
      <c r="AM24" s="811" t="str">
        <f t="shared" si="18"/>
        <v/>
      </c>
      <c r="AN24" s="811" t="str">
        <f t="shared" si="18"/>
        <v/>
      </c>
      <c r="AO24" s="811" t="str">
        <f t="shared" si="18"/>
        <v/>
      </c>
      <c r="AP24" s="811" t="str">
        <f t="shared" si="18"/>
        <v/>
      </c>
      <c r="AQ24" s="811" t="str">
        <f t="shared" si="18"/>
        <v/>
      </c>
      <c r="AR24" s="811" t="str">
        <f t="shared" si="19"/>
        <v/>
      </c>
      <c r="AS24" s="811" t="str">
        <f t="shared" si="19"/>
        <v/>
      </c>
      <c r="AT24" s="811" t="str">
        <f t="shared" si="19"/>
        <v/>
      </c>
      <c r="AU24" s="811" t="str">
        <f t="shared" si="19"/>
        <v/>
      </c>
      <c r="AV24" s="811" t="str">
        <f t="shared" si="19"/>
        <v/>
      </c>
      <c r="AW24" s="811" t="str">
        <f t="shared" si="19"/>
        <v/>
      </c>
      <c r="AX24" s="811" t="str">
        <f t="shared" si="19"/>
        <v/>
      </c>
      <c r="AY24" s="811" t="str">
        <f t="shared" si="19"/>
        <v/>
      </c>
      <c r="AZ24" s="811" t="str">
        <f t="shared" si="19"/>
        <v/>
      </c>
      <c r="BA24" s="811">
        <f t="shared" si="19"/>
        <v>33.83</v>
      </c>
      <c r="BB24" s="811">
        <f t="shared" si="20"/>
        <v>33.346714285714292</v>
      </c>
      <c r="BC24" s="811">
        <f t="shared" si="20"/>
        <v>32.863428571428571</v>
      </c>
      <c r="BD24" s="811">
        <f t="shared" si="20"/>
        <v>32.380142857142857</v>
      </c>
      <c r="BE24" s="811">
        <f t="shared" si="20"/>
        <v>31.895533072407048</v>
      </c>
      <c r="BF24" s="811">
        <f t="shared" si="20"/>
        <v>31.412247358121331</v>
      </c>
      <c r="BG24" s="811">
        <f t="shared" si="20"/>
        <v>30.928961643835617</v>
      </c>
      <c r="BH24" s="811">
        <f t="shared" si="20"/>
        <v>30.4456759295499</v>
      </c>
      <c r="BI24" s="811">
        <f t="shared" si="20"/>
        <v>29.961066144814094</v>
      </c>
      <c r="BJ24" s="811">
        <f t="shared" si="20"/>
        <v>29.477780430528377</v>
      </c>
      <c r="BK24" s="811">
        <f t="shared" si="20"/>
        <v>28.994494716242663</v>
      </c>
      <c r="BL24" s="811">
        <f t="shared" si="21"/>
        <v>28.511209001956953</v>
      </c>
      <c r="BM24" s="811">
        <f t="shared" si="21"/>
        <v>28.02659921722114</v>
      </c>
      <c r="BN24" s="811">
        <f t="shared" si="21"/>
        <v>27.543313502935426</v>
      </c>
      <c r="BO24" s="811">
        <f t="shared" si="21"/>
        <v>27.060027788649709</v>
      </c>
      <c r="BP24" s="811">
        <f t="shared" si="21"/>
        <v>26.576742074363992</v>
      </c>
      <c r="BQ24" s="811">
        <f t="shared" si="21"/>
        <v>26.092132289628179</v>
      </c>
      <c r="BR24" s="811">
        <f t="shared" si="21"/>
        <v>25.608846575342465</v>
      </c>
      <c r="BS24" s="811">
        <f t="shared" si="21"/>
        <v>25.125560861056755</v>
      </c>
      <c r="BT24" s="811">
        <f t="shared" si="21"/>
        <v>24.642275146771038</v>
      </c>
      <c r="BU24" s="811">
        <f t="shared" si="21"/>
        <v>24.157665362035228</v>
      </c>
      <c r="BV24" s="811">
        <f t="shared" si="22"/>
        <v>23.674379647749511</v>
      </c>
      <c r="BW24" s="811">
        <f t="shared" si="22"/>
        <v>23.191093933463797</v>
      </c>
      <c r="BX24" s="811">
        <f t="shared" si="22"/>
        <v>22.707808219178084</v>
      </c>
      <c r="BY24" s="811">
        <f t="shared" si="22"/>
        <v>22.223198434442274</v>
      </c>
      <c r="BZ24" s="811">
        <f t="shared" si="22"/>
        <v>21.739912720156557</v>
      </c>
      <c r="CA24" s="811">
        <f t="shared" si="22"/>
        <v>21.256627005870843</v>
      </c>
      <c r="CB24" s="811">
        <f t="shared" si="22"/>
        <v>20.773341291585126</v>
      </c>
      <c r="CC24" s="811">
        <f t="shared" si="22"/>
        <v>20.288731506849317</v>
      </c>
      <c r="CD24" s="811">
        <f t="shared" si="22"/>
        <v>19.805445792563599</v>
      </c>
      <c r="CE24" s="811">
        <f t="shared" si="22"/>
        <v>19.322160078277889</v>
      </c>
      <c r="CF24" s="811">
        <f t="shared" si="23"/>
        <v>18.838874363992176</v>
      </c>
      <c r="CG24" s="811">
        <f t="shared" si="23"/>
        <v>18.354264579256363</v>
      </c>
      <c r="CH24" s="811">
        <f t="shared" si="23"/>
        <v>17.870978864970642</v>
      </c>
      <c r="CI24" s="811">
        <f t="shared" si="23"/>
        <v>17.387693150684932</v>
      </c>
      <c r="CJ24" s="811">
        <f t="shared" si="23"/>
        <v>16.904407436399218</v>
      </c>
      <c r="CK24" s="811">
        <f t="shared" si="23"/>
        <v>16.419797651663405</v>
      </c>
      <c r="CL24" s="811">
        <f t="shared" si="23"/>
        <v>15.936511937377691</v>
      </c>
      <c r="CM24" s="811">
        <f t="shared" si="23"/>
        <v>15.453226223091978</v>
      </c>
      <c r="CN24" s="811">
        <f t="shared" si="23"/>
        <v>14.969940508806262</v>
      </c>
      <c r="CO24" s="811">
        <f t="shared" si="23"/>
        <v>14.485330724070449</v>
      </c>
      <c r="CP24" s="811">
        <f t="shared" si="24"/>
        <v>14.002045009784737</v>
      </c>
      <c r="CQ24" s="811">
        <f t="shared" si="24"/>
        <v>13.518759295499025</v>
      </c>
      <c r="CR24" s="811">
        <f t="shared" si="24"/>
        <v>13.035473581213308</v>
      </c>
      <c r="CS24" s="811">
        <f t="shared" si="24"/>
        <v>12.550863796477497</v>
      </c>
      <c r="CT24" s="811">
        <f t="shared" si="24"/>
        <v>12.067578082191783</v>
      </c>
      <c r="CU24" s="811">
        <f t="shared" si="24"/>
        <v>11.584292367906066</v>
      </c>
      <c r="CV24" s="811">
        <f t="shared" si="24"/>
        <v>11.101006653620354</v>
      </c>
      <c r="CW24" s="811">
        <f t="shared" si="24"/>
        <v>10.616396868884541</v>
      </c>
      <c r="CX24" s="811">
        <f t="shared" si="24"/>
        <v>10.133111154598826</v>
      </c>
      <c r="CY24" s="811">
        <f t="shared" si="24"/>
        <v>9.6498254403131121</v>
      </c>
      <c r="CZ24" s="811">
        <f t="shared" si="25"/>
        <v>9.1665397260273966</v>
      </c>
      <c r="DA24" s="811">
        <f t="shared" si="25"/>
        <v>8.6819299412915854</v>
      </c>
      <c r="DB24" s="811">
        <f t="shared" si="25"/>
        <v>8.1986442270058717</v>
      </c>
      <c r="DC24" s="811">
        <f t="shared" si="25"/>
        <v>7.7153585127201554</v>
      </c>
      <c r="DD24" s="811">
        <f t="shared" si="25"/>
        <v>7.2320727984344435</v>
      </c>
      <c r="DE24" s="811">
        <f t="shared" si="25"/>
        <v>6.7474630136986304</v>
      </c>
      <c r="DF24" s="811">
        <f t="shared" si="25"/>
        <v>6.2641772994129186</v>
      </c>
      <c r="DG24" s="811">
        <f t="shared" si="25"/>
        <v>5.7808915851272014</v>
      </c>
      <c r="DH24" s="811">
        <f t="shared" si="25"/>
        <v>5.2976058708414886</v>
      </c>
      <c r="DI24" s="811">
        <f t="shared" si="25"/>
        <v>4.8129960861056773</v>
      </c>
      <c r="DJ24" s="811">
        <f t="shared" si="25"/>
        <v>4.3297103718199601</v>
      </c>
      <c r="DK24" s="811">
        <f t="shared" si="25"/>
        <v>3.8464246575342478</v>
      </c>
    </row>
    <row r="25" spans="2:115" ht="20.100000000000001" customHeight="1" x14ac:dyDescent="0.2">
      <c r="B25" s="815" t="s">
        <v>785</v>
      </c>
      <c r="C25" s="816">
        <v>1</v>
      </c>
      <c r="D25" s="814">
        <v>800</v>
      </c>
      <c r="E25" s="776"/>
      <c r="F25" s="817">
        <v>70</v>
      </c>
      <c r="G25" s="776"/>
      <c r="H25" s="817">
        <v>0</v>
      </c>
      <c r="I25" s="806"/>
      <c r="J25" s="795" t="str">
        <f t="shared" si="13"/>
        <v/>
      </c>
      <c r="K25" s="795" t="str">
        <f t="shared" si="14"/>
        <v/>
      </c>
      <c r="L25" s="810" t="str">
        <f t="shared" si="26"/>
        <v/>
      </c>
      <c r="M25" s="809" t="str">
        <f t="shared" si="15"/>
        <v>Bowen Pipeline (100%)</v>
      </c>
      <c r="N25" s="811" t="str">
        <f t="shared" ref="N25:W34" si="27">IF(ISNUMBER($J25),IF(N$12&lt;$J25,"",IF(N$12=$J25,$D25*$C25,IF(AND(N$12&gt;$J25,N$12&lt;$J25+$F25*365),$D25*(1-(N$12-$J25)/($F25*365))*$C25,""))),"")</f>
        <v/>
      </c>
      <c r="O25" s="811" t="str">
        <f t="shared" si="27"/>
        <v/>
      </c>
      <c r="P25" s="811" t="str">
        <f t="shared" si="27"/>
        <v/>
      </c>
      <c r="Q25" s="811" t="str">
        <f t="shared" si="27"/>
        <v/>
      </c>
      <c r="R25" s="811" t="str">
        <f t="shared" si="27"/>
        <v/>
      </c>
      <c r="S25" s="811" t="str">
        <f t="shared" si="27"/>
        <v/>
      </c>
      <c r="T25" s="811" t="str">
        <f t="shared" si="27"/>
        <v/>
      </c>
      <c r="U25" s="811" t="str">
        <f t="shared" si="27"/>
        <v/>
      </c>
      <c r="V25" s="811" t="str">
        <f t="shared" si="27"/>
        <v/>
      </c>
      <c r="W25" s="811" t="str">
        <f t="shared" si="27"/>
        <v/>
      </c>
      <c r="X25" s="811" t="str">
        <f t="shared" ref="X25:AG34" si="28">IF(ISNUMBER($J25),IF(X$12&lt;$J25,"",IF(X$12=$J25,$D25*$C25,IF(AND(X$12&gt;$J25,X$12&lt;$J25+$F25*365),$D25*(1-(X$12-$J25)/($F25*365))*$C25,""))),"")</f>
        <v/>
      </c>
      <c r="Y25" s="811" t="str">
        <f t="shared" si="28"/>
        <v/>
      </c>
      <c r="Z25" s="811" t="str">
        <f t="shared" si="28"/>
        <v/>
      </c>
      <c r="AA25" s="811" t="str">
        <f t="shared" si="28"/>
        <v/>
      </c>
      <c r="AB25" s="811" t="str">
        <f t="shared" si="28"/>
        <v/>
      </c>
      <c r="AC25" s="811" t="str">
        <f t="shared" si="28"/>
        <v/>
      </c>
      <c r="AD25" s="811" t="str">
        <f t="shared" si="28"/>
        <v/>
      </c>
      <c r="AE25" s="811" t="str">
        <f t="shared" si="28"/>
        <v/>
      </c>
      <c r="AF25" s="811" t="str">
        <f t="shared" si="28"/>
        <v/>
      </c>
      <c r="AG25" s="811" t="str">
        <f t="shared" si="28"/>
        <v/>
      </c>
      <c r="AH25" s="811" t="str">
        <f t="shared" ref="AH25:AQ34" si="29">IF(ISNUMBER($J25),IF(AH$12&lt;$J25,"",IF(AH$12=$J25,$D25*$C25,IF(AND(AH$12&gt;$J25,AH$12&lt;$J25+$F25*365),$D25*(1-(AH$12-$J25)/($F25*365))*$C25,""))),"")</f>
        <v/>
      </c>
      <c r="AI25" s="811" t="str">
        <f t="shared" si="29"/>
        <v/>
      </c>
      <c r="AJ25" s="811" t="str">
        <f t="shared" si="29"/>
        <v/>
      </c>
      <c r="AK25" s="811" t="str">
        <f t="shared" si="29"/>
        <v/>
      </c>
      <c r="AL25" s="811" t="str">
        <f t="shared" si="29"/>
        <v/>
      </c>
      <c r="AM25" s="811" t="str">
        <f t="shared" si="29"/>
        <v/>
      </c>
      <c r="AN25" s="811" t="str">
        <f t="shared" si="29"/>
        <v/>
      </c>
      <c r="AO25" s="811" t="str">
        <f t="shared" si="29"/>
        <v/>
      </c>
      <c r="AP25" s="811" t="str">
        <f t="shared" si="29"/>
        <v/>
      </c>
      <c r="AQ25" s="811" t="str">
        <f t="shared" si="29"/>
        <v/>
      </c>
      <c r="AR25" s="811" t="str">
        <f t="shared" ref="AR25:BA34" si="30">IF(ISNUMBER($J25),IF(AR$12&lt;$J25,"",IF(AR$12=$J25,$D25*$C25,IF(AND(AR$12&gt;$J25,AR$12&lt;$J25+$F25*365),$D25*(1-(AR$12-$J25)/($F25*365))*$C25,""))),"")</f>
        <v/>
      </c>
      <c r="AS25" s="811" t="str">
        <f t="shared" si="30"/>
        <v/>
      </c>
      <c r="AT25" s="811" t="str">
        <f t="shared" si="30"/>
        <v/>
      </c>
      <c r="AU25" s="811" t="str">
        <f t="shared" si="30"/>
        <v/>
      </c>
      <c r="AV25" s="811" t="str">
        <f t="shared" si="30"/>
        <v/>
      </c>
      <c r="AW25" s="811" t="str">
        <f t="shared" si="30"/>
        <v/>
      </c>
      <c r="AX25" s="811" t="str">
        <f t="shared" si="30"/>
        <v/>
      </c>
      <c r="AY25" s="811" t="str">
        <f t="shared" si="30"/>
        <v/>
      </c>
      <c r="AZ25" s="811" t="str">
        <f t="shared" si="30"/>
        <v/>
      </c>
      <c r="BA25" s="811" t="str">
        <f t="shared" si="30"/>
        <v/>
      </c>
      <c r="BB25" s="811" t="str">
        <f t="shared" ref="BB25:BK34" si="31">IF(ISNUMBER($J25),IF(BB$12&lt;$J25,"",IF(BB$12=$J25,$D25*$C25,IF(AND(BB$12&gt;$J25,BB$12&lt;$J25+$F25*365),$D25*(1-(BB$12-$J25)/($F25*365))*$C25,""))),"")</f>
        <v/>
      </c>
      <c r="BC25" s="811" t="str">
        <f t="shared" si="31"/>
        <v/>
      </c>
      <c r="BD25" s="811" t="str">
        <f t="shared" si="31"/>
        <v/>
      </c>
      <c r="BE25" s="811" t="str">
        <f t="shared" si="31"/>
        <v/>
      </c>
      <c r="BF25" s="811" t="str">
        <f t="shared" si="31"/>
        <v/>
      </c>
      <c r="BG25" s="811" t="str">
        <f t="shared" si="31"/>
        <v/>
      </c>
      <c r="BH25" s="811" t="str">
        <f t="shared" si="31"/>
        <v/>
      </c>
      <c r="BI25" s="811" t="str">
        <f t="shared" si="31"/>
        <v/>
      </c>
      <c r="BJ25" s="811" t="str">
        <f t="shared" si="31"/>
        <v/>
      </c>
      <c r="BK25" s="811" t="str">
        <f t="shared" si="31"/>
        <v/>
      </c>
      <c r="BL25" s="811" t="str">
        <f t="shared" ref="BL25:BU34" si="32">IF(ISNUMBER($J25),IF(BL$12&lt;$J25,"",IF(BL$12=$J25,$D25*$C25,IF(AND(BL$12&gt;$J25,BL$12&lt;$J25+$F25*365),$D25*(1-(BL$12-$J25)/($F25*365))*$C25,""))),"")</f>
        <v/>
      </c>
      <c r="BM25" s="811" t="str">
        <f t="shared" si="32"/>
        <v/>
      </c>
      <c r="BN25" s="811" t="str">
        <f t="shared" si="32"/>
        <v/>
      </c>
      <c r="BO25" s="811" t="str">
        <f t="shared" si="32"/>
        <v/>
      </c>
      <c r="BP25" s="811" t="str">
        <f t="shared" si="32"/>
        <v/>
      </c>
      <c r="BQ25" s="811" t="str">
        <f t="shared" si="32"/>
        <v/>
      </c>
      <c r="BR25" s="811" t="str">
        <f t="shared" si="32"/>
        <v/>
      </c>
      <c r="BS25" s="811" t="str">
        <f t="shared" si="32"/>
        <v/>
      </c>
      <c r="BT25" s="811" t="str">
        <f t="shared" si="32"/>
        <v/>
      </c>
      <c r="BU25" s="811" t="str">
        <f t="shared" si="32"/>
        <v/>
      </c>
      <c r="BV25" s="811" t="str">
        <f t="shared" ref="BV25:CE34" si="33">IF(ISNUMBER($J25),IF(BV$12&lt;$J25,"",IF(BV$12=$J25,$D25*$C25,IF(AND(BV$12&gt;$J25,BV$12&lt;$J25+$F25*365),$D25*(1-(BV$12-$J25)/($F25*365))*$C25,""))),"")</f>
        <v/>
      </c>
      <c r="BW25" s="811" t="str">
        <f t="shared" si="33"/>
        <v/>
      </c>
      <c r="BX25" s="811" t="str">
        <f t="shared" si="33"/>
        <v/>
      </c>
      <c r="BY25" s="811" t="str">
        <f t="shared" si="33"/>
        <v/>
      </c>
      <c r="BZ25" s="811" t="str">
        <f t="shared" si="33"/>
        <v/>
      </c>
      <c r="CA25" s="811" t="str">
        <f t="shared" si="33"/>
        <v/>
      </c>
      <c r="CB25" s="811" t="str">
        <f t="shared" si="33"/>
        <v/>
      </c>
      <c r="CC25" s="811" t="str">
        <f t="shared" si="33"/>
        <v/>
      </c>
      <c r="CD25" s="811" t="str">
        <f t="shared" si="33"/>
        <v/>
      </c>
      <c r="CE25" s="811" t="str">
        <f t="shared" si="33"/>
        <v/>
      </c>
      <c r="CF25" s="811" t="str">
        <f t="shared" ref="CF25:CO34" si="34">IF(ISNUMBER($J25),IF(CF$12&lt;$J25,"",IF(CF$12=$J25,$D25*$C25,IF(AND(CF$12&gt;$J25,CF$12&lt;$J25+$F25*365),$D25*(1-(CF$12-$J25)/($F25*365))*$C25,""))),"")</f>
        <v/>
      </c>
      <c r="CG25" s="811" t="str">
        <f t="shared" si="34"/>
        <v/>
      </c>
      <c r="CH25" s="811" t="str">
        <f t="shared" si="34"/>
        <v/>
      </c>
      <c r="CI25" s="811" t="str">
        <f t="shared" si="34"/>
        <v/>
      </c>
      <c r="CJ25" s="811" t="str">
        <f t="shared" si="34"/>
        <v/>
      </c>
      <c r="CK25" s="811" t="str">
        <f t="shared" si="34"/>
        <v/>
      </c>
      <c r="CL25" s="811" t="str">
        <f t="shared" si="34"/>
        <v/>
      </c>
      <c r="CM25" s="811" t="str">
        <f t="shared" si="34"/>
        <v/>
      </c>
      <c r="CN25" s="811" t="str">
        <f t="shared" si="34"/>
        <v/>
      </c>
      <c r="CO25" s="811" t="str">
        <f t="shared" si="34"/>
        <v/>
      </c>
      <c r="CP25" s="811" t="str">
        <f t="shared" ref="CP25:CY34" si="35">IF(ISNUMBER($J25),IF(CP$12&lt;$J25,"",IF(CP$12=$J25,$D25*$C25,IF(AND(CP$12&gt;$J25,CP$12&lt;$J25+$F25*365),$D25*(1-(CP$12-$J25)/($F25*365))*$C25,""))),"")</f>
        <v/>
      </c>
      <c r="CQ25" s="811" t="str">
        <f t="shared" si="35"/>
        <v/>
      </c>
      <c r="CR25" s="811" t="str">
        <f t="shared" si="35"/>
        <v/>
      </c>
      <c r="CS25" s="811" t="str">
        <f t="shared" si="35"/>
        <v/>
      </c>
      <c r="CT25" s="811" t="str">
        <f t="shared" si="35"/>
        <v/>
      </c>
      <c r="CU25" s="811" t="str">
        <f t="shared" si="35"/>
        <v/>
      </c>
      <c r="CV25" s="811" t="str">
        <f t="shared" si="35"/>
        <v/>
      </c>
      <c r="CW25" s="811" t="str">
        <f t="shared" si="35"/>
        <v/>
      </c>
      <c r="CX25" s="811" t="str">
        <f t="shared" si="35"/>
        <v/>
      </c>
      <c r="CY25" s="811" t="str">
        <f t="shared" si="35"/>
        <v/>
      </c>
      <c r="CZ25" s="811" t="str">
        <f t="shared" ref="CZ25:DK34" si="36">IF(ISNUMBER($J25),IF(CZ$12&lt;$J25,"",IF(CZ$12=$J25,$D25*$C25,IF(AND(CZ$12&gt;$J25,CZ$12&lt;$J25+$F25*365),$D25*(1-(CZ$12-$J25)/($F25*365))*$C25,""))),"")</f>
        <v/>
      </c>
      <c r="DA25" s="811" t="str">
        <f t="shared" si="36"/>
        <v/>
      </c>
      <c r="DB25" s="811" t="str">
        <f t="shared" si="36"/>
        <v/>
      </c>
      <c r="DC25" s="811" t="str">
        <f t="shared" si="36"/>
        <v/>
      </c>
      <c r="DD25" s="811" t="str">
        <f t="shared" si="36"/>
        <v/>
      </c>
      <c r="DE25" s="811" t="str">
        <f t="shared" si="36"/>
        <v/>
      </c>
      <c r="DF25" s="811" t="str">
        <f t="shared" si="36"/>
        <v/>
      </c>
      <c r="DG25" s="811" t="str">
        <f t="shared" si="36"/>
        <v/>
      </c>
      <c r="DH25" s="811" t="str">
        <f t="shared" si="36"/>
        <v/>
      </c>
      <c r="DI25" s="811" t="str">
        <f t="shared" si="36"/>
        <v/>
      </c>
      <c r="DJ25" s="811" t="str">
        <f t="shared" si="36"/>
        <v/>
      </c>
      <c r="DK25" s="811" t="str">
        <f t="shared" si="36"/>
        <v/>
      </c>
    </row>
    <row r="26" spans="2:115" ht="20.100000000000001" customHeight="1" x14ac:dyDescent="0.2">
      <c r="B26" s="815" t="s">
        <v>724</v>
      </c>
      <c r="C26" s="816">
        <v>1</v>
      </c>
      <c r="D26" s="814">
        <v>140</v>
      </c>
      <c r="E26" s="776">
        <v>42410</v>
      </c>
      <c r="F26" s="817">
        <v>70</v>
      </c>
      <c r="G26" s="776">
        <v>46242.5</v>
      </c>
      <c r="H26" s="817">
        <v>0</v>
      </c>
      <c r="I26" s="806"/>
      <c r="J26" s="795">
        <f t="shared" si="13"/>
        <v>42705</v>
      </c>
      <c r="K26" s="795">
        <f t="shared" si="14"/>
        <v>46357</v>
      </c>
      <c r="L26" s="810">
        <f t="shared" si="26"/>
        <v>8.6095890410958908</v>
      </c>
      <c r="M26" s="809" t="str">
        <f t="shared" si="15"/>
        <v>Eastern Goldfields Pipeline (100%)</v>
      </c>
      <c r="N26" s="811" t="str">
        <f t="shared" si="27"/>
        <v/>
      </c>
      <c r="O26" s="811" t="str">
        <f t="shared" si="27"/>
        <v/>
      </c>
      <c r="P26" s="811" t="str">
        <f t="shared" si="27"/>
        <v/>
      </c>
      <c r="Q26" s="811" t="str">
        <f t="shared" si="27"/>
        <v/>
      </c>
      <c r="R26" s="811" t="str">
        <f t="shared" si="27"/>
        <v/>
      </c>
      <c r="S26" s="811" t="str">
        <f t="shared" si="27"/>
        <v/>
      </c>
      <c r="T26" s="811" t="str">
        <f t="shared" si="27"/>
        <v/>
      </c>
      <c r="U26" s="811" t="str">
        <f t="shared" si="27"/>
        <v/>
      </c>
      <c r="V26" s="811" t="str">
        <f t="shared" si="27"/>
        <v/>
      </c>
      <c r="W26" s="811" t="str">
        <f t="shared" si="27"/>
        <v/>
      </c>
      <c r="X26" s="811" t="str">
        <f t="shared" si="28"/>
        <v/>
      </c>
      <c r="Y26" s="811" t="str">
        <f t="shared" si="28"/>
        <v/>
      </c>
      <c r="Z26" s="811" t="str">
        <f t="shared" si="28"/>
        <v/>
      </c>
      <c r="AA26" s="811" t="str">
        <f t="shared" si="28"/>
        <v/>
      </c>
      <c r="AB26" s="811" t="str">
        <f t="shared" si="28"/>
        <v/>
      </c>
      <c r="AC26" s="811" t="str">
        <f t="shared" si="28"/>
        <v/>
      </c>
      <c r="AD26" s="811" t="str">
        <f t="shared" si="28"/>
        <v/>
      </c>
      <c r="AE26" s="811" t="str">
        <f t="shared" si="28"/>
        <v/>
      </c>
      <c r="AF26" s="811" t="str">
        <f t="shared" si="28"/>
        <v/>
      </c>
      <c r="AG26" s="811" t="str">
        <f t="shared" si="28"/>
        <v/>
      </c>
      <c r="AH26" s="811" t="str">
        <f t="shared" si="29"/>
        <v/>
      </c>
      <c r="AI26" s="811" t="str">
        <f t="shared" si="29"/>
        <v/>
      </c>
      <c r="AJ26" s="811" t="str">
        <f t="shared" si="29"/>
        <v/>
      </c>
      <c r="AK26" s="811" t="str">
        <f t="shared" si="29"/>
        <v/>
      </c>
      <c r="AL26" s="811" t="str">
        <f t="shared" si="29"/>
        <v/>
      </c>
      <c r="AM26" s="811" t="str">
        <f t="shared" si="29"/>
        <v/>
      </c>
      <c r="AN26" s="811" t="str">
        <f t="shared" si="29"/>
        <v/>
      </c>
      <c r="AO26" s="811" t="str">
        <f t="shared" si="29"/>
        <v/>
      </c>
      <c r="AP26" s="811" t="str">
        <f t="shared" si="29"/>
        <v/>
      </c>
      <c r="AQ26" s="811" t="str">
        <f t="shared" si="29"/>
        <v/>
      </c>
      <c r="AR26" s="811" t="str">
        <f t="shared" si="30"/>
        <v/>
      </c>
      <c r="AS26" s="811" t="str">
        <f t="shared" si="30"/>
        <v/>
      </c>
      <c r="AT26" s="811" t="str">
        <f t="shared" si="30"/>
        <v/>
      </c>
      <c r="AU26" s="811" t="str">
        <f t="shared" si="30"/>
        <v/>
      </c>
      <c r="AV26" s="811" t="str">
        <f t="shared" si="30"/>
        <v/>
      </c>
      <c r="AW26" s="811" t="str">
        <f t="shared" si="30"/>
        <v/>
      </c>
      <c r="AX26" s="811" t="str">
        <f t="shared" si="30"/>
        <v/>
      </c>
      <c r="AY26" s="811" t="str">
        <f t="shared" si="30"/>
        <v/>
      </c>
      <c r="AZ26" s="811" t="str">
        <f t="shared" si="30"/>
        <v/>
      </c>
      <c r="BA26" s="811" t="str">
        <f t="shared" si="30"/>
        <v/>
      </c>
      <c r="BB26" s="811" t="str">
        <f t="shared" si="31"/>
        <v/>
      </c>
      <c r="BC26" s="811" t="str">
        <f t="shared" si="31"/>
        <v/>
      </c>
      <c r="BD26" s="811" t="str">
        <f t="shared" si="31"/>
        <v/>
      </c>
      <c r="BE26" s="811" t="str">
        <f t="shared" si="31"/>
        <v/>
      </c>
      <c r="BF26" s="811" t="str">
        <f t="shared" si="31"/>
        <v/>
      </c>
      <c r="BG26" s="811" t="str">
        <f t="shared" si="31"/>
        <v/>
      </c>
      <c r="BH26" s="811" t="str">
        <f t="shared" si="31"/>
        <v/>
      </c>
      <c r="BI26" s="811">
        <f t="shared" si="31"/>
        <v>140</v>
      </c>
      <c r="BJ26" s="811">
        <f t="shared" si="31"/>
        <v>138</v>
      </c>
      <c r="BK26" s="811">
        <f t="shared" si="31"/>
        <v>136</v>
      </c>
      <c r="BL26" s="811">
        <f t="shared" si="32"/>
        <v>134</v>
      </c>
      <c r="BM26" s="811">
        <f t="shared" si="32"/>
        <v>131.9945205479452</v>
      </c>
      <c r="BN26" s="811">
        <f t="shared" si="32"/>
        <v>129.9945205479452</v>
      </c>
      <c r="BO26" s="811">
        <f t="shared" si="32"/>
        <v>127.99452054794521</v>
      </c>
      <c r="BP26" s="811">
        <f t="shared" si="32"/>
        <v>125.9945205479452</v>
      </c>
      <c r="BQ26" s="811">
        <f t="shared" si="32"/>
        <v>123.9890410958904</v>
      </c>
      <c r="BR26" s="811">
        <f t="shared" si="32"/>
        <v>121.98904109589041</v>
      </c>
      <c r="BS26" s="811">
        <f t="shared" si="32"/>
        <v>119.9890410958904</v>
      </c>
      <c r="BT26" s="811">
        <f t="shared" si="32"/>
        <v>117.98904109589041</v>
      </c>
      <c r="BU26" s="811">
        <f t="shared" si="32"/>
        <v>115.98356164383561</v>
      </c>
      <c r="BV26" s="811">
        <f t="shared" si="33"/>
        <v>113.98356164383563</v>
      </c>
      <c r="BW26" s="811">
        <f t="shared" si="33"/>
        <v>111.98356164383561</v>
      </c>
      <c r="BX26" s="811">
        <f t="shared" si="33"/>
        <v>109.98356164383561</v>
      </c>
      <c r="BY26" s="811">
        <f t="shared" si="33"/>
        <v>107.97808219178081</v>
      </c>
      <c r="BZ26" s="811">
        <f t="shared" si="33"/>
        <v>105.97808219178081</v>
      </c>
      <c r="CA26" s="811">
        <f t="shared" si="33"/>
        <v>103.97808219178083</v>
      </c>
      <c r="CB26" s="811">
        <f t="shared" si="33"/>
        <v>101.97808219178081</v>
      </c>
      <c r="CC26" s="811">
        <f t="shared" si="33"/>
        <v>99.972602739726028</v>
      </c>
      <c r="CD26" s="811">
        <f t="shared" si="33"/>
        <v>97.972602739726028</v>
      </c>
      <c r="CE26" s="811">
        <f t="shared" si="33"/>
        <v>95.972602739726028</v>
      </c>
      <c r="CF26" s="811">
        <f t="shared" si="34"/>
        <v>93.972602739726028</v>
      </c>
      <c r="CG26" s="811">
        <f t="shared" si="34"/>
        <v>91.967123287671228</v>
      </c>
      <c r="CH26" s="811">
        <f t="shared" si="34"/>
        <v>89.967123287671242</v>
      </c>
      <c r="CI26" s="811">
        <f t="shared" si="34"/>
        <v>87.967123287671228</v>
      </c>
      <c r="CJ26" s="811">
        <f t="shared" si="34"/>
        <v>85.967123287671228</v>
      </c>
      <c r="CK26" s="811">
        <f t="shared" si="34"/>
        <v>83.961643835616428</v>
      </c>
      <c r="CL26" s="811">
        <f t="shared" si="34"/>
        <v>81.961643835616442</v>
      </c>
      <c r="CM26" s="811">
        <f t="shared" si="34"/>
        <v>79.961643835616442</v>
      </c>
      <c r="CN26" s="811">
        <f t="shared" si="34"/>
        <v>77.961643835616442</v>
      </c>
      <c r="CO26" s="811">
        <f t="shared" si="34"/>
        <v>75.956164383561642</v>
      </c>
      <c r="CP26" s="811">
        <f t="shared" si="35"/>
        <v>73.956164383561628</v>
      </c>
      <c r="CQ26" s="811">
        <f t="shared" si="35"/>
        <v>71.956164383561642</v>
      </c>
      <c r="CR26" s="811">
        <f t="shared" si="35"/>
        <v>69.956164383561642</v>
      </c>
      <c r="CS26" s="811">
        <f t="shared" si="35"/>
        <v>67.950684931506856</v>
      </c>
      <c r="CT26" s="811">
        <f t="shared" si="35"/>
        <v>65.950684931506842</v>
      </c>
      <c r="CU26" s="811">
        <f t="shared" si="35"/>
        <v>63.950684931506849</v>
      </c>
      <c r="CV26" s="811">
        <f t="shared" si="35"/>
        <v>61.950684931506842</v>
      </c>
      <c r="CW26" s="811">
        <f t="shared" si="35"/>
        <v>59.945205479452049</v>
      </c>
      <c r="CX26" s="811">
        <f t="shared" si="35"/>
        <v>57.945205479452056</v>
      </c>
      <c r="CY26" s="811">
        <f t="shared" si="35"/>
        <v>55.945205479452063</v>
      </c>
      <c r="CZ26" s="811">
        <f t="shared" si="36"/>
        <v>53.945205479452056</v>
      </c>
      <c r="DA26" s="811">
        <f t="shared" si="36"/>
        <v>51.939726027397256</v>
      </c>
      <c r="DB26" s="811">
        <f t="shared" si="36"/>
        <v>49.939726027397263</v>
      </c>
      <c r="DC26" s="811">
        <f t="shared" si="36"/>
        <v>47.939726027397256</v>
      </c>
      <c r="DD26" s="811">
        <f t="shared" si="36"/>
        <v>45.939726027397263</v>
      </c>
      <c r="DE26" s="811">
        <f t="shared" si="36"/>
        <v>43.93424657534247</v>
      </c>
      <c r="DF26" s="811">
        <f t="shared" si="36"/>
        <v>41.934246575342463</v>
      </c>
      <c r="DG26" s="811">
        <f t="shared" si="36"/>
        <v>39.93424657534247</v>
      </c>
      <c r="DH26" s="811">
        <f t="shared" si="36"/>
        <v>37.934246575342463</v>
      </c>
      <c r="DI26" s="811">
        <f t="shared" si="36"/>
        <v>35.928767123287663</v>
      </c>
      <c r="DJ26" s="811">
        <f t="shared" si="36"/>
        <v>33.92876712328767</v>
      </c>
      <c r="DK26" s="811">
        <f t="shared" si="36"/>
        <v>31.928767123287663</v>
      </c>
    </row>
    <row r="27" spans="2:115" ht="20.100000000000001" customHeight="1" x14ac:dyDescent="0.2">
      <c r="B27" s="815" t="s">
        <v>544</v>
      </c>
      <c r="C27" s="816">
        <v>1</v>
      </c>
      <c r="D27" s="814">
        <v>118.68604895758948</v>
      </c>
      <c r="E27" s="776">
        <v>35217</v>
      </c>
      <c r="F27" s="817">
        <v>70</v>
      </c>
      <c r="G27" s="776">
        <v>46167</v>
      </c>
      <c r="H27" s="817">
        <v>0</v>
      </c>
      <c r="I27" s="806"/>
      <c r="J27" s="795">
        <f t="shared" si="13"/>
        <v>35400</v>
      </c>
      <c r="K27" s="795">
        <f t="shared" si="14"/>
        <v>46357</v>
      </c>
      <c r="L27" s="810">
        <f t="shared" si="26"/>
        <v>8.4027397260273968</v>
      </c>
      <c r="M27" s="809" t="str">
        <f t="shared" si="15"/>
        <v>Ethane Pipeline (100%)</v>
      </c>
      <c r="N27" s="811" t="str">
        <f t="shared" si="27"/>
        <v/>
      </c>
      <c r="O27" s="811" t="str">
        <f t="shared" si="27"/>
        <v/>
      </c>
      <c r="P27" s="811" t="str">
        <f t="shared" si="27"/>
        <v/>
      </c>
      <c r="Q27" s="811" t="str">
        <f t="shared" si="27"/>
        <v/>
      </c>
      <c r="R27" s="811" t="str">
        <f t="shared" si="27"/>
        <v/>
      </c>
      <c r="S27" s="811" t="str">
        <f t="shared" si="27"/>
        <v/>
      </c>
      <c r="T27" s="811" t="str">
        <f t="shared" si="27"/>
        <v/>
      </c>
      <c r="U27" s="811" t="str">
        <f t="shared" si="27"/>
        <v/>
      </c>
      <c r="V27" s="811" t="str">
        <f t="shared" si="27"/>
        <v/>
      </c>
      <c r="W27" s="811" t="str">
        <f t="shared" si="27"/>
        <v/>
      </c>
      <c r="X27" s="811" t="str">
        <f t="shared" si="28"/>
        <v/>
      </c>
      <c r="Y27" s="811" t="str">
        <f t="shared" si="28"/>
        <v/>
      </c>
      <c r="Z27" s="811" t="str">
        <f t="shared" si="28"/>
        <v/>
      </c>
      <c r="AA27" s="811" t="str">
        <f t="shared" si="28"/>
        <v/>
      </c>
      <c r="AB27" s="811" t="str">
        <f t="shared" si="28"/>
        <v/>
      </c>
      <c r="AC27" s="811" t="str">
        <f t="shared" si="28"/>
        <v/>
      </c>
      <c r="AD27" s="811" t="str">
        <f t="shared" si="28"/>
        <v/>
      </c>
      <c r="AE27" s="811" t="str">
        <f t="shared" si="28"/>
        <v/>
      </c>
      <c r="AF27" s="811" t="str">
        <f t="shared" si="28"/>
        <v/>
      </c>
      <c r="AG27" s="811" t="str">
        <f t="shared" si="28"/>
        <v/>
      </c>
      <c r="AH27" s="811" t="str">
        <f t="shared" si="29"/>
        <v/>
      </c>
      <c r="AI27" s="811" t="str">
        <f t="shared" si="29"/>
        <v/>
      </c>
      <c r="AJ27" s="811" t="str">
        <f t="shared" si="29"/>
        <v/>
      </c>
      <c r="AK27" s="811" t="str">
        <f t="shared" si="29"/>
        <v/>
      </c>
      <c r="AL27" s="811" t="str">
        <f t="shared" si="29"/>
        <v/>
      </c>
      <c r="AM27" s="811" t="str">
        <f t="shared" si="29"/>
        <v/>
      </c>
      <c r="AN27" s="811" t="str">
        <f t="shared" si="29"/>
        <v/>
      </c>
      <c r="AO27" s="811">
        <f t="shared" si="29"/>
        <v>118.68604895758948</v>
      </c>
      <c r="AP27" s="811">
        <f t="shared" si="29"/>
        <v>116.99053397248106</v>
      </c>
      <c r="AQ27" s="811">
        <f t="shared" si="29"/>
        <v>115.29501898737263</v>
      </c>
      <c r="AR27" s="811">
        <f t="shared" si="30"/>
        <v>113.59950400226423</v>
      </c>
      <c r="AS27" s="811">
        <f t="shared" si="30"/>
        <v>111.89934377062126</v>
      </c>
      <c r="AT27" s="811">
        <f t="shared" si="30"/>
        <v>110.20382878551283</v>
      </c>
      <c r="AU27" s="811">
        <f t="shared" si="30"/>
        <v>108.50831380040441</v>
      </c>
      <c r="AV27" s="811">
        <f t="shared" si="30"/>
        <v>106.81279881529598</v>
      </c>
      <c r="AW27" s="811">
        <f t="shared" si="30"/>
        <v>105.11263858365302</v>
      </c>
      <c r="AX27" s="811">
        <f t="shared" si="30"/>
        <v>103.41712359854461</v>
      </c>
      <c r="AY27" s="811">
        <f t="shared" si="30"/>
        <v>101.72160861343617</v>
      </c>
      <c r="AZ27" s="811">
        <f t="shared" si="30"/>
        <v>100.02609362832776</v>
      </c>
      <c r="BA27" s="811">
        <f t="shared" si="30"/>
        <v>98.325933396684789</v>
      </c>
      <c r="BB27" s="811">
        <f t="shared" si="31"/>
        <v>96.630418411576386</v>
      </c>
      <c r="BC27" s="811">
        <f t="shared" si="31"/>
        <v>94.934903426467955</v>
      </c>
      <c r="BD27" s="811">
        <f t="shared" si="31"/>
        <v>93.239388441359523</v>
      </c>
      <c r="BE27" s="811">
        <f t="shared" si="31"/>
        <v>91.539228209716555</v>
      </c>
      <c r="BF27" s="811">
        <f t="shared" si="31"/>
        <v>89.843713224608138</v>
      </c>
      <c r="BG27" s="811">
        <f t="shared" si="31"/>
        <v>88.148198239499735</v>
      </c>
      <c r="BH27" s="811">
        <f t="shared" si="31"/>
        <v>86.452683254391303</v>
      </c>
      <c r="BI27" s="811">
        <f t="shared" si="31"/>
        <v>84.752523022748335</v>
      </c>
      <c r="BJ27" s="811">
        <f t="shared" si="31"/>
        <v>83.057008037639918</v>
      </c>
      <c r="BK27" s="811">
        <f t="shared" si="31"/>
        <v>81.361493052531486</v>
      </c>
      <c r="BL27" s="811">
        <f t="shared" si="32"/>
        <v>79.665978067423083</v>
      </c>
      <c r="BM27" s="811">
        <f t="shared" si="32"/>
        <v>77.965817835780115</v>
      </c>
      <c r="BN27" s="811">
        <f t="shared" si="32"/>
        <v>76.270302850671698</v>
      </c>
      <c r="BO27" s="811">
        <f t="shared" si="32"/>
        <v>74.574787865563266</v>
      </c>
      <c r="BP27" s="811">
        <f t="shared" si="32"/>
        <v>72.879272880454835</v>
      </c>
      <c r="BQ27" s="811">
        <f t="shared" si="32"/>
        <v>71.179112648811881</v>
      </c>
      <c r="BR27" s="811">
        <f t="shared" si="32"/>
        <v>69.483597663703463</v>
      </c>
      <c r="BS27" s="811">
        <f t="shared" si="32"/>
        <v>67.788082678595046</v>
      </c>
      <c r="BT27" s="811">
        <f t="shared" si="32"/>
        <v>66.092567693486615</v>
      </c>
      <c r="BU27" s="811">
        <f t="shared" si="32"/>
        <v>64.392407461843646</v>
      </c>
      <c r="BV27" s="811">
        <f t="shared" si="33"/>
        <v>62.696892476735222</v>
      </c>
      <c r="BW27" s="811">
        <f t="shared" si="33"/>
        <v>61.001377491626805</v>
      </c>
      <c r="BX27" s="811">
        <f t="shared" si="33"/>
        <v>59.305862506518395</v>
      </c>
      <c r="BY27" s="811">
        <f t="shared" si="33"/>
        <v>57.605702274875426</v>
      </c>
      <c r="BZ27" s="811">
        <f t="shared" si="33"/>
        <v>55.910187289767002</v>
      </c>
      <c r="CA27" s="811">
        <f t="shared" si="33"/>
        <v>54.214672304658585</v>
      </c>
      <c r="CB27" s="811">
        <f t="shared" si="33"/>
        <v>52.519157319550153</v>
      </c>
      <c r="CC27" s="811">
        <f t="shared" si="33"/>
        <v>50.818997087907192</v>
      </c>
      <c r="CD27" s="811">
        <f t="shared" si="33"/>
        <v>49.123482102798775</v>
      </c>
      <c r="CE27" s="811">
        <f t="shared" si="33"/>
        <v>47.427967117690365</v>
      </c>
      <c r="CF27" s="811">
        <f t="shared" si="34"/>
        <v>45.732452132581933</v>
      </c>
      <c r="CG27" s="811">
        <f t="shared" si="34"/>
        <v>44.032291900938965</v>
      </c>
      <c r="CH27" s="811">
        <f t="shared" si="34"/>
        <v>42.336776915830555</v>
      </c>
      <c r="CI27" s="811">
        <f t="shared" si="34"/>
        <v>40.641261930722123</v>
      </c>
      <c r="CJ27" s="811">
        <f t="shared" si="34"/>
        <v>38.945746945613713</v>
      </c>
      <c r="CK27" s="811">
        <f t="shared" si="34"/>
        <v>37.245586713970745</v>
      </c>
      <c r="CL27" s="811">
        <f t="shared" si="34"/>
        <v>35.550071728862314</v>
      </c>
      <c r="CM27" s="811">
        <f t="shared" si="34"/>
        <v>33.854556743753903</v>
      </c>
      <c r="CN27" s="811">
        <f t="shared" si="34"/>
        <v>32.159041758645472</v>
      </c>
      <c r="CO27" s="811">
        <f t="shared" si="34"/>
        <v>30.458881527002507</v>
      </c>
      <c r="CP27" s="811">
        <f t="shared" si="35"/>
        <v>28.763366541894094</v>
      </c>
      <c r="CQ27" s="811">
        <f t="shared" si="35"/>
        <v>27.067851556785666</v>
      </c>
      <c r="CR27" s="811">
        <f t="shared" si="35"/>
        <v>25.372336571677248</v>
      </c>
      <c r="CS27" s="811">
        <f t="shared" si="35"/>
        <v>23.672176340034284</v>
      </c>
      <c r="CT27" s="811">
        <f t="shared" si="35"/>
        <v>21.97666135492587</v>
      </c>
      <c r="CU27" s="811">
        <f t="shared" si="35"/>
        <v>20.281146369817442</v>
      </c>
      <c r="CV27" s="811">
        <f t="shared" si="35"/>
        <v>18.585631384709028</v>
      </c>
      <c r="CW27" s="811">
        <f t="shared" si="35"/>
        <v>16.88547115306606</v>
      </c>
      <c r="CX27" s="811">
        <f t="shared" si="35"/>
        <v>15.189956167957634</v>
      </c>
      <c r="CY27" s="811">
        <f t="shared" si="35"/>
        <v>13.494441182849219</v>
      </c>
      <c r="CZ27" s="811">
        <f t="shared" si="36"/>
        <v>11.798926197740791</v>
      </c>
      <c r="DA27" s="811">
        <f t="shared" si="36"/>
        <v>10.098765966097826</v>
      </c>
      <c r="DB27" s="811">
        <f t="shared" si="36"/>
        <v>8.4032509809894105</v>
      </c>
      <c r="DC27" s="811">
        <f t="shared" si="36"/>
        <v>6.7077359958809817</v>
      </c>
      <c r="DD27" s="811">
        <f t="shared" si="36"/>
        <v>5.0122210107725671</v>
      </c>
      <c r="DE27" s="811">
        <f t="shared" si="36"/>
        <v>3.312060779129602</v>
      </c>
      <c r="DF27" s="811">
        <f t="shared" si="36"/>
        <v>1.6165457940211736</v>
      </c>
      <c r="DG27" s="811" t="str">
        <f t="shared" si="36"/>
        <v/>
      </c>
      <c r="DH27" s="811" t="str">
        <f t="shared" si="36"/>
        <v/>
      </c>
      <c r="DI27" s="811" t="str">
        <f t="shared" si="36"/>
        <v/>
      </c>
      <c r="DJ27" s="811" t="str">
        <f t="shared" si="36"/>
        <v/>
      </c>
      <c r="DK27" s="811" t="str">
        <f t="shared" si="36"/>
        <v/>
      </c>
    </row>
    <row r="28" spans="2:115" ht="20.100000000000001" customHeight="1" x14ac:dyDescent="0.2">
      <c r="B28" s="815" t="s">
        <v>728</v>
      </c>
      <c r="C28" s="816">
        <v>0.5</v>
      </c>
      <c r="D28" s="814">
        <v>134.65546168543602</v>
      </c>
      <c r="E28" s="776">
        <v>36495</v>
      </c>
      <c r="F28" s="817">
        <v>70</v>
      </c>
      <c r="G28" s="776">
        <v>47445</v>
      </c>
      <c r="H28" s="817">
        <v>0</v>
      </c>
      <c r="I28" s="806"/>
      <c r="J28" s="795">
        <f t="shared" si="13"/>
        <v>36495</v>
      </c>
      <c r="K28" s="795">
        <f t="shared" si="14"/>
        <v>47453</v>
      </c>
      <c r="L28" s="810">
        <f t="shared" si="26"/>
        <v>11.904109589041095</v>
      </c>
      <c r="M28" s="809" t="str">
        <f t="shared" si="15"/>
        <v>Mid West Pipeline (50%)</v>
      </c>
      <c r="N28" s="811" t="str">
        <f t="shared" si="27"/>
        <v/>
      </c>
      <c r="O28" s="811" t="str">
        <f t="shared" si="27"/>
        <v/>
      </c>
      <c r="P28" s="811" t="str">
        <f t="shared" si="27"/>
        <v/>
      </c>
      <c r="Q28" s="811" t="str">
        <f t="shared" si="27"/>
        <v/>
      </c>
      <c r="R28" s="811" t="str">
        <f t="shared" si="27"/>
        <v/>
      </c>
      <c r="S28" s="811" t="str">
        <f t="shared" si="27"/>
        <v/>
      </c>
      <c r="T28" s="811" t="str">
        <f t="shared" si="27"/>
        <v/>
      </c>
      <c r="U28" s="811" t="str">
        <f t="shared" si="27"/>
        <v/>
      </c>
      <c r="V28" s="811" t="str">
        <f t="shared" si="27"/>
        <v/>
      </c>
      <c r="W28" s="811" t="str">
        <f t="shared" si="27"/>
        <v/>
      </c>
      <c r="X28" s="811" t="str">
        <f t="shared" si="28"/>
        <v/>
      </c>
      <c r="Y28" s="811" t="str">
        <f t="shared" si="28"/>
        <v/>
      </c>
      <c r="Z28" s="811" t="str">
        <f t="shared" si="28"/>
        <v/>
      </c>
      <c r="AA28" s="811" t="str">
        <f t="shared" si="28"/>
        <v/>
      </c>
      <c r="AB28" s="811" t="str">
        <f t="shared" si="28"/>
        <v/>
      </c>
      <c r="AC28" s="811" t="str">
        <f t="shared" si="28"/>
        <v/>
      </c>
      <c r="AD28" s="811" t="str">
        <f t="shared" si="28"/>
        <v/>
      </c>
      <c r="AE28" s="811" t="str">
        <f t="shared" si="28"/>
        <v/>
      </c>
      <c r="AF28" s="811" t="str">
        <f t="shared" si="28"/>
        <v/>
      </c>
      <c r="AG28" s="811" t="str">
        <f t="shared" si="28"/>
        <v/>
      </c>
      <c r="AH28" s="811" t="str">
        <f t="shared" si="29"/>
        <v/>
      </c>
      <c r="AI28" s="811" t="str">
        <f t="shared" si="29"/>
        <v/>
      </c>
      <c r="AJ28" s="811" t="str">
        <f t="shared" si="29"/>
        <v/>
      </c>
      <c r="AK28" s="811" t="str">
        <f t="shared" si="29"/>
        <v/>
      </c>
      <c r="AL28" s="811" t="str">
        <f t="shared" si="29"/>
        <v/>
      </c>
      <c r="AM28" s="811" t="str">
        <f t="shared" si="29"/>
        <v/>
      </c>
      <c r="AN28" s="811" t="str">
        <f t="shared" si="29"/>
        <v/>
      </c>
      <c r="AO28" s="811" t="str">
        <f t="shared" si="29"/>
        <v/>
      </c>
      <c r="AP28" s="811" t="str">
        <f t="shared" si="29"/>
        <v/>
      </c>
      <c r="AQ28" s="811" t="str">
        <f t="shared" si="29"/>
        <v/>
      </c>
      <c r="AR28" s="811">
        <f t="shared" si="30"/>
        <v>67.327730842718012</v>
      </c>
      <c r="AS28" s="811">
        <f t="shared" si="30"/>
        <v>66.363270980156969</v>
      </c>
      <c r="AT28" s="811">
        <f t="shared" si="30"/>
        <v>65.401446253832418</v>
      </c>
      <c r="AU28" s="811">
        <f t="shared" si="30"/>
        <v>64.439621527507882</v>
      </c>
      <c r="AV28" s="811">
        <f t="shared" si="30"/>
        <v>63.477796801183338</v>
      </c>
      <c r="AW28" s="811">
        <f t="shared" si="30"/>
        <v>62.513336938622288</v>
      </c>
      <c r="AX28" s="811">
        <f t="shared" si="30"/>
        <v>61.551512212297737</v>
      </c>
      <c r="AY28" s="811">
        <f t="shared" si="30"/>
        <v>60.589687485973201</v>
      </c>
      <c r="AZ28" s="811">
        <f t="shared" si="30"/>
        <v>59.627862759648657</v>
      </c>
      <c r="BA28" s="811">
        <f t="shared" si="30"/>
        <v>58.663402897087607</v>
      </c>
      <c r="BB28" s="811">
        <f t="shared" si="31"/>
        <v>57.701578170763064</v>
      </c>
      <c r="BC28" s="811">
        <f t="shared" si="31"/>
        <v>56.73975344443852</v>
      </c>
      <c r="BD28" s="811">
        <f t="shared" si="31"/>
        <v>55.777928718113976</v>
      </c>
      <c r="BE28" s="811">
        <f t="shared" si="31"/>
        <v>54.813468855552934</v>
      </c>
      <c r="BF28" s="811">
        <f t="shared" si="31"/>
        <v>53.85164412922839</v>
      </c>
      <c r="BG28" s="811">
        <f t="shared" si="31"/>
        <v>52.889819402903846</v>
      </c>
      <c r="BH28" s="811">
        <f t="shared" si="31"/>
        <v>51.927994676579296</v>
      </c>
      <c r="BI28" s="811">
        <f t="shared" si="31"/>
        <v>50.963534814018246</v>
      </c>
      <c r="BJ28" s="811">
        <f t="shared" si="31"/>
        <v>50.001710087693709</v>
      </c>
      <c r="BK28" s="811">
        <f t="shared" si="31"/>
        <v>49.039885361369166</v>
      </c>
      <c r="BL28" s="811">
        <f t="shared" si="32"/>
        <v>48.078060635044622</v>
      </c>
      <c r="BM28" s="811">
        <f t="shared" si="32"/>
        <v>47.113600772483572</v>
      </c>
      <c r="BN28" s="811">
        <f t="shared" si="32"/>
        <v>46.151776046159036</v>
      </c>
      <c r="BO28" s="811">
        <f t="shared" si="32"/>
        <v>45.189951319834485</v>
      </c>
      <c r="BP28" s="811">
        <f t="shared" si="32"/>
        <v>44.228126593509948</v>
      </c>
      <c r="BQ28" s="811">
        <f t="shared" si="32"/>
        <v>43.263666730948898</v>
      </c>
      <c r="BR28" s="811">
        <f t="shared" si="32"/>
        <v>42.301842004624355</v>
      </c>
      <c r="BS28" s="811">
        <f t="shared" si="32"/>
        <v>41.340017278299811</v>
      </c>
      <c r="BT28" s="811">
        <f t="shared" si="32"/>
        <v>40.378192551975268</v>
      </c>
      <c r="BU28" s="811">
        <f t="shared" si="32"/>
        <v>39.413732689414218</v>
      </c>
      <c r="BV28" s="811">
        <f t="shared" si="33"/>
        <v>38.451907963089674</v>
      </c>
      <c r="BW28" s="811">
        <f t="shared" si="33"/>
        <v>37.490083236765138</v>
      </c>
      <c r="BX28" s="811">
        <f t="shared" si="33"/>
        <v>36.528258510440587</v>
      </c>
      <c r="BY28" s="811">
        <f t="shared" si="33"/>
        <v>35.563798647879537</v>
      </c>
      <c r="BZ28" s="811">
        <f t="shared" si="33"/>
        <v>34.601973921554993</v>
      </c>
      <c r="CA28" s="811">
        <f t="shared" si="33"/>
        <v>33.640149195230457</v>
      </c>
      <c r="CB28" s="811">
        <f t="shared" si="33"/>
        <v>32.678324468905913</v>
      </c>
      <c r="CC28" s="811">
        <f t="shared" si="33"/>
        <v>31.713864606344867</v>
      </c>
      <c r="CD28" s="811">
        <f t="shared" si="33"/>
        <v>30.75203988002032</v>
      </c>
      <c r="CE28" s="811">
        <f t="shared" si="33"/>
        <v>29.79021515369578</v>
      </c>
      <c r="CF28" s="811">
        <f t="shared" si="34"/>
        <v>28.828390427371232</v>
      </c>
      <c r="CG28" s="811">
        <f t="shared" si="34"/>
        <v>27.863930564810182</v>
      </c>
      <c r="CH28" s="811">
        <f t="shared" si="34"/>
        <v>26.902105838485642</v>
      </c>
      <c r="CI28" s="811">
        <f t="shared" si="34"/>
        <v>25.940281112161102</v>
      </c>
      <c r="CJ28" s="811">
        <f t="shared" si="34"/>
        <v>24.978456385836555</v>
      </c>
      <c r="CK28" s="811">
        <f t="shared" si="34"/>
        <v>24.013996523275509</v>
      </c>
      <c r="CL28" s="811">
        <f t="shared" si="34"/>
        <v>23.052171796950969</v>
      </c>
      <c r="CM28" s="811">
        <f t="shared" si="34"/>
        <v>22.090347070626422</v>
      </c>
      <c r="CN28" s="811">
        <f t="shared" si="34"/>
        <v>21.128522344301881</v>
      </c>
      <c r="CO28" s="811">
        <f t="shared" si="34"/>
        <v>20.164062481740832</v>
      </c>
      <c r="CP28" s="811">
        <f t="shared" si="35"/>
        <v>19.202237755416284</v>
      </c>
      <c r="CQ28" s="811">
        <f t="shared" si="35"/>
        <v>18.240413029091748</v>
      </c>
      <c r="CR28" s="811">
        <f t="shared" si="35"/>
        <v>17.278588302767201</v>
      </c>
      <c r="CS28" s="811">
        <f t="shared" si="35"/>
        <v>16.314128440206151</v>
      </c>
      <c r="CT28" s="811">
        <f t="shared" si="35"/>
        <v>15.352303713881611</v>
      </c>
      <c r="CU28" s="811">
        <f t="shared" si="35"/>
        <v>14.390478987557064</v>
      </c>
      <c r="CV28" s="811">
        <f t="shared" si="35"/>
        <v>13.428654261232523</v>
      </c>
      <c r="CW28" s="811">
        <f t="shared" si="35"/>
        <v>12.464194398671475</v>
      </c>
      <c r="CX28" s="811">
        <f t="shared" si="35"/>
        <v>11.502369672346935</v>
      </c>
      <c r="CY28" s="811">
        <f t="shared" si="35"/>
        <v>10.540544946022388</v>
      </c>
      <c r="CZ28" s="811">
        <f t="shared" si="36"/>
        <v>9.5787202196978498</v>
      </c>
      <c r="DA28" s="811">
        <f t="shared" si="36"/>
        <v>8.6142603571367999</v>
      </c>
      <c r="DB28" s="811">
        <f t="shared" si="36"/>
        <v>7.6524356308122536</v>
      </c>
      <c r="DC28" s="811">
        <f t="shared" si="36"/>
        <v>6.6906109044877136</v>
      </c>
      <c r="DD28" s="811">
        <f t="shared" si="36"/>
        <v>5.7287861781631664</v>
      </c>
      <c r="DE28" s="811">
        <f t="shared" si="36"/>
        <v>4.7643263156021183</v>
      </c>
      <c r="DF28" s="811">
        <f t="shared" si="36"/>
        <v>3.8025015892775782</v>
      </c>
      <c r="DG28" s="811">
        <f t="shared" si="36"/>
        <v>2.840676862953031</v>
      </c>
      <c r="DH28" s="811">
        <f t="shared" si="36"/>
        <v>1.8788521366284916</v>
      </c>
      <c r="DI28" s="811">
        <f t="shared" si="36"/>
        <v>0.91439227406744295</v>
      </c>
      <c r="DJ28" s="811" t="str">
        <f t="shared" si="36"/>
        <v/>
      </c>
      <c r="DK28" s="811" t="str">
        <f t="shared" si="36"/>
        <v/>
      </c>
    </row>
    <row r="29" spans="2:115" ht="20.100000000000001" customHeight="1" x14ac:dyDescent="0.2">
      <c r="B29" s="815" t="s">
        <v>865</v>
      </c>
      <c r="C29" s="816">
        <v>1</v>
      </c>
      <c r="D29" s="814">
        <v>118.85688121014719</v>
      </c>
      <c r="E29" s="776">
        <v>28117</v>
      </c>
      <c r="F29" s="817">
        <v>70</v>
      </c>
      <c r="G29" s="776">
        <v>43800</v>
      </c>
      <c r="H29" s="817">
        <v>0</v>
      </c>
      <c r="I29" s="806"/>
      <c r="J29" s="795">
        <f t="shared" si="13"/>
        <v>28095</v>
      </c>
      <c r="K29" s="795">
        <f t="shared" si="14"/>
        <v>43800</v>
      </c>
      <c r="L29" s="810">
        <f t="shared" si="26"/>
        <v>1.9178082191780821</v>
      </c>
      <c r="M29" s="809" t="str">
        <f t="shared" si="15"/>
        <v>Moomba Sydney Pipeline (100%)</v>
      </c>
      <c r="N29" s="811" t="str">
        <f t="shared" si="27"/>
        <v/>
      </c>
      <c r="O29" s="811" t="str">
        <f t="shared" si="27"/>
        <v/>
      </c>
      <c r="P29" s="811" t="str">
        <f t="shared" si="27"/>
        <v/>
      </c>
      <c r="Q29" s="811" t="str">
        <f t="shared" si="27"/>
        <v/>
      </c>
      <c r="R29" s="811" t="str">
        <f t="shared" si="27"/>
        <v/>
      </c>
      <c r="S29" s="811" t="str">
        <f t="shared" si="27"/>
        <v/>
      </c>
      <c r="T29" s="811" t="str">
        <f t="shared" si="27"/>
        <v/>
      </c>
      <c r="U29" s="811">
        <f t="shared" si="27"/>
        <v>118.85688121014719</v>
      </c>
      <c r="V29" s="811">
        <f t="shared" si="27"/>
        <v>117.15892576428796</v>
      </c>
      <c r="W29" s="811">
        <f t="shared" si="27"/>
        <v>115.46097031842871</v>
      </c>
      <c r="X29" s="811">
        <f t="shared" si="28"/>
        <v>113.76301487256946</v>
      </c>
      <c r="Y29" s="811">
        <f t="shared" si="28"/>
        <v>112.06040749398183</v>
      </c>
      <c r="Z29" s="811">
        <f t="shared" si="28"/>
        <v>110.36245204812258</v>
      </c>
      <c r="AA29" s="811">
        <f t="shared" si="28"/>
        <v>108.66449660226334</v>
      </c>
      <c r="AB29" s="811">
        <f t="shared" si="28"/>
        <v>106.96654115640409</v>
      </c>
      <c r="AC29" s="811">
        <f t="shared" si="28"/>
        <v>105.26393377781646</v>
      </c>
      <c r="AD29" s="811">
        <f t="shared" si="28"/>
        <v>103.56597833195723</v>
      </c>
      <c r="AE29" s="811">
        <f t="shared" si="28"/>
        <v>101.86802288609798</v>
      </c>
      <c r="AF29" s="811">
        <f t="shared" si="28"/>
        <v>100.17006744023872</v>
      </c>
      <c r="AG29" s="811">
        <f t="shared" si="28"/>
        <v>98.467460061651096</v>
      </c>
      <c r="AH29" s="811">
        <f t="shared" si="29"/>
        <v>96.76950461579186</v>
      </c>
      <c r="AI29" s="811">
        <f t="shared" si="29"/>
        <v>95.071549169932609</v>
      </c>
      <c r="AJ29" s="811">
        <f t="shared" si="29"/>
        <v>93.373593724073359</v>
      </c>
      <c r="AK29" s="811">
        <f t="shared" si="29"/>
        <v>91.67098634548573</v>
      </c>
      <c r="AL29" s="811">
        <f t="shared" si="29"/>
        <v>89.973030899626494</v>
      </c>
      <c r="AM29" s="811">
        <f t="shared" si="29"/>
        <v>88.275075453767258</v>
      </c>
      <c r="AN29" s="811">
        <f t="shared" si="29"/>
        <v>86.577120007907993</v>
      </c>
      <c r="AO29" s="811">
        <f t="shared" si="29"/>
        <v>84.874512629320364</v>
      </c>
      <c r="AP29" s="811">
        <f t="shared" si="29"/>
        <v>83.176557183461128</v>
      </c>
      <c r="AQ29" s="811">
        <f t="shared" si="29"/>
        <v>81.478601737601878</v>
      </c>
      <c r="AR29" s="811">
        <f t="shared" si="30"/>
        <v>79.780646291742642</v>
      </c>
      <c r="AS29" s="811">
        <f t="shared" si="30"/>
        <v>78.078038913155012</v>
      </c>
      <c r="AT29" s="811">
        <f t="shared" si="30"/>
        <v>76.380083467295776</v>
      </c>
      <c r="AU29" s="811">
        <f t="shared" si="30"/>
        <v>74.682128021436526</v>
      </c>
      <c r="AV29" s="811">
        <f t="shared" si="30"/>
        <v>72.984172575577261</v>
      </c>
      <c r="AW29" s="811">
        <f t="shared" si="30"/>
        <v>71.281565196989632</v>
      </c>
      <c r="AX29" s="811">
        <f t="shared" si="30"/>
        <v>69.583609751130396</v>
      </c>
      <c r="AY29" s="811">
        <f t="shared" si="30"/>
        <v>67.88565430527116</v>
      </c>
      <c r="AZ29" s="811">
        <f t="shared" si="30"/>
        <v>66.18769885941191</v>
      </c>
      <c r="BA29" s="811">
        <f t="shared" si="30"/>
        <v>64.485091480824281</v>
      </c>
      <c r="BB29" s="811">
        <f t="shared" si="31"/>
        <v>62.78713603496503</v>
      </c>
      <c r="BC29" s="811">
        <f t="shared" si="31"/>
        <v>61.089180589105787</v>
      </c>
      <c r="BD29" s="811">
        <f t="shared" si="31"/>
        <v>59.391225143246551</v>
      </c>
      <c r="BE29" s="811">
        <f t="shared" si="31"/>
        <v>57.688617764658922</v>
      </c>
      <c r="BF29" s="811">
        <f t="shared" si="31"/>
        <v>55.990662318799664</v>
      </c>
      <c r="BG29" s="811">
        <f t="shared" si="31"/>
        <v>54.292706872940428</v>
      </c>
      <c r="BH29" s="811">
        <f t="shared" si="31"/>
        <v>52.594751427081178</v>
      </c>
      <c r="BI29" s="811">
        <f t="shared" si="31"/>
        <v>50.892144048493549</v>
      </c>
      <c r="BJ29" s="811">
        <f t="shared" si="31"/>
        <v>49.194188602634306</v>
      </c>
      <c r="BK29" s="811">
        <f t="shared" si="31"/>
        <v>47.49623315677507</v>
      </c>
      <c r="BL29" s="811">
        <f t="shared" si="32"/>
        <v>45.798277710915819</v>
      </c>
      <c r="BM29" s="811">
        <f t="shared" si="32"/>
        <v>44.09567033232819</v>
      </c>
      <c r="BN29" s="811">
        <f t="shared" si="32"/>
        <v>42.397714886468947</v>
      </c>
      <c r="BO29" s="811">
        <f t="shared" si="32"/>
        <v>40.699759440609697</v>
      </c>
      <c r="BP29" s="811">
        <f t="shared" si="32"/>
        <v>39.00180399475046</v>
      </c>
      <c r="BQ29" s="811">
        <f t="shared" si="32"/>
        <v>37.299196616162831</v>
      </c>
      <c r="BR29" s="811">
        <f t="shared" si="32"/>
        <v>35.601241170303574</v>
      </c>
      <c r="BS29" s="811">
        <f t="shared" si="32"/>
        <v>33.903285724444338</v>
      </c>
      <c r="BT29" s="811">
        <f t="shared" si="32"/>
        <v>32.205330278585087</v>
      </c>
      <c r="BU29" s="811">
        <f t="shared" si="32"/>
        <v>30.502722899997458</v>
      </c>
      <c r="BV29" s="811">
        <f t="shared" si="33"/>
        <v>28.804767454138219</v>
      </c>
      <c r="BW29" s="811">
        <f t="shared" si="33"/>
        <v>27.106812008278965</v>
      </c>
      <c r="BX29" s="811">
        <f t="shared" si="33"/>
        <v>25.408856562419725</v>
      </c>
      <c r="BY29" s="811">
        <f t="shared" si="33"/>
        <v>23.706249183832099</v>
      </c>
      <c r="BZ29" s="811">
        <f t="shared" si="33"/>
        <v>22.00829373797286</v>
      </c>
      <c r="CA29" s="811">
        <f t="shared" si="33"/>
        <v>20.310338292113606</v>
      </c>
      <c r="CB29" s="811">
        <f t="shared" si="33"/>
        <v>18.612382846254366</v>
      </c>
      <c r="CC29" s="811">
        <f t="shared" si="33"/>
        <v>16.909775467666737</v>
      </c>
      <c r="CD29" s="811">
        <f t="shared" si="33"/>
        <v>15.211820021807487</v>
      </c>
      <c r="CE29" s="811">
        <f t="shared" si="33"/>
        <v>13.513864575948247</v>
      </c>
      <c r="CF29" s="811">
        <f t="shared" si="34"/>
        <v>11.815909130088993</v>
      </c>
      <c r="CG29" s="811">
        <f t="shared" si="34"/>
        <v>10.113301751501366</v>
      </c>
      <c r="CH29" s="811">
        <f t="shared" si="34"/>
        <v>8.4153463056421263</v>
      </c>
      <c r="CI29" s="811">
        <f t="shared" si="34"/>
        <v>6.7173908597828742</v>
      </c>
      <c r="CJ29" s="811">
        <f t="shared" si="34"/>
        <v>5.0194354139236346</v>
      </c>
      <c r="CK29" s="811">
        <f t="shared" si="34"/>
        <v>3.3168280353360071</v>
      </c>
      <c r="CL29" s="811">
        <f t="shared" si="34"/>
        <v>1.6188725894767544</v>
      </c>
      <c r="CM29" s="811" t="str">
        <f t="shared" si="34"/>
        <v/>
      </c>
      <c r="CN29" s="811" t="str">
        <f t="shared" si="34"/>
        <v/>
      </c>
      <c r="CO29" s="811" t="str">
        <f t="shared" si="34"/>
        <v/>
      </c>
      <c r="CP29" s="811" t="str">
        <f t="shared" si="35"/>
        <v/>
      </c>
      <c r="CQ29" s="811" t="str">
        <f t="shared" si="35"/>
        <v/>
      </c>
      <c r="CR29" s="811" t="str">
        <f t="shared" si="35"/>
        <v/>
      </c>
      <c r="CS29" s="811" t="str">
        <f t="shared" si="35"/>
        <v/>
      </c>
      <c r="CT29" s="811" t="str">
        <f t="shared" si="35"/>
        <v/>
      </c>
      <c r="CU29" s="811" t="str">
        <f t="shared" si="35"/>
        <v/>
      </c>
      <c r="CV29" s="811" t="str">
        <f t="shared" si="35"/>
        <v/>
      </c>
      <c r="CW29" s="811" t="str">
        <f t="shared" si="35"/>
        <v/>
      </c>
      <c r="CX29" s="811" t="str">
        <f t="shared" si="35"/>
        <v/>
      </c>
      <c r="CY29" s="811" t="str">
        <f t="shared" si="35"/>
        <v/>
      </c>
      <c r="CZ29" s="811" t="str">
        <f t="shared" si="36"/>
        <v/>
      </c>
      <c r="DA29" s="811" t="str">
        <f t="shared" si="36"/>
        <v/>
      </c>
      <c r="DB29" s="811" t="str">
        <f t="shared" si="36"/>
        <v/>
      </c>
      <c r="DC29" s="811" t="str">
        <f t="shared" si="36"/>
        <v/>
      </c>
      <c r="DD29" s="811" t="str">
        <f t="shared" si="36"/>
        <v/>
      </c>
      <c r="DE29" s="811" t="str">
        <f t="shared" si="36"/>
        <v/>
      </c>
      <c r="DF29" s="811" t="str">
        <f t="shared" si="36"/>
        <v/>
      </c>
      <c r="DG29" s="811" t="str">
        <f t="shared" si="36"/>
        <v/>
      </c>
      <c r="DH29" s="811" t="str">
        <f t="shared" si="36"/>
        <v/>
      </c>
      <c r="DI29" s="811" t="str">
        <f t="shared" si="36"/>
        <v/>
      </c>
      <c r="DJ29" s="811" t="str">
        <f t="shared" si="36"/>
        <v/>
      </c>
      <c r="DK29" s="811" t="str">
        <f t="shared" si="36"/>
        <v/>
      </c>
    </row>
    <row r="30" spans="2:115" ht="20.100000000000001" customHeight="1" x14ac:dyDescent="0.2">
      <c r="B30" s="815" t="s">
        <v>685</v>
      </c>
      <c r="C30" s="816">
        <v>0.5</v>
      </c>
      <c r="D30" s="814">
        <v>64.437906650964635</v>
      </c>
      <c r="E30" s="776">
        <v>41061</v>
      </c>
      <c r="F30" s="817">
        <v>70</v>
      </c>
      <c r="G30" s="776">
        <v>46536</v>
      </c>
      <c r="H30" s="817">
        <v>0</v>
      </c>
      <c r="I30" s="806"/>
      <c r="J30" s="795">
        <f t="shared" si="13"/>
        <v>41244</v>
      </c>
      <c r="K30" s="795">
        <f t="shared" si="14"/>
        <v>46722</v>
      </c>
      <c r="L30" s="810">
        <f t="shared" si="26"/>
        <v>9.4136986301369863</v>
      </c>
      <c r="M30" s="809" t="str">
        <f t="shared" si="15"/>
        <v>Mortlake Pipeline (50%)</v>
      </c>
      <c r="N30" s="811" t="str">
        <f t="shared" si="27"/>
        <v/>
      </c>
      <c r="O30" s="811" t="str">
        <f t="shared" si="27"/>
        <v/>
      </c>
      <c r="P30" s="811" t="str">
        <f t="shared" si="27"/>
        <v/>
      </c>
      <c r="Q30" s="811" t="str">
        <f t="shared" si="27"/>
        <v/>
      </c>
      <c r="R30" s="811" t="str">
        <f t="shared" si="27"/>
        <v/>
      </c>
      <c r="S30" s="811" t="str">
        <f t="shared" si="27"/>
        <v/>
      </c>
      <c r="T30" s="811" t="str">
        <f t="shared" si="27"/>
        <v/>
      </c>
      <c r="U30" s="811" t="str">
        <f t="shared" si="27"/>
        <v/>
      </c>
      <c r="V30" s="811" t="str">
        <f t="shared" si="27"/>
        <v/>
      </c>
      <c r="W30" s="811" t="str">
        <f t="shared" si="27"/>
        <v/>
      </c>
      <c r="X30" s="811" t="str">
        <f t="shared" si="28"/>
        <v/>
      </c>
      <c r="Y30" s="811" t="str">
        <f t="shared" si="28"/>
        <v/>
      </c>
      <c r="Z30" s="811" t="str">
        <f t="shared" si="28"/>
        <v/>
      </c>
      <c r="AA30" s="811" t="str">
        <f t="shared" si="28"/>
        <v/>
      </c>
      <c r="AB30" s="811" t="str">
        <f t="shared" si="28"/>
        <v/>
      </c>
      <c r="AC30" s="811" t="str">
        <f t="shared" si="28"/>
        <v/>
      </c>
      <c r="AD30" s="811" t="str">
        <f t="shared" si="28"/>
        <v/>
      </c>
      <c r="AE30" s="811" t="str">
        <f t="shared" si="28"/>
        <v/>
      </c>
      <c r="AF30" s="811" t="str">
        <f t="shared" si="28"/>
        <v/>
      </c>
      <c r="AG30" s="811" t="str">
        <f t="shared" si="28"/>
        <v/>
      </c>
      <c r="AH30" s="811" t="str">
        <f t="shared" si="29"/>
        <v/>
      </c>
      <c r="AI30" s="811" t="str">
        <f t="shared" si="29"/>
        <v/>
      </c>
      <c r="AJ30" s="811" t="str">
        <f t="shared" si="29"/>
        <v/>
      </c>
      <c r="AK30" s="811" t="str">
        <f t="shared" si="29"/>
        <v/>
      </c>
      <c r="AL30" s="811" t="str">
        <f t="shared" si="29"/>
        <v/>
      </c>
      <c r="AM30" s="811" t="str">
        <f t="shared" si="29"/>
        <v/>
      </c>
      <c r="AN30" s="811" t="str">
        <f t="shared" si="29"/>
        <v/>
      </c>
      <c r="AO30" s="811" t="str">
        <f t="shared" si="29"/>
        <v/>
      </c>
      <c r="AP30" s="811" t="str">
        <f t="shared" si="29"/>
        <v/>
      </c>
      <c r="AQ30" s="811" t="str">
        <f t="shared" si="29"/>
        <v/>
      </c>
      <c r="AR30" s="811" t="str">
        <f t="shared" si="30"/>
        <v/>
      </c>
      <c r="AS30" s="811" t="str">
        <f t="shared" si="30"/>
        <v/>
      </c>
      <c r="AT30" s="811" t="str">
        <f t="shared" si="30"/>
        <v/>
      </c>
      <c r="AU30" s="811" t="str">
        <f t="shared" si="30"/>
        <v/>
      </c>
      <c r="AV30" s="811" t="str">
        <f t="shared" si="30"/>
        <v/>
      </c>
      <c r="AW30" s="811" t="str">
        <f t="shared" si="30"/>
        <v/>
      </c>
      <c r="AX30" s="811" t="str">
        <f t="shared" si="30"/>
        <v/>
      </c>
      <c r="AY30" s="811" t="str">
        <f t="shared" si="30"/>
        <v/>
      </c>
      <c r="AZ30" s="811" t="str">
        <f t="shared" si="30"/>
        <v/>
      </c>
      <c r="BA30" s="811" t="str">
        <f t="shared" si="30"/>
        <v/>
      </c>
      <c r="BB30" s="811" t="str">
        <f t="shared" si="31"/>
        <v/>
      </c>
      <c r="BC30" s="811" t="str">
        <f t="shared" si="31"/>
        <v/>
      </c>
      <c r="BD30" s="811" t="str">
        <f t="shared" si="31"/>
        <v/>
      </c>
      <c r="BE30" s="811">
        <f t="shared" si="31"/>
        <v>32.218953325482317</v>
      </c>
      <c r="BF30" s="811">
        <f t="shared" si="31"/>
        <v>31.758682563689714</v>
      </c>
      <c r="BG30" s="811">
        <f t="shared" si="31"/>
        <v>31.298411801897107</v>
      </c>
      <c r="BH30" s="811">
        <f t="shared" si="31"/>
        <v>30.838141040104507</v>
      </c>
      <c r="BI30" s="811">
        <f t="shared" si="31"/>
        <v>30.376609262526166</v>
      </c>
      <c r="BJ30" s="811">
        <f t="shared" si="31"/>
        <v>29.916338500733563</v>
      </c>
      <c r="BK30" s="811">
        <f t="shared" si="31"/>
        <v>29.456067738940959</v>
      </c>
      <c r="BL30" s="811">
        <f t="shared" si="32"/>
        <v>28.995796977148352</v>
      </c>
      <c r="BM30" s="811">
        <f t="shared" si="32"/>
        <v>28.534265199570015</v>
      </c>
      <c r="BN30" s="811">
        <f t="shared" si="32"/>
        <v>28.073994437777412</v>
      </c>
      <c r="BO30" s="811">
        <f t="shared" si="32"/>
        <v>27.613723675984804</v>
      </c>
      <c r="BP30" s="811">
        <f t="shared" si="32"/>
        <v>27.153452914192201</v>
      </c>
      <c r="BQ30" s="811">
        <f t="shared" si="32"/>
        <v>26.691921136613864</v>
      </c>
      <c r="BR30" s="811">
        <f t="shared" si="32"/>
        <v>26.23165037482126</v>
      </c>
      <c r="BS30" s="811">
        <f t="shared" si="32"/>
        <v>25.771379613028653</v>
      </c>
      <c r="BT30" s="811">
        <f t="shared" si="32"/>
        <v>25.31110885123605</v>
      </c>
      <c r="BU30" s="811">
        <f t="shared" si="32"/>
        <v>24.849577073657709</v>
      </c>
      <c r="BV30" s="811">
        <f t="shared" si="33"/>
        <v>24.389306311865106</v>
      </c>
      <c r="BW30" s="811">
        <f t="shared" si="33"/>
        <v>23.929035550072506</v>
      </c>
      <c r="BX30" s="811">
        <f t="shared" si="33"/>
        <v>23.468764788279898</v>
      </c>
      <c r="BY30" s="811">
        <f t="shared" si="33"/>
        <v>23.007233010701562</v>
      </c>
      <c r="BZ30" s="811">
        <f t="shared" si="33"/>
        <v>22.546962248908958</v>
      </c>
      <c r="CA30" s="811">
        <f t="shared" si="33"/>
        <v>22.086691487116351</v>
      </c>
      <c r="CB30" s="811">
        <f t="shared" si="33"/>
        <v>21.626420725323747</v>
      </c>
      <c r="CC30" s="811">
        <f t="shared" si="33"/>
        <v>21.164888947745411</v>
      </c>
      <c r="CD30" s="811">
        <f t="shared" si="33"/>
        <v>20.704618185952807</v>
      </c>
      <c r="CE30" s="811">
        <f t="shared" si="33"/>
        <v>20.2443474241602</v>
      </c>
      <c r="CF30" s="811">
        <f t="shared" si="34"/>
        <v>19.784076662367596</v>
      </c>
      <c r="CG30" s="811">
        <f t="shared" si="34"/>
        <v>19.322544884789256</v>
      </c>
      <c r="CH30" s="811">
        <f t="shared" si="34"/>
        <v>18.862274122996652</v>
      </c>
      <c r="CI30" s="811">
        <f t="shared" si="34"/>
        <v>18.402003361204052</v>
      </c>
      <c r="CJ30" s="811">
        <f t="shared" si="34"/>
        <v>17.941732599411445</v>
      </c>
      <c r="CK30" s="811">
        <f t="shared" si="34"/>
        <v>17.480200821833108</v>
      </c>
      <c r="CL30" s="811">
        <f t="shared" si="34"/>
        <v>17.019930060040501</v>
      </c>
      <c r="CM30" s="811">
        <f t="shared" si="34"/>
        <v>16.559659298247897</v>
      </c>
      <c r="CN30" s="811">
        <f t="shared" si="34"/>
        <v>16.099388536455294</v>
      </c>
      <c r="CO30" s="811">
        <f t="shared" si="34"/>
        <v>15.637856758876957</v>
      </c>
      <c r="CP30" s="811">
        <f t="shared" si="35"/>
        <v>15.17758599708435</v>
      </c>
      <c r="CQ30" s="811">
        <f t="shared" si="35"/>
        <v>14.717315235291748</v>
      </c>
      <c r="CR30" s="811">
        <f t="shared" si="35"/>
        <v>14.257044473499141</v>
      </c>
      <c r="CS30" s="811">
        <f t="shared" si="35"/>
        <v>13.795512695920802</v>
      </c>
      <c r="CT30" s="811">
        <f t="shared" si="35"/>
        <v>13.3352419341282</v>
      </c>
      <c r="CU30" s="811">
        <f t="shared" si="35"/>
        <v>12.874971172335597</v>
      </c>
      <c r="CV30" s="811">
        <f t="shared" si="35"/>
        <v>12.414700410542991</v>
      </c>
      <c r="CW30" s="811">
        <f t="shared" si="35"/>
        <v>11.953168632964653</v>
      </c>
      <c r="CX30" s="811">
        <f t="shared" si="35"/>
        <v>11.492897871172049</v>
      </c>
      <c r="CY30" s="811">
        <f t="shared" si="35"/>
        <v>11.032627109379444</v>
      </c>
      <c r="CZ30" s="811">
        <f t="shared" si="36"/>
        <v>10.57235634758684</v>
      </c>
      <c r="DA30" s="811">
        <f t="shared" si="36"/>
        <v>10.110824570008504</v>
      </c>
      <c r="DB30" s="811">
        <f t="shared" si="36"/>
        <v>9.6505538082158964</v>
      </c>
      <c r="DC30" s="811">
        <f t="shared" si="36"/>
        <v>9.1902830464232927</v>
      </c>
      <c r="DD30" s="811">
        <f t="shared" si="36"/>
        <v>8.7300122846306873</v>
      </c>
      <c r="DE30" s="811">
        <f t="shared" si="36"/>
        <v>8.2684805070523488</v>
      </c>
      <c r="DF30" s="811">
        <f t="shared" si="36"/>
        <v>7.8082097452597461</v>
      </c>
      <c r="DG30" s="811">
        <f t="shared" si="36"/>
        <v>7.3479389834671398</v>
      </c>
      <c r="DH30" s="811">
        <f t="shared" si="36"/>
        <v>6.8876682216745371</v>
      </c>
      <c r="DI30" s="811">
        <f t="shared" si="36"/>
        <v>6.4261364440961994</v>
      </c>
      <c r="DJ30" s="811">
        <f t="shared" si="36"/>
        <v>5.9658656823035967</v>
      </c>
      <c r="DK30" s="811">
        <f t="shared" si="36"/>
        <v>5.5055949205109895</v>
      </c>
    </row>
    <row r="31" spans="2:115" ht="20.100000000000001" customHeight="1" x14ac:dyDescent="0.2">
      <c r="B31" s="815" t="s">
        <v>703</v>
      </c>
      <c r="C31" s="816">
        <v>0.19900000000000001</v>
      </c>
      <c r="D31" s="814">
        <v>15</v>
      </c>
      <c r="E31" s="776">
        <v>38543</v>
      </c>
      <c r="F31" s="817">
        <v>70</v>
      </c>
      <c r="G31" s="776">
        <v>43653</v>
      </c>
      <c r="H31" s="817">
        <v>0</v>
      </c>
      <c r="I31" s="806"/>
      <c r="J31" s="795">
        <f t="shared" si="13"/>
        <v>38687</v>
      </c>
      <c r="K31" s="795">
        <f t="shared" si="14"/>
        <v>43800</v>
      </c>
      <c r="L31" s="810">
        <f t="shared" si="26"/>
        <v>1.515068493150685</v>
      </c>
      <c r="M31" s="809" t="str">
        <f t="shared" si="15"/>
        <v>Nifty Pipeline (20%)</v>
      </c>
      <c r="N31" s="811" t="str">
        <f t="shared" si="27"/>
        <v/>
      </c>
      <c r="O31" s="811" t="str">
        <f t="shared" si="27"/>
        <v/>
      </c>
      <c r="P31" s="811" t="str">
        <f t="shared" si="27"/>
        <v/>
      </c>
      <c r="Q31" s="811" t="str">
        <f t="shared" si="27"/>
        <v/>
      </c>
      <c r="R31" s="811" t="str">
        <f t="shared" si="27"/>
        <v/>
      </c>
      <c r="S31" s="811" t="str">
        <f t="shared" si="27"/>
        <v/>
      </c>
      <c r="T31" s="811" t="str">
        <f t="shared" si="27"/>
        <v/>
      </c>
      <c r="U31" s="811" t="str">
        <f t="shared" si="27"/>
        <v/>
      </c>
      <c r="V31" s="811" t="str">
        <f t="shared" si="27"/>
        <v/>
      </c>
      <c r="W31" s="811" t="str">
        <f t="shared" si="27"/>
        <v/>
      </c>
      <c r="X31" s="811" t="str">
        <f t="shared" si="28"/>
        <v/>
      </c>
      <c r="Y31" s="811" t="str">
        <f t="shared" si="28"/>
        <v/>
      </c>
      <c r="Z31" s="811" t="str">
        <f t="shared" si="28"/>
        <v/>
      </c>
      <c r="AA31" s="811" t="str">
        <f t="shared" si="28"/>
        <v/>
      </c>
      <c r="AB31" s="811" t="str">
        <f t="shared" si="28"/>
        <v/>
      </c>
      <c r="AC31" s="811" t="str">
        <f t="shared" si="28"/>
        <v/>
      </c>
      <c r="AD31" s="811" t="str">
        <f t="shared" si="28"/>
        <v/>
      </c>
      <c r="AE31" s="811" t="str">
        <f t="shared" si="28"/>
        <v/>
      </c>
      <c r="AF31" s="811" t="str">
        <f t="shared" si="28"/>
        <v/>
      </c>
      <c r="AG31" s="811" t="str">
        <f t="shared" si="28"/>
        <v/>
      </c>
      <c r="AH31" s="811" t="str">
        <f t="shared" si="29"/>
        <v/>
      </c>
      <c r="AI31" s="811" t="str">
        <f t="shared" si="29"/>
        <v/>
      </c>
      <c r="AJ31" s="811" t="str">
        <f t="shared" si="29"/>
        <v/>
      </c>
      <c r="AK31" s="811" t="str">
        <f t="shared" si="29"/>
        <v/>
      </c>
      <c r="AL31" s="811" t="str">
        <f t="shared" si="29"/>
        <v/>
      </c>
      <c r="AM31" s="811" t="str">
        <f t="shared" si="29"/>
        <v/>
      </c>
      <c r="AN31" s="811" t="str">
        <f t="shared" si="29"/>
        <v/>
      </c>
      <c r="AO31" s="811" t="str">
        <f t="shared" si="29"/>
        <v/>
      </c>
      <c r="AP31" s="811" t="str">
        <f t="shared" si="29"/>
        <v/>
      </c>
      <c r="AQ31" s="811" t="str">
        <f t="shared" si="29"/>
        <v/>
      </c>
      <c r="AR31" s="811" t="str">
        <f t="shared" si="30"/>
        <v/>
      </c>
      <c r="AS31" s="811" t="str">
        <f t="shared" si="30"/>
        <v/>
      </c>
      <c r="AT31" s="811" t="str">
        <f t="shared" si="30"/>
        <v/>
      </c>
      <c r="AU31" s="811" t="str">
        <f t="shared" si="30"/>
        <v/>
      </c>
      <c r="AV31" s="811" t="str">
        <f t="shared" si="30"/>
        <v/>
      </c>
      <c r="AW31" s="811" t="str">
        <f t="shared" si="30"/>
        <v/>
      </c>
      <c r="AX31" s="811">
        <f t="shared" si="30"/>
        <v>2.9850000000000003</v>
      </c>
      <c r="AY31" s="811">
        <f t="shared" si="30"/>
        <v>2.9423571428571433</v>
      </c>
      <c r="AZ31" s="811">
        <f t="shared" si="30"/>
        <v>2.8997142857142859</v>
      </c>
      <c r="BA31" s="811">
        <f t="shared" si="30"/>
        <v>2.856954598825832</v>
      </c>
      <c r="BB31" s="811">
        <f t="shared" si="31"/>
        <v>2.814311741682975</v>
      </c>
      <c r="BC31" s="811">
        <f t="shared" si="31"/>
        <v>2.7716688845401176</v>
      </c>
      <c r="BD31" s="811">
        <f t="shared" si="31"/>
        <v>2.7290260273972606</v>
      </c>
      <c r="BE31" s="811">
        <f t="shared" si="31"/>
        <v>2.6862663405088067</v>
      </c>
      <c r="BF31" s="811">
        <f t="shared" si="31"/>
        <v>2.6436234833659493</v>
      </c>
      <c r="BG31" s="811">
        <f t="shared" si="31"/>
        <v>2.6009806262230923</v>
      </c>
      <c r="BH31" s="811">
        <f t="shared" si="31"/>
        <v>2.5583377690802349</v>
      </c>
      <c r="BI31" s="811">
        <f t="shared" si="31"/>
        <v>2.515578082191781</v>
      </c>
      <c r="BJ31" s="811">
        <f t="shared" si="31"/>
        <v>2.4729352250489236</v>
      </c>
      <c r="BK31" s="811">
        <f t="shared" si="31"/>
        <v>2.4302923679060671</v>
      </c>
      <c r="BL31" s="811">
        <f t="shared" si="32"/>
        <v>2.3876495107632096</v>
      </c>
      <c r="BM31" s="811">
        <f t="shared" si="32"/>
        <v>2.3448898238747553</v>
      </c>
      <c r="BN31" s="811">
        <f t="shared" si="32"/>
        <v>2.3022469667318979</v>
      </c>
      <c r="BO31" s="811">
        <f t="shared" si="32"/>
        <v>2.2596041095890409</v>
      </c>
      <c r="BP31" s="811">
        <f t="shared" si="32"/>
        <v>2.2169612524461839</v>
      </c>
      <c r="BQ31" s="811">
        <f t="shared" si="32"/>
        <v>2.17420156555773</v>
      </c>
      <c r="BR31" s="811">
        <f t="shared" si="32"/>
        <v>2.1315587084148726</v>
      </c>
      <c r="BS31" s="811">
        <f t="shared" si="32"/>
        <v>2.0889158512720156</v>
      </c>
      <c r="BT31" s="811">
        <f t="shared" si="32"/>
        <v>2.0462729941291586</v>
      </c>
      <c r="BU31" s="811">
        <f t="shared" si="32"/>
        <v>2.0035133072407043</v>
      </c>
      <c r="BV31" s="811">
        <f t="shared" si="33"/>
        <v>1.9608704500978476</v>
      </c>
      <c r="BW31" s="811">
        <f t="shared" si="33"/>
        <v>1.9182275929549906</v>
      </c>
      <c r="BX31" s="811">
        <f t="shared" si="33"/>
        <v>1.8755847358121331</v>
      </c>
      <c r="BY31" s="811">
        <f t="shared" si="33"/>
        <v>1.8328250489236793</v>
      </c>
      <c r="BZ31" s="811">
        <f t="shared" si="33"/>
        <v>1.7901821917808218</v>
      </c>
      <c r="CA31" s="811">
        <f t="shared" si="33"/>
        <v>1.7475393346379648</v>
      </c>
      <c r="CB31" s="811">
        <f t="shared" si="33"/>
        <v>1.7048964774951079</v>
      </c>
      <c r="CC31" s="811">
        <f t="shared" si="33"/>
        <v>1.662136790606654</v>
      </c>
      <c r="CD31" s="811">
        <f t="shared" si="33"/>
        <v>1.6194939334637966</v>
      </c>
      <c r="CE31" s="811">
        <f t="shared" si="33"/>
        <v>1.5768510763209393</v>
      </c>
      <c r="CF31" s="811">
        <f t="shared" si="34"/>
        <v>1.5342082191780824</v>
      </c>
      <c r="CG31" s="811">
        <f t="shared" si="34"/>
        <v>1.4914485322896283</v>
      </c>
      <c r="CH31" s="811">
        <f t="shared" si="34"/>
        <v>1.4488056751467713</v>
      </c>
      <c r="CI31" s="811">
        <f t="shared" si="34"/>
        <v>1.4061628180039139</v>
      </c>
      <c r="CJ31" s="811">
        <f t="shared" si="34"/>
        <v>1.3635199608610569</v>
      </c>
      <c r="CK31" s="811">
        <f t="shared" si="34"/>
        <v>1.320760273972603</v>
      </c>
      <c r="CL31" s="811">
        <f t="shared" si="34"/>
        <v>1.2781174168297456</v>
      </c>
      <c r="CM31" s="811">
        <f t="shared" si="34"/>
        <v>1.2354745596868886</v>
      </c>
      <c r="CN31" s="811">
        <f t="shared" si="34"/>
        <v>1.1928317025440316</v>
      </c>
      <c r="CO31" s="811">
        <f t="shared" si="34"/>
        <v>1.1500720156555775</v>
      </c>
      <c r="CP31" s="811">
        <f t="shared" si="35"/>
        <v>1.1074291585127201</v>
      </c>
      <c r="CQ31" s="811">
        <f t="shared" si="35"/>
        <v>1.0647863013698631</v>
      </c>
      <c r="CR31" s="811">
        <f t="shared" si="35"/>
        <v>1.0221434442270059</v>
      </c>
      <c r="CS31" s="811">
        <f t="shared" si="35"/>
        <v>0.97938375733855187</v>
      </c>
      <c r="CT31" s="811">
        <f t="shared" si="35"/>
        <v>0.93674090019569489</v>
      </c>
      <c r="CU31" s="811">
        <f t="shared" si="35"/>
        <v>0.89409804305283747</v>
      </c>
      <c r="CV31" s="811">
        <f t="shared" si="35"/>
        <v>0.85145518590998048</v>
      </c>
      <c r="CW31" s="811">
        <f t="shared" si="35"/>
        <v>0.8086954990215266</v>
      </c>
      <c r="CX31" s="811">
        <f t="shared" si="35"/>
        <v>0.76605264187866928</v>
      </c>
      <c r="CY31" s="811">
        <f t="shared" si="35"/>
        <v>0.7234097847358123</v>
      </c>
      <c r="CZ31" s="811">
        <f t="shared" si="36"/>
        <v>0.68076692759295487</v>
      </c>
      <c r="DA31" s="811">
        <f t="shared" si="36"/>
        <v>0.63800724070450088</v>
      </c>
      <c r="DB31" s="811">
        <f t="shared" si="36"/>
        <v>0.5953643835616439</v>
      </c>
      <c r="DC31" s="811">
        <f t="shared" si="36"/>
        <v>0.55272152641878691</v>
      </c>
      <c r="DD31" s="811">
        <f t="shared" si="36"/>
        <v>0.5100786692759296</v>
      </c>
      <c r="DE31" s="811">
        <f t="shared" si="36"/>
        <v>0.46731898238747555</v>
      </c>
      <c r="DF31" s="811">
        <f t="shared" si="36"/>
        <v>0.42467612524461856</v>
      </c>
      <c r="DG31" s="811">
        <f t="shared" si="36"/>
        <v>0.38203326810176119</v>
      </c>
      <c r="DH31" s="811">
        <f t="shared" si="36"/>
        <v>0.33939041095890421</v>
      </c>
      <c r="DI31" s="811">
        <f t="shared" si="36"/>
        <v>0.29663072407045016</v>
      </c>
      <c r="DJ31" s="811">
        <f t="shared" si="36"/>
        <v>0.2539878669275929</v>
      </c>
      <c r="DK31" s="811">
        <f t="shared" si="36"/>
        <v>0.21134500978473589</v>
      </c>
    </row>
    <row r="32" spans="2:115" ht="20.100000000000001" customHeight="1" x14ac:dyDescent="0.2">
      <c r="B32" s="815" t="s">
        <v>791</v>
      </c>
      <c r="C32" s="816">
        <v>1</v>
      </c>
      <c r="D32" s="814"/>
      <c r="E32" s="776"/>
      <c r="F32" s="817">
        <v>70</v>
      </c>
      <c r="G32" s="776"/>
      <c r="H32" s="817">
        <v>0</v>
      </c>
      <c r="I32" s="806"/>
      <c r="J32" s="795" t="str">
        <f t="shared" si="13"/>
        <v/>
      </c>
      <c r="K32" s="795" t="str">
        <f t="shared" si="14"/>
        <v/>
      </c>
      <c r="L32" s="810" t="str">
        <f t="shared" si="26"/>
        <v/>
      </c>
      <c r="M32" s="809" t="str">
        <f t="shared" si="15"/>
        <v>NORGAS pipeline infrastructure (100%)</v>
      </c>
      <c r="N32" s="811" t="str">
        <f t="shared" si="27"/>
        <v/>
      </c>
      <c r="O32" s="811" t="str">
        <f t="shared" si="27"/>
        <v/>
      </c>
      <c r="P32" s="811" t="str">
        <f t="shared" si="27"/>
        <v/>
      </c>
      <c r="Q32" s="811" t="str">
        <f t="shared" si="27"/>
        <v/>
      </c>
      <c r="R32" s="811" t="str">
        <f t="shared" si="27"/>
        <v/>
      </c>
      <c r="S32" s="811" t="str">
        <f t="shared" si="27"/>
        <v/>
      </c>
      <c r="T32" s="811" t="str">
        <f t="shared" si="27"/>
        <v/>
      </c>
      <c r="U32" s="811" t="str">
        <f t="shared" si="27"/>
        <v/>
      </c>
      <c r="V32" s="811" t="str">
        <f t="shared" si="27"/>
        <v/>
      </c>
      <c r="W32" s="811" t="str">
        <f t="shared" si="27"/>
        <v/>
      </c>
      <c r="X32" s="811" t="str">
        <f t="shared" si="28"/>
        <v/>
      </c>
      <c r="Y32" s="811" t="str">
        <f t="shared" si="28"/>
        <v/>
      </c>
      <c r="Z32" s="811" t="str">
        <f t="shared" si="28"/>
        <v/>
      </c>
      <c r="AA32" s="811" t="str">
        <f t="shared" si="28"/>
        <v/>
      </c>
      <c r="AB32" s="811" t="str">
        <f t="shared" si="28"/>
        <v/>
      </c>
      <c r="AC32" s="811" t="str">
        <f t="shared" si="28"/>
        <v/>
      </c>
      <c r="AD32" s="811" t="str">
        <f t="shared" si="28"/>
        <v/>
      </c>
      <c r="AE32" s="811" t="str">
        <f t="shared" si="28"/>
        <v/>
      </c>
      <c r="AF32" s="811" t="str">
        <f t="shared" si="28"/>
        <v/>
      </c>
      <c r="AG32" s="811" t="str">
        <f t="shared" si="28"/>
        <v/>
      </c>
      <c r="AH32" s="811" t="str">
        <f t="shared" si="29"/>
        <v/>
      </c>
      <c r="AI32" s="811" t="str">
        <f t="shared" si="29"/>
        <v/>
      </c>
      <c r="AJ32" s="811" t="str">
        <f t="shared" si="29"/>
        <v/>
      </c>
      <c r="AK32" s="811" t="str">
        <f t="shared" si="29"/>
        <v/>
      </c>
      <c r="AL32" s="811" t="str">
        <f t="shared" si="29"/>
        <v/>
      </c>
      <c r="AM32" s="811" t="str">
        <f t="shared" si="29"/>
        <v/>
      </c>
      <c r="AN32" s="811" t="str">
        <f t="shared" si="29"/>
        <v/>
      </c>
      <c r="AO32" s="811" t="str">
        <f t="shared" si="29"/>
        <v/>
      </c>
      <c r="AP32" s="811" t="str">
        <f t="shared" si="29"/>
        <v/>
      </c>
      <c r="AQ32" s="811" t="str">
        <f t="shared" si="29"/>
        <v/>
      </c>
      <c r="AR32" s="811" t="str">
        <f t="shared" si="30"/>
        <v/>
      </c>
      <c r="AS32" s="811" t="str">
        <f t="shared" si="30"/>
        <v/>
      </c>
      <c r="AT32" s="811" t="str">
        <f t="shared" si="30"/>
        <v/>
      </c>
      <c r="AU32" s="811" t="str">
        <f t="shared" si="30"/>
        <v/>
      </c>
      <c r="AV32" s="811" t="str">
        <f t="shared" si="30"/>
        <v/>
      </c>
      <c r="AW32" s="811" t="str">
        <f t="shared" si="30"/>
        <v/>
      </c>
      <c r="AX32" s="811" t="str">
        <f t="shared" si="30"/>
        <v/>
      </c>
      <c r="AY32" s="811" t="str">
        <f t="shared" si="30"/>
        <v/>
      </c>
      <c r="AZ32" s="811" t="str">
        <f t="shared" si="30"/>
        <v/>
      </c>
      <c r="BA32" s="811" t="str">
        <f t="shared" si="30"/>
        <v/>
      </c>
      <c r="BB32" s="811" t="str">
        <f t="shared" si="31"/>
        <v/>
      </c>
      <c r="BC32" s="811" t="str">
        <f t="shared" si="31"/>
        <v/>
      </c>
      <c r="BD32" s="811" t="str">
        <f t="shared" si="31"/>
        <v/>
      </c>
      <c r="BE32" s="811" t="str">
        <f t="shared" si="31"/>
        <v/>
      </c>
      <c r="BF32" s="811" t="str">
        <f t="shared" si="31"/>
        <v/>
      </c>
      <c r="BG32" s="811" t="str">
        <f t="shared" si="31"/>
        <v/>
      </c>
      <c r="BH32" s="811" t="str">
        <f t="shared" si="31"/>
        <v/>
      </c>
      <c r="BI32" s="811" t="str">
        <f t="shared" si="31"/>
        <v/>
      </c>
      <c r="BJ32" s="811" t="str">
        <f t="shared" si="31"/>
        <v/>
      </c>
      <c r="BK32" s="811" t="str">
        <f t="shared" si="31"/>
        <v/>
      </c>
      <c r="BL32" s="811" t="str">
        <f t="shared" si="32"/>
        <v/>
      </c>
      <c r="BM32" s="811" t="str">
        <f t="shared" si="32"/>
        <v/>
      </c>
      <c r="BN32" s="811" t="str">
        <f t="shared" si="32"/>
        <v/>
      </c>
      <c r="BO32" s="811" t="str">
        <f t="shared" si="32"/>
        <v/>
      </c>
      <c r="BP32" s="811" t="str">
        <f t="shared" si="32"/>
        <v/>
      </c>
      <c r="BQ32" s="811" t="str">
        <f t="shared" si="32"/>
        <v/>
      </c>
      <c r="BR32" s="811" t="str">
        <f t="shared" si="32"/>
        <v/>
      </c>
      <c r="BS32" s="811" t="str">
        <f t="shared" si="32"/>
        <v/>
      </c>
      <c r="BT32" s="811" t="str">
        <f t="shared" si="32"/>
        <v/>
      </c>
      <c r="BU32" s="811" t="str">
        <f t="shared" si="32"/>
        <v/>
      </c>
      <c r="BV32" s="811" t="str">
        <f t="shared" si="33"/>
        <v/>
      </c>
      <c r="BW32" s="811" t="str">
        <f t="shared" si="33"/>
        <v/>
      </c>
      <c r="BX32" s="811" t="str">
        <f t="shared" si="33"/>
        <v/>
      </c>
      <c r="BY32" s="811" t="str">
        <f t="shared" si="33"/>
        <v/>
      </c>
      <c r="BZ32" s="811" t="str">
        <f t="shared" si="33"/>
        <v/>
      </c>
      <c r="CA32" s="811" t="str">
        <f t="shared" si="33"/>
        <v/>
      </c>
      <c r="CB32" s="811" t="str">
        <f t="shared" si="33"/>
        <v/>
      </c>
      <c r="CC32" s="811" t="str">
        <f t="shared" si="33"/>
        <v/>
      </c>
      <c r="CD32" s="811" t="str">
        <f t="shared" si="33"/>
        <v/>
      </c>
      <c r="CE32" s="811" t="str">
        <f t="shared" si="33"/>
        <v/>
      </c>
      <c r="CF32" s="811" t="str">
        <f t="shared" si="34"/>
        <v/>
      </c>
      <c r="CG32" s="811" t="str">
        <f t="shared" si="34"/>
        <v/>
      </c>
      <c r="CH32" s="811" t="str">
        <f t="shared" si="34"/>
        <v/>
      </c>
      <c r="CI32" s="811" t="str">
        <f t="shared" si="34"/>
        <v/>
      </c>
      <c r="CJ32" s="811" t="str">
        <f t="shared" si="34"/>
        <v/>
      </c>
      <c r="CK32" s="811" t="str">
        <f t="shared" si="34"/>
        <v/>
      </c>
      <c r="CL32" s="811" t="str">
        <f t="shared" si="34"/>
        <v/>
      </c>
      <c r="CM32" s="811" t="str">
        <f t="shared" si="34"/>
        <v/>
      </c>
      <c r="CN32" s="811" t="str">
        <f t="shared" si="34"/>
        <v/>
      </c>
      <c r="CO32" s="811" t="str">
        <f t="shared" si="34"/>
        <v/>
      </c>
      <c r="CP32" s="811" t="str">
        <f t="shared" si="35"/>
        <v/>
      </c>
      <c r="CQ32" s="811" t="str">
        <f t="shared" si="35"/>
        <v/>
      </c>
      <c r="CR32" s="811" t="str">
        <f t="shared" si="35"/>
        <v/>
      </c>
      <c r="CS32" s="811" t="str">
        <f t="shared" si="35"/>
        <v/>
      </c>
      <c r="CT32" s="811" t="str">
        <f t="shared" si="35"/>
        <v/>
      </c>
      <c r="CU32" s="811" t="str">
        <f t="shared" si="35"/>
        <v/>
      </c>
      <c r="CV32" s="811" t="str">
        <f t="shared" si="35"/>
        <v/>
      </c>
      <c r="CW32" s="811" t="str">
        <f t="shared" si="35"/>
        <v/>
      </c>
      <c r="CX32" s="811" t="str">
        <f t="shared" si="35"/>
        <v/>
      </c>
      <c r="CY32" s="811" t="str">
        <f t="shared" si="35"/>
        <v/>
      </c>
      <c r="CZ32" s="811" t="str">
        <f t="shared" si="36"/>
        <v/>
      </c>
      <c r="DA32" s="811" t="str">
        <f t="shared" si="36"/>
        <v/>
      </c>
      <c r="DB32" s="811" t="str">
        <f t="shared" si="36"/>
        <v/>
      </c>
      <c r="DC32" s="811" t="str">
        <f t="shared" si="36"/>
        <v/>
      </c>
      <c r="DD32" s="811" t="str">
        <f t="shared" si="36"/>
        <v/>
      </c>
      <c r="DE32" s="811" t="str">
        <f t="shared" si="36"/>
        <v/>
      </c>
      <c r="DF32" s="811" t="str">
        <f t="shared" si="36"/>
        <v/>
      </c>
      <c r="DG32" s="811" t="str">
        <f t="shared" si="36"/>
        <v/>
      </c>
      <c r="DH32" s="811" t="str">
        <f t="shared" si="36"/>
        <v/>
      </c>
      <c r="DI32" s="811" t="str">
        <f t="shared" si="36"/>
        <v/>
      </c>
      <c r="DJ32" s="811" t="str">
        <f t="shared" si="36"/>
        <v/>
      </c>
      <c r="DK32" s="811" t="str">
        <f t="shared" si="36"/>
        <v/>
      </c>
    </row>
    <row r="33" spans="2:115" ht="20.100000000000001" customHeight="1" x14ac:dyDescent="0.2">
      <c r="B33" s="815" t="s">
        <v>740</v>
      </c>
      <c r="C33" s="816">
        <v>1</v>
      </c>
      <c r="D33" s="814">
        <v>12.056609117924186</v>
      </c>
      <c r="E33" s="776">
        <v>26115</v>
      </c>
      <c r="F33" s="817">
        <v>70</v>
      </c>
      <c r="G33" s="776">
        <v>45444</v>
      </c>
      <c r="H33" s="817">
        <v>0</v>
      </c>
      <c r="I33" s="806"/>
      <c r="J33" s="795">
        <f t="shared" si="13"/>
        <v>26268</v>
      </c>
      <c r="K33" s="795">
        <f t="shared" si="14"/>
        <v>45627</v>
      </c>
      <c r="L33" s="810">
        <f t="shared" si="26"/>
        <v>6.4219178082191783</v>
      </c>
      <c r="M33" s="809" t="str">
        <f t="shared" si="15"/>
        <v>Parmelia Gas Pipeline (100%)</v>
      </c>
      <c r="N33" s="811" t="str">
        <f t="shared" si="27"/>
        <v/>
      </c>
      <c r="O33" s="811" t="str">
        <f t="shared" si="27"/>
        <v/>
      </c>
      <c r="P33" s="811">
        <f t="shared" si="27"/>
        <v>12.056609117924186</v>
      </c>
      <c r="Q33" s="811">
        <f t="shared" si="27"/>
        <v>11.883899961870947</v>
      </c>
      <c r="R33" s="811">
        <f t="shared" si="27"/>
        <v>11.711662688757745</v>
      </c>
      <c r="S33" s="811">
        <f t="shared" si="27"/>
        <v>11.539425415644542</v>
      </c>
      <c r="T33" s="811">
        <f t="shared" si="27"/>
        <v>11.36718814253134</v>
      </c>
      <c r="U33" s="811">
        <f t="shared" si="27"/>
        <v>11.194478986478101</v>
      </c>
      <c r="V33" s="811">
        <f t="shared" si="27"/>
        <v>11.022241713364897</v>
      </c>
      <c r="W33" s="811">
        <f t="shared" si="27"/>
        <v>10.850004440251695</v>
      </c>
      <c r="X33" s="811">
        <f t="shared" si="28"/>
        <v>10.677767167138493</v>
      </c>
      <c r="Y33" s="811">
        <f t="shared" si="28"/>
        <v>10.505058011085254</v>
      </c>
      <c r="Z33" s="811">
        <f t="shared" si="28"/>
        <v>10.332820737972051</v>
      </c>
      <c r="AA33" s="811">
        <f t="shared" si="28"/>
        <v>10.160583464858847</v>
      </c>
      <c r="AB33" s="811">
        <f t="shared" si="28"/>
        <v>9.9883461917456451</v>
      </c>
      <c r="AC33" s="811">
        <f t="shared" si="28"/>
        <v>9.8156370356924061</v>
      </c>
      <c r="AD33" s="811">
        <f t="shared" si="28"/>
        <v>9.6433997625792038</v>
      </c>
      <c r="AE33" s="811">
        <f t="shared" si="28"/>
        <v>9.4711624894660016</v>
      </c>
      <c r="AF33" s="811">
        <f t="shared" si="28"/>
        <v>9.2989252163527976</v>
      </c>
      <c r="AG33" s="811">
        <f t="shared" si="28"/>
        <v>9.1262160602995586</v>
      </c>
      <c r="AH33" s="811">
        <f t="shared" si="29"/>
        <v>8.9539787871863563</v>
      </c>
      <c r="AI33" s="811">
        <f t="shared" si="29"/>
        <v>8.7817415140731558</v>
      </c>
      <c r="AJ33" s="811">
        <f t="shared" si="29"/>
        <v>8.6095042409599518</v>
      </c>
      <c r="AK33" s="811">
        <f t="shared" si="29"/>
        <v>8.4367950849067128</v>
      </c>
      <c r="AL33" s="811">
        <f t="shared" si="29"/>
        <v>8.2645578117935106</v>
      </c>
      <c r="AM33" s="811">
        <f t="shared" si="29"/>
        <v>8.0923205386803065</v>
      </c>
      <c r="AN33" s="811">
        <f t="shared" si="29"/>
        <v>7.9200832655671052</v>
      </c>
      <c r="AO33" s="811">
        <f t="shared" si="29"/>
        <v>7.7473741095138662</v>
      </c>
      <c r="AP33" s="811">
        <f t="shared" si="29"/>
        <v>7.5751368364006648</v>
      </c>
      <c r="AQ33" s="811">
        <f t="shared" si="29"/>
        <v>7.4028995632874608</v>
      </c>
      <c r="AR33" s="811">
        <f t="shared" si="30"/>
        <v>7.2306622901742577</v>
      </c>
      <c r="AS33" s="811">
        <f t="shared" si="30"/>
        <v>7.0579531341210187</v>
      </c>
      <c r="AT33" s="811">
        <f t="shared" si="30"/>
        <v>6.8857158610078164</v>
      </c>
      <c r="AU33" s="811">
        <f t="shared" si="30"/>
        <v>6.713478587894615</v>
      </c>
      <c r="AV33" s="811">
        <f t="shared" si="30"/>
        <v>6.541241314781411</v>
      </c>
      <c r="AW33" s="811">
        <f t="shared" si="30"/>
        <v>6.3685321587281729</v>
      </c>
      <c r="AX33" s="811">
        <f t="shared" si="30"/>
        <v>6.1962948856149689</v>
      </c>
      <c r="AY33" s="811">
        <f t="shared" si="30"/>
        <v>6.0240576125017675</v>
      </c>
      <c r="AZ33" s="811">
        <f t="shared" si="30"/>
        <v>5.8518203393885653</v>
      </c>
      <c r="BA33" s="811">
        <f t="shared" si="30"/>
        <v>5.6791111833353263</v>
      </c>
      <c r="BB33" s="811">
        <f t="shared" si="31"/>
        <v>5.5068739102221231</v>
      </c>
      <c r="BC33" s="811">
        <f t="shared" si="31"/>
        <v>5.3346366371089209</v>
      </c>
      <c r="BD33" s="811">
        <f t="shared" si="31"/>
        <v>5.1623993639957177</v>
      </c>
      <c r="BE33" s="811">
        <f t="shared" si="31"/>
        <v>4.9896902079424788</v>
      </c>
      <c r="BF33" s="811">
        <f t="shared" si="31"/>
        <v>4.8174529348292765</v>
      </c>
      <c r="BG33" s="811">
        <f t="shared" si="31"/>
        <v>4.6452156617160743</v>
      </c>
      <c r="BH33" s="811">
        <f t="shared" si="31"/>
        <v>4.4729783886028711</v>
      </c>
      <c r="BI33" s="811">
        <f t="shared" si="31"/>
        <v>4.3002692325496321</v>
      </c>
      <c r="BJ33" s="811">
        <f t="shared" si="31"/>
        <v>4.1280319594364299</v>
      </c>
      <c r="BK33" s="811">
        <f t="shared" si="31"/>
        <v>3.9557946863232267</v>
      </c>
      <c r="BL33" s="811">
        <f t="shared" si="32"/>
        <v>3.7835574132100249</v>
      </c>
      <c r="BM33" s="811">
        <f t="shared" si="32"/>
        <v>3.6108482571567859</v>
      </c>
      <c r="BN33" s="811">
        <f t="shared" si="32"/>
        <v>3.4386109840435823</v>
      </c>
      <c r="BO33" s="811">
        <f t="shared" si="32"/>
        <v>3.2663737109303805</v>
      </c>
      <c r="BP33" s="811">
        <f t="shared" si="32"/>
        <v>3.094136437817177</v>
      </c>
      <c r="BQ33" s="811">
        <f t="shared" si="32"/>
        <v>2.9214272817639384</v>
      </c>
      <c r="BR33" s="811">
        <f t="shared" si="32"/>
        <v>2.7491900086507362</v>
      </c>
      <c r="BS33" s="811">
        <f t="shared" si="32"/>
        <v>2.576952735537533</v>
      </c>
      <c r="BT33" s="811">
        <f t="shared" si="32"/>
        <v>2.4047154624243308</v>
      </c>
      <c r="BU33" s="811">
        <f t="shared" si="32"/>
        <v>2.2320063063710918</v>
      </c>
      <c r="BV33" s="811">
        <f t="shared" si="33"/>
        <v>2.05976903325789</v>
      </c>
      <c r="BW33" s="811">
        <f t="shared" si="33"/>
        <v>1.8875317601446866</v>
      </c>
      <c r="BX33" s="811">
        <f t="shared" si="33"/>
        <v>1.7152944870314846</v>
      </c>
      <c r="BY33" s="811">
        <f t="shared" si="33"/>
        <v>1.5425853309782456</v>
      </c>
      <c r="BZ33" s="811">
        <f t="shared" si="33"/>
        <v>1.3703480578650422</v>
      </c>
      <c r="CA33" s="811">
        <f t="shared" si="33"/>
        <v>1.1981107847518402</v>
      </c>
      <c r="CB33" s="811">
        <f t="shared" si="33"/>
        <v>1.0258735116386368</v>
      </c>
      <c r="CC33" s="811">
        <f t="shared" si="33"/>
        <v>0.85316435558539794</v>
      </c>
      <c r="CD33" s="811">
        <f t="shared" si="33"/>
        <v>0.68092708247219591</v>
      </c>
      <c r="CE33" s="811">
        <f t="shared" si="33"/>
        <v>0.50868980935899255</v>
      </c>
      <c r="CF33" s="811">
        <f t="shared" si="34"/>
        <v>0.33645253624579052</v>
      </c>
      <c r="CG33" s="811">
        <f t="shared" si="34"/>
        <v>0.16374338019255169</v>
      </c>
      <c r="CH33" s="811" t="str">
        <f t="shared" si="34"/>
        <v/>
      </c>
      <c r="CI33" s="811" t="str">
        <f t="shared" si="34"/>
        <v/>
      </c>
      <c r="CJ33" s="811" t="str">
        <f t="shared" si="34"/>
        <v/>
      </c>
      <c r="CK33" s="811" t="str">
        <f t="shared" si="34"/>
        <v/>
      </c>
      <c r="CL33" s="811" t="str">
        <f t="shared" si="34"/>
        <v/>
      </c>
      <c r="CM33" s="811" t="str">
        <f t="shared" si="34"/>
        <v/>
      </c>
      <c r="CN33" s="811" t="str">
        <f t="shared" si="34"/>
        <v/>
      </c>
      <c r="CO33" s="811" t="str">
        <f t="shared" si="34"/>
        <v/>
      </c>
      <c r="CP33" s="811" t="str">
        <f t="shared" si="35"/>
        <v/>
      </c>
      <c r="CQ33" s="811" t="str">
        <f t="shared" si="35"/>
        <v/>
      </c>
      <c r="CR33" s="811" t="str">
        <f t="shared" si="35"/>
        <v/>
      </c>
      <c r="CS33" s="811" t="str">
        <f t="shared" si="35"/>
        <v/>
      </c>
      <c r="CT33" s="811" t="str">
        <f t="shared" si="35"/>
        <v/>
      </c>
      <c r="CU33" s="811" t="str">
        <f t="shared" si="35"/>
        <v/>
      </c>
      <c r="CV33" s="811" t="str">
        <f t="shared" si="35"/>
        <v/>
      </c>
      <c r="CW33" s="811" t="str">
        <f t="shared" si="35"/>
        <v/>
      </c>
      <c r="CX33" s="811" t="str">
        <f t="shared" si="35"/>
        <v/>
      </c>
      <c r="CY33" s="811" t="str">
        <f t="shared" si="35"/>
        <v/>
      </c>
      <c r="CZ33" s="811" t="str">
        <f t="shared" si="36"/>
        <v/>
      </c>
      <c r="DA33" s="811" t="str">
        <f t="shared" si="36"/>
        <v/>
      </c>
      <c r="DB33" s="811" t="str">
        <f t="shared" si="36"/>
        <v/>
      </c>
      <c r="DC33" s="811" t="str">
        <f t="shared" si="36"/>
        <v/>
      </c>
      <c r="DD33" s="811" t="str">
        <f t="shared" si="36"/>
        <v/>
      </c>
      <c r="DE33" s="811" t="str">
        <f t="shared" si="36"/>
        <v/>
      </c>
      <c r="DF33" s="811" t="str">
        <f t="shared" si="36"/>
        <v/>
      </c>
      <c r="DG33" s="811" t="str">
        <f t="shared" si="36"/>
        <v/>
      </c>
      <c r="DH33" s="811" t="str">
        <f t="shared" si="36"/>
        <v/>
      </c>
      <c r="DI33" s="811" t="str">
        <f t="shared" si="36"/>
        <v/>
      </c>
      <c r="DJ33" s="811" t="str">
        <f t="shared" si="36"/>
        <v/>
      </c>
      <c r="DK33" s="811" t="str">
        <f t="shared" si="36"/>
        <v/>
      </c>
    </row>
    <row r="34" spans="2:115" ht="20.100000000000001" customHeight="1" x14ac:dyDescent="0.2">
      <c r="B34" s="815" t="s">
        <v>699</v>
      </c>
      <c r="C34" s="816">
        <v>1</v>
      </c>
      <c r="D34" s="814">
        <v>71.889379950150641</v>
      </c>
      <c r="E34" s="776">
        <v>34851</v>
      </c>
      <c r="F34" s="817">
        <v>70</v>
      </c>
      <c r="G34" s="776">
        <v>45801</v>
      </c>
      <c r="H34" s="817">
        <v>0</v>
      </c>
      <c r="I34" s="806"/>
      <c r="J34" s="795">
        <f t="shared" si="13"/>
        <v>35034</v>
      </c>
      <c r="K34" s="795">
        <f t="shared" si="14"/>
        <v>45992</v>
      </c>
      <c r="L34" s="810">
        <f t="shared" si="26"/>
        <v>7.4</v>
      </c>
      <c r="M34" s="809" t="str">
        <f t="shared" si="15"/>
        <v>Pilbara Pipeline System (100%)</v>
      </c>
      <c r="N34" s="811" t="str">
        <f t="shared" si="27"/>
        <v/>
      </c>
      <c r="O34" s="811" t="str">
        <f t="shared" si="27"/>
        <v/>
      </c>
      <c r="P34" s="811" t="str">
        <f t="shared" si="27"/>
        <v/>
      </c>
      <c r="Q34" s="811" t="str">
        <f t="shared" si="27"/>
        <v/>
      </c>
      <c r="R34" s="811" t="str">
        <f t="shared" si="27"/>
        <v/>
      </c>
      <c r="S34" s="811" t="str">
        <f t="shared" si="27"/>
        <v/>
      </c>
      <c r="T34" s="811" t="str">
        <f t="shared" si="27"/>
        <v/>
      </c>
      <c r="U34" s="811" t="str">
        <f t="shared" si="27"/>
        <v/>
      </c>
      <c r="V34" s="811" t="str">
        <f t="shared" si="27"/>
        <v/>
      </c>
      <c r="W34" s="811" t="str">
        <f t="shared" si="27"/>
        <v/>
      </c>
      <c r="X34" s="811" t="str">
        <f t="shared" si="28"/>
        <v/>
      </c>
      <c r="Y34" s="811" t="str">
        <f t="shared" si="28"/>
        <v/>
      </c>
      <c r="Z34" s="811" t="str">
        <f t="shared" si="28"/>
        <v/>
      </c>
      <c r="AA34" s="811" t="str">
        <f t="shared" si="28"/>
        <v/>
      </c>
      <c r="AB34" s="811" t="str">
        <f t="shared" si="28"/>
        <v/>
      </c>
      <c r="AC34" s="811" t="str">
        <f t="shared" si="28"/>
        <v/>
      </c>
      <c r="AD34" s="811" t="str">
        <f t="shared" si="28"/>
        <v/>
      </c>
      <c r="AE34" s="811" t="str">
        <f t="shared" si="28"/>
        <v/>
      </c>
      <c r="AF34" s="811" t="str">
        <f t="shared" si="28"/>
        <v/>
      </c>
      <c r="AG34" s="811" t="str">
        <f t="shared" si="28"/>
        <v/>
      </c>
      <c r="AH34" s="811" t="str">
        <f t="shared" si="29"/>
        <v/>
      </c>
      <c r="AI34" s="811" t="str">
        <f t="shared" si="29"/>
        <v/>
      </c>
      <c r="AJ34" s="811" t="str">
        <f t="shared" si="29"/>
        <v/>
      </c>
      <c r="AK34" s="811" t="str">
        <f t="shared" si="29"/>
        <v/>
      </c>
      <c r="AL34" s="811" t="str">
        <f t="shared" si="29"/>
        <v/>
      </c>
      <c r="AM34" s="811" t="str">
        <f t="shared" si="29"/>
        <v/>
      </c>
      <c r="AN34" s="811">
        <f t="shared" si="29"/>
        <v>71.889379950150641</v>
      </c>
      <c r="AO34" s="811">
        <f t="shared" si="29"/>
        <v>70.859575133643588</v>
      </c>
      <c r="AP34" s="811">
        <f t="shared" si="29"/>
        <v>69.832583991498581</v>
      </c>
      <c r="AQ34" s="811">
        <f t="shared" si="29"/>
        <v>68.805592849353573</v>
      </c>
      <c r="AR34" s="811">
        <f t="shared" si="30"/>
        <v>67.778601707208566</v>
      </c>
      <c r="AS34" s="811">
        <f t="shared" si="30"/>
        <v>66.748796890701513</v>
      </c>
      <c r="AT34" s="811">
        <f t="shared" si="30"/>
        <v>65.721805748556505</v>
      </c>
      <c r="AU34" s="811">
        <f t="shared" si="30"/>
        <v>64.694814606411498</v>
      </c>
      <c r="AV34" s="811">
        <f t="shared" si="30"/>
        <v>63.667823464266483</v>
      </c>
      <c r="AW34" s="811">
        <f t="shared" si="30"/>
        <v>62.638018647759431</v>
      </c>
      <c r="AX34" s="811">
        <f t="shared" si="30"/>
        <v>61.61102750561443</v>
      </c>
      <c r="AY34" s="811">
        <f t="shared" si="30"/>
        <v>60.584036363469416</v>
      </c>
      <c r="AZ34" s="811">
        <f t="shared" si="30"/>
        <v>59.557045221324408</v>
      </c>
      <c r="BA34" s="811">
        <f t="shared" si="30"/>
        <v>58.527240404817356</v>
      </c>
      <c r="BB34" s="811">
        <f t="shared" si="31"/>
        <v>57.500249262672355</v>
      </c>
      <c r="BC34" s="811">
        <f t="shared" si="31"/>
        <v>56.473258120527341</v>
      </c>
      <c r="BD34" s="811">
        <f t="shared" si="31"/>
        <v>55.446266978382326</v>
      </c>
      <c r="BE34" s="811">
        <f t="shared" si="31"/>
        <v>54.416462161875273</v>
      </c>
      <c r="BF34" s="811">
        <f t="shared" si="31"/>
        <v>53.389471019730273</v>
      </c>
      <c r="BG34" s="811">
        <f t="shared" si="31"/>
        <v>52.362479877585265</v>
      </c>
      <c r="BH34" s="811">
        <f t="shared" si="31"/>
        <v>51.335488735440251</v>
      </c>
      <c r="BI34" s="811">
        <f t="shared" si="31"/>
        <v>50.305683918933198</v>
      </c>
      <c r="BJ34" s="811">
        <f t="shared" si="31"/>
        <v>49.278692776788198</v>
      </c>
      <c r="BK34" s="811">
        <f t="shared" si="31"/>
        <v>48.251701634643183</v>
      </c>
      <c r="BL34" s="811">
        <f t="shared" si="32"/>
        <v>47.224710492498176</v>
      </c>
      <c r="BM34" s="811">
        <f t="shared" si="32"/>
        <v>46.194905675991123</v>
      </c>
      <c r="BN34" s="811">
        <f t="shared" si="32"/>
        <v>45.167914533846123</v>
      </c>
      <c r="BO34" s="811">
        <f t="shared" si="32"/>
        <v>44.140923391701108</v>
      </c>
      <c r="BP34" s="811">
        <f t="shared" si="32"/>
        <v>43.113932249556093</v>
      </c>
      <c r="BQ34" s="811">
        <f t="shared" si="32"/>
        <v>42.084127433049041</v>
      </c>
      <c r="BR34" s="811">
        <f t="shared" si="32"/>
        <v>41.05713629090404</v>
      </c>
      <c r="BS34" s="811">
        <f t="shared" si="32"/>
        <v>40.030145148759033</v>
      </c>
      <c r="BT34" s="811">
        <f t="shared" si="32"/>
        <v>39.003154006614018</v>
      </c>
      <c r="BU34" s="811">
        <f t="shared" si="32"/>
        <v>37.973349190106966</v>
      </c>
      <c r="BV34" s="811">
        <f t="shared" si="33"/>
        <v>36.946358047961951</v>
      </c>
      <c r="BW34" s="811">
        <f t="shared" si="33"/>
        <v>35.91936690581695</v>
      </c>
      <c r="BX34" s="811">
        <f t="shared" si="33"/>
        <v>34.892375763671943</v>
      </c>
      <c r="BY34" s="811">
        <f t="shared" si="33"/>
        <v>33.86257094716489</v>
      </c>
      <c r="BZ34" s="811">
        <f t="shared" si="33"/>
        <v>32.835579805019876</v>
      </c>
      <c r="CA34" s="811">
        <f t="shared" si="33"/>
        <v>31.808588662874875</v>
      </c>
      <c r="CB34" s="811">
        <f t="shared" si="33"/>
        <v>30.781597520729861</v>
      </c>
      <c r="CC34" s="811">
        <f t="shared" si="33"/>
        <v>29.751792704222808</v>
      </c>
      <c r="CD34" s="811">
        <f t="shared" si="33"/>
        <v>28.724801562077804</v>
      </c>
      <c r="CE34" s="811">
        <f t="shared" si="33"/>
        <v>27.6978104199328</v>
      </c>
      <c r="CF34" s="811">
        <f t="shared" si="34"/>
        <v>26.670819277787785</v>
      </c>
      <c r="CG34" s="811">
        <f t="shared" si="34"/>
        <v>25.641014461280736</v>
      </c>
      <c r="CH34" s="811">
        <f t="shared" si="34"/>
        <v>24.614023319135729</v>
      </c>
      <c r="CI34" s="811">
        <f t="shared" si="34"/>
        <v>23.587032176990714</v>
      </c>
      <c r="CJ34" s="811">
        <f t="shared" si="34"/>
        <v>22.56004103484571</v>
      </c>
      <c r="CK34" s="811">
        <f t="shared" si="34"/>
        <v>21.530236218338661</v>
      </c>
      <c r="CL34" s="811">
        <f t="shared" si="34"/>
        <v>20.503245076193647</v>
      </c>
      <c r="CM34" s="811">
        <f t="shared" si="34"/>
        <v>19.476253934048643</v>
      </c>
      <c r="CN34" s="811">
        <f t="shared" si="34"/>
        <v>18.449262791903628</v>
      </c>
      <c r="CO34" s="811">
        <f t="shared" si="34"/>
        <v>17.419457975396575</v>
      </c>
      <c r="CP34" s="811">
        <f t="shared" si="35"/>
        <v>16.392466833251572</v>
      </c>
      <c r="CQ34" s="811">
        <f t="shared" si="35"/>
        <v>15.365475691106559</v>
      </c>
      <c r="CR34" s="811">
        <f t="shared" si="35"/>
        <v>14.338484548961553</v>
      </c>
      <c r="CS34" s="811">
        <f t="shared" si="35"/>
        <v>13.308679732454502</v>
      </c>
      <c r="CT34" s="811">
        <f t="shared" si="35"/>
        <v>12.281688590309496</v>
      </c>
      <c r="CU34" s="811">
        <f t="shared" si="35"/>
        <v>11.254697448164483</v>
      </c>
      <c r="CV34" s="811">
        <f t="shared" si="35"/>
        <v>10.227706306019478</v>
      </c>
      <c r="CW34" s="811">
        <f t="shared" si="35"/>
        <v>9.1979014895124269</v>
      </c>
      <c r="CX34" s="811">
        <f t="shared" si="35"/>
        <v>8.1709103473674141</v>
      </c>
      <c r="CY34" s="811">
        <f t="shared" si="35"/>
        <v>7.1439192052224083</v>
      </c>
      <c r="CZ34" s="811">
        <f t="shared" si="36"/>
        <v>6.1169280630773946</v>
      </c>
      <c r="DA34" s="811">
        <f t="shared" si="36"/>
        <v>5.0871232465703446</v>
      </c>
      <c r="DB34" s="811">
        <f t="shared" si="36"/>
        <v>4.0601321044253389</v>
      </c>
      <c r="DC34" s="811">
        <f t="shared" si="36"/>
        <v>3.0331409622803256</v>
      </c>
      <c r="DD34" s="811">
        <f t="shared" si="36"/>
        <v>2.0061498201353198</v>
      </c>
      <c r="DE34" s="811">
        <f t="shared" si="36"/>
        <v>0.97634500362826959</v>
      </c>
      <c r="DF34" s="811" t="str">
        <f t="shared" si="36"/>
        <v/>
      </c>
      <c r="DG34" s="811" t="str">
        <f t="shared" si="36"/>
        <v/>
      </c>
      <c r="DH34" s="811" t="str">
        <f t="shared" si="36"/>
        <v/>
      </c>
      <c r="DI34" s="811" t="str">
        <f t="shared" si="36"/>
        <v/>
      </c>
      <c r="DJ34" s="811" t="str">
        <f t="shared" si="36"/>
        <v/>
      </c>
      <c r="DK34" s="811" t="str">
        <f t="shared" si="36"/>
        <v/>
      </c>
    </row>
    <row r="35" spans="2:115" ht="20.100000000000001" customHeight="1" x14ac:dyDescent="0.2">
      <c r="B35" s="815" t="s">
        <v>696</v>
      </c>
      <c r="C35" s="816">
        <v>1</v>
      </c>
      <c r="D35" s="814">
        <v>8.8012278409471598</v>
      </c>
      <c r="E35" s="776">
        <v>35947</v>
      </c>
      <c r="F35" s="817">
        <v>70</v>
      </c>
      <c r="G35" s="776">
        <v>46897</v>
      </c>
      <c r="H35" s="817">
        <v>0</v>
      </c>
      <c r="I35" s="806"/>
      <c r="J35" s="795">
        <f t="shared" si="13"/>
        <v>36130</v>
      </c>
      <c r="K35" s="795">
        <f t="shared" si="14"/>
        <v>47088</v>
      </c>
      <c r="L35" s="810">
        <f t="shared" si="26"/>
        <v>10.402739726027397</v>
      </c>
      <c r="M35" s="809" t="str">
        <f t="shared" si="15"/>
        <v>Pilbara Pipeline System expansion (100%)</v>
      </c>
      <c r="N35" s="811" t="str">
        <f t="shared" ref="N35:W44" si="37">IF(ISNUMBER($J35),IF(N$12&lt;$J35,"",IF(N$12=$J35,$D35*$C35,IF(AND(N$12&gt;$J35,N$12&lt;$J35+$F35*365),$D35*(1-(N$12-$J35)/($F35*365))*$C35,""))),"")</f>
        <v/>
      </c>
      <c r="O35" s="811" t="str">
        <f t="shared" si="37"/>
        <v/>
      </c>
      <c r="P35" s="811" t="str">
        <f t="shared" si="37"/>
        <v/>
      </c>
      <c r="Q35" s="811" t="str">
        <f t="shared" si="37"/>
        <v/>
      </c>
      <c r="R35" s="811" t="str">
        <f t="shared" si="37"/>
        <v/>
      </c>
      <c r="S35" s="811" t="str">
        <f t="shared" si="37"/>
        <v/>
      </c>
      <c r="T35" s="811" t="str">
        <f t="shared" si="37"/>
        <v/>
      </c>
      <c r="U35" s="811" t="str">
        <f t="shared" si="37"/>
        <v/>
      </c>
      <c r="V35" s="811" t="str">
        <f t="shared" si="37"/>
        <v/>
      </c>
      <c r="W35" s="811" t="str">
        <f t="shared" si="37"/>
        <v/>
      </c>
      <c r="X35" s="811" t="str">
        <f t="shared" ref="X35:AG44" si="38">IF(ISNUMBER($J35),IF(X$12&lt;$J35,"",IF(X$12=$J35,$D35*$C35,IF(AND(X$12&gt;$J35,X$12&lt;$J35+$F35*365),$D35*(1-(X$12-$J35)/($F35*365))*$C35,""))),"")</f>
        <v/>
      </c>
      <c r="Y35" s="811" t="str">
        <f t="shared" si="38"/>
        <v/>
      </c>
      <c r="Z35" s="811" t="str">
        <f t="shared" si="38"/>
        <v/>
      </c>
      <c r="AA35" s="811" t="str">
        <f t="shared" si="38"/>
        <v/>
      </c>
      <c r="AB35" s="811" t="str">
        <f t="shared" si="38"/>
        <v/>
      </c>
      <c r="AC35" s="811" t="str">
        <f t="shared" si="38"/>
        <v/>
      </c>
      <c r="AD35" s="811" t="str">
        <f t="shared" si="38"/>
        <v/>
      </c>
      <c r="AE35" s="811" t="str">
        <f t="shared" si="38"/>
        <v/>
      </c>
      <c r="AF35" s="811" t="str">
        <f t="shared" si="38"/>
        <v/>
      </c>
      <c r="AG35" s="811" t="str">
        <f t="shared" si="38"/>
        <v/>
      </c>
      <c r="AH35" s="811" t="str">
        <f t="shared" ref="AH35:AQ44" si="39">IF(ISNUMBER($J35),IF(AH$12&lt;$J35,"",IF(AH$12=$J35,$D35*$C35,IF(AND(AH$12&gt;$J35,AH$12&lt;$J35+$F35*365),$D35*(1-(AH$12-$J35)/($F35*365))*$C35,""))),"")</f>
        <v/>
      </c>
      <c r="AI35" s="811" t="str">
        <f t="shared" si="39"/>
        <v/>
      </c>
      <c r="AJ35" s="811" t="str">
        <f t="shared" si="39"/>
        <v/>
      </c>
      <c r="AK35" s="811" t="str">
        <f t="shared" si="39"/>
        <v/>
      </c>
      <c r="AL35" s="811" t="str">
        <f t="shared" si="39"/>
        <v/>
      </c>
      <c r="AM35" s="811" t="str">
        <f t="shared" si="39"/>
        <v/>
      </c>
      <c r="AN35" s="811" t="str">
        <f t="shared" si="39"/>
        <v/>
      </c>
      <c r="AO35" s="811" t="str">
        <f t="shared" si="39"/>
        <v/>
      </c>
      <c r="AP35" s="811" t="str">
        <f t="shared" si="39"/>
        <v/>
      </c>
      <c r="AQ35" s="811">
        <f t="shared" si="39"/>
        <v>8.8012278409471598</v>
      </c>
      <c r="AR35" s="811">
        <f t="shared" ref="AR35:BA44" si="40">IF(ISNUMBER($J35),IF(AR$12&lt;$J35,"",IF(AR$12=$J35,$D35*$C35,IF(AND(AR$12&gt;$J35,AR$12&lt;$J35+$F35*365),$D35*(1-(AR$12-$J35)/($F35*365))*$C35,""))),"")</f>
        <v>8.6754960146479156</v>
      </c>
      <c r="AS35" s="811">
        <f t="shared" si="40"/>
        <v>8.549419717591686</v>
      </c>
      <c r="AT35" s="811">
        <f t="shared" si="40"/>
        <v>8.42368789129244</v>
      </c>
      <c r="AU35" s="811">
        <f t="shared" si="40"/>
        <v>8.2979560649931958</v>
      </c>
      <c r="AV35" s="811">
        <f t="shared" si="40"/>
        <v>8.1722242386939499</v>
      </c>
      <c r="AW35" s="811">
        <f t="shared" si="40"/>
        <v>8.0461479416377202</v>
      </c>
      <c r="AX35" s="811">
        <f t="shared" si="40"/>
        <v>7.920416115338476</v>
      </c>
      <c r="AY35" s="811">
        <f t="shared" si="40"/>
        <v>7.7946842890392301</v>
      </c>
      <c r="AZ35" s="811">
        <f t="shared" si="40"/>
        <v>7.668952462739985</v>
      </c>
      <c r="BA35" s="811">
        <f t="shared" si="40"/>
        <v>7.5428761656837562</v>
      </c>
      <c r="BB35" s="811">
        <f t="shared" ref="BB35:BK44" si="41">IF(ISNUMBER($J35),IF(BB$12&lt;$J35,"",IF(BB$12=$J35,$D35*$C35,IF(AND(BB$12&gt;$J35,BB$12&lt;$J35+$F35*365),$D35*(1-(BB$12-$J35)/($F35*365))*$C35,""))),"")</f>
        <v>7.4171443393845102</v>
      </c>
      <c r="BC35" s="811">
        <f t="shared" si="41"/>
        <v>7.2914125130852652</v>
      </c>
      <c r="BD35" s="811">
        <f t="shared" si="41"/>
        <v>7.165680686786021</v>
      </c>
      <c r="BE35" s="811">
        <f t="shared" si="41"/>
        <v>7.0396043897297913</v>
      </c>
      <c r="BF35" s="811">
        <f t="shared" si="41"/>
        <v>6.9138725634305453</v>
      </c>
      <c r="BG35" s="811">
        <f t="shared" si="41"/>
        <v>6.7881407371313003</v>
      </c>
      <c r="BH35" s="811">
        <f t="shared" si="41"/>
        <v>6.6624089108320552</v>
      </c>
      <c r="BI35" s="811">
        <f t="shared" si="41"/>
        <v>6.5363326137758264</v>
      </c>
      <c r="BJ35" s="811">
        <f t="shared" si="41"/>
        <v>6.4106007874765814</v>
      </c>
      <c r="BK35" s="811">
        <f t="shared" si="41"/>
        <v>6.2848689611773354</v>
      </c>
      <c r="BL35" s="811">
        <f t="shared" ref="BL35:BU44" si="42">IF(ISNUMBER($J35),IF(BL$12&lt;$J35,"",IF(BL$12=$J35,$D35*$C35,IF(AND(BL$12&gt;$J35,BL$12&lt;$J35+$F35*365),$D35*(1-(BL$12-$J35)/($F35*365))*$C35,""))),"")</f>
        <v>6.1591371348780912</v>
      </c>
      <c r="BM35" s="811">
        <f t="shared" si="42"/>
        <v>6.0330608378218615</v>
      </c>
      <c r="BN35" s="811">
        <f t="shared" si="42"/>
        <v>5.9073290115226156</v>
      </c>
      <c r="BO35" s="811">
        <f t="shared" si="42"/>
        <v>5.7815971852233714</v>
      </c>
      <c r="BP35" s="811">
        <f t="shared" si="42"/>
        <v>5.6558653589241263</v>
      </c>
      <c r="BQ35" s="811">
        <f t="shared" si="42"/>
        <v>5.5297890618678975</v>
      </c>
      <c r="BR35" s="811">
        <f t="shared" si="42"/>
        <v>5.4040572355686516</v>
      </c>
      <c r="BS35" s="811">
        <f t="shared" si="42"/>
        <v>5.2783254092694056</v>
      </c>
      <c r="BT35" s="811">
        <f t="shared" si="42"/>
        <v>5.1525935829701615</v>
      </c>
      <c r="BU35" s="811">
        <f t="shared" si="42"/>
        <v>5.0265172859139318</v>
      </c>
      <c r="BV35" s="811">
        <f t="shared" ref="BV35:CE44" si="43">IF(ISNUMBER($J35),IF(BV$12&lt;$J35,"",IF(BV$12=$J35,$D35*$C35,IF(AND(BV$12&gt;$J35,BV$12&lt;$J35+$F35*365),$D35*(1-(BV$12-$J35)/($F35*365))*$C35,""))),"")</f>
        <v>4.9007854596146867</v>
      </c>
      <c r="BW35" s="811">
        <f t="shared" si="43"/>
        <v>4.7750536333154416</v>
      </c>
      <c r="BX35" s="811">
        <f t="shared" si="43"/>
        <v>4.6493218070161957</v>
      </c>
      <c r="BY35" s="811">
        <f t="shared" si="43"/>
        <v>4.523245509959966</v>
      </c>
      <c r="BZ35" s="811">
        <f t="shared" si="43"/>
        <v>4.3975136836607218</v>
      </c>
      <c r="CA35" s="811">
        <f t="shared" si="43"/>
        <v>4.2717818573614768</v>
      </c>
      <c r="CB35" s="811">
        <f t="shared" si="43"/>
        <v>4.1460500310622308</v>
      </c>
      <c r="CC35" s="811">
        <f t="shared" si="43"/>
        <v>4.019973734006002</v>
      </c>
      <c r="CD35" s="811">
        <f t="shared" si="43"/>
        <v>3.8942419077067569</v>
      </c>
      <c r="CE35" s="811">
        <f t="shared" si="43"/>
        <v>3.7685100814075114</v>
      </c>
      <c r="CF35" s="811">
        <f t="shared" ref="CF35:CO44" si="44">IF(ISNUMBER($J35),IF(CF$12&lt;$J35,"",IF(CF$12=$J35,$D35*$C35,IF(AND(CF$12&gt;$J35,CF$12&lt;$J35+$F35*365),$D35*(1-(CF$12-$J35)/($F35*365))*$C35,""))),"")</f>
        <v>3.6427782551082668</v>
      </c>
      <c r="CG35" s="811">
        <f t="shared" si="44"/>
        <v>3.5167019580520376</v>
      </c>
      <c r="CH35" s="811">
        <f t="shared" si="44"/>
        <v>3.3909701317527925</v>
      </c>
      <c r="CI35" s="811">
        <f t="shared" si="44"/>
        <v>3.265238305453547</v>
      </c>
      <c r="CJ35" s="811">
        <f t="shared" si="44"/>
        <v>3.1395064791543024</v>
      </c>
      <c r="CK35" s="811">
        <f t="shared" si="44"/>
        <v>3.0134301820980731</v>
      </c>
      <c r="CL35" s="811">
        <f t="shared" si="44"/>
        <v>2.8876983557988272</v>
      </c>
      <c r="CM35" s="811">
        <f t="shared" si="44"/>
        <v>2.7619665294995825</v>
      </c>
      <c r="CN35" s="811">
        <f t="shared" si="44"/>
        <v>2.636234703200337</v>
      </c>
      <c r="CO35" s="811">
        <f t="shared" si="44"/>
        <v>2.5101584061441073</v>
      </c>
      <c r="CP35" s="811">
        <f t="shared" ref="CP35:CY44" si="45">IF(ISNUMBER($J35),IF(CP$12&lt;$J35,"",IF(CP$12=$J35,$D35*$C35,IF(AND(CP$12&gt;$J35,CP$12&lt;$J35+$F35*365),$D35*(1-(CP$12-$J35)/($F35*365))*$C35,""))),"")</f>
        <v>2.3844265798448627</v>
      </c>
      <c r="CQ35" s="811">
        <f t="shared" si="45"/>
        <v>2.2586947535456172</v>
      </c>
      <c r="CR35" s="811">
        <f t="shared" si="45"/>
        <v>2.1329629272463726</v>
      </c>
      <c r="CS35" s="811">
        <f t="shared" si="45"/>
        <v>2.0068866301901429</v>
      </c>
      <c r="CT35" s="811">
        <f t="shared" si="45"/>
        <v>1.8811548038908974</v>
      </c>
      <c r="CU35" s="811">
        <f t="shared" si="45"/>
        <v>1.7554229775916528</v>
      </c>
      <c r="CV35" s="811">
        <f t="shared" si="45"/>
        <v>1.6296911512924079</v>
      </c>
      <c r="CW35" s="811">
        <f t="shared" si="45"/>
        <v>1.5036148542361787</v>
      </c>
      <c r="CX35" s="811">
        <f t="shared" si="45"/>
        <v>1.377883027936933</v>
      </c>
      <c r="CY35" s="811">
        <f t="shared" si="45"/>
        <v>1.2521512016376883</v>
      </c>
      <c r="CZ35" s="811">
        <f t="shared" ref="CZ35:DK44" si="46">IF(ISNUMBER($J35),IF(CZ$12&lt;$J35,"",IF(CZ$12=$J35,$D35*$C35,IF(AND(CZ$12&gt;$J35,CZ$12&lt;$J35+$F35*365),$D35*(1-(CZ$12-$J35)/($F35*365))*$C35,""))),"")</f>
        <v>1.1264193753384426</v>
      </c>
      <c r="DA35" s="811">
        <f t="shared" si="46"/>
        <v>1.0003430782822131</v>
      </c>
      <c r="DB35" s="811">
        <f t="shared" si="46"/>
        <v>0.87461125198296852</v>
      </c>
      <c r="DC35" s="811">
        <f t="shared" si="46"/>
        <v>0.7488794256837229</v>
      </c>
      <c r="DD35" s="811">
        <f t="shared" si="46"/>
        <v>0.62314759938447817</v>
      </c>
      <c r="DE35" s="811">
        <f t="shared" si="46"/>
        <v>0.49707130232824875</v>
      </c>
      <c r="DF35" s="811">
        <f t="shared" si="46"/>
        <v>0.37133947602900308</v>
      </c>
      <c r="DG35" s="811">
        <f t="shared" si="46"/>
        <v>0.2456076497297584</v>
      </c>
      <c r="DH35" s="811">
        <f t="shared" si="46"/>
        <v>0.11987582343051274</v>
      </c>
      <c r="DI35" s="811" t="str">
        <f t="shared" si="46"/>
        <v/>
      </c>
      <c r="DJ35" s="811" t="str">
        <f t="shared" si="46"/>
        <v/>
      </c>
      <c r="DK35" s="811" t="str">
        <f t="shared" si="46"/>
        <v/>
      </c>
    </row>
    <row r="36" spans="2:115" ht="20.100000000000001" customHeight="1" x14ac:dyDescent="0.2">
      <c r="B36" s="815" t="s">
        <v>694</v>
      </c>
      <c r="C36" s="816">
        <v>1</v>
      </c>
      <c r="D36" s="814">
        <v>3.3316951432888815</v>
      </c>
      <c r="E36" s="776">
        <v>39965</v>
      </c>
      <c r="F36" s="817">
        <v>70</v>
      </c>
      <c r="G36" s="776">
        <v>47265</v>
      </c>
      <c r="H36" s="817">
        <v>0</v>
      </c>
      <c r="I36" s="806"/>
      <c r="J36" s="795">
        <f t="shared" si="13"/>
        <v>40148</v>
      </c>
      <c r="K36" s="795">
        <f t="shared" si="14"/>
        <v>47453</v>
      </c>
      <c r="L36" s="810">
        <f t="shared" si="26"/>
        <v>11.41095890410959</v>
      </c>
      <c r="M36" s="809" t="str">
        <f t="shared" si="15"/>
        <v>Pilbara Pipeline System expansion2 (100%)</v>
      </c>
      <c r="N36" s="811" t="str">
        <f t="shared" si="37"/>
        <v/>
      </c>
      <c r="O36" s="811" t="str">
        <f t="shared" si="37"/>
        <v/>
      </c>
      <c r="P36" s="811" t="str">
        <f t="shared" si="37"/>
        <v/>
      </c>
      <c r="Q36" s="811" t="str">
        <f t="shared" si="37"/>
        <v/>
      </c>
      <c r="R36" s="811" t="str">
        <f t="shared" si="37"/>
        <v/>
      </c>
      <c r="S36" s="811" t="str">
        <f t="shared" si="37"/>
        <v/>
      </c>
      <c r="T36" s="811" t="str">
        <f t="shared" si="37"/>
        <v/>
      </c>
      <c r="U36" s="811" t="str">
        <f t="shared" si="37"/>
        <v/>
      </c>
      <c r="V36" s="811" t="str">
        <f t="shared" si="37"/>
        <v/>
      </c>
      <c r="W36" s="811" t="str">
        <f t="shared" si="37"/>
        <v/>
      </c>
      <c r="X36" s="811" t="str">
        <f t="shared" si="38"/>
        <v/>
      </c>
      <c r="Y36" s="811" t="str">
        <f t="shared" si="38"/>
        <v/>
      </c>
      <c r="Z36" s="811" t="str">
        <f t="shared" si="38"/>
        <v/>
      </c>
      <c r="AA36" s="811" t="str">
        <f t="shared" si="38"/>
        <v/>
      </c>
      <c r="AB36" s="811" t="str">
        <f t="shared" si="38"/>
        <v/>
      </c>
      <c r="AC36" s="811" t="str">
        <f t="shared" si="38"/>
        <v/>
      </c>
      <c r="AD36" s="811" t="str">
        <f t="shared" si="38"/>
        <v/>
      </c>
      <c r="AE36" s="811" t="str">
        <f t="shared" si="38"/>
        <v/>
      </c>
      <c r="AF36" s="811" t="str">
        <f t="shared" si="38"/>
        <v/>
      </c>
      <c r="AG36" s="811" t="str">
        <f t="shared" si="38"/>
        <v/>
      </c>
      <c r="AH36" s="811" t="str">
        <f t="shared" si="39"/>
        <v/>
      </c>
      <c r="AI36" s="811" t="str">
        <f t="shared" si="39"/>
        <v/>
      </c>
      <c r="AJ36" s="811" t="str">
        <f t="shared" si="39"/>
        <v/>
      </c>
      <c r="AK36" s="811" t="str">
        <f t="shared" si="39"/>
        <v/>
      </c>
      <c r="AL36" s="811" t="str">
        <f t="shared" si="39"/>
        <v/>
      </c>
      <c r="AM36" s="811" t="str">
        <f t="shared" si="39"/>
        <v/>
      </c>
      <c r="AN36" s="811" t="str">
        <f t="shared" si="39"/>
        <v/>
      </c>
      <c r="AO36" s="811" t="str">
        <f t="shared" si="39"/>
        <v/>
      </c>
      <c r="AP36" s="811" t="str">
        <f t="shared" si="39"/>
        <v/>
      </c>
      <c r="AQ36" s="811" t="str">
        <f t="shared" si="39"/>
        <v/>
      </c>
      <c r="AR36" s="811" t="str">
        <f t="shared" si="40"/>
        <v/>
      </c>
      <c r="AS36" s="811" t="str">
        <f t="shared" si="40"/>
        <v/>
      </c>
      <c r="AT36" s="811" t="str">
        <f t="shared" si="40"/>
        <v/>
      </c>
      <c r="AU36" s="811" t="str">
        <f t="shared" si="40"/>
        <v/>
      </c>
      <c r="AV36" s="811" t="str">
        <f t="shared" si="40"/>
        <v/>
      </c>
      <c r="AW36" s="811" t="str">
        <f t="shared" si="40"/>
        <v/>
      </c>
      <c r="AX36" s="811" t="str">
        <f t="shared" si="40"/>
        <v/>
      </c>
      <c r="AY36" s="811" t="str">
        <f t="shared" si="40"/>
        <v/>
      </c>
      <c r="AZ36" s="811" t="str">
        <f t="shared" si="40"/>
        <v/>
      </c>
      <c r="BA36" s="811" t="str">
        <f t="shared" si="40"/>
        <v/>
      </c>
      <c r="BB36" s="811">
        <f t="shared" si="41"/>
        <v>3.3316951432888815</v>
      </c>
      <c r="BC36" s="811">
        <f t="shared" si="41"/>
        <v>3.2840994983847547</v>
      </c>
      <c r="BD36" s="811">
        <f t="shared" si="41"/>
        <v>3.2365038534806279</v>
      </c>
      <c r="BE36" s="811">
        <f t="shared" si="41"/>
        <v>3.1887778095493662</v>
      </c>
      <c r="BF36" s="811">
        <f t="shared" si="41"/>
        <v>3.1411821646452394</v>
      </c>
      <c r="BG36" s="811">
        <f t="shared" si="41"/>
        <v>3.0935865197411125</v>
      </c>
      <c r="BH36" s="811">
        <f t="shared" si="41"/>
        <v>3.0459908748369857</v>
      </c>
      <c r="BI36" s="811">
        <f t="shared" si="41"/>
        <v>2.998264830905724</v>
      </c>
      <c r="BJ36" s="811">
        <f t="shared" si="41"/>
        <v>2.9506691860015972</v>
      </c>
      <c r="BK36" s="811">
        <f t="shared" si="41"/>
        <v>2.9030735410974704</v>
      </c>
      <c r="BL36" s="811">
        <f t="shared" si="42"/>
        <v>2.8554778961933436</v>
      </c>
      <c r="BM36" s="811">
        <f t="shared" si="42"/>
        <v>2.8077518522620819</v>
      </c>
      <c r="BN36" s="811">
        <f t="shared" si="42"/>
        <v>2.7601562073579551</v>
      </c>
      <c r="BO36" s="811">
        <f t="shared" si="42"/>
        <v>2.7125605624538287</v>
      </c>
      <c r="BP36" s="811">
        <f t="shared" si="42"/>
        <v>2.6649649175497014</v>
      </c>
      <c r="BQ36" s="811">
        <f t="shared" si="42"/>
        <v>2.6172388736184398</v>
      </c>
      <c r="BR36" s="811">
        <f t="shared" si="42"/>
        <v>2.5696432287143129</v>
      </c>
      <c r="BS36" s="811">
        <f t="shared" si="42"/>
        <v>2.5220475838101861</v>
      </c>
      <c r="BT36" s="811">
        <f t="shared" si="42"/>
        <v>2.4744519389060593</v>
      </c>
      <c r="BU36" s="811">
        <f t="shared" si="42"/>
        <v>2.4267258949747981</v>
      </c>
      <c r="BV36" s="811">
        <f t="shared" si="43"/>
        <v>2.3791302500706708</v>
      </c>
      <c r="BW36" s="811">
        <f t="shared" si="43"/>
        <v>2.331534605166544</v>
      </c>
      <c r="BX36" s="811">
        <f t="shared" si="43"/>
        <v>2.2839389602624172</v>
      </c>
      <c r="BY36" s="811">
        <f t="shared" si="43"/>
        <v>2.2362129163311555</v>
      </c>
      <c r="BZ36" s="811">
        <f t="shared" si="43"/>
        <v>2.1886172714270291</v>
      </c>
      <c r="CA36" s="811">
        <f t="shared" si="43"/>
        <v>2.1410216265229023</v>
      </c>
      <c r="CB36" s="811">
        <f t="shared" si="43"/>
        <v>2.093425981618775</v>
      </c>
      <c r="CC36" s="811">
        <f t="shared" si="43"/>
        <v>2.0456999376875138</v>
      </c>
      <c r="CD36" s="811">
        <f t="shared" si="43"/>
        <v>1.9981042927833865</v>
      </c>
      <c r="CE36" s="811">
        <f t="shared" si="43"/>
        <v>1.9505086478792599</v>
      </c>
      <c r="CF36" s="811">
        <f t="shared" si="44"/>
        <v>1.9029130029751331</v>
      </c>
      <c r="CG36" s="811">
        <f t="shared" si="44"/>
        <v>1.8551869590438717</v>
      </c>
      <c r="CH36" s="811">
        <f t="shared" si="44"/>
        <v>1.8075913141397446</v>
      </c>
      <c r="CI36" s="811">
        <f t="shared" si="44"/>
        <v>1.7599956692356176</v>
      </c>
      <c r="CJ36" s="811">
        <f t="shared" si="44"/>
        <v>1.7124000243314907</v>
      </c>
      <c r="CK36" s="811">
        <f t="shared" si="44"/>
        <v>1.6646739804002293</v>
      </c>
      <c r="CL36" s="811">
        <f t="shared" si="44"/>
        <v>1.6170783354961027</v>
      </c>
      <c r="CM36" s="811">
        <f t="shared" si="44"/>
        <v>1.5694826905919754</v>
      </c>
      <c r="CN36" s="811">
        <f t="shared" si="44"/>
        <v>1.5218870456878488</v>
      </c>
      <c r="CO36" s="811">
        <f t="shared" si="44"/>
        <v>1.4741610017565874</v>
      </c>
      <c r="CP36" s="811">
        <f t="shared" si="45"/>
        <v>1.4265653568524603</v>
      </c>
      <c r="CQ36" s="811">
        <f t="shared" si="45"/>
        <v>1.3789697119483335</v>
      </c>
      <c r="CR36" s="811">
        <f t="shared" si="45"/>
        <v>1.3313740670442069</v>
      </c>
      <c r="CS36" s="811">
        <f t="shared" si="45"/>
        <v>1.2836480231129455</v>
      </c>
      <c r="CT36" s="811">
        <f t="shared" si="45"/>
        <v>1.2360523782088182</v>
      </c>
      <c r="CU36" s="811">
        <f t="shared" si="45"/>
        <v>1.1884567333046916</v>
      </c>
      <c r="CV36" s="811">
        <f t="shared" si="45"/>
        <v>1.1408610884005645</v>
      </c>
      <c r="CW36" s="811">
        <f t="shared" si="45"/>
        <v>1.0931350444693031</v>
      </c>
      <c r="CX36" s="811">
        <f t="shared" si="45"/>
        <v>1.0455393995651763</v>
      </c>
      <c r="CY36" s="811">
        <f t="shared" si="45"/>
        <v>0.99794375466104923</v>
      </c>
      <c r="CZ36" s="811">
        <f t="shared" si="46"/>
        <v>0.95034810975692252</v>
      </c>
      <c r="DA36" s="811">
        <f t="shared" si="46"/>
        <v>0.90262206582566107</v>
      </c>
      <c r="DB36" s="811">
        <f t="shared" si="46"/>
        <v>0.85502642092153391</v>
      </c>
      <c r="DC36" s="811">
        <f t="shared" si="46"/>
        <v>0.8074307760174072</v>
      </c>
      <c r="DD36" s="811">
        <f t="shared" si="46"/>
        <v>0.75983513111328016</v>
      </c>
      <c r="DE36" s="811">
        <f t="shared" si="46"/>
        <v>0.71210908718201871</v>
      </c>
      <c r="DF36" s="811">
        <f t="shared" si="46"/>
        <v>0.664513442277892</v>
      </c>
      <c r="DG36" s="811">
        <f t="shared" si="46"/>
        <v>0.61691779737376529</v>
      </c>
      <c r="DH36" s="811">
        <f t="shared" si="46"/>
        <v>0.56932215246963824</v>
      </c>
      <c r="DI36" s="811">
        <f t="shared" si="46"/>
        <v>0.52159610853837668</v>
      </c>
      <c r="DJ36" s="811">
        <f t="shared" si="46"/>
        <v>0.47400046363425002</v>
      </c>
      <c r="DK36" s="811">
        <f t="shared" si="46"/>
        <v>0.42640481873012293</v>
      </c>
    </row>
    <row r="37" spans="2:115" ht="20.100000000000001" customHeight="1" x14ac:dyDescent="0.2">
      <c r="B37" s="815" t="s">
        <v>788</v>
      </c>
      <c r="C37" s="816">
        <v>1</v>
      </c>
      <c r="D37" s="814">
        <v>80</v>
      </c>
      <c r="E37" s="776">
        <v>43252</v>
      </c>
      <c r="F37" s="817">
        <v>70</v>
      </c>
      <c r="G37" s="776">
        <v>50552</v>
      </c>
      <c r="H37" s="817">
        <v>0</v>
      </c>
      <c r="I37" s="806"/>
      <c r="J37" s="795">
        <f t="shared" si="13"/>
        <v>43435</v>
      </c>
      <c r="K37" s="795">
        <f t="shared" si="14"/>
        <v>50740</v>
      </c>
      <c r="L37" s="810">
        <f t="shared" si="26"/>
        <v>20.416438356164385</v>
      </c>
      <c r="M37" s="809" t="str">
        <f t="shared" si="15"/>
        <v>Reedy Creek Wallumbilla pipeline (100%)</v>
      </c>
      <c r="N37" s="811" t="str">
        <f t="shared" si="37"/>
        <v/>
      </c>
      <c r="O37" s="811" t="str">
        <f t="shared" si="37"/>
        <v/>
      </c>
      <c r="P37" s="811" t="str">
        <f t="shared" si="37"/>
        <v/>
      </c>
      <c r="Q37" s="811" t="str">
        <f t="shared" si="37"/>
        <v/>
      </c>
      <c r="R37" s="811" t="str">
        <f t="shared" si="37"/>
        <v/>
      </c>
      <c r="S37" s="811" t="str">
        <f t="shared" si="37"/>
        <v/>
      </c>
      <c r="T37" s="811" t="str">
        <f t="shared" si="37"/>
        <v/>
      </c>
      <c r="U37" s="811" t="str">
        <f t="shared" si="37"/>
        <v/>
      </c>
      <c r="V37" s="811" t="str">
        <f t="shared" si="37"/>
        <v/>
      </c>
      <c r="W37" s="811" t="str">
        <f t="shared" si="37"/>
        <v/>
      </c>
      <c r="X37" s="811" t="str">
        <f t="shared" si="38"/>
        <v/>
      </c>
      <c r="Y37" s="811" t="str">
        <f t="shared" si="38"/>
        <v/>
      </c>
      <c r="Z37" s="811" t="str">
        <f t="shared" si="38"/>
        <v/>
      </c>
      <c r="AA37" s="811" t="str">
        <f t="shared" si="38"/>
        <v/>
      </c>
      <c r="AB37" s="811" t="str">
        <f t="shared" si="38"/>
        <v/>
      </c>
      <c r="AC37" s="811" t="str">
        <f t="shared" si="38"/>
        <v/>
      </c>
      <c r="AD37" s="811" t="str">
        <f t="shared" si="38"/>
        <v/>
      </c>
      <c r="AE37" s="811" t="str">
        <f t="shared" si="38"/>
        <v/>
      </c>
      <c r="AF37" s="811" t="str">
        <f t="shared" si="38"/>
        <v/>
      </c>
      <c r="AG37" s="811" t="str">
        <f t="shared" si="38"/>
        <v/>
      </c>
      <c r="AH37" s="811" t="str">
        <f t="shared" si="39"/>
        <v/>
      </c>
      <c r="AI37" s="811" t="str">
        <f t="shared" si="39"/>
        <v/>
      </c>
      <c r="AJ37" s="811" t="str">
        <f t="shared" si="39"/>
        <v/>
      </c>
      <c r="AK37" s="811" t="str">
        <f t="shared" si="39"/>
        <v/>
      </c>
      <c r="AL37" s="811" t="str">
        <f t="shared" si="39"/>
        <v/>
      </c>
      <c r="AM37" s="811" t="str">
        <f t="shared" si="39"/>
        <v/>
      </c>
      <c r="AN37" s="811" t="str">
        <f t="shared" si="39"/>
        <v/>
      </c>
      <c r="AO37" s="811" t="str">
        <f t="shared" si="39"/>
        <v/>
      </c>
      <c r="AP37" s="811" t="str">
        <f t="shared" si="39"/>
        <v/>
      </c>
      <c r="AQ37" s="811" t="str">
        <f t="shared" si="39"/>
        <v/>
      </c>
      <c r="AR37" s="811" t="str">
        <f t="shared" si="40"/>
        <v/>
      </c>
      <c r="AS37" s="811" t="str">
        <f t="shared" si="40"/>
        <v/>
      </c>
      <c r="AT37" s="811" t="str">
        <f t="shared" si="40"/>
        <v/>
      </c>
      <c r="AU37" s="811" t="str">
        <f t="shared" si="40"/>
        <v/>
      </c>
      <c r="AV37" s="811" t="str">
        <f t="shared" si="40"/>
        <v/>
      </c>
      <c r="AW37" s="811" t="str">
        <f t="shared" si="40"/>
        <v/>
      </c>
      <c r="AX37" s="811" t="str">
        <f t="shared" si="40"/>
        <v/>
      </c>
      <c r="AY37" s="811" t="str">
        <f t="shared" si="40"/>
        <v/>
      </c>
      <c r="AZ37" s="811" t="str">
        <f t="shared" si="40"/>
        <v/>
      </c>
      <c r="BA37" s="811" t="str">
        <f t="shared" si="40"/>
        <v/>
      </c>
      <c r="BB37" s="811" t="str">
        <f t="shared" si="41"/>
        <v/>
      </c>
      <c r="BC37" s="811" t="str">
        <f t="shared" si="41"/>
        <v/>
      </c>
      <c r="BD37" s="811" t="str">
        <f t="shared" si="41"/>
        <v/>
      </c>
      <c r="BE37" s="811" t="str">
        <f t="shared" si="41"/>
        <v/>
      </c>
      <c r="BF37" s="811" t="str">
        <f t="shared" si="41"/>
        <v/>
      </c>
      <c r="BG37" s="811" t="str">
        <f t="shared" si="41"/>
        <v/>
      </c>
      <c r="BH37" s="811" t="str">
        <f t="shared" si="41"/>
        <v/>
      </c>
      <c r="BI37" s="811" t="str">
        <f t="shared" si="41"/>
        <v/>
      </c>
      <c r="BJ37" s="811" t="str">
        <f t="shared" si="41"/>
        <v/>
      </c>
      <c r="BK37" s="811">
        <f t="shared" si="41"/>
        <v>80</v>
      </c>
      <c r="BL37" s="811">
        <f t="shared" si="42"/>
        <v>78.857142857142861</v>
      </c>
      <c r="BM37" s="811">
        <f t="shared" si="42"/>
        <v>77.711154598825829</v>
      </c>
      <c r="BN37" s="811">
        <f t="shared" si="42"/>
        <v>76.56829745596869</v>
      </c>
      <c r="BO37" s="811">
        <f t="shared" si="42"/>
        <v>75.425440313111551</v>
      </c>
      <c r="BP37" s="811">
        <f t="shared" si="42"/>
        <v>74.282583170254398</v>
      </c>
      <c r="BQ37" s="811">
        <f t="shared" si="42"/>
        <v>73.136594911937379</v>
      </c>
      <c r="BR37" s="811">
        <f t="shared" si="42"/>
        <v>71.993737769080241</v>
      </c>
      <c r="BS37" s="811">
        <f t="shared" si="42"/>
        <v>70.850880626223088</v>
      </c>
      <c r="BT37" s="811">
        <f t="shared" si="42"/>
        <v>69.708023483365949</v>
      </c>
      <c r="BU37" s="811">
        <f t="shared" si="42"/>
        <v>68.56203522504893</v>
      </c>
      <c r="BV37" s="811">
        <f t="shared" si="43"/>
        <v>67.419178082191777</v>
      </c>
      <c r="BW37" s="811">
        <f t="shared" si="43"/>
        <v>66.276320939334639</v>
      </c>
      <c r="BX37" s="811">
        <f t="shared" si="43"/>
        <v>65.1334637964775</v>
      </c>
      <c r="BY37" s="811">
        <f t="shared" si="43"/>
        <v>63.987475538160474</v>
      </c>
      <c r="BZ37" s="811">
        <f t="shared" si="43"/>
        <v>62.844618395303328</v>
      </c>
      <c r="CA37" s="811">
        <f t="shared" si="43"/>
        <v>61.701761252446175</v>
      </c>
      <c r="CB37" s="811">
        <f t="shared" si="43"/>
        <v>60.558904109589037</v>
      </c>
      <c r="CC37" s="811">
        <f t="shared" si="43"/>
        <v>59.412915851272018</v>
      </c>
      <c r="CD37" s="811">
        <f t="shared" si="43"/>
        <v>58.270058708414879</v>
      </c>
      <c r="CE37" s="811">
        <f t="shared" si="43"/>
        <v>57.127201565557726</v>
      </c>
      <c r="CF37" s="811">
        <f t="shared" si="44"/>
        <v>55.984344422700588</v>
      </c>
      <c r="CG37" s="811">
        <f t="shared" si="44"/>
        <v>54.838356164383562</v>
      </c>
      <c r="CH37" s="811">
        <f t="shared" si="44"/>
        <v>53.695499021526416</v>
      </c>
      <c r="CI37" s="811">
        <f t="shared" si="44"/>
        <v>52.552641878669277</v>
      </c>
      <c r="CJ37" s="811">
        <f t="shared" si="44"/>
        <v>51.409784735812138</v>
      </c>
      <c r="CK37" s="811">
        <f t="shared" si="44"/>
        <v>50.263796477495113</v>
      </c>
      <c r="CL37" s="811">
        <f t="shared" si="44"/>
        <v>49.120939334637967</v>
      </c>
      <c r="CM37" s="811">
        <f t="shared" si="44"/>
        <v>47.978082191780814</v>
      </c>
      <c r="CN37" s="811">
        <f t="shared" si="44"/>
        <v>46.835225048923675</v>
      </c>
      <c r="CO37" s="811">
        <f t="shared" si="44"/>
        <v>45.689236790606657</v>
      </c>
      <c r="CP37" s="811">
        <f t="shared" si="45"/>
        <v>44.546379647749518</v>
      </c>
      <c r="CQ37" s="811">
        <f t="shared" si="45"/>
        <v>43.403522504892365</v>
      </c>
      <c r="CR37" s="811">
        <f t="shared" si="45"/>
        <v>42.260665362035219</v>
      </c>
      <c r="CS37" s="811">
        <f t="shared" si="45"/>
        <v>41.114677103718194</v>
      </c>
      <c r="CT37" s="811">
        <f t="shared" si="45"/>
        <v>39.971819960861055</v>
      </c>
      <c r="CU37" s="811">
        <f t="shared" si="45"/>
        <v>38.828962818003916</v>
      </c>
      <c r="CV37" s="811">
        <f t="shared" si="45"/>
        <v>37.68610567514677</v>
      </c>
      <c r="CW37" s="811">
        <f t="shared" si="45"/>
        <v>36.540117416829744</v>
      </c>
      <c r="CX37" s="811">
        <f t="shared" si="45"/>
        <v>35.397260273972606</v>
      </c>
      <c r="CY37" s="811">
        <f t="shared" si="45"/>
        <v>34.254403131115453</v>
      </c>
      <c r="CZ37" s="811">
        <f t="shared" si="46"/>
        <v>33.111545988258314</v>
      </c>
      <c r="DA37" s="811">
        <f t="shared" si="46"/>
        <v>31.965557729941292</v>
      </c>
      <c r="DB37" s="811">
        <f t="shared" si="46"/>
        <v>30.822700587084153</v>
      </c>
      <c r="DC37" s="811">
        <f t="shared" si="46"/>
        <v>29.679843444227004</v>
      </c>
      <c r="DD37" s="811">
        <f t="shared" si="46"/>
        <v>28.536986301369865</v>
      </c>
      <c r="DE37" s="811">
        <f t="shared" si="46"/>
        <v>27.390998043052839</v>
      </c>
      <c r="DF37" s="811">
        <f t="shared" si="46"/>
        <v>26.248140900195693</v>
      </c>
      <c r="DG37" s="811">
        <f t="shared" si="46"/>
        <v>25.105283757338555</v>
      </c>
      <c r="DH37" s="811">
        <f t="shared" si="46"/>
        <v>23.962426614481409</v>
      </c>
      <c r="DI37" s="811">
        <f t="shared" si="46"/>
        <v>22.816438356164383</v>
      </c>
      <c r="DJ37" s="811">
        <f t="shared" si="46"/>
        <v>21.673581213307244</v>
      </c>
      <c r="DK37" s="811">
        <f t="shared" si="46"/>
        <v>20.530724070450095</v>
      </c>
    </row>
    <row r="38" spans="2:115" ht="20.100000000000001" customHeight="1" x14ac:dyDescent="0.2">
      <c r="B38" s="815" t="s">
        <v>780</v>
      </c>
      <c r="C38" s="816">
        <v>0.5</v>
      </c>
      <c r="D38" s="814">
        <v>346.53118870659239</v>
      </c>
      <c r="E38" s="776">
        <v>37987</v>
      </c>
      <c r="F38" s="817">
        <v>70</v>
      </c>
      <c r="G38" s="776">
        <v>45287</v>
      </c>
      <c r="H38" s="817">
        <v>0</v>
      </c>
      <c r="I38" s="806"/>
      <c r="J38" s="795">
        <f t="shared" si="13"/>
        <v>38322</v>
      </c>
      <c r="K38" s="795">
        <f t="shared" si="14"/>
        <v>45261</v>
      </c>
      <c r="L38" s="810">
        <f t="shared" si="26"/>
        <v>5.9917808219178079</v>
      </c>
      <c r="M38" s="809" t="str">
        <f t="shared" si="15"/>
        <v>SEA Gas Pipeline (50%)</v>
      </c>
      <c r="N38" s="811" t="str">
        <f t="shared" si="37"/>
        <v/>
      </c>
      <c r="O38" s="811" t="str">
        <f t="shared" si="37"/>
        <v/>
      </c>
      <c r="P38" s="811" t="str">
        <f t="shared" si="37"/>
        <v/>
      </c>
      <c r="Q38" s="811" t="str">
        <f t="shared" si="37"/>
        <v/>
      </c>
      <c r="R38" s="811" t="str">
        <f t="shared" si="37"/>
        <v/>
      </c>
      <c r="S38" s="811" t="str">
        <f t="shared" si="37"/>
        <v/>
      </c>
      <c r="T38" s="811" t="str">
        <f t="shared" si="37"/>
        <v/>
      </c>
      <c r="U38" s="811" t="str">
        <f t="shared" si="37"/>
        <v/>
      </c>
      <c r="V38" s="811" t="str">
        <f t="shared" si="37"/>
        <v/>
      </c>
      <c r="W38" s="811" t="str">
        <f t="shared" si="37"/>
        <v/>
      </c>
      <c r="X38" s="811" t="str">
        <f t="shared" si="38"/>
        <v/>
      </c>
      <c r="Y38" s="811" t="str">
        <f t="shared" si="38"/>
        <v/>
      </c>
      <c r="Z38" s="811" t="str">
        <f t="shared" si="38"/>
        <v/>
      </c>
      <c r="AA38" s="811" t="str">
        <f t="shared" si="38"/>
        <v/>
      </c>
      <c r="AB38" s="811" t="str">
        <f t="shared" si="38"/>
        <v/>
      </c>
      <c r="AC38" s="811" t="str">
        <f t="shared" si="38"/>
        <v/>
      </c>
      <c r="AD38" s="811" t="str">
        <f t="shared" si="38"/>
        <v/>
      </c>
      <c r="AE38" s="811" t="str">
        <f t="shared" si="38"/>
        <v/>
      </c>
      <c r="AF38" s="811" t="str">
        <f t="shared" si="38"/>
        <v/>
      </c>
      <c r="AG38" s="811" t="str">
        <f t="shared" si="38"/>
        <v/>
      </c>
      <c r="AH38" s="811" t="str">
        <f t="shared" si="39"/>
        <v/>
      </c>
      <c r="AI38" s="811" t="str">
        <f t="shared" si="39"/>
        <v/>
      </c>
      <c r="AJ38" s="811" t="str">
        <f t="shared" si="39"/>
        <v/>
      </c>
      <c r="AK38" s="811" t="str">
        <f t="shared" si="39"/>
        <v/>
      </c>
      <c r="AL38" s="811" t="str">
        <f t="shared" si="39"/>
        <v/>
      </c>
      <c r="AM38" s="811" t="str">
        <f t="shared" si="39"/>
        <v/>
      </c>
      <c r="AN38" s="811" t="str">
        <f t="shared" si="39"/>
        <v/>
      </c>
      <c r="AO38" s="811" t="str">
        <f t="shared" si="39"/>
        <v/>
      </c>
      <c r="AP38" s="811" t="str">
        <f t="shared" si="39"/>
        <v/>
      </c>
      <c r="AQ38" s="811" t="str">
        <f t="shared" si="39"/>
        <v/>
      </c>
      <c r="AR38" s="811" t="str">
        <f t="shared" si="40"/>
        <v/>
      </c>
      <c r="AS38" s="811" t="str">
        <f t="shared" si="40"/>
        <v/>
      </c>
      <c r="AT38" s="811" t="str">
        <f t="shared" si="40"/>
        <v/>
      </c>
      <c r="AU38" s="811" t="str">
        <f t="shared" si="40"/>
        <v/>
      </c>
      <c r="AV38" s="811" t="str">
        <f t="shared" si="40"/>
        <v/>
      </c>
      <c r="AW38" s="811">
        <f t="shared" si="40"/>
        <v>173.26559435329619</v>
      </c>
      <c r="AX38" s="811">
        <f t="shared" si="40"/>
        <v>170.79037157682055</v>
      </c>
      <c r="AY38" s="811">
        <f t="shared" si="40"/>
        <v>168.31514880034487</v>
      </c>
      <c r="AZ38" s="811">
        <f t="shared" si="40"/>
        <v>165.83992602386922</v>
      </c>
      <c r="BA38" s="811">
        <f t="shared" si="40"/>
        <v>163.35792181512923</v>
      </c>
      <c r="BB38" s="811">
        <f t="shared" si="41"/>
        <v>160.88269903865358</v>
      </c>
      <c r="BC38" s="811">
        <f t="shared" si="41"/>
        <v>158.40747626217794</v>
      </c>
      <c r="BD38" s="811">
        <f t="shared" si="41"/>
        <v>155.93225348570226</v>
      </c>
      <c r="BE38" s="811">
        <f t="shared" si="41"/>
        <v>153.45024927696227</v>
      </c>
      <c r="BF38" s="811">
        <f t="shared" si="41"/>
        <v>150.97502650048662</v>
      </c>
      <c r="BG38" s="811">
        <f t="shared" si="41"/>
        <v>148.49980372401095</v>
      </c>
      <c r="BH38" s="811">
        <f t="shared" si="41"/>
        <v>146.0245809475353</v>
      </c>
      <c r="BI38" s="811">
        <f t="shared" si="41"/>
        <v>143.54257673879533</v>
      </c>
      <c r="BJ38" s="811">
        <f t="shared" si="41"/>
        <v>141.06735396231969</v>
      </c>
      <c r="BK38" s="811">
        <f t="shared" si="41"/>
        <v>138.59213118584401</v>
      </c>
      <c r="BL38" s="811">
        <f t="shared" si="42"/>
        <v>136.11690840936834</v>
      </c>
      <c r="BM38" s="811">
        <f t="shared" si="42"/>
        <v>133.63490420062837</v>
      </c>
      <c r="BN38" s="811">
        <f t="shared" si="42"/>
        <v>131.15968142415269</v>
      </c>
      <c r="BO38" s="811">
        <f t="shared" si="42"/>
        <v>128.68445864767705</v>
      </c>
      <c r="BP38" s="811">
        <f t="shared" si="42"/>
        <v>126.20923587120139</v>
      </c>
      <c r="BQ38" s="811">
        <f t="shared" si="42"/>
        <v>123.72723166246141</v>
      </c>
      <c r="BR38" s="811">
        <f t="shared" si="42"/>
        <v>121.25200888598576</v>
      </c>
      <c r="BS38" s="811">
        <f t="shared" si="42"/>
        <v>118.77678610951008</v>
      </c>
      <c r="BT38" s="811">
        <f t="shared" si="42"/>
        <v>116.30156333303444</v>
      </c>
      <c r="BU38" s="811">
        <f t="shared" si="42"/>
        <v>113.81955912429446</v>
      </c>
      <c r="BV38" s="811">
        <f t="shared" si="43"/>
        <v>111.34433634781881</v>
      </c>
      <c r="BW38" s="811">
        <f t="shared" si="43"/>
        <v>108.86911357134314</v>
      </c>
      <c r="BX38" s="811">
        <f t="shared" si="43"/>
        <v>106.39389079486746</v>
      </c>
      <c r="BY38" s="811">
        <f t="shared" si="43"/>
        <v>103.91188658612749</v>
      </c>
      <c r="BZ38" s="811">
        <f t="shared" si="43"/>
        <v>101.43666380965183</v>
      </c>
      <c r="CA38" s="811">
        <f t="shared" si="43"/>
        <v>98.961441033176186</v>
      </c>
      <c r="CB38" s="811">
        <f t="shared" si="43"/>
        <v>96.486218256700511</v>
      </c>
      <c r="CC38" s="811">
        <f t="shared" si="43"/>
        <v>94.004214047960545</v>
      </c>
      <c r="CD38" s="811">
        <f t="shared" si="43"/>
        <v>91.52899127148487</v>
      </c>
      <c r="CE38" s="811">
        <f t="shared" si="43"/>
        <v>89.053768495009223</v>
      </c>
      <c r="CF38" s="811">
        <f t="shared" si="44"/>
        <v>86.578545718533562</v>
      </c>
      <c r="CG38" s="811">
        <f t="shared" si="44"/>
        <v>84.096541509793596</v>
      </c>
      <c r="CH38" s="811">
        <f t="shared" si="44"/>
        <v>81.621318733317921</v>
      </c>
      <c r="CI38" s="811">
        <f t="shared" si="44"/>
        <v>79.146095956842274</v>
      </c>
      <c r="CJ38" s="811">
        <f t="shared" si="44"/>
        <v>76.670873180366598</v>
      </c>
      <c r="CK38" s="811">
        <f t="shared" si="44"/>
        <v>74.188868971626619</v>
      </c>
      <c r="CL38" s="811">
        <f t="shared" si="44"/>
        <v>71.713646195150972</v>
      </c>
      <c r="CM38" s="811">
        <f t="shared" si="44"/>
        <v>69.238423418675325</v>
      </c>
      <c r="CN38" s="811">
        <f t="shared" si="44"/>
        <v>66.763200642199649</v>
      </c>
      <c r="CO38" s="811">
        <f t="shared" si="44"/>
        <v>64.281196433459669</v>
      </c>
      <c r="CP38" s="811">
        <f t="shared" si="45"/>
        <v>61.805973656984023</v>
      </c>
      <c r="CQ38" s="811">
        <f t="shared" si="45"/>
        <v>59.330750880508347</v>
      </c>
      <c r="CR38" s="811">
        <f t="shared" si="45"/>
        <v>56.8555281040327</v>
      </c>
      <c r="CS38" s="811">
        <f t="shared" si="45"/>
        <v>54.37352389529272</v>
      </c>
      <c r="CT38" s="811">
        <f t="shared" si="45"/>
        <v>51.898301118817052</v>
      </c>
      <c r="CU38" s="811">
        <f t="shared" si="45"/>
        <v>49.423078342341398</v>
      </c>
      <c r="CV38" s="811">
        <f t="shared" si="45"/>
        <v>46.94785556586573</v>
      </c>
      <c r="CW38" s="811">
        <f t="shared" si="45"/>
        <v>44.46585135712575</v>
      </c>
      <c r="CX38" s="811">
        <f t="shared" si="45"/>
        <v>41.990628580650103</v>
      </c>
      <c r="CY38" s="811">
        <f t="shared" si="45"/>
        <v>39.515405804174428</v>
      </c>
      <c r="CZ38" s="811">
        <f t="shared" si="46"/>
        <v>37.040183027698781</v>
      </c>
      <c r="DA38" s="811">
        <f t="shared" si="46"/>
        <v>34.558178818958801</v>
      </c>
      <c r="DB38" s="811">
        <f t="shared" si="46"/>
        <v>32.082956042483154</v>
      </c>
      <c r="DC38" s="811">
        <f t="shared" si="46"/>
        <v>29.607733266007482</v>
      </c>
      <c r="DD38" s="811">
        <f t="shared" si="46"/>
        <v>27.132510489531832</v>
      </c>
      <c r="DE38" s="811">
        <f t="shared" si="46"/>
        <v>24.650506280791852</v>
      </c>
      <c r="DF38" s="811">
        <f t="shared" si="46"/>
        <v>22.175283504316184</v>
      </c>
      <c r="DG38" s="811">
        <f t="shared" si="46"/>
        <v>19.700060727840533</v>
      </c>
      <c r="DH38" s="811">
        <f t="shared" si="46"/>
        <v>17.224837951364862</v>
      </c>
      <c r="DI38" s="811">
        <f t="shared" si="46"/>
        <v>14.742833742624885</v>
      </c>
      <c r="DJ38" s="811">
        <f t="shared" si="46"/>
        <v>12.267610966149233</v>
      </c>
      <c r="DK38" s="811">
        <f t="shared" si="46"/>
        <v>9.7923881896735629</v>
      </c>
    </row>
    <row r="39" spans="2:115" ht="20.100000000000001" customHeight="1" x14ac:dyDescent="0.2">
      <c r="B39" s="815" t="s">
        <v>775</v>
      </c>
      <c r="C39" s="816">
        <v>1</v>
      </c>
      <c r="D39" s="814">
        <v>16</v>
      </c>
      <c r="E39" s="776">
        <v>38504</v>
      </c>
      <c r="F39" s="817">
        <v>70</v>
      </c>
      <c r="G39" s="776">
        <v>45804</v>
      </c>
      <c r="H39" s="817">
        <v>0</v>
      </c>
      <c r="I39" s="806"/>
      <c r="J39" s="795">
        <f t="shared" si="13"/>
        <v>38687</v>
      </c>
      <c r="K39" s="795">
        <f t="shared" si="14"/>
        <v>45992</v>
      </c>
      <c r="L39" s="810">
        <f t="shared" si="26"/>
        <v>7.4082191780821915</v>
      </c>
      <c r="M39" s="809" t="str">
        <f t="shared" si="15"/>
        <v>South East South Australia Pipeline (100%)</v>
      </c>
      <c r="N39" s="811" t="str">
        <f t="shared" si="37"/>
        <v/>
      </c>
      <c r="O39" s="811" t="str">
        <f t="shared" si="37"/>
        <v/>
      </c>
      <c r="P39" s="811" t="str">
        <f t="shared" si="37"/>
        <v/>
      </c>
      <c r="Q39" s="811" t="str">
        <f t="shared" si="37"/>
        <v/>
      </c>
      <c r="R39" s="811" t="str">
        <f t="shared" si="37"/>
        <v/>
      </c>
      <c r="S39" s="811" t="str">
        <f t="shared" si="37"/>
        <v/>
      </c>
      <c r="T39" s="811" t="str">
        <f t="shared" si="37"/>
        <v/>
      </c>
      <c r="U39" s="811" t="str">
        <f t="shared" si="37"/>
        <v/>
      </c>
      <c r="V39" s="811" t="str">
        <f t="shared" si="37"/>
        <v/>
      </c>
      <c r="W39" s="811" t="str">
        <f t="shared" si="37"/>
        <v/>
      </c>
      <c r="X39" s="811" t="str">
        <f t="shared" si="38"/>
        <v/>
      </c>
      <c r="Y39" s="811" t="str">
        <f t="shared" si="38"/>
        <v/>
      </c>
      <c r="Z39" s="811" t="str">
        <f t="shared" si="38"/>
        <v/>
      </c>
      <c r="AA39" s="811" t="str">
        <f t="shared" si="38"/>
        <v/>
      </c>
      <c r="AB39" s="811" t="str">
        <f t="shared" si="38"/>
        <v/>
      </c>
      <c r="AC39" s="811" t="str">
        <f t="shared" si="38"/>
        <v/>
      </c>
      <c r="AD39" s="811" t="str">
        <f t="shared" si="38"/>
        <v/>
      </c>
      <c r="AE39" s="811" t="str">
        <f t="shared" si="38"/>
        <v/>
      </c>
      <c r="AF39" s="811" t="str">
        <f t="shared" si="38"/>
        <v/>
      </c>
      <c r="AG39" s="811" t="str">
        <f t="shared" si="38"/>
        <v/>
      </c>
      <c r="AH39" s="811" t="str">
        <f t="shared" si="39"/>
        <v/>
      </c>
      <c r="AI39" s="811" t="str">
        <f t="shared" si="39"/>
        <v/>
      </c>
      <c r="AJ39" s="811" t="str">
        <f t="shared" si="39"/>
        <v/>
      </c>
      <c r="AK39" s="811" t="str">
        <f t="shared" si="39"/>
        <v/>
      </c>
      <c r="AL39" s="811" t="str">
        <f t="shared" si="39"/>
        <v/>
      </c>
      <c r="AM39" s="811" t="str">
        <f t="shared" si="39"/>
        <v/>
      </c>
      <c r="AN39" s="811" t="str">
        <f t="shared" si="39"/>
        <v/>
      </c>
      <c r="AO39" s="811" t="str">
        <f t="shared" si="39"/>
        <v/>
      </c>
      <c r="AP39" s="811" t="str">
        <f t="shared" si="39"/>
        <v/>
      </c>
      <c r="AQ39" s="811" t="str">
        <f t="shared" si="39"/>
        <v/>
      </c>
      <c r="AR39" s="811" t="str">
        <f t="shared" si="40"/>
        <v/>
      </c>
      <c r="AS39" s="811" t="str">
        <f t="shared" si="40"/>
        <v/>
      </c>
      <c r="AT39" s="811" t="str">
        <f t="shared" si="40"/>
        <v/>
      </c>
      <c r="AU39" s="811" t="str">
        <f t="shared" si="40"/>
        <v/>
      </c>
      <c r="AV39" s="811" t="str">
        <f t="shared" si="40"/>
        <v/>
      </c>
      <c r="AW39" s="811" t="str">
        <f t="shared" si="40"/>
        <v/>
      </c>
      <c r="AX39" s="811">
        <f t="shared" si="40"/>
        <v>16</v>
      </c>
      <c r="AY39" s="811">
        <f t="shared" si="40"/>
        <v>15.771428571428572</v>
      </c>
      <c r="AZ39" s="811">
        <f t="shared" si="40"/>
        <v>15.542857142857143</v>
      </c>
      <c r="BA39" s="811">
        <f t="shared" si="40"/>
        <v>15.313659491193738</v>
      </c>
      <c r="BB39" s="811">
        <f t="shared" si="41"/>
        <v>15.08508806262231</v>
      </c>
      <c r="BC39" s="811">
        <f t="shared" si="41"/>
        <v>14.85651663405088</v>
      </c>
      <c r="BD39" s="811">
        <f t="shared" si="41"/>
        <v>14.627945205479453</v>
      </c>
      <c r="BE39" s="811">
        <f t="shared" si="41"/>
        <v>14.398747553816047</v>
      </c>
      <c r="BF39" s="811">
        <f t="shared" si="41"/>
        <v>14.170176125244618</v>
      </c>
      <c r="BG39" s="811">
        <f t="shared" si="41"/>
        <v>13.94160469667319</v>
      </c>
      <c r="BH39" s="811">
        <f t="shared" si="41"/>
        <v>13.713033268101761</v>
      </c>
      <c r="BI39" s="811">
        <f t="shared" si="41"/>
        <v>13.483835616438355</v>
      </c>
      <c r="BJ39" s="811">
        <f t="shared" si="41"/>
        <v>13.255264187866928</v>
      </c>
      <c r="BK39" s="811">
        <f t="shared" si="41"/>
        <v>13.0266927592955</v>
      </c>
      <c r="BL39" s="811">
        <f t="shared" si="42"/>
        <v>12.79812133072407</v>
      </c>
      <c r="BM39" s="811">
        <f t="shared" si="42"/>
        <v>12.568923679060665</v>
      </c>
      <c r="BN39" s="811">
        <f t="shared" si="42"/>
        <v>12.340352250489236</v>
      </c>
      <c r="BO39" s="811">
        <f t="shared" si="42"/>
        <v>12.111780821917808</v>
      </c>
      <c r="BP39" s="811">
        <f t="shared" si="42"/>
        <v>11.88320939334638</v>
      </c>
      <c r="BQ39" s="811">
        <f t="shared" si="42"/>
        <v>11.654011741682975</v>
      </c>
      <c r="BR39" s="811">
        <f t="shared" si="42"/>
        <v>11.425440313111546</v>
      </c>
      <c r="BS39" s="811">
        <f t="shared" si="42"/>
        <v>11.196868884540118</v>
      </c>
      <c r="BT39" s="811">
        <f t="shared" si="42"/>
        <v>10.968297455968688</v>
      </c>
      <c r="BU39" s="811">
        <f t="shared" si="42"/>
        <v>10.739099804305283</v>
      </c>
      <c r="BV39" s="811">
        <f t="shared" si="43"/>
        <v>10.510528375733855</v>
      </c>
      <c r="BW39" s="811">
        <f t="shared" si="43"/>
        <v>10.281956947162428</v>
      </c>
      <c r="BX39" s="811">
        <f t="shared" si="43"/>
        <v>10.053385518590998</v>
      </c>
      <c r="BY39" s="811">
        <f t="shared" si="43"/>
        <v>9.824187866927593</v>
      </c>
      <c r="BZ39" s="811">
        <f t="shared" si="43"/>
        <v>9.5956164383561635</v>
      </c>
      <c r="CA39" s="811">
        <f t="shared" si="43"/>
        <v>9.3670450097847358</v>
      </c>
      <c r="CB39" s="811">
        <f t="shared" si="43"/>
        <v>9.138473581213308</v>
      </c>
      <c r="CC39" s="811">
        <f t="shared" si="43"/>
        <v>8.9092759295499029</v>
      </c>
      <c r="CD39" s="811">
        <f t="shared" si="43"/>
        <v>8.6807045009784733</v>
      </c>
      <c r="CE39" s="811">
        <f t="shared" si="43"/>
        <v>8.4521330724070438</v>
      </c>
      <c r="CF39" s="811">
        <f t="shared" si="44"/>
        <v>8.2235616438356161</v>
      </c>
      <c r="CG39" s="811">
        <f t="shared" si="44"/>
        <v>7.9943639921722109</v>
      </c>
      <c r="CH39" s="811">
        <f t="shared" si="44"/>
        <v>7.7657925636007832</v>
      </c>
      <c r="CI39" s="811">
        <f t="shared" si="44"/>
        <v>7.5372211350293536</v>
      </c>
      <c r="CJ39" s="811">
        <f t="shared" si="44"/>
        <v>7.3086497064579259</v>
      </c>
      <c r="CK39" s="811">
        <f t="shared" si="44"/>
        <v>7.0794520547945208</v>
      </c>
      <c r="CL39" s="811">
        <f t="shared" si="44"/>
        <v>6.8508806262230912</v>
      </c>
      <c r="CM39" s="811">
        <f t="shared" si="44"/>
        <v>6.6223091976516635</v>
      </c>
      <c r="CN39" s="811">
        <f t="shared" si="44"/>
        <v>6.3937377690802357</v>
      </c>
      <c r="CO39" s="811">
        <f t="shared" si="44"/>
        <v>6.1645401174168306</v>
      </c>
      <c r="CP39" s="811">
        <f t="shared" si="45"/>
        <v>5.9359686888454011</v>
      </c>
      <c r="CQ39" s="811">
        <f t="shared" si="45"/>
        <v>5.7073972602739733</v>
      </c>
      <c r="CR39" s="811">
        <f t="shared" si="45"/>
        <v>5.4788258317025438</v>
      </c>
      <c r="CS39" s="811">
        <f t="shared" si="45"/>
        <v>5.2496281800391387</v>
      </c>
      <c r="CT39" s="811">
        <f t="shared" si="45"/>
        <v>5.0210567514677109</v>
      </c>
      <c r="CU39" s="811">
        <f t="shared" si="45"/>
        <v>4.7924853228962814</v>
      </c>
      <c r="CV39" s="811">
        <f t="shared" si="45"/>
        <v>4.5639138943248536</v>
      </c>
      <c r="CW39" s="811">
        <f t="shared" si="45"/>
        <v>4.3347162426614485</v>
      </c>
      <c r="CX39" s="811">
        <f t="shared" si="45"/>
        <v>4.106144814090019</v>
      </c>
      <c r="CY39" s="811">
        <f t="shared" si="45"/>
        <v>3.8775733855185912</v>
      </c>
      <c r="CZ39" s="811">
        <f t="shared" si="46"/>
        <v>3.6490019569471617</v>
      </c>
      <c r="DA39" s="811">
        <f t="shared" si="46"/>
        <v>3.4198043052837566</v>
      </c>
      <c r="DB39" s="811">
        <f t="shared" si="46"/>
        <v>3.1912328767123288</v>
      </c>
      <c r="DC39" s="811">
        <f t="shared" si="46"/>
        <v>2.962661448140901</v>
      </c>
      <c r="DD39" s="811">
        <f t="shared" si="46"/>
        <v>2.7340900195694715</v>
      </c>
      <c r="DE39" s="811">
        <f t="shared" si="46"/>
        <v>2.5048923679060664</v>
      </c>
      <c r="DF39" s="811">
        <f t="shared" si="46"/>
        <v>2.2763209393346386</v>
      </c>
      <c r="DG39" s="811">
        <f t="shared" si="46"/>
        <v>2.0477495107632091</v>
      </c>
      <c r="DH39" s="811">
        <f t="shared" si="46"/>
        <v>1.8191780821917813</v>
      </c>
      <c r="DI39" s="811">
        <f t="shared" si="46"/>
        <v>1.5899804305283762</v>
      </c>
      <c r="DJ39" s="811">
        <f t="shared" si="46"/>
        <v>1.3614090019569467</v>
      </c>
      <c r="DK39" s="811">
        <f t="shared" si="46"/>
        <v>1.1328375733855189</v>
      </c>
    </row>
    <row r="40" spans="2:115" ht="20.100000000000001" customHeight="1" x14ac:dyDescent="0.2">
      <c r="B40" s="815" t="s">
        <v>806</v>
      </c>
      <c r="C40" s="816">
        <v>1</v>
      </c>
      <c r="D40" s="814">
        <v>220</v>
      </c>
      <c r="E40" s="776">
        <v>35400</v>
      </c>
      <c r="F40" s="817">
        <v>70</v>
      </c>
      <c r="G40" s="776">
        <v>47848</v>
      </c>
      <c r="H40" s="817">
        <v>0</v>
      </c>
      <c r="I40" s="806"/>
      <c r="J40" s="795">
        <f t="shared" si="13"/>
        <v>35400</v>
      </c>
      <c r="K40" s="795">
        <f t="shared" si="14"/>
        <v>47818</v>
      </c>
      <c r="L40" s="810">
        <f t="shared" si="26"/>
        <v>13.008219178082191</v>
      </c>
      <c r="M40" s="809" t="str">
        <f t="shared" si="15"/>
        <v>Southwest Queensland Pipeline (100%)</v>
      </c>
      <c r="N40" s="811" t="str">
        <f t="shared" si="37"/>
        <v/>
      </c>
      <c r="O40" s="811" t="str">
        <f t="shared" si="37"/>
        <v/>
      </c>
      <c r="P40" s="811" t="str">
        <f t="shared" si="37"/>
        <v/>
      </c>
      <c r="Q40" s="811" t="str">
        <f t="shared" si="37"/>
        <v/>
      </c>
      <c r="R40" s="811" t="str">
        <f t="shared" si="37"/>
        <v/>
      </c>
      <c r="S40" s="811" t="str">
        <f t="shared" si="37"/>
        <v/>
      </c>
      <c r="T40" s="811" t="str">
        <f t="shared" si="37"/>
        <v/>
      </c>
      <c r="U40" s="811" t="str">
        <f t="shared" si="37"/>
        <v/>
      </c>
      <c r="V40" s="811" t="str">
        <f t="shared" si="37"/>
        <v/>
      </c>
      <c r="W40" s="811" t="str">
        <f t="shared" si="37"/>
        <v/>
      </c>
      <c r="X40" s="811" t="str">
        <f t="shared" si="38"/>
        <v/>
      </c>
      <c r="Y40" s="811" t="str">
        <f t="shared" si="38"/>
        <v/>
      </c>
      <c r="Z40" s="811" t="str">
        <f t="shared" si="38"/>
        <v/>
      </c>
      <c r="AA40" s="811" t="str">
        <f t="shared" si="38"/>
        <v/>
      </c>
      <c r="AB40" s="811" t="str">
        <f t="shared" si="38"/>
        <v/>
      </c>
      <c r="AC40" s="811" t="str">
        <f t="shared" si="38"/>
        <v/>
      </c>
      <c r="AD40" s="811" t="str">
        <f t="shared" si="38"/>
        <v/>
      </c>
      <c r="AE40" s="811" t="str">
        <f t="shared" si="38"/>
        <v/>
      </c>
      <c r="AF40" s="811" t="str">
        <f t="shared" si="38"/>
        <v/>
      </c>
      <c r="AG40" s="811" t="str">
        <f t="shared" si="38"/>
        <v/>
      </c>
      <c r="AH40" s="811" t="str">
        <f t="shared" si="39"/>
        <v/>
      </c>
      <c r="AI40" s="811" t="str">
        <f t="shared" si="39"/>
        <v/>
      </c>
      <c r="AJ40" s="811" t="str">
        <f t="shared" si="39"/>
        <v/>
      </c>
      <c r="AK40" s="811" t="str">
        <f t="shared" si="39"/>
        <v/>
      </c>
      <c r="AL40" s="811" t="str">
        <f t="shared" si="39"/>
        <v/>
      </c>
      <c r="AM40" s="811" t="str">
        <f t="shared" si="39"/>
        <v/>
      </c>
      <c r="AN40" s="811" t="str">
        <f t="shared" si="39"/>
        <v/>
      </c>
      <c r="AO40" s="811">
        <f t="shared" si="39"/>
        <v>220</v>
      </c>
      <c r="AP40" s="811">
        <f t="shared" si="39"/>
        <v>216.85714285714286</v>
      </c>
      <c r="AQ40" s="811">
        <f t="shared" si="39"/>
        <v>213.71428571428572</v>
      </c>
      <c r="AR40" s="811">
        <f t="shared" si="40"/>
        <v>210.57142857142858</v>
      </c>
      <c r="AS40" s="811">
        <f t="shared" si="40"/>
        <v>207.41996086105675</v>
      </c>
      <c r="AT40" s="811">
        <f t="shared" si="40"/>
        <v>204.27710371819961</v>
      </c>
      <c r="AU40" s="811">
        <f t="shared" si="40"/>
        <v>201.13424657534247</v>
      </c>
      <c r="AV40" s="811">
        <f t="shared" si="40"/>
        <v>197.99138943248531</v>
      </c>
      <c r="AW40" s="811">
        <f t="shared" si="40"/>
        <v>194.8399217221135</v>
      </c>
      <c r="AX40" s="811">
        <f t="shared" si="40"/>
        <v>191.69706457925636</v>
      </c>
      <c r="AY40" s="811">
        <f t="shared" si="40"/>
        <v>188.5542074363992</v>
      </c>
      <c r="AZ40" s="811">
        <f t="shared" si="40"/>
        <v>185.41135029354209</v>
      </c>
      <c r="BA40" s="811">
        <f t="shared" si="40"/>
        <v>182.25988258317025</v>
      </c>
      <c r="BB40" s="811">
        <f t="shared" si="41"/>
        <v>179.11702544031311</v>
      </c>
      <c r="BC40" s="811">
        <f t="shared" si="41"/>
        <v>175.97416829745598</v>
      </c>
      <c r="BD40" s="811">
        <f t="shared" si="41"/>
        <v>172.83131115459881</v>
      </c>
      <c r="BE40" s="811">
        <f t="shared" si="41"/>
        <v>169.679843444227</v>
      </c>
      <c r="BF40" s="811">
        <f t="shared" si="41"/>
        <v>166.53698630136986</v>
      </c>
      <c r="BG40" s="811">
        <f t="shared" si="41"/>
        <v>163.39412915851273</v>
      </c>
      <c r="BH40" s="811">
        <f t="shared" si="41"/>
        <v>160.25127201565556</v>
      </c>
      <c r="BI40" s="811">
        <f t="shared" si="41"/>
        <v>157.09980430528375</v>
      </c>
      <c r="BJ40" s="811">
        <f t="shared" si="41"/>
        <v>153.95694716242662</v>
      </c>
      <c r="BK40" s="811">
        <f t="shared" si="41"/>
        <v>150.81409001956948</v>
      </c>
      <c r="BL40" s="811">
        <f t="shared" si="42"/>
        <v>147.67123287671234</v>
      </c>
      <c r="BM40" s="811">
        <f t="shared" si="42"/>
        <v>144.51976516634051</v>
      </c>
      <c r="BN40" s="811">
        <f t="shared" si="42"/>
        <v>141.3769080234834</v>
      </c>
      <c r="BO40" s="811">
        <f t="shared" si="42"/>
        <v>138.23405088062623</v>
      </c>
      <c r="BP40" s="811">
        <f t="shared" si="42"/>
        <v>135.09119373776906</v>
      </c>
      <c r="BQ40" s="811">
        <f t="shared" si="42"/>
        <v>131.93972602739726</v>
      </c>
      <c r="BR40" s="811">
        <f t="shared" si="42"/>
        <v>128.79686888454012</v>
      </c>
      <c r="BS40" s="811">
        <f t="shared" si="42"/>
        <v>125.65401174168298</v>
      </c>
      <c r="BT40" s="811">
        <f t="shared" si="42"/>
        <v>122.51115459882583</v>
      </c>
      <c r="BU40" s="811">
        <f t="shared" si="42"/>
        <v>119.35968688845401</v>
      </c>
      <c r="BV40" s="811">
        <f t="shared" si="43"/>
        <v>116.21682974559685</v>
      </c>
      <c r="BW40" s="811">
        <f t="shared" si="43"/>
        <v>113.07397260273972</v>
      </c>
      <c r="BX40" s="811">
        <f t="shared" si="43"/>
        <v>109.93111545988259</v>
      </c>
      <c r="BY40" s="811">
        <f t="shared" si="43"/>
        <v>106.77964774951077</v>
      </c>
      <c r="BZ40" s="811">
        <f t="shared" si="43"/>
        <v>103.63679060665362</v>
      </c>
      <c r="CA40" s="811">
        <f t="shared" si="43"/>
        <v>100.49393346379648</v>
      </c>
      <c r="CB40" s="811">
        <f t="shared" si="43"/>
        <v>97.351076320939328</v>
      </c>
      <c r="CC40" s="811">
        <f t="shared" si="43"/>
        <v>94.199608610567509</v>
      </c>
      <c r="CD40" s="811">
        <f t="shared" si="43"/>
        <v>91.05675146771037</v>
      </c>
      <c r="CE40" s="811">
        <f t="shared" si="43"/>
        <v>87.913894324853246</v>
      </c>
      <c r="CF40" s="811">
        <f t="shared" si="44"/>
        <v>84.771037181996078</v>
      </c>
      <c r="CG40" s="811">
        <f t="shared" si="44"/>
        <v>81.61956947162426</v>
      </c>
      <c r="CH40" s="811">
        <f t="shared" si="44"/>
        <v>78.476712328767135</v>
      </c>
      <c r="CI40" s="811">
        <f t="shared" si="44"/>
        <v>75.333855185909982</v>
      </c>
      <c r="CJ40" s="811">
        <f t="shared" si="44"/>
        <v>72.190998043052844</v>
      </c>
      <c r="CK40" s="811">
        <f t="shared" si="44"/>
        <v>69.039530332681025</v>
      </c>
      <c r="CL40" s="811">
        <f t="shared" si="44"/>
        <v>65.896673189823872</v>
      </c>
      <c r="CM40" s="811">
        <f t="shared" si="44"/>
        <v>62.75381604696674</v>
      </c>
      <c r="CN40" s="811">
        <f t="shared" si="44"/>
        <v>59.61095890410958</v>
      </c>
      <c r="CO40" s="811">
        <f t="shared" si="44"/>
        <v>56.459491193737762</v>
      </c>
      <c r="CP40" s="811">
        <f t="shared" si="45"/>
        <v>53.31663405088063</v>
      </c>
      <c r="CQ40" s="811">
        <f t="shared" si="45"/>
        <v>50.17377690802347</v>
      </c>
      <c r="CR40" s="811">
        <f t="shared" si="45"/>
        <v>47.030919765166338</v>
      </c>
      <c r="CS40" s="811">
        <f t="shared" si="45"/>
        <v>43.87945205479452</v>
      </c>
      <c r="CT40" s="811">
        <f t="shared" si="45"/>
        <v>40.736594911937388</v>
      </c>
      <c r="CU40" s="811">
        <f t="shared" si="45"/>
        <v>37.593737769080235</v>
      </c>
      <c r="CV40" s="811">
        <f t="shared" si="45"/>
        <v>34.450880626223103</v>
      </c>
      <c r="CW40" s="811">
        <f t="shared" si="45"/>
        <v>31.299412915851281</v>
      </c>
      <c r="CX40" s="811">
        <f t="shared" si="45"/>
        <v>28.156555772994125</v>
      </c>
      <c r="CY40" s="811">
        <f t="shared" si="45"/>
        <v>25.013698630136993</v>
      </c>
      <c r="CZ40" s="811">
        <f t="shared" si="46"/>
        <v>21.870841487279836</v>
      </c>
      <c r="DA40" s="811">
        <f t="shared" si="46"/>
        <v>18.719373776908018</v>
      </c>
      <c r="DB40" s="811">
        <f t="shared" si="46"/>
        <v>15.576516634050886</v>
      </c>
      <c r="DC40" s="811">
        <f t="shared" si="46"/>
        <v>12.43365949119373</v>
      </c>
      <c r="DD40" s="811">
        <f t="shared" si="46"/>
        <v>9.290802348336598</v>
      </c>
      <c r="DE40" s="811">
        <f t="shared" si="46"/>
        <v>6.1393346379647777</v>
      </c>
      <c r="DF40" s="811">
        <f t="shared" si="46"/>
        <v>2.9964774951076212</v>
      </c>
      <c r="DG40" s="811" t="str">
        <f t="shared" si="46"/>
        <v/>
      </c>
      <c r="DH40" s="811" t="str">
        <f t="shared" si="46"/>
        <v/>
      </c>
      <c r="DI40" s="811" t="str">
        <f t="shared" si="46"/>
        <v/>
      </c>
      <c r="DJ40" s="811" t="str">
        <f t="shared" si="46"/>
        <v/>
      </c>
      <c r="DK40" s="811" t="str">
        <f t="shared" si="46"/>
        <v/>
      </c>
    </row>
    <row r="41" spans="2:115" ht="20.100000000000001" customHeight="1" x14ac:dyDescent="0.2">
      <c r="B41" s="815" t="s">
        <v>803</v>
      </c>
      <c r="C41" s="816">
        <v>1</v>
      </c>
      <c r="D41" s="814">
        <v>125</v>
      </c>
      <c r="E41" s="776">
        <v>39783</v>
      </c>
      <c r="F41" s="817">
        <v>70</v>
      </c>
      <c r="G41" s="776">
        <v>45258</v>
      </c>
      <c r="H41" s="817">
        <v>0</v>
      </c>
      <c r="I41" s="806"/>
      <c r="J41" s="795">
        <f t="shared" si="13"/>
        <v>39783</v>
      </c>
      <c r="K41" s="795">
        <f t="shared" si="14"/>
        <v>45261</v>
      </c>
      <c r="L41" s="810">
        <f t="shared" si="26"/>
        <v>5.912328767123288</v>
      </c>
      <c r="M41" s="809" t="str">
        <f t="shared" si="15"/>
        <v>Southwest Queensland Pipeline expansion (100%)</v>
      </c>
      <c r="N41" s="811" t="str">
        <f t="shared" si="37"/>
        <v/>
      </c>
      <c r="O41" s="811" t="str">
        <f t="shared" si="37"/>
        <v/>
      </c>
      <c r="P41" s="811" t="str">
        <f t="shared" si="37"/>
        <v/>
      </c>
      <c r="Q41" s="811" t="str">
        <f t="shared" si="37"/>
        <v/>
      </c>
      <c r="R41" s="811" t="str">
        <f t="shared" si="37"/>
        <v/>
      </c>
      <c r="S41" s="811" t="str">
        <f t="shared" si="37"/>
        <v/>
      </c>
      <c r="T41" s="811" t="str">
        <f t="shared" si="37"/>
        <v/>
      </c>
      <c r="U41" s="811" t="str">
        <f t="shared" si="37"/>
        <v/>
      </c>
      <c r="V41" s="811" t="str">
        <f t="shared" si="37"/>
        <v/>
      </c>
      <c r="W41" s="811" t="str">
        <f t="shared" si="37"/>
        <v/>
      </c>
      <c r="X41" s="811" t="str">
        <f t="shared" si="38"/>
        <v/>
      </c>
      <c r="Y41" s="811" t="str">
        <f t="shared" si="38"/>
        <v/>
      </c>
      <c r="Z41" s="811" t="str">
        <f t="shared" si="38"/>
        <v/>
      </c>
      <c r="AA41" s="811" t="str">
        <f t="shared" si="38"/>
        <v/>
      </c>
      <c r="AB41" s="811" t="str">
        <f t="shared" si="38"/>
        <v/>
      </c>
      <c r="AC41" s="811" t="str">
        <f t="shared" si="38"/>
        <v/>
      </c>
      <c r="AD41" s="811" t="str">
        <f t="shared" si="38"/>
        <v/>
      </c>
      <c r="AE41" s="811" t="str">
        <f t="shared" si="38"/>
        <v/>
      </c>
      <c r="AF41" s="811" t="str">
        <f t="shared" si="38"/>
        <v/>
      </c>
      <c r="AG41" s="811" t="str">
        <f t="shared" si="38"/>
        <v/>
      </c>
      <c r="AH41" s="811" t="str">
        <f t="shared" si="39"/>
        <v/>
      </c>
      <c r="AI41" s="811" t="str">
        <f t="shared" si="39"/>
        <v/>
      </c>
      <c r="AJ41" s="811" t="str">
        <f t="shared" si="39"/>
        <v/>
      </c>
      <c r="AK41" s="811" t="str">
        <f t="shared" si="39"/>
        <v/>
      </c>
      <c r="AL41" s="811" t="str">
        <f t="shared" si="39"/>
        <v/>
      </c>
      <c r="AM41" s="811" t="str">
        <f t="shared" si="39"/>
        <v/>
      </c>
      <c r="AN41" s="811" t="str">
        <f t="shared" si="39"/>
        <v/>
      </c>
      <c r="AO41" s="811" t="str">
        <f t="shared" si="39"/>
        <v/>
      </c>
      <c r="AP41" s="811" t="str">
        <f t="shared" si="39"/>
        <v/>
      </c>
      <c r="AQ41" s="811" t="str">
        <f t="shared" si="39"/>
        <v/>
      </c>
      <c r="AR41" s="811" t="str">
        <f t="shared" si="40"/>
        <v/>
      </c>
      <c r="AS41" s="811" t="str">
        <f t="shared" si="40"/>
        <v/>
      </c>
      <c r="AT41" s="811" t="str">
        <f t="shared" si="40"/>
        <v/>
      </c>
      <c r="AU41" s="811" t="str">
        <f t="shared" si="40"/>
        <v/>
      </c>
      <c r="AV41" s="811" t="str">
        <f t="shared" si="40"/>
        <v/>
      </c>
      <c r="AW41" s="811" t="str">
        <f t="shared" si="40"/>
        <v/>
      </c>
      <c r="AX41" s="811" t="str">
        <f t="shared" si="40"/>
        <v/>
      </c>
      <c r="AY41" s="811" t="str">
        <f t="shared" si="40"/>
        <v/>
      </c>
      <c r="AZ41" s="811" t="str">
        <f t="shared" si="40"/>
        <v/>
      </c>
      <c r="BA41" s="811">
        <f t="shared" si="40"/>
        <v>125</v>
      </c>
      <c r="BB41" s="811">
        <f t="shared" si="41"/>
        <v>123.21428571428572</v>
      </c>
      <c r="BC41" s="811">
        <f t="shared" si="41"/>
        <v>121.42857142857143</v>
      </c>
      <c r="BD41" s="811">
        <f t="shared" si="41"/>
        <v>119.64285714285715</v>
      </c>
      <c r="BE41" s="811">
        <f t="shared" si="41"/>
        <v>117.85225048923679</v>
      </c>
      <c r="BF41" s="811">
        <f t="shared" si="41"/>
        <v>116.0665362035225</v>
      </c>
      <c r="BG41" s="811">
        <f t="shared" si="41"/>
        <v>114.28082191780823</v>
      </c>
      <c r="BH41" s="811">
        <f t="shared" si="41"/>
        <v>112.49510763209393</v>
      </c>
      <c r="BI41" s="811">
        <f t="shared" si="41"/>
        <v>110.70450097847358</v>
      </c>
      <c r="BJ41" s="811">
        <f t="shared" si="41"/>
        <v>108.9187866927593</v>
      </c>
      <c r="BK41" s="811">
        <f t="shared" si="41"/>
        <v>107.13307240704501</v>
      </c>
      <c r="BL41" s="811">
        <f t="shared" si="42"/>
        <v>105.34735812133073</v>
      </c>
      <c r="BM41" s="811">
        <f t="shared" si="42"/>
        <v>103.55675146771037</v>
      </c>
      <c r="BN41" s="811">
        <f t="shared" si="42"/>
        <v>101.77103718199609</v>
      </c>
      <c r="BO41" s="811">
        <f t="shared" si="42"/>
        <v>99.985322896281801</v>
      </c>
      <c r="BP41" s="811">
        <f t="shared" si="42"/>
        <v>98.199608610567509</v>
      </c>
      <c r="BQ41" s="811">
        <f t="shared" si="42"/>
        <v>96.409001956947151</v>
      </c>
      <c r="BR41" s="811">
        <f t="shared" si="42"/>
        <v>94.623287671232873</v>
      </c>
      <c r="BS41" s="811">
        <f t="shared" si="42"/>
        <v>92.837573385518596</v>
      </c>
      <c r="BT41" s="811">
        <f t="shared" si="42"/>
        <v>91.051859099804304</v>
      </c>
      <c r="BU41" s="811">
        <f t="shared" si="42"/>
        <v>89.261252446183946</v>
      </c>
      <c r="BV41" s="811">
        <f t="shared" si="43"/>
        <v>87.475538160469668</v>
      </c>
      <c r="BW41" s="811">
        <f t="shared" si="43"/>
        <v>85.689823874755376</v>
      </c>
      <c r="BX41" s="811">
        <f t="shared" si="43"/>
        <v>83.904109589041099</v>
      </c>
      <c r="BY41" s="811">
        <f t="shared" si="43"/>
        <v>82.11350293542074</v>
      </c>
      <c r="BZ41" s="811">
        <f t="shared" si="43"/>
        <v>80.327788649706463</v>
      </c>
      <c r="CA41" s="811">
        <f t="shared" si="43"/>
        <v>78.542074363992171</v>
      </c>
      <c r="CB41" s="811">
        <f t="shared" si="43"/>
        <v>76.756360078277879</v>
      </c>
      <c r="CC41" s="811">
        <f t="shared" si="43"/>
        <v>74.965753424657521</v>
      </c>
      <c r="CD41" s="811">
        <f t="shared" si="43"/>
        <v>73.180039138943243</v>
      </c>
      <c r="CE41" s="811">
        <f t="shared" si="43"/>
        <v>71.394324853228966</v>
      </c>
      <c r="CF41" s="811">
        <f t="shared" si="44"/>
        <v>69.608610567514674</v>
      </c>
      <c r="CG41" s="811">
        <f t="shared" si="44"/>
        <v>67.81800391389433</v>
      </c>
      <c r="CH41" s="811">
        <f t="shared" si="44"/>
        <v>66.032289628180024</v>
      </c>
      <c r="CI41" s="811">
        <f t="shared" si="44"/>
        <v>64.246575342465746</v>
      </c>
      <c r="CJ41" s="811">
        <f t="shared" si="44"/>
        <v>62.460861056751469</v>
      </c>
      <c r="CK41" s="811">
        <f t="shared" si="44"/>
        <v>60.670254403131118</v>
      </c>
      <c r="CL41" s="811">
        <f t="shared" si="44"/>
        <v>58.884540117416826</v>
      </c>
      <c r="CM41" s="811">
        <f t="shared" si="44"/>
        <v>57.098825831702548</v>
      </c>
      <c r="CN41" s="811">
        <f t="shared" si="44"/>
        <v>55.313111545988249</v>
      </c>
      <c r="CO41" s="811">
        <f t="shared" si="44"/>
        <v>53.522504892367898</v>
      </c>
      <c r="CP41" s="811">
        <f t="shared" si="45"/>
        <v>51.736790606653621</v>
      </c>
      <c r="CQ41" s="811">
        <f t="shared" si="45"/>
        <v>49.951076320939343</v>
      </c>
      <c r="CR41" s="811">
        <f t="shared" si="45"/>
        <v>48.165362035225051</v>
      </c>
      <c r="CS41" s="811">
        <f t="shared" si="45"/>
        <v>46.374755381604693</v>
      </c>
      <c r="CT41" s="811">
        <f t="shared" si="45"/>
        <v>44.589041095890416</v>
      </c>
      <c r="CU41" s="811">
        <f t="shared" si="45"/>
        <v>42.803326810176124</v>
      </c>
      <c r="CV41" s="811">
        <f t="shared" si="45"/>
        <v>41.017612524461846</v>
      </c>
      <c r="CW41" s="811">
        <f t="shared" si="45"/>
        <v>39.227005870841495</v>
      </c>
      <c r="CX41" s="811">
        <f t="shared" si="45"/>
        <v>37.441291585127196</v>
      </c>
      <c r="CY41" s="811">
        <f t="shared" si="45"/>
        <v>35.655577299412919</v>
      </c>
      <c r="CZ41" s="811">
        <f t="shared" si="46"/>
        <v>33.869863013698627</v>
      </c>
      <c r="DA41" s="811">
        <f t="shared" si="46"/>
        <v>32.079256360078276</v>
      </c>
      <c r="DB41" s="811">
        <f t="shared" si="46"/>
        <v>30.293542074363994</v>
      </c>
      <c r="DC41" s="811">
        <f t="shared" si="46"/>
        <v>28.507827788649699</v>
      </c>
      <c r="DD41" s="811">
        <f t="shared" si="46"/>
        <v>26.722113502935422</v>
      </c>
      <c r="DE41" s="811">
        <f t="shared" si="46"/>
        <v>24.93150684931507</v>
      </c>
      <c r="DF41" s="811">
        <f t="shared" si="46"/>
        <v>23.145792563600789</v>
      </c>
      <c r="DG41" s="811">
        <f t="shared" si="46"/>
        <v>21.360078277886497</v>
      </c>
      <c r="DH41" s="811">
        <f t="shared" si="46"/>
        <v>19.574363992172216</v>
      </c>
      <c r="DI41" s="811">
        <f t="shared" si="46"/>
        <v>17.783757338551865</v>
      </c>
      <c r="DJ41" s="811">
        <f t="shared" si="46"/>
        <v>15.998043052837572</v>
      </c>
      <c r="DK41" s="811">
        <f t="shared" si="46"/>
        <v>14.212328767123292</v>
      </c>
    </row>
    <row r="42" spans="2:115" ht="20.100000000000001" customHeight="1" x14ac:dyDescent="0.2">
      <c r="B42" s="815" t="s">
        <v>801</v>
      </c>
      <c r="C42" s="816">
        <v>1</v>
      </c>
      <c r="D42" s="814">
        <v>732</v>
      </c>
      <c r="E42" s="776">
        <v>40148</v>
      </c>
      <c r="F42" s="817">
        <v>70</v>
      </c>
      <c r="G42" s="776">
        <v>48914</v>
      </c>
      <c r="H42" s="817">
        <v>0</v>
      </c>
      <c r="I42" s="806"/>
      <c r="J42" s="795">
        <f t="shared" si="13"/>
        <v>40148</v>
      </c>
      <c r="K42" s="795">
        <f t="shared" si="14"/>
        <v>48914</v>
      </c>
      <c r="L42" s="810">
        <f t="shared" si="26"/>
        <v>15.92876712328767</v>
      </c>
      <c r="M42" s="809" t="str">
        <f t="shared" si="15"/>
        <v>Southwest Queensland Pipeline expansion2 (100%)</v>
      </c>
      <c r="N42" s="811" t="str">
        <f t="shared" si="37"/>
        <v/>
      </c>
      <c r="O42" s="811" t="str">
        <f t="shared" si="37"/>
        <v/>
      </c>
      <c r="P42" s="811" t="str">
        <f t="shared" si="37"/>
        <v/>
      </c>
      <c r="Q42" s="811" t="str">
        <f t="shared" si="37"/>
        <v/>
      </c>
      <c r="R42" s="811" t="str">
        <f t="shared" si="37"/>
        <v/>
      </c>
      <c r="S42" s="811" t="str">
        <f t="shared" si="37"/>
        <v/>
      </c>
      <c r="T42" s="811" t="str">
        <f t="shared" si="37"/>
        <v/>
      </c>
      <c r="U42" s="811" t="str">
        <f t="shared" si="37"/>
        <v/>
      </c>
      <c r="V42" s="811" t="str">
        <f t="shared" si="37"/>
        <v/>
      </c>
      <c r="W42" s="811" t="str">
        <f t="shared" si="37"/>
        <v/>
      </c>
      <c r="X42" s="811" t="str">
        <f t="shared" si="38"/>
        <v/>
      </c>
      <c r="Y42" s="811" t="str">
        <f t="shared" si="38"/>
        <v/>
      </c>
      <c r="Z42" s="811" t="str">
        <f t="shared" si="38"/>
        <v/>
      </c>
      <c r="AA42" s="811" t="str">
        <f t="shared" si="38"/>
        <v/>
      </c>
      <c r="AB42" s="811" t="str">
        <f t="shared" si="38"/>
        <v/>
      </c>
      <c r="AC42" s="811" t="str">
        <f t="shared" si="38"/>
        <v/>
      </c>
      <c r="AD42" s="811" t="str">
        <f t="shared" si="38"/>
        <v/>
      </c>
      <c r="AE42" s="811" t="str">
        <f t="shared" si="38"/>
        <v/>
      </c>
      <c r="AF42" s="811" t="str">
        <f t="shared" si="38"/>
        <v/>
      </c>
      <c r="AG42" s="811" t="str">
        <f t="shared" si="38"/>
        <v/>
      </c>
      <c r="AH42" s="811" t="str">
        <f t="shared" si="39"/>
        <v/>
      </c>
      <c r="AI42" s="811" t="str">
        <f t="shared" si="39"/>
        <v/>
      </c>
      <c r="AJ42" s="811" t="str">
        <f t="shared" si="39"/>
        <v/>
      </c>
      <c r="AK42" s="811" t="str">
        <f t="shared" si="39"/>
        <v/>
      </c>
      <c r="AL42" s="811" t="str">
        <f t="shared" si="39"/>
        <v/>
      </c>
      <c r="AM42" s="811" t="str">
        <f t="shared" si="39"/>
        <v/>
      </c>
      <c r="AN42" s="811" t="str">
        <f t="shared" si="39"/>
        <v/>
      </c>
      <c r="AO42" s="811" t="str">
        <f t="shared" si="39"/>
        <v/>
      </c>
      <c r="AP42" s="811" t="str">
        <f t="shared" si="39"/>
        <v/>
      </c>
      <c r="AQ42" s="811" t="str">
        <f t="shared" si="39"/>
        <v/>
      </c>
      <c r="AR42" s="811" t="str">
        <f t="shared" si="40"/>
        <v/>
      </c>
      <c r="AS42" s="811" t="str">
        <f t="shared" si="40"/>
        <v/>
      </c>
      <c r="AT42" s="811" t="str">
        <f t="shared" si="40"/>
        <v/>
      </c>
      <c r="AU42" s="811" t="str">
        <f t="shared" si="40"/>
        <v/>
      </c>
      <c r="AV42" s="811" t="str">
        <f t="shared" si="40"/>
        <v/>
      </c>
      <c r="AW42" s="811" t="str">
        <f t="shared" si="40"/>
        <v/>
      </c>
      <c r="AX42" s="811" t="str">
        <f t="shared" si="40"/>
        <v/>
      </c>
      <c r="AY42" s="811" t="str">
        <f t="shared" si="40"/>
        <v/>
      </c>
      <c r="AZ42" s="811" t="str">
        <f t="shared" si="40"/>
        <v/>
      </c>
      <c r="BA42" s="811" t="str">
        <f t="shared" si="40"/>
        <v/>
      </c>
      <c r="BB42" s="811">
        <f t="shared" si="41"/>
        <v>732</v>
      </c>
      <c r="BC42" s="811">
        <f t="shared" si="41"/>
        <v>721.5428571428572</v>
      </c>
      <c r="BD42" s="811">
        <f t="shared" si="41"/>
        <v>711.08571428571429</v>
      </c>
      <c r="BE42" s="811">
        <f t="shared" si="41"/>
        <v>700.59992172211355</v>
      </c>
      <c r="BF42" s="811">
        <f t="shared" si="41"/>
        <v>690.14277886497064</v>
      </c>
      <c r="BG42" s="811">
        <f t="shared" si="41"/>
        <v>679.68563600782772</v>
      </c>
      <c r="BH42" s="811">
        <f t="shared" si="41"/>
        <v>669.22849315068493</v>
      </c>
      <c r="BI42" s="811">
        <f t="shared" si="41"/>
        <v>658.74270058708419</v>
      </c>
      <c r="BJ42" s="811">
        <f t="shared" si="41"/>
        <v>648.28555772994127</v>
      </c>
      <c r="BK42" s="811">
        <f t="shared" si="41"/>
        <v>637.82841487279848</v>
      </c>
      <c r="BL42" s="811">
        <f t="shared" si="42"/>
        <v>627.37127201565556</v>
      </c>
      <c r="BM42" s="811">
        <f t="shared" si="42"/>
        <v>616.88547945205471</v>
      </c>
      <c r="BN42" s="811">
        <f t="shared" si="42"/>
        <v>606.42833659491191</v>
      </c>
      <c r="BO42" s="811">
        <f t="shared" si="42"/>
        <v>595.97119373776911</v>
      </c>
      <c r="BP42" s="811">
        <f t="shared" si="42"/>
        <v>585.5140508806262</v>
      </c>
      <c r="BQ42" s="811">
        <f t="shared" si="42"/>
        <v>575.02825831702546</v>
      </c>
      <c r="BR42" s="811">
        <f t="shared" si="42"/>
        <v>564.57111545988255</v>
      </c>
      <c r="BS42" s="811">
        <f t="shared" si="42"/>
        <v>554.11397260273975</v>
      </c>
      <c r="BT42" s="811">
        <f t="shared" si="42"/>
        <v>543.65682974559695</v>
      </c>
      <c r="BU42" s="811">
        <f t="shared" si="42"/>
        <v>533.1710371819961</v>
      </c>
      <c r="BV42" s="811">
        <f t="shared" si="43"/>
        <v>522.71389432485319</v>
      </c>
      <c r="BW42" s="811">
        <f t="shared" si="43"/>
        <v>512.25675146771039</v>
      </c>
      <c r="BX42" s="811">
        <f t="shared" si="43"/>
        <v>501.79960861056747</v>
      </c>
      <c r="BY42" s="811">
        <f t="shared" si="43"/>
        <v>491.31381604696674</v>
      </c>
      <c r="BZ42" s="811">
        <f t="shared" si="43"/>
        <v>480.85667318982388</v>
      </c>
      <c r="CA42" s="811">
        <f t="shared" si="43"/>
        <v>470.39953033268108</v>
      </c>
      <c r="CB42" s="811">
        <f t="shared" si="43"/>
        <v>459.94238747553817</v>
      </c>
      <c r="CC42" s="811">
        <f t="shared" si="43"/>
        <v>449.45659491193737</v>
      </c>
      <c r="CD42" s="811">
        <f t="shared" si="43"/>
        <v>438.99945205479446</v>
      </c>
      <c r="CE42" s="811">
        <f t="shared" si="43"/>
        <v>428.54230919765166</v>
      </c>
      <c r="CF42" s="811">
        <f t="shared" si="44"/>
        <v>418.08516634050886</v>
      </c>
      <c r="CG42" s="811">
        <f t="shared" si="44"/>
        <v>407.59937377690807</v>
      </c>
      <c r="CH42" s="811">
        <f t="shared" si="44"/>
        <v>397.14223091976515</v>
      </c>
      <c r="CI42" s="811">
        <f t="shared" si="44"/>
        <v>386.68508806262224</v>
      </c>
      <c r="CJ42" s="811">
        <f t="shared" si="44"/>
        <v>376.22794520547944</v>
      </c>
      <c r="CK42" s="811">
        <f t="shared" si="44"/>
        <v>365.74215264187865</v>
      </c>
      <c r="CL42" s="811">
        <f t="shared" si="44"/>
        <v>355.28500978473585</v>
      </c>
      <c r="CM42" s="811">
        <f t="shared" si="44"/>
        <v>344.82786692759294</v>
      </c>
      <c r="CN42" s="811">
        <f t="shared" si="44"/>
        <v>334.37072407045014</v>
      </c>
      <c r="CO42" s="811">
        <f t="shared" si="44"/>
        <v>323.88493150684934</v>
      </c>
      <c r="CP42" s="811">
        <f t="shared" si="45"/>
        <v>313.42778864970643</v>
      </c>
      <c r="CQ42" s="811">
        <f t="shared" si="45"/>
        <v>302.97064579256363</v>
      </c>
      <c r="CR42" s="811">
        <f t="shared" si="45"/>
        <v>292.51350293542077</v>
      </c>
      <c r="CS42" s="811">
        <f t="shared" si="45"/>
        <v>282.02771037181998</v>
      </c>
      <c r="CT42" s="811">
        <f t="shared" si="45"/>
        <v>271.57056751467712</v>
      </c>
      <c r="CU42" s="811">
        <f t="shared" si="45"/>
        <v>261.11342465753427</v>
      </c>
      <c r="CV42" s="811">
        <f t="shared" si="45"/>
        <v>250.65628180039138</v>
      </c>
      <c r="CW42" s="811">
        <f t="shared" si="45"/>
        <v>240.17048923679059</v>
      </c>
      <c r="CX42" s="811">
        <f t="shared" si="45"/>
        <v>229.71334637964776</v>
      </c>
      <c r="CY42" s="811">
        <f t="shared" si="45"/>
        <v>219.25620352250488</v>
      </c>
      <c r="CZ42" s="811">
        <f t="shared" si="46"/>
        <v>208.79906066536205</v>
      </c>
      <c r="DA42" s="811">
        <f t="shared" si="46"/>
        <v>198.31326810176128</v>
      </c>
      <c r="DB42" s="811">
        <f t="shared" si="46"/>
        <v>187.85612524461837</v>
      </c>
      <c r="DC42" s="811">
        <f t="shared" si="46"/>
        <v>177.39898238747554</v>
      </c>
      <c r="DD42" s="811">
        <f t="shared" si="46"/>
        <v>166.94183953033266</v>
      </c>
      <c r="DE42" s="811">
        <f t="shared" si="46"/>
        <v>156.45604696673186</v>
      </c>
      <c r="DF42" s="811">
        <f t="shared" si="46"/>
        <v>145.99890410958903</v>
      </c>
      <c r="DG42" s="811">
        <f t="shared" si="46"/>
        <v>135.54176125244624</v>
      </c>
      <c r="DH42" s="811">
        <f t="shared" si="46"/>
        <v>125.08461839530332</v>
      </c>
      <c r="DI42" s="811">
        <f t="shared" si="46"/>
        <v>114.59882583170254</v>
      </c>
      <c r="DJ42" s="811">
        <f t="shared" si="46"/>
        <v>104.14168297455971</v>
      </c>
      <c r="DK42" s="811">
        <f t="shared" si="46"/>
        <v>93.684540117416816</v>
      </c>
    </row>
    <row r="43" spans="2:115" ht="20.100000000000001" customHeight="1" x14ac:dyDescent="0.2">
      <c r="B43" s="815" t="s">
        <v>707</v>
      </c>
      <c r="C43" s="816">
        <v>0.19900000000000001</v>
      </c>
      <c r="D43" s="814">
        <v>237.37371447303352</v>
      </c>
      <c r="E43" s="776">
        <v>38354</v>
      </c>
      <c r="F43" s="817">
        <v>70</v>
      </c>
      <c r="G43" s="776">
        <v>45654</v>
      </c>
      <c r="H43" s="817">
        <v>0</v>
      </c>
      <c r="I43" s="806"/>
      <c r="J43" s="795">
        <f t="shared" si="13"/>
        <v>38687</v>
      </c>
      <c r="K43" s="795">
        <f t="shared" si="14"/>
        <v>45627</v>
      </c>
      <c r="L43" s="810">
        <f t="shared" si="26"/>
        <v>6.9972602739726026</v>
      </c>
      <c r="M43" s="809" t="str">
        <f t="shared" si="15"/>
        <v>Telfer Pipeline (20%)</v>
      </c>
      <c r="N43" s="811" t="str">
        <f t="shared" si="37"/>
        <v/>
      </c>
      <c r="O43" s="811" t="str">
        <f t="shared" si="37"/>
        <v/>
      </c>
      <c r="P43" s="811" t="str">
        <f t="shared" si="37"/>
        <v/>
      </c>
      <c r="Q43" s="811" t="str">
        <f t="shared" si="37"/>
        <v/>
      </c>
      <c r="R43" s="811" t="str">
        <f t="shared" si="37"/>
        <v/>
      </c>
      <c r="S43" s="811" t="str">
        <f t="shared" si="37"/>
        <v/>
      </c>
      <c r="T43" s="811" t="str">
        <f t="shared" si="37"/>
        <v/>
      </c>
      <c r="U43" s="811" t="str">
        <f t="shared" si="37"/>
        <v/>
      </c>
      <c r="V43" s="811" t="str">
        <f t="shared" si="37"/>
        <v/>
      </c>
      <c r="W43" s="811" t="str">
        <f t="shared" si="37"/>
        <v/>
      </c>
      <c r="X43" s="811" t="str">
        <f t="shared" si="38"/>
        <v/>
      </c>
      <c r="Y43" s="811" t="str">
        <f t="shared" si="38"/>
        <v/>
      </c>
      <c r="Z43" s="811" t="str">
        <f t="shared" si="38"/>
        <v/>
      </c>
      <c r="AA43" s="811" t="str">
        <f t="shared" si="38"/>
        <v/>
      </c>
      <c r="AB43" s="811" t="str">
        <f t="shared" si="38"/>
        <v/>
      </c>
      <c r="AC43" s="811" t="str">
        <f t="shared" si="38"/>
        <v/>
      </c>
      <c r="AD43" s="811" t="str">
        <f t="shared" si="38"/>
        <v/>
      </c>
      <c r="AE43" s="811" t="str">
        <f t="shared" si="38"/>
        <v/>
      </c>
      <c r="AF43" s="811" t="str">
        <f t="shared" si="38"/>
        <v/>
      </c>
      <c r="AG43" s="811" t="str">
        <f t="shared" si="38"/>
        <v/>
      </c>
      <c r="AH43" s="811" t="str">
        <f t="shared" si="39"/>
        <v/>
      </c>
      <c r="AI43" s="811" t="str">
        <f t="shared" si="39"/>
        <v/>
      </c>
      <c r="AJ43" s="811" t="str">
        <f t="shared" si="39"/>
        <v/>
      </c>
      <c r="AK43" s="811" t="str">
        <f t="shared" si="39"/>
        <v/>
      </c>
      <c r="AL43" s="811" t="str">
        <f t="shared" si="39"/>
        <v/>
      </c>
      <c r="AM43" s="811" t="str">
        <f t="shared" si="39"/>
        <v/>
      </c>
      <c r="AN43" s="811" t="str">
        <f t="shared" si="39"/>
        <v/>
      </c>
      <c r="AO43" s="811" t="str">
        <f t="shared" si="39"/>
        <v/>
      </c>
      <c r="AP43" s="811" t="str">
        <f t="shared" si="39"/>
        <v/>
      </c>
      <c r="AQ43" s="811" t="str">
        <f t="shared" si="39"/>
        <v/>
      </c>
      <c r="AR43" s="811" t="str">
        <f t="shared" si="40"/>
        <v/>
      </c>
      <c r="AS43" s="811" t="str">
        <f t="shared" si="40"/>
        <v/>
      </c>
      <c r="AT43" s="811" t="str">
        <f t="shared" si="40"/>
        <v/>
      </c>
      <c r="AU43" s="811" t="str">
        <f t="shared" si="40"/>
        <v/>
      </c>
      <c r="AV43" s="811" t="str">
        <f t="shared" si="40"/>
        <v/>
      </c>
      <c r="AW43" s="811" t="str">
        <f t="shared" si="40"/>
        <v/>
      </c>
      <c r="AX43" s="811">
        <f t="shared" si="40"/>
        <v>47.237369180133669</v>
      </c>
      <c r="AY43" s="811">
        <f t="shared" si="40"/>
        <v>46.562549620417478</v>
      </c>
      <c r="AZ43" s="811">
        <f t="shared" si="40"/>
        <v>45.88773006070128</v>
      </c>
      <c r="BA43" s="811">
        <f t="shared" si="40"/>
        <v>45.211061680273538</v>
      </c>
      <c r="BB43" s="811">
        <f t="shared" si="41"/>
        <v>44.53624212055734</v>
      </c>
      <c r="BC43" s="811">
        <f t="shared" si="41"/>
        <v>43.861422560841142</v>
      </c>
      <c r="BD43" s="811">
        <f t="shared" si="41"/>
        <v>43.186603001124951</v>
      </c>
      <c r="BE43" s="811">
        <f t="shared" si="41"/>
        <v>42.509934620697202</v>
      </c>
      <c r="BF43" s="811">
        <f t="shared" si="41"/>
        <v>41.835115060981011</v>
      </c>
      <c r="BG43" s="811">
        <f t="shared" si="41"/>
        <v>41.160295501264812</v>
      </c>
      <c r="BH43" s="811">
        <f t="shared" si="41"/>
        <v>40.485475941548614</v>
      </c>
      <c r="BI43" s="811">
        <f t="shared" si="41"/>
        <v>39.808807561120865</v>
      </c>
      <c r="BJ43" s="811">
        <f t="shared" si="41"/>
        <v>39.133988001404674</v>
      </c>
      <c r="BK43" s="811">
        <f t="shared" si="41"/>
        <v>38.459168441688483</v>
      </c>
      <c r="BL43" s="811">
        <f t="shared" si="42"/>
        <v>37.784348881972285</v>
      </c>
      <c r="BM43" s="811">
        <f t="shared" si="42"/>
        <v>37.107680501544536</v>
      </c>
      <c r="BN43" s="811">
        <f t="shared" si="42"/>
        <v>36.432860941828338</v>
      </c>
      <c r="BO43" s="811">
        <f t="shared" si="42"/>
        <v>35.758041382112147</v>
      </c>
      <c r="BP43" s="811">
        <f t="shared" si="42"/>
        <v>35.083221822395956</v>
      </c>
      <c r="BQ43" s="811">
        <f t="shared" si="42"/>
        <v>34.406553441968207</v>
      </c>
      <c r="BR43" s="811">
        <f t="shared" si="42"/>
        <v>33.731733882252009</v>
      </c>
      <c r="BS43" s="811">
        <f t="shared" si="42"/>
        <v>33.056914322535818</v>
      </c>
      <c r="BT43" s="811">
        <f t="shared" si="42"/>
        <v>32.382094762819612</v>
      </c>
      <c r="BU43" s="811">
        <f t="shared" si="42"/>
        <v>31.705426382391874</v>
      </c>
      <c r="BV43" s="811">
        <f t="shared" si="43"/>
        <v>31.030606822675679</v>
      </c>
      <c r="BW43" s="811">
        <f t="shared" si="43"/>
        <v>30.355787262959485</v>
      </c>
      <c r="BX43" s="811">
        <f t="shared" si="43"/>
        <v>29.680967703243287</v>
      </c>
      <c r="BY43" s="811">
        <f t="shared" si="43"/>
        <v>29.004299322815537</v>
      </c>
      <c r="BZ43" s="811">
        <f t="shared" si="43"/>
        <v>28.329479763099343</v>
      </c>
      <c r="CA43" s="811">
        <f t="shared" si="43"/>
        <v>27.654660203383152</v>
      </c>
      <c r="CB43" s="811">
        <f t="shared" si="43"/>
        <v>26.979840643666957</v>
      </c>
      <c r="CC43" s="811">
        <f t="shared" si="43"/>
        <v>26.303172263239208</v>
      </c>
      <c r="CD43" s="811">
        <f t="shared" si="43"/>
        <v>25.62835270352301</v>
      </c>
      <c r="CE43" s="811">
        <f t="shared" si="43"/>
        <v>24.953533143806812</v>
      </c>
      <c r="CF43" s="811">
        <f t="shared" si="44"/>
        <v>24.278713584090621</v>
      </c>
      <c r="CG43" s="811">
        <f t="shared" si="44"/>
        <v>23.602045203662875</v>
      </c>
      <c r="CH43" s="811">
        <f t="shared" si="44"/>
        <v>22.927225643946681</v>
      </c>
      <c r="CI43" s="811">
        <f t="shared" si="44"/>
        <v>22.252406084230483</v>
      </c>
      <c r="CJ43" s="811">
        <f t="shared" si="44"/>
        <v>21.577586524514288</v>
      </c>
      <c r="CK43" s="811">
        <f t="shared" si="44"/>
        <v>20.900918144086546</v>
      </c>
      <c r="CL43" s="811">
        <f t="shared" si="44"/>
        <v>20.226098584370344</v>
      </c>
      <c r="CM43" s="811">
        <f t="shared" si="44"/>
        <v>19.55127902465415</v>
      </c>
      <c r="CN43" s="811">
        <f t="shared" si="44"/>
        <v>18.876459464937959</v>
      </c>
      <c r="CO43" s="811">
        <f t="shared" si="44"/>
        <v>18.199791084510213</v>
      </c>
      <c r="CP43" s="811">
        <f t="shared" si="45"/>
        <v>17.524971524794015</v>
      </c>
      <c r="CQ43" s="811">
        <f t="shared" si="45"/>
        <v>16.850151965077821</v>
      </c>
      <c r="CR43" s="811">
        <f t="shared" si="45"/>
        <v>16.175332405361626</v>
      </c>
      <c r="CS43" s="811">
        <f t="shared" si="45"/>
        <v>15.498664024933877</v>
      </c>
      <c r="CT43" s="811">
        <f t="shared" si="45"/>
        <v>14.823844465217682</v>
      </c>
      <c r="CU43" s="811">
        <f t="shared" si="45"/>
        <v>14.149024905501486</v>
      </c>
      <c r="CV43" s="811">
        <f t="shared" si="45"/>
        <v>13.474205345785293</v>
      </c>
      <c r="CW43" s="811">
        <f t="shared" si="45"/>
        <v>12.797536965357544</v>
      </c>
      <c r="CX43" s="811">
        <f t="shared" si="45"/>
        <v>12.122717405641348</v>
      </c>
      <c r="CY43" s="811">
        <f t="shared" si="45"/>
        <v>11.447897845925155</v>
      </c>
      <c r="CZ43" s="811">
        <f t="shared" si="46"/>
        <v>10.773078286208957</v>
      </c>
      <c r="DA43" s="811">
        <f t="shared" si="46"/>
        <v>10.09640990578121</v>
      </c>
      <c r="DB43" s="811">
        <f t="shared" si="46"/>
        <v>9.4215903460650168</v>
      </c>
      <c r="DC43" s="811">
        <f t="shared" si="46"/>
        <v>8.7467707863488258</v>
      </c>
      <c r="DD43" s="811">
        <f t="shared" si="46"/>
        <v>8.0719512266326277</v>
      </c>
      <c r="DE43" s="811">
        <f t="shared" si="46"/>
        <v>7.3952828462048794</v>
      </c>
      <c r="DF43" s="811">
        <f t="shared" si="46"/>
        <v>6.7204632864886866</v>
      </c>
      <c r="DG43" s="811">
        <f t="shared" si="46"/>
        <v>6.0456437267724885</v>
      </c>
      <c r="DH43" s="811">
        <f t="shared" si="46"/>
        <v>5.3708241670562957</v>
      </c>
      <c r="DI43" s="811">
        <f t="shared" si="46"/>
        <v>4.6941557866285493</v>
      </c>
      <c r="DJ43" s="811">
        <f t="shared" si="46"/>
        <v>4.0193362269123512</v>
      </c>
      <c r="DK43" s="811">
        <f t="shared" si="46"/>
        <v>3.3445166671961579</v>
      </c>
    </row>
    <row r="44" spans="2:115" ht="20.100000000000001" customHeight="1" x14ac:dyDescent="0.2">
      <c r="B44" s="815" t="s">
        <v>798</v>
      </c>
      <c r="C44" s="816">
        <v>1</v>
      </c>
      <c r="D44" s="814">
        <v>5984.5999999999995</v>
      </c>
      <c r="E44" s="776">
        <v>41640</v>
      </c>
      <c r="F44" s="817">
        <v>20</v>
      </c>
      <c r="G44" s="776">
        <v>48575</v>
      </c>
      <c r="H44" s="817">
        <v>0</v>
      </c>
      <c r="I44" s="806"/>
      <c r="J44" s="795">
        <f t="shared" si="13"/>
        <v>41974</v>
      </c>
      <c r="K44" s="795">
        <f t="shared" si="14"/>
        <v>48549</v>
      </c>
      <c r="L44" s="810">
        <f t="shared" si="26"/>
        <v>15</v>
      </c>
      <c r="M44" s="809" t="str">
        <f t="shared" si="15"/>
        <v>Wallumbilla Gladstone Pipeline (100%)</v>
      </c>
      <c r="N44" s="811" t="str">
        <f t="shared" si="37"/>
        <v/>
      </c>
      <c r="O44" s="811" t="str">
        <f t="shared" si="37"/>
        <v/>
      </c>
      <c r="P44" s="811" t="str">
        <f t="shared" si="37"/>
        <v/>
      </c>
      <c r="Q44" s="811" t="str">
        <f t="shared" si="37"/>
        <v/>
      </c>
      <c r="R44" s="811" t="str">
        <f t="shared" si="37"/>
        <v/>
      </c>
      <c r="S44" s="811" t="str">
        <f t="shared" si="37"/>
        <v/>
      </c>
      <c r="T44" s="811" t="str">
        <f t="shared" si="37"/>
        <v/>
      </c>
      <c r="U44" s="811" t="str">
        <f t="shared" si="37"/>
        <v/>
      </c>
      <c r="V44" s="811" t="str">
        <f t="shared" si="37"/>
        <v/>
      </c>
      <c r="W44" s="811" t="str">
        <f t="shared" si="37"/>
        <v/>
      </c>
      <c r="X44" s="811" t="str">
        <f t="shared" si="38"/>
        <v/>
      </c>
      <c r="Y44" s="811" t="str">
        <f t="shared" si="38"/>
        <v/>
      </c>
      <c r="Z44" s="811" t="str">
        <f t="shared" si="38"/>
        <v/>
      </c>
      <c r="AA44" s="811" t="str">
        <f t="shared" si="38"/>
        <v/>
      </c>
      <c r="AB44" s="811" t="str">
        <f t="shared" si="38"/>
        <v/>
      </c>
      <c r="AC44" s="811" t="str">
        <f t="shared" si="38"/>
        <v/>
      </c>
      <c r="AD44" s="811" t="str">
        <f t="shared" si="38"/>
        <v/>
      </c>
      <c r="AE44" s="811" t="str">
        <f t="shared" si="38"/>
        <v/>
      </c>
      <c r="AF44" s="811" t="str">
        <f t="shared" si="38"/>
        <v/>
      </c>
      <c r="AG44" s="811" t="str">
        <f t="shared" si="38"/>
        <v/>
      </c>
      <c r="AH44" s="811" t="str">
        <f t="shared" si="39"/>
        <v/>
      </c>
      <c r="AI44" s="811" t="str">
        <f t="shared" si="39"/>
        <v/>
      </c>
      <c r="AJ44" s="811" t="str">
        <f t="shared" si="39"/>
        <v/>
      </c>
      <c r="AK44" s="811" t="str">
        <f t="shared" si="39"/>
        <v/>
      </c>
      <c r="AL44" s="811" t="str">
        <f t="shared" si="39"/>
        <v/>
      </c>
      <c r="AM44" s="811" t="str">
        <f t="shared" si="39"/>
        <v/>
      </c>
      <c r="AN44" s="811" t="str">
        <f t="shared" si="39"/>
        <v/>
      </c>
      <c r="AO44" s="811" t="str">
        <f t="shared" si="39"/>
        <v/>
      </c>
      <c r="AP44" s="811" t="str">
        <f t="shared" si="39"/>
        <v/>
      </c>
      <c r="AQ44" s="811" t="str">
        <f t="shared" si="39"/>
        <v/>
      </c>
      <c r="AR44" s="811" t="str">
        <f t="shared" si="40"/>
        <v/>
      </c>
      <c r="AS44" s="811" t="str">
        <f t="shared" si="40"/>
        <v/>
      </c>
      <c r="AT44" s="811" t="str">
        <f t="shared" si="40"/>
        <v/>
      </c>
      <c r="AU44" s="811" t="str">
        <f t="shared" si="40"/>
        <v/>
      </c>
      <c r="AV44" s="811" t="str">
        <f t="shared" si="40"/>
        <v/>
      </c>
      <c r="AW44" s="811" t="str">
        <f t="shared" si="40"/>
        <v/>
      </c>
      <c r="AX44" s="811" t="str">
        <f t="shared" si="40"/>
        <v/>
      </c>
      <c r="AY44" s="811" t="str">
        <f t="shared" si="40"/>
        <v/>
      </c>
      <c r="AZ44" s="811" t="str">
        <f t="shared" si="40"/>
        <v/>
      </c>
      <c r="BA44" s="811" t="str">
        <f t="shared" si="40"/>
        <v/>
      </c>
      <c r="BB44" s="811" t="str">
        <f t="shared" si="41"/>
        <v/>
      </c>
      <c r="BC44" s="811" t="str">
        <f t="shared" si="41"/>
        <v/>
      </c>
      <c r="BD44" s="811" t="str">
        <f t="shared" si="41"/>
        <v/>
      </c>
      <c r="BE44" s="811" t="str">
        <f t="shared" si="41"/>
        <v/>
      </c>
      <c r="BF44" s="811" t="str">
        <f t="shared" si="41"/>
        <v/>
      </c>
      <c r="BG44" s="811">
        <f t="shared" si="41"/>
        <v>5984.5999999999995</v>
      </c>
      <c r="BH44" s="811">
        <f t="shared" si="41"/>
        <v>5685.369999999999</v>
      </c>
      <c r="BI44" s="811">
        <f t="shared" si="41"/>
        <v>5385.320191780821</v>
      </c>
      <c r="BJ44" s="811">
        <f t="shared" si="41"/>
        <v>5086.0901917808214</v>
      </c>
      <c r="BK44" s="811">
        <f t="shared" si="41"/>
        <v>4786.860191780821</v>
      </c>
      <c r="BL44" s="811">
        <f t="shared" si="42"/>
        <v>4487.6301917808214</v>
      </c>
      <c r="BM44" s="811">
        <f t="shared" si="42"/>
        <v>4187.5803835616434</v>
      </c>
      <c r="BN44" s="811">
        <f t="shared" si="42"/>
        <v>3888.3503835616434</v>
      </c>
      <c r="BO44" s="811">
        <f t="shared" si="42"/>
        <v>3589.1203835616434</v>
      </c>
      <c r="BP44" s="811">
        <f t="shared" si="42"/>
        <v>3289.8903835616438</v>
      </c>
      <c r="BQ44" s="811">
        <f t="shared" si="42"/>
        <v>2989.8405753424654</v>
      </c>
      <c r="BR44" s="811">
        <f t="shared" si="42"/>
        <v>2690.6105753424654</v>
      </c>
      <c r="BS44" s="811">
        <f t="shared" si="42"/>
        <v>2391.3805753424658</v>
      </c>
      <c r="BT44" s="811">
        <f t="shared" si="42"/>
        <v>2092.1505753424653</v>
      </c>
      <c r="BU44" s="811">
        <f t="shared" si="42"/>
        <v>1792.1007671232874</v>
      </c>
      <c r="BV44" s="811">
        <f t="shared" si="43"/>
        <v>1492.8707671232878</v>
      </c>
      <c r="BW44" s="811">
        <f t="shared" si="43"/>
        <v>1193.6407671232876</v>
      </c>
      <c r="BX44" s="811">
        <f t="shared" si="43"/>
        <v>894.41076712328731</v>
      </c>
      <c r="BY44" s="811">
        <f t="shared" si="43"/>
        <v>594.36095890410922</v>
      </c>
      <c r="BZ44" s="811">
        <f t="shared" si="43"/>
        <v>295.13095890410966</v>
      </c>
      <c r="CA44" s="811" t="str">
        <f t="shared" si="43"/>
        <v/>
      </c>
      <c r="CB44" s="811" t="str">
        <f t="shared" si="43"/>
        <v/>
      </c>
      <c r="CC44" s="811" t="str">
        <f t="shared" si="43"/>
        <v/>
      </c>
      <c r="CD44" s="811" t="str">
        <f t="shared" si="43"/>
        <v/>
      </c>
      <c r="CE44" s="811" t="str">
        <f t="shared" si="43"/>
        <v/>
      </c>
      <c r="CF44" s="811" t="str">
        <f t="shared" si="44"/>
        <v/>
      </c>
      <c r="CG44" s="811" t="str">
        <f t="shared" si="44"/>
        <v/>
      </c>
      <c r="CH44" s="811" t="str">
        <f t="shared" si="44"/>
        <v/>
      </c>
      <c r="CI44" s="811" t="str">
        <f t="shared" si="44"/>
        <v/>
      </c>
      <c r="CJ44" s="811" t="str">
        <f t="shared" si="44"/>
        <v/>
      </c>
      <c r="CK44" s="811" t="str">
        <f t="shared" si="44"/>
        <v/>
      </c>
      <c r="CL44" s="811" t="str">
        <f t="shared" si="44"/>
        <v/>
      </c>
      <c r="CM44" s="811" t="str">
        <f t="shared" si="44"/>
        <v/>
      </c>
      <c r="CN44" s="811" t="str">
        <f t="shared" si="44"/>
        <v/>
      </c>
      <c r="CO44" s="811" t="str">
        <f t="shared" si="44"/>
        <v/>
      </c>
      <c r="CP44" s="811" t="str">
        <f t="shared" si="45"/>
        <v/>
      </c>
      <c r="CQ44" s="811" t="str">
        <f t="shared" si="45"/>
        <v/>
      </c>
      <c r="CR44" s="811" t="str">
        <f t="shared" si="45"/>
        <v/>
      </c>
      <c r="CS44" s="811" t="str">
        <f t="shared" si="45"/>
        <v/>
      </c>
      <c r="CT44" s="811" t="str">
        <f t="shared" si="45"/>
        <v/>
      </c>
      <c r="CU44" s="811" t="str">
        <f t="shared" si="45"/>
        <v/>
      </c>
      <c r="CV44" s="811" t="str">
        <f t="shared" si="45"/>
        <v/>
      </c>
      <c r="CW44" s="811" t="str">
        <f t="shared" si="45"/>
        <v/>
      </c>
      <c r="CX44" s="811" t="str">
        <f t="shared" si="45"/>
        <v/>
      </c>
      <c r="CY44" s="811" t="str">
        <f t="shared" si="45"/>
        <v/>
      </c>
      <c r="CZ44" s="811" t="str">
        <f t="shared" si="46"/>
        <v/>
      </c>
      <c r="DA44" s="811" t="str">
        <f t="shared" si="46"/>
        <v/>
      </c>
      <c r="DB44" s="811" t="str">
        <f t="shared" si="46"/>
        <v/>
      </c>
      <c r="DC44" s="811" t="str">
        <f t="shared" si="46"/>
        <v/>
      </c>
      <c r="DD44" s="811" t="str">
        <f t="shared" si="46"/>
        <v/>
      </c>
      <c r="DE44" s="811" t="str">
        <f t="shared" si="46"/>
        <v/>
      </c>
      <c r="DF44" s="811" t="str">
        <f t="shared" si="46"/>
        <v/>
      </c>
      <c r="DG44" s="811" t="str">
        <f t="shared" si="46"/>
        <v/>
      </c>
      <c r="DH44" s="811" t="str">
        <f t="shared" si="46"/>
        <v/>
      </c>
      <c r="DI44" s="811" t="str">
        <f t="shared" si="46"/>
        <v/>
      </c>
      <c r="DJ44" s="811" t="str">
        <f t="shared" si="46"/>
        <v/>
      </c>
      <c r="DK44" s="811" t="str">
        <f t="shared" si="46"/>
        <v/>
      </c>
    </row>
    <row r="45" spans="2:115" ht="20.100000000000001" customHeight="1" x14ac:dyDescent="0.2">
      <c r="B45" s="815" t="s">
        <v>853</v>
      </c>
      <c r="C45" s="816">
        <v>1</v>
      </c>
      <c r="D45" s="814">
        <v>500</v>
      </c>
      <c r="E45" s="776"/>
      <c r="F45" s="817">
        <v>70</v>
      </c>
      <c r="G45" s="776"/>
      <c r="H45" s="817">
        <v>0</v>
      </c>
      <c r="I45" s="806"/>
      <c r="J45" s="795" t="str">
        <f t="shared" si="13"/>
        <v/>
      </c>
      <c r="K45" s="795" t="str">
        <f t="shared" si="14"/>
        <v/>
      </c>
      <c r="L45" s="810" t="str">
        <f t="shared" si="26"/>
        <v/>
      </c>
      <c r="M45" s="809" t="str">
        <f t="shared" si="15"/>
        <v>Western Slopes Pipeline (100%)</v>
      </c>
      <c r="N45" s="811" t="str">
        <f t="shared" ref="N45:W54" si="47">IF(ISNUMBER($J45),IF(N$12&lt;$J45,"",IF(N$12=$J45,$D45*$C45,IF(AND(N$12&gt;$J45,N$12&lt;$J45+$F45*365),$D45*(1-(N$12-$J45)/($F45*365))*$C45,""))),"")</f>
        <v/>
      </c>
      <c r="O45" s="811" t="str">
        <f t="shared" si="47"/>
        <v/>
      </c>
      <c r="P45" s="811" t="str">
        <f t="shared" si="47"/>
        <v/>
      </c>
      <c r="Q45" s="811" t="str">
        <f t="shared" si="47"/>
        <v/>
      </c>
      <c r="R45" s="811" t="str">
        <f t="shared" si="47"/>
        <v/>
      </c>
      <c r="S45" s="811" t="str">
        <f t="shared" si="47"/>
        <v/>
      </c>
      <c r="T45" s="811" t="str">
        <f t="shared" si="47"/>
        <v/>
      </c>
      <c r="U45" s="811" t="str">
        <f t="shared" si="47"/>
        <v/>
      </c>
      <c r="V45" s="811" t="str">
        <f t="shared" si="47"/>
        <v/>
      </c>
      <c r="W45" s="811" t="str">
        <f t="shared" si="47"/>
        <v/>
      </c>
      <c r="X45" s="811" t="str">
        <f t="shared" ref="X45:AG54" si="48">IF(ISNUMBER($J45),IF(X$12&lt;$J45,"",IF(X$12=$J45,$D45*$C45,IF(AND(X$12&gt;$J45,X$12&lt;$J45+$F45*365),$D45*(1-(X$12-$J45)/($F45*365))*$C45,""))),"")</f>
        <v/>
      </c>
      <c r="Y45" s="811" t="str">
        <f t="shared" si="48"/>
        <v/>
      </c>
      <c r="Z45" s="811" t="str">
        <f t="shared" si="48"/>
        <v/>
      </c>
      <c r="AA45" s="811" t="str">
        <f t="shared" si="48"/>
        <v/>
      </c>
      <c r="AB45" s="811" t="str">
        <f t="shared" si="48"/>
        <v/>
      </c>
      <c r="AC45" s="811" t="str">
        <f t="shared" si="48"/>
        <v/>
      </c>
      <c r="AD45" s="811" t="str">
        <f t="shared" si="48"/>
        <v/>
      </c>
      <c r="AE45" s="811" t="str">
        <f t="shared" si="48"/>
        <v/>
      </c>
      <c r="AF45" s="811" t="str">
        <f t="shared" si="48"/>
        <v/>
      </c>
      <c r="AG45" s="811" t="str">
        <f t="shared" si="48"/>
        <v/>
      </c>
      <c r="AH45" s="811" t="str">
        <f t="shared" ref="AH45:AQ54" si="49">IF(ISNUMBER($J45),IF(AH$12&lt;$J45,"",IF(AH$12=$J45,$D45*$C45,IF(AND(AH$12&gt;$J45,AH$12&lt;$J45+$F45*365),$D45*(1-(AH$12-$J45)/($F45*365))*$C45,""))),"")</f>
        <v/>
      </c>
      <c r="AI45" s="811" t="str">
        <f t="shared" si="49"/>
        <v/>
      </c>
      <c r="AJ45" s="811" t="str">
        <f t="shared" si="49"/>
        <v/>
      </c>
      <c r="AK45" s="811" t="str">
        <f t="shared" si="49"/>
        <v/>
      </c>
      <c r="AL45" s="811" t="str">
        <f t="shared" si="49"/>
        <v/>
      </c>
      <c r="AM45" s="811" t="str">
        <f t="shared" si="49"/>
        <v/>
      </c>
      <c r="AN45" s="811" t="str">
        <f t="shared" si="49"/>
        <v/>
      </c>
      <c r="AO45" s="811" t="str">
        <f t="shared" si="49"/>
        <v/>
      </c>
      <c r="AP45" s="811" t="str">
        <f t="shared" si="49"/>
        <v/>
      </c>
      <c r="AQ45" s="811" t="str">
        <f t="shared" si="49"/>
        <v/>
      </c>
      <c r="AR45" s="811" t="str">
        <f t="shared" ref="AR45:BA54" si="50">IF(ISNUMBER($J45),IF(AR$12&lt;$J45,"",IF(AR$12=$J45,$D45*$C45,IF(AND(AR$12&gt;$J45,AR$12&lt;$J45+$F45*365),$D45*(1-(AR$12-$J45)/($F45*365))*$C45,""))),"")</f>
        <v/>
      </c>
      <c r="AS45" s="811" t="str">
        <f t="shared" si="50"/>
        <v/>
      </c>
      <c r="AT45" s="811" t="str">
        <f t="shared" si="50"/>
        <v/>
      </c>
      <c r="AU45" s="811" t="str">
        <f t="shared" si="50"/>
        <v/>
      </c>
      <c r="AV45" s="811" t="str">
        <f t="shared" si="50"/>
        <v/>
      </c>
      <c r="AW45" s="811" t="str">
        <f t="shared" si="50"/>
        <v/>
      </c>
      <c r="AX45" s="811" t="str">
        <f t="shared" si="50"/>
        <v/>
      </c>
      <c r="AY45" s="811" t="str">
        <f t="shared" si="50"/>
        <v/>
      </c>
      <c r="AZ45" s="811" t="str">
        <f t="shared" si="50"/>
        <v/>
      </c>
      <c r="BA45" s="811" t="str">
        <f t="shared" si="50"/>
        <v/>
      </c>
      <c r="BB45" s="811" t="str">
        <f t="shared" ref="BB45:BK54" si="51">IF(ISNUMBER($J45),IF(BB$12&lt;$J45,"",IF(BB$12=$J45,$D45*$C45,IF(AND(BB$12&gt;$J45,BB$12&lt;$J45+$F45*365),$D45*(1-(BB$12-$J45)/($F45*365))*$C45,""))),"")</f>
        <v/>
      </c>
      <c r="BC45" s="811" t="str">
        <f t="shared" si="51"/>
        <v/>
      </c>
      <c r="BD45" s="811" t="str">
        <f t="shared" si="51"/>
        <v/>
      </c>
      <c r="BE45" s="811" t="str">
        <f t="shared" si="51"/>
        <v/>
      </c>
      <c r="BF45" s="811" t="str">
        <f t="shared" si="51"/>
        <v/>
      </c>
      <c r="BG45" s="811" t="str">
        <f t="shared" si="51"/>
        <v/>
      </c>
      <c r="BH45" s="811" t="str">
        <f t="shared" si="51"/>
        <v/>
      </c>
      <c r="BI45" s="811" t="str">
        <f t="shared" si="51"/>
        <v/>
      </c>
      <c r="BJ45" s="811" t="str">
        <f t="shared" si="51"/>
        <v/>
      </c>
      <c r="BK45" s="811" t="str">
        <f t="shared" si="51"/>
        <v/>
      </c>
      <c r="BL45" s="811" t="str">
        <f t="shared" ref="BL45:BU54" si="52">IF(ISNUMBER($J45),IF(BL$12&lt;$J45,"",IF(BL$12=$J45,$D45*$C45,IF(AND(BL$12&gt;$J45,BL$12&lt;$J45+$F45*365),$D45*(1-(BL$12-$J45)/($F45*365))*$C45,""))),"")</f>
        <v/>
      </c>
      <c r="BM45" s="811" t="str">
        <f t="shared" si="52"/>
        <v/>
      </c>
      <c r="BN45" s="811" t="str">
        <f t="shared" si="52"/>
        <v/>
      </c>
      <c r="BO45" s="811" t="str">
        <f t="shared" si="52"/>
        <v/>
      </c>
      <c r="BP45" s="811" t="str">
        <f t="shared" si="52"/>
        <v/>
      </c>
      <c r="BQ45" s="811" t="str">
        <f t="shared" si="52"/>
        <v/>
      </c>
      <c r="BR45" s="811" t="str">
        <f t="shared" si="52"/>
        <v/>
      </c>
      <c r="BS45" s="811" t="str">
        <f t="shared" si="52"/>
        <v/>
      </c>
      <c r="BT45" s="811" t="str">
        <f t="shared" si="52"/>
        <v/>
      </c>
      <c r="BU45" s="811" t="str">
        <f t="shared" si="52"/>
        <v/>
      </c>
      <c r="BV45" s="811" t="str">
        <f t="shared" ref="BV45:CE54" si="53">IF(ISNUMBER($J45),IF(BV$12&lt;$J45,"",IF(BV$12=$J45,$D45*$C45,IF(AND(BV$12&gt;$J45,BV$12&lt;$J45+$F45*365),$D45*(1-(BV$12-$J45)/($F45*365))*$C45,""))),"")</f>
        <v/>
      </c>
      <c r="BW45" s="811" t="str">
        <f t="shared" si="53"/>
        <v/>
      </c>
      <c r="BX45" s="811" t="str">
        <f t="shared" si="53"/>
        <v/>
      </c>
      <c r="BY45" s="811" t="str">
        <f t="shared" si="53"/>
        <v/>
      </c>
      <c r="BZ45" s="811" t="str">
        <f t="shared" si="53"/>
        <v/>
      </c>
      <c r="CA45" s="811" t="str">
        <f t="shared" si="53"/>
        <v/>
      </c>
      <c r="CB45" s="811" t="str">
        <f t="shared" si="53"/>
        <v/>
      </c>
      <c r="CC45" s="811" t="str">
        <f t="shared" si="53"/>
        <v/>
      </c>
      <c r="CD45" s="811" t="str">
        <f t="shared" si="53"/>
        <v/>
      </c>
      <c r="CE45" s="811" t="str">
        <f t="shared" si="53"/>
        <v/>
      </c>
      <c r="CF45" s="811" t="str">
        <f t="shared" ref="CF45:CO54" si="54">IF(ISNUMBER($J45),IF(CF$12&lt;$J45,"",IF(CF$12=$J45,$D45*$C45,IF(AND(CF$12&gt;$J45,CF$12&lt;$J45+$F45*365),$D45*(1-(CF$12-$J45)/($F45*365))*$C45,""))),"")</f>
        <v/>
      </c>
      <c r="CG45" s="811" t="str">
        <f t="shared" si="54"/>
        <v/>
      </c>
      <c r="CH45" s="811" t="str">
        <f t="shared" si="54"/>
        <v/>
      </c>
      <c r="CI45" s="811" t="str">
        <f t="shared" si="54"/>
        <v/>
      </c>
      <c r="CJ45" s="811" t="str">
        <f t="shared" si="54"/>
        <v/>
      </c>
      <c r="CK45" s="811" t="str">
        <f t="shared" si="54"/>
        <v/>
      </c>
      <c r="CL45" s="811" t="str">
        <f t="shared" si="54"/>
        <v/>
      </c>
      <c r="CM45" s="811" t="str">
        <f t="shared" si="54"/>
        <v/>
      </c>
      <c r="CN45" s="811" t="str">
        <f t="shared" si="54"/>
        <v/>
      </c>
      <c r="CO45" s="811" t="str">
        <f t="shared" si="54"/>
        <v/>
      </c>
      <c r="CP45" s="811" t="str">
        <f t="shared" ref="CP45:CY54" si="55">IF(ISNUMBER($J45),IF(CP$12&lt;$J45,"",IF(CP$12=$J45,$D45*$C45,IF(AND(CP$12&gt;$J45,CP$12&lt;$J45+$F45*365),$D45*(1-(CP$12-$J45)/($F45*365))*$C45,""))),"")</f>
        <v/>
      </c>
      <c r="CQ45" s="811" t="str">
        <f t="shared" si="55"/>
        <v/>
      </c>
      <c r="CR45" s="811" t="str">
        <f t="shared" si="55"/>
        <v/>
      </c>
      <c r="CS45" s="811" t="str">
        <f t="shared" si="55"/>
        <v/>
      </c>
      <c r="CT45" s="811" t="str">
        <f t="shared" si="55"/>
        <v/>
      </c>
      <c r="CU45" s="811" t="str">
        <f t="shared" si="55"/>
        <v/>
      </c>
      <c r="CV45" s="811" t="str">
        <f t="shared" si="55"/>
        <v/>
      </c>
      <c r="CW45" s="811" t="str">
        <f t="shared" si="55"/>
        <v/>
      </c>
      <c r="CX45" s="811" t="str">
        <f t="shared" si="55"/>
        <v/>
      </c>
      <c r="CY45" s="811" t="str">
        <f t="shared" si="55"/>
        <v/>
      </c>
      <c r="CZ45" s="811" t="str">
        <f t="shared" ref="CZ45:DK54" si="56">IF(ISNUMBER($J45),IF(CZ$12&lt;$J45,"",IF(CZ$12=$J45,$D45*$C45,IF(AND(CZ$12&gt;$J45,CZ$12&lt;$J45+$F45*365),$D45*(1-(CZ$12-$J45)/($F45*365))*$C45,""))),"")</f>
        <v/>
      </c>
      <c r="DA45" s="811" t="str">
        <f t="shared" si="56"/>
        <v/>
      </c>
      <c r="DB45" s="811" t="str">
        <f t="shared" si="56"/>
        <v/>
      </c>
      <c r="DC45" s="811" t="str">
        <f t="shared" si="56"/>
        <v/>
      </c>
      <c r="DD45" s="811" t="str">
        <f t="shared" si="56"/>
        <v/>
      </c>
      <c r="DE45" s="811" t="str">
        <f t="shared" si="56"/>
        <v/>
      </c>
      <c r="DF45" s="811" t="str">
        <f t="shared" si="56"/>
        <v/>
      </c>
      <c r="DG45" s="811" t="str">
        <f t="shared" si="56"/>
        <v/>
      </c>
      <c r="DH45" s="811" t="str">
        <f t="shared" si="56"/>
        <v/>
      </c>
      <c r="DI45" s="811" t="str">
        <f t="shared" si="56"/>
        <v/>
      </c>
      <c r="DJ45" s="811" t="str">
        <f t="shared" si="56"/>
        <v/>
      </c>
      <c r="DK45" s="811" t="str">
        <f t="shared" si="56"/>
        <v/>
      </c>
    </row>
    <row r="46" spans="2:115" ht="20.100000000000001" customHeight="1" x14ac:dyDescent="0.2">
      <c r="B46" s="815" t="s">
        <v>717</v>
      </c>
      <c r="C46" s="816">
        <v>1</v>
      </c>
      <c r="D46" s="814">
        <v>174.17363705224017</v>
      </c>
      <c r="E46" s="776">
        <v>43435</v>
      </c>
      <c r="F46" s="817">
        <v>70</v>
      </c>
      <c r="G46" s="776">
        <v>48910</v>
      </c>
      <c r="H46" s="817">
        <v>0</v>
      </c>
      <c r="I46" s="806"/>
      <c r="J46" s="795">
        <f t="shared" si="13"/>
        <v>43435</v>
      </c>
      <c r="K46" s="795">
        <f t="shared" si="14"/>
        <v>48914</v>
      </c>
      <c r="L46" s="810">
        <f t="shared" si="26"/>
        <v>15.917808219178083</v>
      </c>
      <c r="M46" s="809" t="str">
        <f t="shared" si="15"/>
        <v>Yamarna Gas Pipeline (100%)</v>
      </c>
      <c r="N46" s="811" t="str">
        <f t="shared" si="47"/>
        <v/>
      </c>
      <c r="O46" s="811" t="str">
        <f t="shared" si="47"/>
        <v/>
      </c>
      <c r="P46" s="811" t="str">
        <f t="shared" si="47"/>
        <v/>
      </c>
      <c r="Q46" s="811" t="str">
        <f t="shared" si="47"/>
        <v/>
      </c>
      <c r="R46" s="811" t="str">
        <f t="shared" si="47"/>
        <v/>
      </c>
      <c r="S46" s="811" t="str">
        <f t="shared" si="47"/>
        <v/>
      </c>
      <c r="T46" s="811" t="str">
        <f t="shared" si="47"/>
        <v/>
      </c>
      <c r="U46" s="811" t="str">
        <f t="shared" si="47"/>
        <v/>
      </c>
      <c r="V46" s="811" t="str">
        <f t="shared" si="47"/>
        <v/>
      </c>
      <c r="W46" s="811" t="str">
        <f t="shared" si="47"/>
        <v/>
      </c>
      <c r="X46" s="811" t="str">
        <f t="shared" si="48"/>
        <v/>
      </c>
      <c r="Y46" s="811" t="str">
        <f t="shared" si="48"/>
        <v/>
      </c>
      <c r="Z46" s="811" t="str">
        <f t="shared" si="48"/>
        <v/>
      </c>
      <c r="AA46" s="811" t="str">
        <f t="shared" si="48"/>
        <v/>
      </c>
      <c r="AB46" s="811" t="str">
        <f t="shared" si="48"/>
        <v/>
      </c>
      <c r="AC46" s="811" t="str">
        <f t="shared" si="48"/>
        <v/>
      </c>
      <c r="AD46" s="811" t="str">
        <f t="shared" si="48"/>
        <v/>
      </c>
      <c r="AE46" s="811" t="str">
        <f t="shared" si="48"/>
        <v/>
      </c>
      <c r="AF46" s="811" t="str">
        <f t="shared" si="48"/>
        <v/>
      </c>
      <c r="AG46" s="811" t="str">
        <f t="shared" si="48"/>
        <v/>
      </c>
      <c r="AH46" s="811" t="str">
        <f t="shared" si="49"/>
        <v/>
      </c>
      <c r="AI46" s="811" t="str">
        <f t="shared" si="49"/>
        <v/>
      </c>
      <c r="AJ46" s="811" t="str">
        <f t="shared" si="49"/>
        <v/>
      </c>
      <c r="AK46" s="811" t="str">
        <f t="shared" si="49"/>
        <v/>
      </c>
      <c r="AL46" s="811" t="str">
        <f t="shared" si="49"/>
        <v/>
      </c>
      <c r="AM46" s="811" t="str">
        <f t="shared" si="49"/>
        <v/>
      </c>
      <c r="AN46" s="811" t="str">
        <f t="shared" si="49"/>
        <v/>
      </c>
      <c r="AO46" s="811" t="str">
        <f t="shared" si="49"/>
        <v/>
      </c>
      <c r="AP46" s="811" t="str">
        <f t="shared" si="49"/>
        <v/>
      </c>
      <c r="AQ46" s="811" t="str">
        <f t="shared" si="49"/>
        <v/>
      </c>
      <c r="AR46" s="811" t="str">
        <f t="shared" si="50"/>
        <v/>
      </c>
      <c r="AS46" s="811" t="str">
        <f t="shared" si="50"/>
        <v/>
      </c>
      <c r="AT46" s="811" t="str">
        <f t="shared" si="50"/>
        <v/>
      </c>
      <c r="AU46" s="811" t="str">
        <f t="shared" si="50"/>
        <v/>
      </c>
      <c r="AV46" s="811" t="str">
        <f t="shared" si="50"/>
        <v/>
      </c>
      <c r="AW46" s="811" t="str">
        <f t="shared" si="50"/>
        <v/>
      </c>
      <c r="AX46" s="811" t="str">
        <f t="shared" si="50"/>
        <v/>
      </c>
      <c r="AY46" s="811" t="str">
        <f t="shared" si="50"/>
        <v/>
      </c>
      <c r="AZ46" s="811" t="str">
        <f t="shared" si="50"/>
        <v/>
      </c>
      <c r="BA46" s="811" t="str">
        <f t="shared" si="50"/>
        <v/>
      </c>
      <c r="BB46" s="811" t="str">
        <f t="shared" si="51"/>
        <v/>
      </c>
      <c r="BC46" s="811" t="str">
        <f t="shared" si="51"/>
        <v/>
      </c>
      <c r="BD46" s="811" t="str">
        <f t="shared" si="51"/>
        <v/>
      </c>
      <c r="BE46" s="811" t="str">
        <f t="shared" si="51"/>
        <v/>
      </c>
      <c r="BF46" s="811" t="str">
        <f t="shared" si="51"/>
        <v/>
      </c>
      <c r="BG46" s="811" t="str">
        <f t="shared" si="51"/>
        <v/>
      </c>
      <c r="BH46" s="811" t="str">
        <f t="shared" si="51"/>
        <v/>
      </c>
      <c r="BI46" s="811" t="str">
        <f t="shared" si="51"/>
        <v/>
      </c>
      <c r="BJ46" s="811" t="str">
        <f t="shared" si="51"/>
        <v/>
      </c>
      <c r="BK46" s="811">
        <f t="shared" si="51"/>
        <v>174.17363705224017</v>
      </c>
      <c r="BL46" s="811">
        <f t="shared" si="52"/>
        <v>171.68544223720818</v>
      </c>
      <c r="BM46" s="811">
        <f t="shared" si="52"/>
        <v>169.19043045008019</v>
      </c>
      <c r="BN46" s="811">
        <f t="shared" si="52"/>
        <v>166.70223563504817</v>
      </c>
      <c r="BO46" s="811">
        <f t="shared" si="52"/>
        <v>164.21404082001618</v>
      </c>
      <c r="BP46" s="811">
        <f t="shared" si="52"/>
        <v>161.72584600498416</v>
      </c>
      <c r="BQ46" s="811">
        <f t="shared" si="52"/>
        <v>159.2308342178562</v>
      </c>
      <c r="BR46" s="811">
        <f t="shared" si="52"/>
        <v>156.74263940282421</v>
      </c>
      <c r="BS46" s="811">
        <f t="shared" si="52"/>
        <v>154.25444458779219</v>
      </c>
      <c r="BT46" s="811">
        <f t="shared" si="52"/>
        <v>151.7662497727602</v>
      </c>
      <c r="BU46" s="811">
        <f t="shared" si="52"/>
        <v>149.27123798563221</v>
      </c>
      <c r="BV46" s="811">
        <f t="shared" si="53"/>
        <v>146.78304317060019</v>
      </c>
      <c r="BW46" s="811">
        <f t="shared" si="53"/>
        <v>144.29484835556821</v>
      </c>
      <c r="BX46" s="811">
        <f t="shared" si="53"/>
        <v>141.80665354053622</v>
      </c>
      <c r="BY46" s="811">
        <f t="shared" si="53"/>
        <v>139.31164175340822</v>
      </c>
      <c r="BZ46" s="811">
        <f t="shared" si="53"/>
        <v>136.82344693837621</v>
      </c>
      <c r="CA46" s="811">
        <f t="shared" si="53"/>
        <v>134.33525212334422</v>
      </c>
      <c r="CB46" s="811">
        <f t="shared" si="53"/>
        <v>131.8470573083122</v>
      </c>
      <c r="CC46" s="811">
        <f t="shared" si="53"/>
        <v>129.35204552118424</v>
      </c>
      <c r="CD46" s="811">
        <f t="shared" si="53"/>
        <v>126.86385070615223</v>
      </c>
      <c r="CE46" s="811">
        <f t="shared" si="53"/>
        <v>124.37565589112023</v>
      </c>
      <c r="CF46" s="811">
        <f t="shared" si="54"/>
        <v>121.88746107608823</v>
      </c>
      <c r="CG46" s="811">
        <f t="shared" si="54"/>
        <v>119.39244928896025</v>
      </c>
      <c r="CH46" s="811">
        <f t="shared" si="54"/>
        <v>116.90425447392823</v>
      </c>
      <c r="CI46" s="811">
        <f t="shared" si="54"/>
        <v>114.41605965889624</v>
      </c>
      <c r="CJ46" s="811">
        <f t="shared" si="54"/>
        <v>111.92786484386426</v>
      </c>
      <c r="CK46" s="811">
        <f t="shared" si="54"/>
        <v>109.43285305673626</v>
      </c>
      <c r="CL46" s="811">
        <f t="shared" si="54"/>
        <v>106.94465824170426</v>
      </c>
      <c r="CM46" s="811">
        <f t="shared" si="54"/>
        <v>104.45646342667224</v>
      </c>
      <c r="CN46" s="811">
        <f t="shared" si="54"/>
        <v>101.96826861164026</v>
      </c>
      <c r="CO46" s="811">
        <f t="shared" si="54"/>
        <v>99.473256824512276</v>
      </c>
      <c r="CP46" s="811">
        <f t="shared" si="55"/>
        <v>96.985062009480274</v>
      </c>
      <c r="CQ46" s="811">
        <f t="shared" si="55"/>
        <v>94.496867194448257</v>
      </c>
      <c r="CR46" s="811">
        <f t="shared" si="55"/>
        <v>92.008672379416254</v>
      </c>
      <c r="CS46" s="811">
        <f t="shared" si="55"/>
        <v>89.513660592288275</v>
      </c>
      <c r="CT46" s="811">
        <f t="shared" si="55"/>
        <v>87.025465777256272</v>
      </c>
      <c r="CU46" s="811">
        <f t="shared" si="55"/>
        <v>84.537270962224284</v>
      </c>
      <c r="CV46" s="811">
        <f t="shared" si="55"/>
        <v>82.049076147192267</v>
      </c>
      <c r="CW46" s="811">
        <f t="shared" si="55"/>
        <v>79.554064360064288</v>
      </c>
      <c r="CX46" s="811">
        <f t="shared" si="55"/>
        <v>77.065869545032299</v>
      </c>
      <c r="CY46" s="811">
        <f t="shared" si="55"/>
        <v>74.577674730000282</v>
      </c>
      <c r="CZ46" s="811">
        <f t="shared" si="56"/>
        <v>72.089479914968294</v>
      </c>
      <c r="DA46" s="811">
        <f t="shared" si="56"/>
        <v>69.594468127840315</v>
      </c>
      <c r="DB46" s="811">
        <f t="shared" si="56"/>
        <v>67.106273312808312</v>
      </c>
      <c r="DC46" s="811">
        <f t="shared" si="56"/>
        <v>64.618078497776295</v>
      </c>
      <c r="DD46" s="811">
        <f t="shared" si="56"/>
        <v>62.129883682744307</v>
      </c>
      <c r="DE46" s="811">
        <f t="shared" si="56"/>
        <v>59.634871895616328</v>
      </c>
      <c r="DF46" s="811">
        <f t="shared" si="56"/>
        <v>57.146677080584318</v>
      </c>
      <c r="DG46" s="811">
        <f t="shared" si="56"/>
        <v>54.658482265552323</v>
      </c>
      <c r="DH46" s="811">
        <f t="shared" si="56"/>
        <v>52.170287450520306</v>
      </c>
      <c r="DI46" s="811">
        <f t="shared" si="56"/>
        <v>49.675275663392327</v>
      </c>
      <c r="DJ46" s="811">
        <f t="shared" si="56"/>
        <v>47.187080848360331</v>
      </c>
      <c r="DK46" s="811">
        <f t="shared" si="56"/>
        <v>44.698886033328321</v>
      </c>
    </row>
    <row r="47" spans="2:115" ht="20.100000000000001" customHeight="1" x14ac:dyDescent="0.2">
      <c r="B47" s="815" t="s">
        <v>710</v>
      </c>
      <c r="C47" s="816"/>
      <c r="D47" s="814"/>
      <c r="E47" s="776"/>
      <c r="F47" s="817"/>
      <c r="G47" s="776"/>
      <c r="H47" s="817"/>
      <c r="I47" s="806"/>
      <c r="J47" s="795" t="str">
        <f t="shared" si="13"/>
        <v/>
      </c>
      <c r="K47" s="795" t="str">
        <f t="shared" si="14"/>
        <v/>
      </c>
      <c r="L47" s="810" t="str">
        <f t="shared" si="26"/>
        <v/>
      </c>
      <c r="M47" s="809" t="str">
        <f t="shared" si="15"/>
        <v/>
      </c>
      <c r="N47" s="811" t="str">
        <f t="shared" si="47"/>
        <v/>
      </c>
      <c r="O47" s="811" t="str">
        <f t="shared" si="47"/>
        <v/>
      </c>
      <c r="P47" s="811" t="str">
        <f t="shared" si="47"/>
        <v/>
      </c>
      <c r="Q47" s="811" t="str">
        <f t="shared" si="47"/>
        <v/>
      </c>
      <c r="R47" s="811" t="str">
        <f t="shared" si="47"/>
        <v/>
      </c>
      <c r="S47" s="811" t="str">
        <f t="shared" si="47"/>
        <v/>
      </c>
      <c r="T47" s="811" t="str">
        <f t="shared" si="47"/>
        <v/>
      </c>
      <c r="U47" s="811" t="str">
        <f t="shared" si="47"/>
        <v/>
      </c>
      <c r="V47" s="811" t="str">
        <f t="shared" si="47"/>
        <v/>
      </c>
      <c r="W47" s="811" t="str">
        <f t="shared" si="47"/>
        <v/>
      </c>
      <c r="X47" s="811" t="str">
        <f t="shared" si="48"/>
        <v/>
      </c>
      <c r="Y47" s="811" t="str">
        <f t="shared" si="48"/>
        <v/>
      </c>
      <c r="Z47" s="811" t="str">
        <f t="shared" si="48"/>
        <v/>
      </c>
      <c r="AA47" s="811" t="str">
        <f t="shared" si="48"/>
        <v/>
      </c>
      <c r="AB47" s="811" t="str">
        <f t="shared" si="48"/>
        <v/>
      </c>
      <c r="AC47" s="811" t="str">
        <f t="shared" si="48"/>
        <v/>
      </c>
      <c r="AD47" s="811" t="str">
        <f t="shared" si="48"/>
        <v/>
      </c>
      <c r="AE47" s="811" t="str">
        <f t="shared" si="48"/>
        <v/>
      </c>
      <c r="AF47" s="811" t="str">
        <f t="shared" si="48"/>
        <v/>
      </c>
      <c r="AG47" s="811" t="str">
        <f t="shared" si="48"/>
        <v/>
      </c>
      <c r="AH47" s="811" t="str">
        <f t="shared" si="49"/>
        <v/>
      </c>
      <c r="AI47" s="811" t="str">
        <f t="shared" si="49"/>
        <v/>
      </c>
      <c r="AJ47" s="811" t="str">
        <f t="shared" si="49"/>
        <v/>
      </c>
      <c r="AK47" s="811" t="str">
        <f t="shared" si="49"/>
        <v/>
      </c>
      <c r="AL47" s="811" t="str">
        <f t="shared" si="49"/>
        <v/>
      </c>
      <c r="AM47" s="811" t="str">
        <f t="shared" si="49"/>
        <v/>
      </c>
      <c r="AN47" s="811" t="str">
        <f t="shared" si="49"/>
        <v/>
      </c>
      <c r="AO47" s="811" t="str">
        <f t="shared" si="49"/>
        <v/>
      </c>
      <c r="AP47" s="811" t="str">
        <f t="shared" si="49"/>
        <v/>
      </c>
      <c r="AQ47" s="811" t="str">
        <f t="shared" si="49"/>
        <v/>
      </c>
      <c r="AR47" s="811" t="str">
        <f t="shared" si="50"/>
        <v/>
      </c>
      <c r="AS47" s="811" t="str">
        <f t="shared" si="50"/>
        <v/>
      </c>
      <c r="AT47" s="811" t="str">
        <f t="shared" si="50"/>
        <v/>
      </c>
      <c r="AU47" s="811" t="str">
        <f t="shared" si="50"/>
        <v/>
      </c>
      <c r="AV47" s="811" t="str">
        <f t="shared" si="50"/>
        <v/>
      </c>
      <c r="AW47" s="811" t="str">
        <f t="shared" si="50"/>
        <v/>
      </c>
      <c r="AX47" s="811" t="str">
        <f t="shared" si="50"/>
        <v/>
      </c>
      <c r="AY47" s="811" t="str">
        <f t="shared" si="50"/>
        <v/>
      </c>
      <c r="AZ47" s="811" t="str">
        <f t="shared" si="50"/>
        <v/>
      </c>
      <c r="BA47" s="811" t="str">
        <f t="shared" si="50"/>
        <v/>
      </c>
      <c r="BB47" s="811" t="str">
        <f t="shared" si="51"/>
        <v/>
      </c>
      <c r="BC47" s="811" t="str">
        <f t="shared" si="51"/>
        <v/>
      </c>
      <c r="BD47" s="811" t="str">
        <f t="shared" si="51"/>
        <v/>
      </c>
      <c r="BE47" s="811" t="str">
        <f t="shared" si="51"/>
        <v/>
      </c>
      <c r="BF47" s="811" t="str">
        <f t="shared" si="51"/>
        <v/>
      </c>
      <c r="BG47" s="811" t="str">
        <f t="shared" si="51"/>
        <v/>
      </c>
      <c r="BH47" s="811" t="str">
        <f t="shared" si="51"/>
        <v/>
      </c>
      <c r="BI47" s="811" t="str">
        <f t="shared" si="51"/>
        <v/>
      </c>
      <c r="BJ47" s="811" t="str">
        <f t="shared" si="51"/>
        <v/>
      </c>
      <c r="BK47" s="811" t="str">
        <f t="shared" si="51"/>
        <v/>
      </c>
      <c r="BL47" s="811" t="str">
        <f t="shared" si="52"/>
        <v/>
      </c>
      <c r="BM47" s="811" t="str">
        <f t="shared" si="52"/>
        <v/>
      </c>
      <c r="BN47" s="811" t="str">
        <f t="shared" si="52"/>
        <v/>
      </c>
      <c r="BO47" s="811" t="str">
        <f t="shared" si="52"/>
        <v/>
      </c>
      <c r="BP47" s="811" t="str">
        <f t="shared" si="52"/>
        <v/>
      </c>
      <c r="BQ47" s="811" t="str">
        <f t="shared" si="52"/>
        <v/>
      </c>
      <c r="BR47" s="811" t="str">
        <f t="shared" si="52"/>
        <v/>
      </c>
      <c r="BS47" s="811" t="str">
        <f t="shared" si="52"/>
        <v/>
      </c>
      <c r="BT47" s="811" t="str">
        <f t="shared" si="52"/>
        <v/>
      </c>
      <c r="BU47" s="811" t="str">
        <f t="shared" si="52"/>
        <v/>
      </c>
      <c r="BV47" s="811" t="str">
        <f t="shared" si="53"/>
        <v/>
      </c>
      <c r="BW47" s="811" t="str">
        <f t="shared" si="53"/>
        <v/>
      </c>
      <c r="BX47" s="811" t="str">
        <f t="shared" si="53"/>
        <v/>
      </c>
      <c r="BY47" s="811" t="str">
        <f t="shared" si="53"/>
        <v/>
      </c>
      <c r="BZ47" s="811" t="str">
        <f t="shared" si="53"/>
        <v/>
      </c>
      <c r="CA47" s="811" t="str">
        <f t="shared" si="53"/>
        <v/>
      </c>
      <c r="CB47" s="811" t="str">
        <f t="shared" si="53"/>
        <v/>
      </c>
      <c r="CC47" s="811" t="str">
        <f t="shared" si="53"/>
        <v/>
      </c>
      <c r="CD47" s="811" t="str">
        <f t="shared" si="53"/>
        <v/>
      </c>
      <c r="CE47" s="811" t="str">
        <f t="shared" si="53"/>
        <v/>
      </c>
      <c r="CF47" s="811" t="str">
        <f t="shared" si="54"/>
        <v/>
      </c>
      <c r="CG47" s="811" t="str">
        <f t="shared" si="54"/>
        <v/>
      </c>
      <c r="CH47" s="811" t="str">
        <f t="shared" si="54"/>
        <v/>
      </c>
      <c r="CI47" s="811" t="str">
        <f t="shared" si="54"/>
        <v/>
      </c>
      <c r="CJ47" s="811" t="str">
        <f t="shared" si="54"/>
        <v/>
      </c>
      <c r="CK47" s="811" t="str">
        <f t="shared" si="54"/>
        <v/>
      </c>
      <c r="CL47" s="811" t="str">
        <f t="shared" si="54"/>
        <v/>
      </c>
      <c r="CM47" s="811" t="str">
        <f t="shared" si="54"/>
        <v/>
      </c>
      <c r="CN47" s="811" t="str">
        <f t="shared" si="54"/>
        <v/>
      </c>
      <c r="CO47" s="811" t="str">
        <f t="shared" si="54"/>
        <v/>
      </c>
      <c r="CP47" s="811" t="str">
        <f t="shared" si="55"/>
        <v/>
      </c>
      <c r="CQ47" s="811" t="str">
        <f t="shared" si="55"/>
        <v/>
      </c>
      <c r="CR47" s="811" t="str">
        <f t="shared" si="55"/>
        <v/>
      </c>
      <c r="CS47" s="811" t="str">
        <f t="shared" si="55"/>
        <v/>
      </c>
      <c r="CT47" s="811" t="str">
        <f t="shared" si="55"/>
        <v/>
      </c>
      <c r="CU47" s="811" t="str">
        <f t="shared" si="55"/>
        <v/>
      </c>
      <c r="CV47" s="811" t="str">
        <f t="shared" si="55"/>
        <v/>
      </c>
      <c r="CW47" s="811" t="str">
        <f t="shared" si="55"/>
        <v/>
      </c>
      <c r="CX47" s="811" t="str">
        <f t="shared" si="55"/>
        <v/>
      </c>
      <c r="CY47" s="811" t="str">
        <f t="shared" si="55"/>
        <v/>
      </c>
      <c r="CZ47" s="811" t="str">
        <f t="shared" si="56"/>
        <v/>
      </c>
      <c r="DA47" s="811" t="str">
        <f t="shared" si="56"/>
        <v/>
      </c>
      <c r="DB47" s="811" t="str">
        <f t="shared" si="56"/>
        <v/>
      </c>
      <c r="DC47" s="811" t="str">
        <f t="shared" si="56"/>
        <v/>
      </c>
      <c r="DD47" s="811" t="str">
        <f t="shared" si="56"/>
        <v/>
      </c>
      <c r="DE47" s="811" t="str">
        <f t="shared" si="56"/>
        <v/>
      </c>
      <c r="DF47" s="811" t="str">
        <f t="shared" si="56"/>
        <v/>
      </c>
      <c r="DG47" s="811" t="str">
        <f t="shared" si="56"/>
        <v/>
      </c>
      <c r="DH47" s="811" t="str">
        <f t="shared" si="56"/>
        <v/>
      </c>
      <c r="DI47" s="811" t="str">
        <f t="shared" si="56"/>
        <v/>
      </c>
      <c r="DJ47" s="811" t="str">
        <f t="shared" si="56"/>
        <v/>
      </c>
      <c r="DK47" s="811" t="str">
        <f t="shared" si="56"/>
        <v/>
      </c>
    </row>
    <row r="48" spans="2:115" ht="20.100000000000001" customHeight="1" x14ac:dyDescent="0.2">
      <c r="B48" s="815" t="s">
        <v>565</v>
      </c>
      <c r="C48" s="816">
        <v>1</v>
      </c>
      <c r="D48" s="814">
        <v>315</v>
      </c>
      <c r="E48" s="776">
        <v>43466</v>
      </c>
      <c r="F48" s="817">
        <v>25</v>
      </c>
      <c r="G48" s="776">
        <v>47846</v>
      </c>
      <c r="H48" s="817">
        <v>0</v>
      </c>
      <c r="I48" s="806"/>
      <c r="J48" s="795">
        <f t="shared" si="13"/>
        <v>43800</v>
      </c>
      <c r="K48" s="795">
        <f t="shared" si="14"/>
        <v>47818</v>
      </c>
      <c r="L48" s="810">
        <f t="shared" si="26"/>
        <v>13.002739726027396</v>
      </c>
      <c r="M48" s="809" t="str">
        <f t="shared" si="15"/>
        <v>Badgingarra Wind Farm (100%)</v>
      </c>
      <c r="N48" s="811" t="str">
        <f t="shared" si="47"/>
        <v/>
      </c>
      <c r="O48" s="811" t="str">
        <f t="shared" si="47"/>
        <v/>
      </c>
      <c r="P48" s="811" t="str">
        <f t="shared" si="47"/>
        <v/>
      </c>
      <c r="Q48" s="811" t="str">
        <f t="shared" si="47"/>
        <v/>
      </c>
      <c r="R48" s="811" t="str">
        <f t="shared" si="47"/>
        <v/>
      </c>
      <c r="S48" s="811" t="str">
        <f t="shared" si="47"/>
        <v/>
      </c>
      <c r="T48" s="811" t="str">
        <f t="shared" si="47"/>
        <v/>
      </c>
      <c r="U48" s="811" t="str">
        <f t="shared" si="47"/>
        <v/>
      </c>
      <c r="V48" s="811" t="str">
        <f t="shared" si="47"/>
        <v/>
      </c>
      <c r="W48" s="811" t="str">
        <f t="shared" si="47"/>
        <v/>
      </c>
      <c r="X48" s="811" t="str">
        <f t="shared" si="48"/>
        <v/>
      </c>
      <c r="Y48" s="811" t="str">
        <f t="shared" si="48"/>
        <v/>
      </c>
      <c r="Z48" s="811" t="str">
        <f t="shared" si="48"/>
        <v/>
      </c>
      <c r="AA48" s="811" t="str">
        <f t="shared" si="48"/>
        <v/>
      </c>
      <c r="AB48" s="811" t="str">
        <f t="shared" si="48"/>
        <v/>
      </c>
      <c r="AC48" s="811" t="str">
        <f t="shared" si="48"/>
        <v/>
      </c>
      <c r="AD48" s="811" t="str">
        <f t="shared" si="48"/>
        <v/>
      </c>
      <c r="AE48" s="811" t="str">
        <f t="shared" si="48"/>
        <v/>
      </c>
      <c r="AF48" s="811" t="str">
        <f t="shared" si="48"/>
        <v/>
      </c>
      <c r="AG48" s="811" t="str">
        <f t="shared" si="48"/>
        <v/>
      </c>
      <c r="AH48" s="811" t="str">
        <f t="shared" si="49"/>
        <v/>
      </c>
      <c r="AI48" s="811" t="str">
        <f t="shared" si="49"/>
        <v/>
      </c>
      <c r="AJ48" s="811" t="str">
        <f t="shared" si="49"/>
        <v/>
      </c>
      <c r="AK48" s="811" t="str">
        <f t="shared" si="49"/>
        <v/>
      </c>
      <c r="AL48" s="811" t="str">
        <f t="shared" si="49"/>
        <v/>
      </c>
      <c r="AM48" s="811" t="str">
        <f t="shared" si="49"/>
        <v/>
      </c>
      <c r="AN48" s="811" t="str">
        <f t="shared" si="49"/>
        <v/>
      </c>
      <c r="AO48" s="811" t="str">
        <f t="shared" si="49"/>
        <v/>
      </c>
      <c r="AP48" s="811" t="str">
        <f t="shared" si="49"/>
        <v/>
      </c>
      <c r="AQ48" s="811" t="str">
        <f t="shared" si="49"/>
        <v/>
      </c>
      <c r="AR48" s="811" t="str">
        <f t="shared" si="50"/>
        <v/>
      </c>
      <c r="AS48" s="811" t="str">
        <f t="shared" si="50"/>
        <v/>
      </c>
      <c r="AT48" s="811" t="str">
        <f t="shared" si="50"/>
        <v/>
      </c>
      <c r="AU48" s="811" t="str">
        <f t="shared" si="50"/>
        <v/>
      </c>
      <c r="AV48" s="811" t="str">
        <f t="shared" si="50"/>
        <v/>
      </c>
      <c r="AW48" s="811" t="str">
        <f t="shared" si="50"/>
        <v/>
      </c>
      <c r="AX48" s="811" t="str">
        <f t="shared" si="50"/>
        <v/>
      </c>
      <c r="AY48" s="811" t="str">
        <f t="shared" si="50"/>
        <v/>
      </c>
      <c r="AZ48" s="811" t="str">
        <f t="shared" si="50"/>
        <v/>
      </c>
      <c r="BA48" s="811" t="str">
        <f t="shared" si="50"/>
        <v/>
      </c>
      <c r="BB48" s="811" t="str">
        <f t="shared" si="51"/>
        <v/>
      </c>
      <c r="BC48" s="811" t="str">
        <f t="shared" si="51"/>
        <v/>
      </c>
      <c r="BD48" s="811" t="str">
        <f t="shared" si="51"/>
        <v/>
      </c>
      <c r="BE48" s="811" t="str">
        <f t="shared" si="51"/>
        <v/>
      </c>
      <c r="BF48" s="811" t="str">
        <f t="shared" si="51"/>
        <v/>
      </c>
      <c r="BG48" s="811" t="str">
        <f t="shared" si="51"/>
        <v/>
      </c>
      <c r="BH48" s="811" t="str">
        <f t="shared" si="51"/>
        <v/>
      </c>
      <c r="BI48" s="811" t="str">
        <f t="shared" si="51"/>
        <v/>
      </c>
      <c r="BJ48" s="811" t="str">
        <f t="shared" si="51"/>
        <v/>
      </c>
      <c r="BK48" s="811" t="str">
        <f t="shared" si="51"/>
        <v/>
      </c>
      <c r="BL48" s="811">
        <f t="shared" si="52"/>
        <v>315</v>
      </c>
      <c r="BM48" s="811">
        <f t="shared" si="52"/>
        <v>302.36547945205479</v>
      </c>
      <c r="BN48" s="811">
        <f t="shared" si="52"/>
        <v>289.76547945205482</v>
      </c>
      <c r="BO48" s="811">
        <f t="shared" si="52"/>
        <v>277.1654794520548</v>
      </c>
      <c r="BP48" s="811">
        <f t="shared" si="52"/>
        <v>264.56547945205477</v>
      </c>
      <c r="BQ48" s="811">
        <f t="shared" si="52"/>
        <v>251.93095890410959</v>
      </c>
      <c r="BR48" s="811">
        <f t="shared" si="52"/>
        <v>239.33095890410956</v>
      </c>
      <c r="BS48" s="811">
        <f t="shared" si="52"/>
        <v>226.7309589041096</v>
      </c>
      <c r="BT48" s="811">
        <f t="shared" si="52"/>
        <v>214.13095890410958</v>
      </c>
      <c r="BU48" s="811">
        <f t="shared" si="52"/>
        <v>201.49643835616439</v>
      </c>
      <c r="BV48" s="811">
        <f t="shared" si="53"/>
        <v>188.89643835616437</v>
      </c>
      <c r="BW48" s="811">
        <f t="shared" si="53"/>
        <v>176.2964383561644</v>
      </c>
      <c r="BX48" s="811">
        <f t="shared" si="53"/>
        <v>163.69643835616438</v>
      </c>
      <c r="BY48" s="811">
        <f t="shared" si="53"/>
        <v>151.06191780821916</v>
      </c>
      <c r="BZ48" s="811">
        <f t="shared" si="53"/>
        <v>138.4619178082192</v>
      </c>
      <c r="CA48" s="811">
        <f t="shared" si="53"/>
        <v>125.86191780821918</v>
      </c>
      <c r="CB48" s="811">
        <f t="shared" si="53"/>
        <v>113.26191780821917</v>
      </c>
      <c r="CC48" s="811">
        <f t="shared" si="53"/>
        <v>100.62739726027397</v>
      </c>
      <c r="CD48" s="811">
        <f t="shared" si="53"/>
        <v>88.027397260273958</v>
      </c>
      <c r="CE48" s="811">
        <f t="shared" si="53"/>
        <v>75.427397260273978</v>
      </c>
      <c r="CF48" s="811">
        <f t="shared" si="54"/>
        <v>62.827397260273976</v>
      </c>
      <c r="CG48" s="811">
        <f t="shared" si="54"/>
        <v>50.192876712328783</v>
      </c>
      <c r="CH48" s="811">
        <f t="shared" si="54"/>
        <v>37.592876712328767</v>
      </c>
      <c r="CI48" s="811">
        <f t="shared" si="54"/>
        <v>24.992876712328759</v>
      </c>
      <c r="CJ48" s="811">
        <f t="shared" si="54"/>
        <v>12.392876712328782</v>
      </c>
      <c r="CK48" s="811" t="str">
        <f t="shared" si="54"/>
        <v/>
      </c>
      <c r="CL48" s="811" t="str">
        <f t="shared" si="54"/>
        <v/>
      </c>
      <c r="CM48" s="811" t="str">
        <f t="shared" si="54"/>
        <v/>
      </c>
      <c r="CN48" s="811" t="str">
        <f t="shared" si="54"/>
        <v/>
      </c>
      <c r="CO48" s="811" t="str">
        <f t="shared" si="54"/>
        <v/>
      </c>
      <c r="CP48" s="811" t="str">
        <f t="shared" si="55"/>
        <v/>
      </c>
      <c r="CQ48" s="811" t="str">
        <f t="shared" si="55"/>
        <v/>
      </c>
      <c r="CR48" s="811" t="str">
        <f t="shared" si="55"/>
        <v/>
      </c>
      <c r="CS48" s="811" t="str">
        <f t="shared" si="55"/>
        <v/>
      </c>
      <c r="CT48" s="811" t="str">
        <f t="shared" si="55"/>
        <v/>
      </c>
      <c r="CU48" s="811" t="str">
        <f t="shared" si="55"/>
        <v/>
      </c>
      <c r="CV48" s="811" t="str">
        <f t="shared" si="55"/>
        <v/>
      </c>
      <c r="CW48" s="811" t="str">
        <f t="shared" si="55"/>
        <v/>
      </c>
      <c r="CX48" s="811" t="str">
        <f t="shared" si="55"/>
        <v/>
      </c>
      <c r="CY48" s="811" t="str">
        <f t="shared" si="55"/>
        <v/>
      </c>
      <c r="CZ48" s="811" t="str">
        <f t="shared" si="56"/>
        <v/>
      </c>
      <c r="DA48" s="811" t="str">
        <f t="shared" si="56"/>
        <v/>
      </c>
      <c r="DB48" s="811" t="str">
        <f t="shared" si="56"/>
        <v/>
      </c>
      <c r="DC48" s="811" t="str">
        <f t="shared" si="56"/>
        <v/>
      </c>
      <c r="DD48" s="811" t="str">
        <f t="shared" si="56"/>
        <v/>
      </c>
      <c r="DE48" s="811" t="str">
        <f t="shared" si="56"/>
        <v/>
      </c>
      <c r="DF48" s="811" t="str">
        <f t="shared" si="56"/>
        <v/>
      </c>
      <c r="DG48" s="811" t="str">
        <f t="shared" si="56"/>
        <v/>
      </c>
      <c r="DH48" s="811" t="str">
        <f t="shared" si="56"/>
        <v/>
      </c>
      <c r="DI48" s="811" t="str">
        <f t="shared" si="56"/>
        <v/>
      </c>
      <c r="DJ48" s="811" t="str">
        <f t="shared" si="56"/>
        <v/>
      </c>
      <c r="DK48" s="811" t="str">
        <f t="shared" si="56"/>
        <v/>
      </c>
    </row>
    <row r="49" spans="2:115" ht="20.100000000000001" customHeight="1" x14ac:dyDescent="0.2">
      <c r="B49" s="815" t="s">
        <v>823</v>
      </c>
      <c r="C49" s="816">
        <v>0.19900000000000001</v>
      </c>
      <c r="D49" s="814">
        <v>29</v>
      </c>
      <c r="E49" s="776">
        <v>39083</v>
      </c>
      <c r="F49" s="817">
        <v>25</v>
      </c>
      <c r="G49" s="776">
        <v>46383</v>
      </c>
      <c r="H49" s="817">
        <v>0</v>
      </c>
      <c r="I49" s="806"/>
      <c r="J49" s="795">
        <f t="shared" si="13"/>
        <v>39417</v>
      </c>
      <c r="K49" s="795">
        <f t="shared" si="14"/>
        <v>46357</v>
      </c>
      <c r="L49" s="810">
        <f t="shared" si="26"/>
        <v>8.9945205479452053</v>
      </c>
      <c r="M49" s="809" t="str">
        <f t="shared" si="15"/>
        <v>Daandine Power Station (20%)</v>
      </c>
      <c r="N49" s="811" t="str">
        <f t="shared" si="47"/>
        <v/>
      </c>
      <c r="O49" s="811" t="str">
        <f t="shared" si="47"/>
        <v/>
      </c>
      <c r="P49" s="811" t="str">
        <f t="shared" si="47"/>
        <v/>
      </c>
      <c r="Q49" s="811" t="str">
        <f t="shared" si="47"/>
        <v/>
      </c>
      <c r="R49" s="811" t="str">
        <f t="shared" si="47"/>
        <v/>
      </c>
      <c r="S49" s="811" t="str">
        <f t="shared" si="47"/>
        <v/>
      </c>
      <c r="T49" s="811" t="str">
        <f t="shared" si="47"/>
        <v/>
      </c>
      <c r="U49" s="811" t="str">
        <f t="shared" si="47"/>
        <v/>
      </c>
      <c r="V49" s="811" t="str">
        <f t="shared" si="47"/>
        <v/>
      </c>
      <c r="W49" s="811" t="str">
        <f t="shared" si="47"/>
        <v/>
      </c>
      <c r="X49" s="811" t="str">
        <f t="shared" si="48"/>
        <v/>
      </c>
      <c r="Y49" s="811" t="str">
        <f t="shared" si="48"/>
        <v/>
      </c>
      <c r="Z49" s="811" t="str">
        <f t="shared" si="48"/>
        <v/>
      </c>
      <c r="AA49" s="811" t="str">
        <f t="shared" si="48"/>
        <v/>
      </c>
      <c r="AB49" s="811" t="str">
        <f t="shared" si="48"/>
        <v/>
      </c>
      <c r="AC49" s="811" t="str">
        <f t="shared" si="48"/>
        <v/>
      </c>
      <c r="AD49" s="811" t="str">
        <f t="shared" si="48"/>
        <v/>
      </c>
      <c r="AE49" s="811" t="str">
        <f t="shared" si="48"/>
        <v/>
      </c>
      <c r="AF49" s="811" t="str">
        <f t="shared" si="48"/>
        <v/>
      </c>
      <c r="AG49" s="811" t="str">
        <f t="shared" si="48"/>
        <v/>
      </c>
      <c r="AH49" s="811" t="str">
        <f t="shared" si="49"/>
        <v/>
      </c>
      <c r="AI49" s="811" t="str">
        <f t="shared" si="49"/>
        <v/>
      </c>
      <c r="AJ49" s="811" t="str">
        <f t="shared" si="49"/>
        <v/>
      </c>
      <c r="AK49" s="811" t="str">
        <f t="shared" si="49"/>
        <v/>
      </c>
      <c r="AL49" s="811" t="str">
        <f t="shared" si="49"/>
        <v/>
      </c>
      <c r="AM49" s="811" t="str">
        <f t="shared" si="49"/>
        <v/>
      </c>
      <c r="AN49" s="811" t="str">
        <f t="shared" si="49"/>
        <v/>
      </c>
      <c r="AO49" s="811" t="str">
        <f t="shared" si="49"/>
        <v/>
      </c>
      <c r="AP49" s="811" t="str">
        <f t="shared" si="49"/>
        <v/>
      </c>
      <c r="AQ49" s="811" t="str">
        <f t="shared" si="49"/>
        <v/>
      </c>
      <c r="AR49" s="811" t="str">
        <f t="shared" si="50"/>
        <v/>
      </c>
      <c r="AS49" s="811" t="str">
        <f t="shared" si="50"/>
        <v/>
      </c>
      <c r="AT49" s="811" t="str">
        <f t="shared" si="50"/>
        <v/>
      </c>
      <c r="AU49" s="811" t="str">
        <f t="shared" si="50"/>
        <v/>
      </c>
      <c r="AV49" s="811" t="str">
        <f t="shared" si="50"/>
        <v/>
      </c>
      <c r="AW49" s="811" t="str">
        <f t="shared" si="50"/>
        <v/>
      </c>
      <c r="AX49" s="811" t="str">
        <f t="shared" si="50"/>
        <v/>
      </c>
      <c r="AY49" s="811" t="str">
        <f t="shared" si="50"/>
        <v/>
      </c>
      <c r="AZ49" s="811">
        <f t="shared" si="50"/>
        <v>5.7709999999999999</v>
      </c>
      <c r="BA49" s="811">
        <f t="shared" si="50"/>
        <v>5.539527561643836</v>
      </c>
      <c r="BB49" s="811">
        <f t="shared" si="51"/>
        <v>5.3086875616438363</v>
      </c>
      <c r="BC49" s="811">
        <f t="shared" si="51"/>
        <v>5.0778475616438357</v>
      </c>
      <c r="BD49" s="811">
        <f t="shared" si="51"/>
        <v>4.8470075616438359</v>
      </c>
      <c r="BE49" s="811">
        <f t="shared" si="51"/>
        <v>4.6155351232876711</v>
      </c>
      <c r="BF49" s="811">
        <f t="shared" si="51"/>
        <v>4.3846951232876714</v>
      </c>
      <c r="BG49" s="811">
        <f t="shared" si="51"/>
        <v>4.1538551232876717</v>
      </c>
      <c r="BH49" s="811">
        <f t="shared" si="51"/>
        <v>3.9230151232876711</v>
      </c>
      <c r="BI49" s="811">
        <f t="shared" si="51"/>
        <v>3.6915426849315067</v>
      </c>
      <c r="BJ49" s="811">
        <f t="shared" si="51"/>
        <v>3.460702684931507</v>
      </c>
      <c r="BK49" s="811">
        <f t="shared" si="51"/>
        <v>3.2298626849315077</v>
      </c>
      <c r="BL49" s="811">
        <f t="shared" si="52"/>
        <v>2.9990226849315071</v>
      </c>
      <c r="BM49" s="811">
        <f t="shared" si="52"/>
        <v>2.7675502465753423</v>
      </c>
      <c r="BN49" s="811">
        <f t="shared" si="52"/>
        <v>2.5367102465753426</v>
      </c>
      <c r="BO49" s="811">
        <f t="shared" si="52"/>
        <v>2.3058702465753429</v>
      </c>
      <c r="BP49" s="811">
        <f t="shared" si="52"/>
        <v>2.0750302465753423</v>
      </c>
      <c r="BQ49" s="811">
        <f t="shared" si="52"/>
        <v>1.8435578082191784</v>
      </c>
      <c r="BR49" s="811">
        <f t="shared" si="52"/>
        <v>1.6127178082191778</v>
      </c>
      <c r="BS49" s="811">
        <f t="shared" si="52"/>
        <v>1.3818778082191783</v>
      </c>
      <c r="BT49" s="811">
        <f t="shared" si="52"/>
        <v>1.1510378082191781</v>
      </c>
      <c r="BU49" s="811">
        <f t="shared" si="52"/>
        <v>0.91956536986301396</v>
      </c>
      <c r="BV49" s="811">
        <f t="shared" si="53"/>
        <v>0.6887253698630138</v>
      </c>
      <c r="BW49" s="811">
        <f t="shared" si="53"/>
        <v>0.45788536986301359</v>
      </c>
      <c r="BX49" s="811">
        <f t="shared" si="53"/>
        <v>0.22704536986301399</v>
      </c>
      <c r="BY49" s="811" t="str">
        <f t="shared" si="53"/>
        <v/>
      </c>
      <c r="BZ49" s="811" t="str">
        <f t="shared" si="53"/>
        <v/>
      </c>
      <c r="CA49" s="811" t="str">
        <f t="shared" si="53"/>
        <v/>
      </c>
      <c r="CB49" s="811" t="str">
        <f t="shared" si="53"/>
        <v/>
      </c>
      <c r="CC49" s="811" t="str">
        <f t="shared" si="53"/>
        <v/>
      </c>
      <c r="CD49" s="811" t="str">
        <f t="shared" si="53"/>
        <v/>
      </c>
      <c r="CE49" s="811" t="str">
        <f t="shared" si="53"/>
        <v/>
      </c>
      <c r="CF49" s="811" t="str">
        <f t="shared" si="54"/>
        <v/>
      </c>
      <c r="CG49" s="811" t="str">
        <f t="shared" si="54"/>
        <v/>
      </c>
      <c r="CH49" s="811" t="str">
        <f t="shared" si="54"/>
        <v/>
      </c>
      <c r="CI49" s="811" t="str">
        <f t="shared" si="54"/>
        <v/>
      </c>
      <c r="CJ49" s="811" t="str">
        <f t="shared" si="54"/>
        <v/>
      </c>
      <c r="CK49" s="811" t="str">
        <f t="shared" si="54"/>
        <v/>
      </c>
      <c r="CL49" s="811" t="str">
        <f t="shared" si="54"/>
        <v/>
      </c>
      <c r="CM49" s="811" t="str">
        <f t="shared" si="54"/>
        <v/>
      </c>
      <c r="CN49" s="811" t="str">
        <f t="shared" si="54"/>
        <v/>
      </c>
      <c r="CO49" s="811" t="str">
        <f t="shared" si="54"/>
        <v/>
      </c>
      <c r="CP49" s="811" t="str">
        <f t="shared" si="55"/>
        <v/>
      </c>
      <c r="CQ49" s="811" t="str">
        <f t="shared" si="55"/>
        <v/>
      </c>
      <c r="CR49" s="811" t="str">
        <f t="shared" si="55"/>
        <v/>
      </c>
      <c r="CS49" s="811" t="str">
        <f t="shared" si="55"/>
        <v/>
      </c>
      <c r="CT49" s="811" t="str">
        <f t="shared" si="55"/>
        <v/>
      </c>
      <c r="CU49" s="811" t="str">
        <f t="shared" si="55"/>
        <v/>
      </c>
      <c r="CV49" s="811" t="str">
        <f t="shared" si="55"/>
        <v/>
      </c>
      <c r="CW49" s="811" t="str">
        <f t="shared" si="55"/>
        <v/>
      </c>
      <c r="CX49" s="811" t="str">
        <f t="shared" si="55"/>
        <v/>
      </c>
      <c r="CY49" s="811" t="str">
        <f t="shared" si="55"/>
        <v/>
      </c>
      <c r="CZ49" s="811" t="str">
        <f t="shared" si="56"/>
        <v/>
      </c>
      <c r="DA49" s="811" t="str">
        <f t="shared" si="56"/>
        <v/>
      </c>
      <c r="DB49" s="811" t="str">
        <f t="shared" si="56"/>
        <v/>
      </c>
      <c r="DC49" s="811" t="str">
        <f t="shared" si="56"/>
        <v/>
      </c>
      <c r="DD49" s="811" t="str">
        <f t="shared" si="56"/>
        <v/>
      </c>
      <c r="DE49" s="811" t="str">
        <f t="shared" si="56"/>
        <v/>
      </c>
      <c r="DF49" s="811" t="str">
        <f t="shared" si="56"/>
        <v/>
      </c>
      <c r="DG49" s="811" t="str">
        <f t="shared" si="56"/>
        <v/>
      </c>
      <c r="DH49" s="811" t="str">
        <f t="shared" si="56"/>
        <v/>
      </c>
      <c r="DI49" s="811" t="str">
        <f t="shared" si="56"/>
        <v/>
      </c>
      <c r="DJ49" s="811" t="str">
        <f t="shared" si="56"/>
        <v/>
      </c>
      <c r="DK49" s="811" t="str">
        <f t="shared" si="56"/>
        <v/>
      </c>
    </row>
    <row r="50" spans="2:115" ht="20.100000000000001" customHeight="1" x14ac:dyDescent="0.2">
      <c r="B50" s="815" t="s">
        <v>567</v>
      </c>
      <c r="C50" s="816">
        <v>1</v>
      </c>
      <c r="D50" s="814">
        <v>220</v>
      </c>
      <c r="E50" s="776">
        <v>43465</v>
      </c>
      <c r="F50" s="817">
        <v>25</v>
      </c>
      <c r="G50" s="776">
        <v>47845</v>
      </c>
      <c r="H50" s="817">
        <v>0</v>
      </c>
      <c r="I50" s="806"/>
      <c r="J50" s="795">
        <f t="shared" si="13"/>
        <v>43435</v>
      </c>
      <c r="K50" s="795">
        <f t="shared" si="14"/>
        <v>47818</v>
      </c>
      <c r="L50" s="810">
        <f t="shared" si="26"/>
        <v>13</v>
      </c>
      <c r="M50" s="809" t="str">
        <f t="shared" si="15"/>
        <v>Darling Downs Solar Farm (100%)</v>
      </c>
      <c r="N50" s="811" t="str">
        <f t="shared" si="47"/>
        <v/>
      </c>
      <c r="O50" s="811" t="str">
        <f t="shared" si="47"/>
        <v/>
      </c>
      <c r="P50" s="811" t="str">
        <f t="shared" si="47"/>
        <v/>
      </c>
      <c r="Q50" s="811" t="str">
        <f t="shared" si="47"/>
        <v/>
      </c>
      <c r="R50" s="811" t="str">
        <f t="shared" si="47"/>
        <v/>
      </c>
      <c r="S50" s="811" t="str">
        <f t="shared" si="47"/>
        <v/>
      </c>
      <c r="T50" s="811" t="str">
        <f t="shared" si="47"/>
        <v/>
      </c>
      <c r="U50" s="811" t="str">
        <f t="shared" si="47"/>
        <v/>
      </c>
      <c r="V50" s="811" t="str">
        <f t="shared" si="47"/>
        <v/>
      </c>
      <c r="W50" s="811" t="str">
        <f t="shared" si="47"/>
        <v/>
      </c>
      <c r="X50" s="811" t="str">
        <f t="shared" si="48"/>
        <v/>
      </c>
      <c r="Y50" s="811" t="str">
        <f t="shared" si="48"/>
        <v/>
      </c>
      <c r="Z50" s="811" t="str">
        <f t="shared" si="48"/>
        <v/>
      </c>
      <c r="AA50" s="811" t="str">
        <f t="shared" si="48"/>
        <v/>
      </c>
      <c r="AB50" s="811" t="str">
        <f t="shared" si="48"/>
        <v/>
      </c>
      <c r="AC50" s="811" t="str">
        <f t="shared" si="48"/>
        <v/>
      </c>
      <c r="AD50" s="811" t="str">
        <f t="shared" si="48"/>
        <v/>
      </c>
      <c r="AE50" s="811" t="str">
        <f t="shared" si="48"/>
        <v/>
      </c>
      <c r="AF50" s="811" t="str">
        <f t="shared" si="48"/>
        <v/>
      </c>
      <c r="AG50" s="811" t="str">
        <f t="shared" si="48"/>
        <v/>
      </c>
      <c r="AH50" s="811" t="str">
        <f t="shared" si="49"/>
        <v/>
      </c>
      <c r="AI50" s="811" t="str">
        <f t="shared" si="49"/>
        <v/>
      </c>
      <c r="AJ50" s="811" t="str">
        <f t="shared" si="49"/>
        <v/>
      </c>
      <c r="AK50" s="811" t="str">
        <f t="shared" si="49"/>
        <v/>
      </c>
      <c r="AL50" s="811" t="str">
        <f t="shared" si="49"/>
        <v/>
      </c>
      <c r="AM50" s="811" t="str">
        <f t="shared" si="49"/>
        <v/>
      </c>
      <c r="AN50" s="811" t="str">
        <f t="shared" si="49"/>
        <v/>
      </c>
      <c r="AO50" s="811" t="str">
        <f t="shared" si="49"/>
        <v/>
      </c>
      <c r="AP50" s="811" t="str">
        <f t="shared" si="49"/>
        <v/>
      </c>
      <c r="AQ50" s="811" t="str">
        <f t="shared" si="49"/>
        <v/>
      </c>
      <c r="AR50" s="811" t="str">
        <f t="shared" si="50"/>
        <v/>
      </c>
      <c r="AS50" s="811" t="str">
        <f t="shared" si="50"/>
        <v/>
      </c>
      <c r="AT50" s="811" t="str">
        <f t="shared" si="50"/>
        <v/>
      </c>
      <c r="AU50" s="811" t="str">
        <f t="shared" si="50"/>
        <v/>
      </c>
      <c r="AV50" s="811" t="str">
        <f t="shared" si="50"/>
        <v/>
      </c>
      <c r="AW50" s="811" t="str">
        <f t="shared" si="50"/>
        <v/>
      </c>
      <c r="AX50" s="811" t="str">
        <f t="shared" si="50"/>
        <v/>
      </c>
      <c r="AY50" s="811" t="str">
        <f t="shared" si="50"/>
        <v/>
      </c>
      <c r="AZ50" s="811" t="str">
        <f t="shared" si="50"/>
        <v/>
      </c>
      <c r="BA50" s="811" t="str">
        <f t="shared" si="50"/>
        <v/>
      </c>
      <c r="BB50" s="811" t="str">
        <f t="shared" si="51"/>
        <v/>
      </c>
      <c r="BC50" s="811" t="str">
        <f t="shared" si="51"/>
        <v/>
      </c>
      <c r="BD50" s="811" t="str">
        <f t="shared" si="51"/>
        <v/>
      </c>
      <c r="BE50" s="811" t="str">
        <f t="shared" si="51"/>
        <v/>
      </c>
      <c r="BF50" s="811" t="str">
        <f t="shared" si="51"/>
        <v/>
      </c>
      <c r="BG50" s="811" t="str">
        <f t="shared" si="51"/>
        <v/>
      </c>
      <c r="BH50" s="811" t="str">
        <f t="shared" si="51"/>
        <v/>
      </c>
      <c r="BI50" s="811" t="str">
        <f t="shared" si="51"/>
        <v/>
      </c>
      <c r="BJ50" s="811" t="str">
        <f t="shared" si="51"/>
        <v/>
      </c>
      <c r="BK50" s="811">
        <f t="shared" si="51"/>
        <v>220</v>
      </c>
      <c r="BL50" s="811">
        <f t="shared" si="52"/>
        <v>211.2</v>
      </c>
      <c r="BM50" s="811">
        <f t="shared" si="52"/>
        <v>202.3758904109589</v>
      </c>
      <c r="BN50" s="811">
        <f t="shared" si="52"/>
        <v>193.57589041095889</v>
      </c>
      <c r="BO50" s="811">
        <f t="shared" si="52"/>
        <v>184.77589041095888</v>
      </c>
      <c r="BP50" s="811">
        <f t="shared" si="52"/>
        <v>175.9758904109589</v>
      </c>
      <c r="BQ50" s="811">
        <f t="shared" si="52"/>
        <v>167.15178082191778</v>
      </c>
      <c r="BR50" s="811">
        <f t="shared" si="52"/>
        <v>158.3517808219178</v>
      </c>
      <c r="BS50" s="811">
        <f t="shared" si="52"/>
        <v>149.55178082191782</v>
      </c>
      <c r="BT50" s="811">
        <f t="shared" si="52"/>
        <v>140.75178082191783</v>
      </c>
      <c r="BU50" s="811">
        <f t="shared" si="52"/>
        <v>131.92767123287672</v>
      </c>
      <c r="BV50" s="811">
        <f t="shared" si="53"/>
        <v>123.12767123287672</v>
      </c>
      <c r="BW50" s="811">
        <f t="shared" si="53"/>
        <v>114.32767123287672</v>
      </c>
      <c r="BX50" s="811">
        <f t="shared" si="53"/>
        <v>105.52767123287671</v>
      </c>
      <c r="BY50" s="811">
        <f t="shared" si="53"/>
        <v>96.703561643835627</v>
      </c>
      <c r="BZ50" s="811">
        <f t="shared" si="53"/>
        <v>87.903561643835616</v>
      </c>
      <c r="CA50" s="811">
        <f t="shared" si="53"/>
        <v>79.103561643835604</v>
      </c>
      <c r="CB50" s="811">
        <f t="shared" si="53"/>
        <v>70.303561643835621</v>
      </c>
      <c r="CC50" s="811">
        <f t="shared" si="53"/>
        <v>61.479452054794514</v>
      </c>
      <c r="CD50" s="811">
        <f t="shared" si="53"/>
        <v>52.679452054794531</v>
      </c>
      <c r="CE50" s="811">
        <f t="shared" si="53"/>
        <v>43.87945205479452</v>
      </c>
      <c r="CF50" s="811">
        <f t="shared" si="54"/>
        <v>35.079452054794515</v>
      </c>
      <c r="CG50" s="811">
        <f t="shared" si="54"/>
        <v>26.255342465753426</v>
      </c>
      <c r="CH50" s="811">
        <f t="shared" si="54"/>
        <v>17.455342465753418</v>
      </c>
      <c r="CI50" s="811">
        <f t="shared" si="54"/>
        <v>8.655342465753435</v>
      </c>
      <c r="CJ50" s="811" t="str">
        <f t="shared" si="54"/>
        <v/>
      </c>
      <c r="CK50" s="811" t="str">
        <f t="shared" si="54"/>
        <v/>
      </c>
      <c r="CL50" s="811" t="str">
        <f t="shared" si="54"/>
        <v/>
      </c>
      <c r="CM50" s="811" t="str">
        <f t="shared" si="54"/>
        <v/>
      </c>
      <c r="CN50" s="811" t="str">
        <f t="shared" si="54"/>
        <v/>
      </c>
      <c r="CO50" s="811" t="str">
        <f t="shared" si="54"/>
        <v/>
      </c>
      <c r="CP50" s="811" t="str">
        <f t="shared" si="55"/>
        <v/>
      </c>
      <c r="CQ50" s="811" t="str">
        <f t="shared" si="55"/>
        <v/>
      </c>
      <c r="CR50" s="811" t="str">
        <f t="shared" si="55"/>
        <v/>
      </c>
      <c r="CS50" s="811" t="str">
        <f t="shared" si="55"/>
        <v/>
      </c>
      <c r="CT50" s="811" t="str">
        <f t="shared" si="55"/>
        <v/>
      </c>
      <c r="CU50" s="811" t="str">
        <f t="shared" si="55"/>
        <v/>
      </c>
      <c r="CV50" s="811" t="str">
        <f t="shared" si="55"/>
        <v/>
      </c>
      <c r="CW50" s="811" t="str">
        <f t="shared" si="55"/>
        <v/>
      </c>
      <c r="CX50" s="811" t="str">
        <f t="shared" si="55"/>
        <v/>
      </c>
      <c r="CY50" s="811" t="str">
        <f t="shared" si="55"/>
        <v/>
      </c>
      <c r="CZ50" s="811" t="str">
        <f t="shared" si="56"/>
        <v/>
      </c>
      <c r="DA50" s="811" t="str">
        <f t="shared" si="56"/>
        <v/>
      </c>
      <c r="DB50" s="811" t="str">
        <f t="shared" si="56"/>
        <v/>
      </c>
      <c r="DC50" s="811" t="str">
        <f t="shared" si="56"/>
        <v/>
      </c>
      <c r="DD50" s="811" t="str">
        <f t="shared" si="56"/>
        <v/>
      </c>
      <c r="DE50" s="811" t="str">
        <f t="shared" si="56"/>
        <v/>
      </c>
      <c r="DF50" s="811" t="str">
        <f t="shared" si="56"/>
        <v/>
      </c>
      <c r="DG50" s="811" t="str">
        <f t="shared" si="56"/>
        <v/>
      </c>
      <c r="DH50" s="811" t="str">
        <f t="shared" si="56"/>
        <v/>
      </c>
      <c r="DI50" s="811" t="str">
        <f t="shared" si="56"/>
        <v/>
      </c>
      <c r="DJ50" s="811" t="str">
        <f t="shared" si="56"/>
        <v/>
      </c>
      <c r="DK50" s="811" t="str">
        <f t="shared" si="56"/>
        <v/>
      </c>
    </row>
    <row r="51" spans="2:115" ht="20.100000000000001" customHeight="1" x14ac:dyDescent="0.2">
      <c r="B51" s="815" t="s">
        <v>219</v>
      </c>
      <c r="C51" s="816">
        <v>1</v>
      </c>
      <c r="D51" s="814">
        <v>570</v>
      </c>
      <c r="E51" s="776">
        <v>41791</v>
      </c>
      <c r="F51" s="817">
        <v>25</v>
      </c>
      <c r="G51" s="776">
        <v>47635</v>
      </c>
      <c r="H51" s="817">
        <v>0</v>
      </c>
      <c r="I51" s="806"/>
      <c r="J51" s="795">
        <f t="shared" si="13"/>
        <v>41974</v>
      </c>
      <c r="K51" s="795">
        <f t="shared" si="14"/>
        <v>47818</v>
      </c>
      <c r="L51" s="810">
        <f t="shared" si="26"/>
        <v>12.424657534246576</v>
      </c>
      <c r="M51" s="809" t="str">
        <f t="shared" si="15"/>
        <v>Diamantina Power Station (100%)</v>
      </c>
      <c r="N51" s="811" t="str">
        <f t="shared" si="47"/>
        <v/>
      </c>
      <c r="O51" s="811" t="str">
        <f t="shared" si="47"/>
        <v/>
      </c>
      <c r="P51" s="811" t="str">
        <f t="shared" si="47"/>
        <v/>
      </c>
      <c r="Q51" s="811" t="str">
        <f t="shared" si="47"/>
        <v/>
      </c>
      <c r="R51" s="811" t="str">
        <f t="shared" si="47"/>
        <v/>
      </c>
      <c r="S51" s="811" t="str">
        <f t="shared" si="47"/>
        <v/>
      </c>
      <c r="T51" s="811" t="str">
        <f t="shared" si="47"/>
        <v/>
      </c>
      <c r="U51" s="811" t="str">
        <f t="shared" si="47"/>
        <v/>
      </c>
      <c r="V51" s="811" t="str">
        <f t="shared" si="47"/>
        <v/>
      </c>
      <c r="W51" s="811" t="str">
        <f t="shared" si="47"/>
        <v/>
      </c>
      <c r="X51" s="811" t="str">
        <f t="shared" si="48"/>
        <v/>
      </c>
      <c r="Y51" s="811" t="str">
        <f t="shared" si="48"/>
        <v/>
      </c>
      <c r="Z51" s="811" t="str">
        <f t="shared" si="48"/>
        <v/>
      </c>
      <c r="AA51" s="811" t="str">
        <f t="shared" si="48"/>
        <v/>
      </c>
      <c r="AB51" s="811" t="str">
        <f t="shared" si="48"/>
        <v/>
      </c>
      <c r="AC51" s="811" t="str">
        <f t="shared" si="48"/>
        <v/>
      </c>
      <c r="AD51" s="811" t="str">
        <f t="shared" si="48"/>
        <v/>
      </c>
      <c r="AE51" s="811" t="str">
        <f t="shared" si="48"/>
        <v/>
      </c>
      <c r="AF51" s="811" t="str">
        <f t="shared" si="48"/>
        <v/>
      </c>
      <c r="AG51" s="811" t="str">
        <f t="shared" si="48"/>
        <v/>
      </c>
      <c r="AH51" s="811" t="str">
        <f t="shared" si="49"/>
        <v/>
      </c>
      <c r="AI51" s="811" t="str">
        <f t="shared" si="49"/>
        <v/>
      </c>
      <c r="AJ51" s="811" t="str">
        <f t="shared" si="49"/>
        <v/>
      </c>
      <c r="AK51" s="811" t="str">
        <f t="shared" si="49"/>
        <v/>
      </c>
      <c r="AL51" s="811" t="str">
        <f t="shared" si="49"/>
        <v/>
      </c>
      <c r="AM51" s="811" t="str">
        <f t="shared" si="49"/>
        <v/>
      </c>
      <c r="AN51" s="811" t="str">
        <f t="shared" si="49"/>
        <v/>
      </c>
      <c r="AO51" s="811" t="str">
        <f t="shared" si="49"/>
        <v/>
      </c>
      <c r="AP51" s="811" t="str">
        <f t="shared" si="49"/>
        <v/>
      </c>
      <c r="AQ51" s="811" t="str">
        <f t="shared" si="49"/>
        <v/>
      </c>
      <c r="AR51" s="811" t="str">
        <f t="shared" si="50"/>
        <v/>
      </c>
      <c r="AS51" s="811" t="str">
        <f t="shared" si="50"/>
        <v/>
      </c>
      <c r="AT51" s="811" t="str">
        <f t="shared" si="50"/>
        <v/>
      </c>
      <c r="AU51" s="811" t="str">
        <f t="shared" si="50"/>
        <v/>
      </c>
      <c r="AV51" s="811" t="str">
        <f t="shared" si="50"/>
        <v/>
      </c>
      <c r="AW51" s="811" t="str">
        <f t="shared" si="50"/>
        <v/>
      </c>
      <c r="AX51" s="811" t="str">
        <f t="shared" si="50"/>
        <v/>
      </c>
      <c r="AY51" s="811" t="str">
        <f t="shared" si="50"/>
        <v/>
      </c>
      <c r="AZ51" s="811" t="str">
        <f t="shared" si="50"/>
        <v/>
      </c>
      <c r="BA51" s="811" t="str">
        <f t="shared" si="50"/>
        <v/>
      </c>
      <c r="BB51" s="811" t="str">
        <f t="shared" si="51"/>
        <v/>
      </c>
      <c r="BC51" s="811" t="str">
        <f t="shared" si="51"/>
        <v/>
      </c>
      <c r="BD51" s="811" t="str">
        <f t="shared" si="51"/>
        <v/>
      </c>
      <c r="BE51" s="811" t="str">
        <f t="shared" si="51"/>
        <v/>
      </c>
      <c r="BF51" s="811" t="str">
        <f t="shared" si="51"/>
        <v/>
      </c>
      <c r="BG51" s="811">
        <f t="shared" si="51"/>
        <v>570</v>
      </c>
      <c r="BH51" s="811">
        <f t="shared" si="51"/>
        <v>547.19999999999993</v>
      </c>
      <c r="BI51" s="811">
        <f t="shared" si="51"/>
        <v>524.33753424657539</v>
      </c>
      <c r="BJ51" s="811">
        <f t="shared" si="51"/>
        <v>501.53753424657532</v>
      </c>
      <c r="BK51" s="811">
        <f t="shared" si="51"/>
        <v>478.73753424657531</v>
      </c>
      <c r="BL51" s="811">
        <f t="shared" si="52"/>
        <v>455.93753424657535</v>
      </c>
      <c r="BM51" s="811">
        <f t="shared" si="52"/>
        <v>433.07506849315064</v>
      </c>
      <c r="BN51" s="811">
        <f t="shared" si="52"/>
        <v>410.27506849315068</v>
      </c>
      <c r="BO51" s="811">
        <f t="shared" si="52"/>
        <v>387.47506849315067</v>
      </c>
      <c r="BP51" s="811">
        <f t="shared" si="52"/>
        <v>364.67506849315072</v>
      </c>
      <c r="BQ51" s="811">
        <f t="shared" si="52"/>
        <v>341.812602739726</v>
      </c>
      <c r="BR51" s="811">
        <f t="shared" si="52"/>
        <v>319.01260273972605</v>
      </c>
      <c r="BS51" s="811">
        <f t="shared" si="52"/>
        <v>296.21260273972604</v>
      </c>
      <c r="BT51" s="811">
        <f t="shared" si="52"/>
        <v>273.41260273972603</v>
      </c>
      <c r="BU51" s="811">
        <f t="shared" si="52"/>
        <v>250.5501369863014</v>
      </c>
      <c r="BV51" s="811">
        <f t="shared" si="53"/>
        <v>227.75013698630136</v>
      </c>
      <c r="BW51" s="811">
        <f t="shared" si="53"/>
        <v>204.95013698630135</v>
      </c>
      <c r="BX51" s="811">
        <f t="shared" si="53"/>
        <v>182.15013698630139</v>
      </c>
      <c r="BY51" s="811">
        <f t="shared" si="53"/>
        <v>159.2876712328767</v>
      </c>
      <c r="BZ51" s="811">
        <f t="shared" si="53"/>
        <v>136.48767123287672</v>
      </c>
      <c r="CA51" s="811">
        <f t="shared" si="53"/>
        <v>113.68767123287671</v>
      </c>
      <c r="CB51" s="811">
        <f t="shared" si="53"/>
        <v>90.887671232876698</v>
      </c>
      <c r="CC51" s="811">
        <f t="shared" si="53"/>
        <v>68.025205479452055</v>
      </c>
      <c r="CD51" s="811">
        <f t="shared" si="53"/>
        <v>45.225205479452036</v>
      </c>
      <c r="CE51" s="811">
        <f t="shared" si="53"/>
        <v>22.425205479452082</v>
      </c>
      <c r="CF51" s="811" t="str">
        <f t="shared" si="54"/>
        <v/>
      </c>
      <c r="CG51" s="811" t="str">
        <f t="shared" si="54"/>
        <v/>
      </c>
      <c r="CH51" s="811" t="str">
        <f t="shared" si="54"/>
        <v/>
      </c>
      <c r="CI51" s="811" t="str">
        <f t="shared" si="54"/>
        <v/>
      </c>
      <c r="CJ51" s="811" t="str">
        <f t="shared" si="54"/>
        <v/>
      </c>
      <c r="CK51" s="811" t="str">
        <f t="shared" si="54"/>
        <v/>
      </c>
      <c r="CL51" s="811" t="str">
        <f t="shared" si="54"/>
        <v/>
      </c>
      <c r="CM51" s="811" t="str">
        <f t="shared" si="54"/>
        <v/>
      </c>
      <c r="CN51" s="811" t="str">
        <f t="shared" si="54"/>
        <v/>
      </c>
      <c r="CO51" s="811" t="str">
        <f t="shared" si="54"/>
        <v/>
      </c>
      <c r="CP51" s="811" t="str">
        <f t="shared" si="55"/>
        <v/>
      </c>
      <c r="CQ51" s="811" t="str">
        <f t="shared" si="55"/>
        <v/>
      </c>
      <c r="CR51" s="811" t="str">
        <f t="shared" si="55"/>
        <v/>
      </c>
      <c r="CS51" s="811" t="str">
        <f t="shared" si="55"/>
        <v/>
      </c>
      <c r="CT51" s="811" t="str">
        <f t="shared" si="55"/>
        <v/>
      </c>
      <c r="CU51" s="811" t="str">
        <f t="shared" si="55"/>
        <v/>
      </c>
      <c r="CV51" s="811" t="str">
        <f t="shared" si="55"/>
        <v/>
      </c>
      <c r="CW51" s="811" t="str">
        <f t="shared" si="55"/>
        <v/>
      </c>
      <c r="CX51" s="811" t="str">
        <f t="shared" si="55"/>
        <v/>
      </c>
      <c r="CY51" s="811" t="str">
        <f t="shared" si="55"/>
        <v/>
      </c>
      <c r="CZ51" s="811" t="str">
        <f t="shared" si="56"/>
        <v/>
      </c>
      <c r="DA51" s="811" t="str">
        <f t="shared" si="56"/>
        <v/>
      </c>
      <c r="DB51" s="811" t="str">
        <f t="shared" si="56"/>
        <v/>
      </c>
      <c r="DC51" s="811" t="str">
        <f t="shared" si="56"/>
        <v/>
      </c>
      <c r="DD51" s="811" t="str">
        <f t="shared" si="56"/>
        <v/>
      </c>
      <c r="DE51" s="811" t="str">
        <f t="shared" si="56"/>
        <v/>
      </c>
      <c r="DF51" s="811" t="str">
        <f t="shared" si="56"/>
        <v/>
      </c>
      <c r="DG51" s="811" t="str">
        <f t="shared" si="56"/>
        <v/>
      </c>
      <c r="DH51" s="811" t="str">
        <f t="shared" si="56"/>
        <v/>
      </c>
      <c r="DI51" s="811" t="str">
        <f t="shared" si="56"/>
        <v/>
      </c>
      <c r="DJ51" s="811" t="str">
        <f t="shared" si="56"/>
        <v/>
      </c>
      <c r="DK51" s="811" t="str">
        <f t="shared" si="56"/>
        <v/>
      </c>
    </row>
    <row r="52" spans="2:115" ht="20.100000000000001" customHeight="1" x14ac:dyDescent="0.2">
      <c r="B52" s="815" t="s">
        <v>731</v>
      </c>
      <c r="C52" s="816">
        <v>1</v>
      </c>
      <c r="D52" s="814">
        <v>50</v>
      </c>
      <c r="E52" s="776">
        <v>43101</v>
      </c>
      <c r="F52" s="817">
        <v>25</v>
      </c>
      <c r="G52" s="776">
        <v>47481</v>
      </c>
      <c r="H52" s="817">
        <v>0</v>
      </c>
      <c r="I52" s="806"/>
      <c r="J52" s="795">
        <f t="shared" si="13"/>
        <v>43435</v>
      </c>
      <c r="K52" s="795">
        <f t="shared" si="14"/>
        <v>47453</v>
      </c>
      <c r="L52" s="810">
        <f t="shared" si="26"/>
        <v>12.002739726027396</v>
      </c>
      <c r="M52" s="809" t="str">
        <f t="shared" si="15"/>
        <v>Emu Downs Solar Farm (100%)</v>
      </c>
      <c r="N52" s="811" t="str">
        <f t="shared" si="47"/>
        <v/>
      </c>
      <c r="O52" s="811" t="str">
        <f t="shared" si="47"/>
        <v/>
      </c>
      <c r="P52" s="811" t="str">
        <f t="shared" si="47"/>
        <v/>
      </c>
      <c r="Q52" s="811" t="str">
        <f t="shared" si="47"/>
        <v/>
      </c>
      <c r="R52" s="811" t="str">
        <f t="shared" si="47"/>
        <v/>
      </c>
      <c r="S52" s="811" t="str">
        <f t="shared" si="47"/>
        <v/>
      </c>
      <c r="T52" s="811" t="str">
        <f t="shared" si="47"/>
        <v/>
      </c>
      <c r="U52" s="811" t="str">
        <f t="shared" si="47"/>
        <v/>
      </c>
      <c r="V52" s="811" t="str">
        <f t="shared" si="47"/>
        <v/>
      </c>
      <c r="W52" s="811" t="str">
        <f t="shared" si="47"/>
        <v/>
      </c>
      <c r="X52" s="811" t="str">
        <f t="shared" si="48"/>
        <v/>
      </c>
      <c r="Y52" s="811" t="str">
        <f t="shared" si="48"/>
        <v/>
      </c>
      <c r="Z52" s="811" t="str">
        <f t="shared" si="48"/>
        <v/>
      </c>
      <c r="AA52" s="811" t="str">
        <f t="shared" si="48"/>
        <v/>
      </c>
      <c r="AB52" s="811" t="str">
        <f t="shared" si="48"/>
        <v/>
      </c>
      <c r="AC52" s="811" t="str">
        <f t="shared" si="48"/>
        <v/>
      </c>
      <c r="AD52" s="811" t="str">
        <f t="shared" si="48"/>
        <v/>
      </c>
      <c r="AE52" s="811" t="str">
        <f t="shared" si="48"/>
        <v/>
      </c>
      <c r="AF52" s="811" t="str">
        <f t="shared" si="48"/>
        <v/>
      </c>
      <c r="AG52" s="811" t="str">
        <f t="shared" si="48"/>
        <v/>
      </c>
      <c r="AH52" s="811" t="str">
        <f t="shared" si="49"/>
        <v/>
      </c>
      <c r="AI52" s="811" t="str">
        <f t="shared" si="49"/>
        <v/>
      </c>
      <c r="AJ52" s="811" t="str">
        <f t="shared" si="49"/>
        <v/>
      </c>
      <c r="AK52" s="811" t="str">
        <f t="shared" si="49"/>
        <v/>
      </c>
      <c r="AL52" s="811" t="str">
        <f t="shared" si="49"/>
        <v/>
      </c>
      <c r="AM52" s="811" t="str">
        <f t="shared" si="49"/>
        <v/>
      </c>
      <c r="AN52" s="811" t="str">
        <f t="shared" si="49"/>
        <v/>
      </c>
      <c r="AO52" s="811" t="str">
        <f t="shared" si="49"/>
        <v/>
      </c>
      <c r="AP52" s="811" t="str">
        <f t="shared" si="49"/>
        <v/>
      </c>
      <c r="AQ52" s="811" t="str">
        <f t="shared" si="49"/>
        <v/>
      </c>
      <c r="AR52" s="811" t="str">
        <f t="shared" si="50"/>
        <v/>
      </c>
      <c r="AS52" s="811" t="str">
        <f t="shared" si="50"/>
        <v/>
      </c>
      <c r="AT52" s="811" t="str">
        <f t="shared" si="50"/>
        <v/>
      </c>
      <c r="AU52" s="811" t="str">
        <f t="shared" si="50"/>
        <v/>
      </c>
      <c r="AV52" s="811" t="str">
        <f t="shared" si="50"/>
        <v/>
      </c>
      <c r="AW52" s="811" t="str">
        <f t="shared" si="50"/>
        <v/>
      </c>
      <c r="AX52" s="811" t="str">
        <f t="shared" si="50"/>
        <v/>
      </c>
      <c r="AY52" s="811" t="str">
        <f t="shared" si="50"/>
        <v/>
      </c>
      <c r="AZ52" s="811" t="str">
        <f t="shared" si="50"/>
        <v/>
      </c>
      <c r="BA52" s="811" t="str">
        <f t="shared" si="50"/>
        <v/>
      </c>
      <c r="BB52" s="811" t="str">
        <f t="shared" si="51"/>
        <v/>
      </c>
      <c r="BC52" s="811" t="str">
        <f t="shared" si="51"/>
        <v/>
      </c>
      <c r="BD52" s="811" t="str">
        <f t="shared" si="51"/>
        <v/>
      </c>
      <c r="BE52" s="811" t="str">
        <f t="shared" si="51"/>
        <v/>
      </c>
      <c r="BF52" s="811" t="str">
        <f t="shared" si="51"/>
        <v/>
      </c>
      <c r="BG52" s="811" t="str">
        <f t="shared" si="51"/>
        <v/>
      </c>
      <c r="BH52" s="811" t="str">
        <f t="shared" si="51"/>
        <v/>
      </c>
      <c r="BI52" s="811" t="str">
        <f t="shared" si="51"/>
        <v/>
      </c>
      <c r="BJ52" s="811" t="str">
        <f t="shared" si="51"/>
        <v/>
      </c>
      <c r="BK52" s="811">
        <f t="shared" si="51"/>
        <v>50</v>
      </c>
      <c r="BL52" s="811">
        <f t="shared" si="52"/>
        <v>48</v>
      </c>
      <c r="BM52" s="811">
        <f t="shared" si="52"/>
        <v>45.994520547945207</v>
      </c>
      <c r="BN52" s="811">
        <f t="shared" si="52"/>
        <v>43.994520547945207</v>
      </c>
      <c r="BO52" s="811">
        <f t="shared" si="52"/>
        <v>41.9945205479452</v>
      </c>
      <c r="BP52" s="811">
        <f t="shared" si="52"/>
        <v>39.994520547945207</v>
      </c>
      <c r="BQ52" s="811">
        <f t="shared" si="52"/>
        <v>37.989041095890407</v>
      </c>
      <c r="BR52" s="811">
        <f t="shared" si="52"/>
        <v>35.989041095890414</v>
      </c>
      <c r="BS52" s="811">
        <f t="shared" si="52"/>
        <v>33.989041095890407</v>
      </c>
      <c r="BT52" s="811">
        <f t="shared" si="52"/>
        <v>31.989041095890414</v>
      </c>
      <c r="BU52" s="811">
        <f t="shared" si="52"/>
        <v>29.983561643835614</v>
      </c>
      <c r="BV52" s="811">
        <f t="shared" si="53"/>
        <v>27.983561643835621</v>
      </c>
      <c r="BW52" s="811">
        <f t="shared" si="53"/>
        <v>25.983561643835618</v>
      </c>
      <c r="BX52" s="811">
        <f t="shared" si="53"/>
        <v>23.983561643835614</v>
      </c>
      <c r="BY52" s="811">
        <f t="shared" si="53"/>
        <v>21.978082191780825</v>
      </c>
      <c r="BZ52" s="811">
        <f t="shared" si="53"/>
        <v>19.978082191780821</v>
      </c>
      <c r="CA52" s="811">
        <f t="shared" si="53"/>
        <v>17.978082191780821</v>
      </c>
      <c r="CB52" s="811">
        <f t="shared" si="53"/>
        <v>15.978082191780823</v>
      </c>
      <c r="CC52" s="811">
        <f t="shared" si="53"/>
        <v>13.972602739726025</v>
      </c>
      <c r="CD52" s="811">
        <f t="shared" si="53"/>
        <v>11.97260273972603</v>
      </c>
      <c r="CE52" s="811">
        <f t="shared" si="53"/>
        <v>9.9726027397260282</v>
      </c>
      <c r="CF52" s="811">
        <f t="shared" si="54"/>
        <v>7.9726027397260255</v>
      </c>
      <c r="CG52" s="811">
        <f t="shared" si="54"/>
        <v>5.9671232876712335</v>
      </c>
      <c r="CH52" s="811">
        <f t="shared" si="54"/>
        <v>3.9671232876712317</v>
      </c>
      <c r="CI52" s="811">
        <f t="shared" si="54"/>
        <v>1.9671232876712352</v>
      </c>
      <c r="CJ52" s="811" t="str">
        <f t="shared" si="54"/>
        <v/>
      </c>
      <c r="CK52" s="811" t="str">
        <f t="shared" si="54"/>
        <v/>
      </c>
      <c r="CL52" s="811" t="str">
        <f t="shared" si="54"/>
        <v/>
      </c>
      <c r="CM52" s="811" t="str">
        <f t="shared" si="54"/>
        <v/>
      </c>
      <c r="CN52" s="811" t="str">
        <f t="shared" si="54"/>
        <v/>
      </c>
      <c r="CO52" s="811" t="str">
        <f t="shared" si="54"/>
        <v/>
      </c>
      <c r="CP52" s="811" t="str">
        <f t="shared" si="55"/>
        <v/>
      </c>
      <c r="CQ52" s="811" t="str">
        <f t="shared" si="55"/>
        <v/>
      </c>
      <c r="CR52" s="811" t="str">
        <f t="shared" si="55"/>
        <v/>
      </c>
      <c r="CS52" s="811" t="str">
        <f t="shared" si="55"/>
        <v/>
      </c>
      <c r="CT52" s="811" t="str">
        <f t="shared" si="55"/>
        <v/>
      </c>
      <c r="CU52" s="811" t="str">
        <f t="shared" si="55"/>
        <v/>
      </c>
      <c r="CV52" s="811" t="str">
        <f t="shared" si="55"/>
        <v/>
      </c>
      <c r="CW52" s="811" t="str">
        <f t="shared" si="55"/>
        <v/>
      </c>
      <c r="CX52" s="811" t="str">
        <f t="shared" si="55"/>
        <v/>
      </c>
      <c r="CY52" s="811" t="str">
        <f t="shared" si="55"/>
        <v/>
      </c>
      <c r="CZ52" s="811" t="str">
        <f t="shared" si="56"/>
        <v/>
      </c>
      <c r="DA52" s="811" t="str">
        <f t="shared" si="56"/>
        <v/>
      </c>
      <c r="DB52" s="811" t="str">
        <f t="shared" si="56"/>
        <v/>
      </c>
      <c r="DC52" s="811" t="str">
        <f t="shared" si="56"/>
        <v/>
      </c>
      <c r="DD52" s="811" t="str">
        <f t="shared" si="56"/>
        <v/>
      </c>
      <c r="DE52" s="811" t="str">
        <f t="shared" si="56"/>
        <v/>
      </c>
      <c r="DF52" s="811" t="str">
        <f t="shared" si="56"/>
        <v/>
      </c>
      <c r="DG52" s="811" t="str">
        <f t="shared" si="56"/>
        <v/>
      </c>
      <c r="DH52" s="811" t="str">
        <f t="shared" si="56"/>
        <v/>
      </c>
      <c r="DI52" s="811" t="str">
        <f t="shared" si="56"/>
        <v/>
      </c>
      <c r="DJ52" s="811" t="str">
        <f t="shared" si="56"/>
        <v/>
      </c>
      <c r="DK52" s="811" t="str">
        <f t="shared" si="56"/>
        <v/>
      </c>
    </row>
    <row r="53" spans="2:115" ht="20.100000000000001" customHeight="1" x14ac:dyDescent="0.2">
      <c r="B53" s="815" t="s">
        <v>732</v>
      </c>
      <c r="C53" s="816">
        <v>1</v>
      </c>
      <c r="D53" s="814">
        <v>180</v>
      </c>
      <c r="E53" s="776">
        <v>38657</v>
      </c>
      <c r="F53" s="817">
        <v>25</v>
      </c>
      <c r="G53" s="776">
        <v>45957</v>
      </c>
      <c r="H53" s="817">
        <v>0</v>
      </c>
      <c r="I53" s="806"/>
      <c r="J53" s="795">
        <f t="shared" si="13"/>
        <v>38687</v>
      </c>
      <c r="K53" s="795">
        <f t="shared" si="14"/>
        <v>45992</v>
      </c>
      <c r="L53" s="810">
        <f t="shared" si="26"/>
        <v>7.8273972602739725</v>
      </c>
      <c r="M53" s="809" t="str">
        <f t="shared" si="15"/>
        <v>Emu Downs Wind Farm (100%)</v>
      </c>
      <c r="N53" s="811" t="str">
        <f t="shared" si="47"/>
        <v/>
      </c>
      <c r="O53" s="811" t="str">
        <f t="shared" si="47"/>
        <v/>
      </c>
      <c r="P53" s="811" t="str">
        <f t="shared" si="47"/>
        <v/>
      </c>
      <c r="Q53" s="811" t="str">
        <f t="shared" si="47"/>
        <v/>
      </c>
      <c r="R53" s="811" t="str">
        <f t="shared" si="47"/>
        <v/>
      </c>
      <c r="S53" s="811" t="str">
        <f t="shared" si="47"/>
        <v/>
      </c>
      <c r="T53" s="811" t="str">
        <f t="shared" si="47"/>
        <v/>
      </c>
      <c r="U53" s="811" t="str">
        <f t="shared" si="47"/>
        <v/>
      </c>
      <c r="V53" s="811" t="str">
        <f t="shared" si="47"/>
        <v/>
      </c>
      <c r="W53" s="811" t="str">
        <f t="shared" si="47"/>
        <v/>
      </c>
      <c r="X53" s="811" t="str">
        <f t="shared" si="48"/>
        <v/>
      </c>
      <c r="Y53" s="811" t="str">
        <f t="shared" si="48"/>
        <v/>
      </c>
      <c r="Z53" s="811" t="str">
        <f t="shared" si="48"/>
        <v/>
      </c>
      <c r="AA53" s="811" t="str">
        <f t="shared" si="48"/>
        <v/>
      </c>
      <c r="AB53" s="811" t="str">
        <f t="shared" si="48"/>
        <v/>
      </c>
      <c r="AC53" s="811" t="str">
        <f t="shared" si="48"/>
        <v/>
      </c>
      <c r="AD53" s="811" t="str">
        <f t="shared" si="48"/>
        <v/>
      </c>
      <c r="AE53" s="811" t="str">
        <f t="shared" si="48"/>
        <v/>
      </c>
      <c r="AF53" s="811" t="str">
        <f t="shared" si="48"/>
        <v/>
      </c>
      <c r="AG53" s="811" t="str">
        <f t="shared" si="48"/>
        <v/>
      </c>
      <c r="AH53" s="811" t="str">
        <f t="shared" si="49"/>
        <v/>
      </c>
      <c r="AI53" s="811" t="str">
        <f t="shared" si="49"/>
        <v/>
      </c>
      <c r="AJ53" s="811" t="str">
        <f t="shared" si="49"/>
        <v/>
      </c>
      <c r="AK53" s="811" t="str">
        <f t="shared" si="49"/>
        <v/>
      </c>
      <c r="AL53" s="811" t="str">
        <f t="shared" si="49"/>
        <v/>
      </c>
      <c r="AM53" s="811" t="str">
        <f t="shared" si="49"/>
        <v/>
      </c>
      <c r="AN53" s="811" t="str">
        <f t="shared" si="49"/>
        <v/>
      </c>
      <c r="AO53" s="811" t="str">
        <f t="shared" si="49"/>
        <v/>
      </c>
      <c r="AP53" s="811" t="str">
        <f t="shared" si="49"/>
        <v/>
      </c>
      <c r="AQ53" s="811" t="str">
        <f t="shared" si="49"/>
        <v/>
      </c>
      <c r="AR53" s="811" t="str">
        <f t="shared" si="50"/>
        <v/>
      </c>
      <c r="AS53" s="811" t="str">
        <f t="shared" si="50"/>
        <v/>
      </c>
      <c r="AT53" s="811" t="str">
        <f t="shared" si="50"/>
        <v/>
      </c>
      <c r="AU53" s="811" t="str">
        <f t="shared" si="50"/>
        <v/>
      </c>
      <c r="AV53" s="811" t="str">
        <f t="shared" si="50"/>
        <v/>
      </c>
      <c r="AW53" s="811" t="str">
        <f t="shared" si="50"/>
        <v/>
      </c>
      <c r="AX53" s="811">
        <f t="shared" si="50"/>
        <v>180</v>
      </c>
      <c r="AY53" s="811">
        <f t="shared" si="50"/>
        <v>172.79999999999998</v>
      </c>
      <c r="AZ53" s="811">
        <f t="shared" si="50"/>
        <v>165.6</v>
      </c>
      <c r="BA53" s="811">
        <f t="shared" si="50"/>
        <v>158.38027397260274</v>
      </c>
      <c r="BB53" s="811">
        <f t="shared" si="51"/>
        <v>151.18027397260272</v>
      </c>
      <c r="BC53" s="811">
        <f t="shared" si="51"/>
        <v>143.98027397260273</v>
      </c>
      <c r="BD53" s="811">
        <f t="shared" si="51"/>
        <v>136.78027397260274</v>
      </c>
      <c r="BE53" s="811">
        <f t="shared" si="51"/>
        <v>129.56054794520549</v>
      </c>
      <c r="BF53" s="811">
        <f t="shared" si="51"/>
        <v>122.36054794520548</v>
      </c>
      <c r="BG53" s="811">
        <f t="shared" si="51"/>
        <v>115.16054794520549</v>
      </c>
      <c r="BH53" s="811">
        <f t="shared" si="51"/>
        <v>107.96054794520548</v>
      </c>
      <c r="BI53" s="811">
        <f t="shared" si="51"/>
        <v>100.74082191780823</v>
      </c>
      <c r="BJ53" s="811">
        <f t="shared" si="51"/>
        <v>93.540821917808216</v>
      </c>
      <c r="BK53" s="811">
        <f t="shared" si="51"/>
        <v>86.340821917808213</v>
      </c>
      <c r="BL53" s="811">
        <f t="shared" si="52"/>
        <v>79.140821917808211</v>
      </c>
      <c r="BM53" s="811">
        <f t="shared" si="52"/>
        <v>71.921095890410953</v>
      </c>
      <c r="BN53" s="811">
        <f t="shared" si="52"/>
        <v>64.72109589041095</v>
      </c>
      <c r="BO53" s="811">
        <f t="shared" si="52"/>
        <v>57.521095890410962</v>
      </c>
      <c r="BP53" s="811">
        <f t="shared" si="52"/>
        <v>50.321095890410959</v>
      </c>
      <c r="BQ53" s="811">
        <f t="shared" si="52"/>
        <v>43.101369863013709</v>
      </c>
      <c r="BR53" s="811">
        <f t="shared" si="52"/>
        <v>35.901369863013699</v>
      </c>
      <c r="BS53" s="811">
        <f t="shared" si="52"/>
        <v>28.701369863013692</v>
      </c>
      <c r="BT53" s="811">
        <f t="shared" si="52"/>
        <v>21.501369863013707</v>
      </c>
      <c r="BU53" s="811">
        <f t="shared" si="52"/>
        <v>14.281643835616434</v>
      </c>
      <c r="BV53" s="811">
        <f t="shared" si="53"/>
        <v>7.0816438356164468</v>
      </c>
      <c r="BW53" s="811" t="str">
        <f t="shared" si="53"/>
        <v/>
      </c>
      <c r="BX53" s="811" t="str">
        <f t="shared" si="53"/>
        <v/>
      </c>
      <c r="BY53" s="811" t="str">
        <f t="shared" si="53"/>
        <v/>
      </c>
      <c r="BZ53" s="811" t="str">
        <f t="shared" si="53"/>
        <v/>
      </c>
      <c r="CA53" s="811" t="str">
        <f t="shared" si="53"/>
        <v/>
      </c>
      <c r="CB53" s="811" t="str">
        <f t="shared" si="53"/>
        <v/>
      </c>
      <c r="CC53" s="811" t="str">
        <f t="shared" si="53"/>
        <v/>
      </c>
      <c r="CD53" s="811" t="str">
        <f t="shared" si="53"/>
        <v/>
      </c>
      <c r="CE53" s="811" t="str">
        <f t="shared" si="53"/>
        <v/>
      </c>
      <c r="CF53" s="811" t="str">
        <f t="shared" si="54"/>
        <v/>
      </c>
      <c r="CG53" s="811" t="str">
        <f t="shared" si="54"/>
        <v/>
      </c>
      <c r="CH53" s="811" t="str">
        <f t="shared" si="54"/>
        <v/>
      </c>
      <c r="CI53" s="811" t="str">
        <f t="shared" si="54"/>
        <v/>
      </c>
      <c r="CJ53" s="811" t="str">
        <f t="shared" si="54"/>
        <v/>
      </c>
      <c r="CK53" s="811" t="str">
        <f t="shared" si="54"/>
        <v/>
      </c>
      <c r="CL53" s="811" t="str">
        <f t="shared" si="54"/>
        <v/>
      </c>
      <c r="CM53" s="811" t="str">
        <f t="shared" si="54"/>
        <v/>
      </c>
      <c r="CN53" s="811" t="str">
        <f t="shared" si="54"/>
        <v/>
      </c>
      <c r="CO53" s="811" t="str">
        <f t="shared" si="54"/>
        <v/>
      </c>
      <c r="CP53" s="811" t="str">
        <f t="shared" si="55"/>
        <v/>
      </c>
      <c r="CQ53" s="811" t="str">
        <f t="shared" si="55"/>
        <v/>
      </c>
      <c r="CR53" s="811" t="str">
        <f t="shared" si="55"/>
        <v/>
      </c>
      <c r="CS53" s="811" t="str">
        <f t="shared" si="55"/>
        <v/>
      </c>
      <c r="CT53" s="811" t="str">
        <f t="shared" si="55"/>
        <v/>
      </c>
      <c r="CU53" s="811" t="str">
        <f t="shared" si="55"/>
        <v/>
      </c>
      <c r="CV53" s="811" t="str">
        <f t="shared" si="55"/>
        <v/>
      </c>
      <c r="CW53" s="811" t="str">
        <f t="shared" si="55"/>
        <v/>
      </c>
      <c r="CX53" s="811" t="str">
        <f t="shared" si="55"/>
        <v/>
      </c>
      <c r="CY53" s="811" t="str">
        <f t="shared" si="55"/>
        <v/>
      </c>
      <c r="CZ53" s="811" t="str">
        <f t="shared" si="56"/>
        <v/>
      </c>
      <c r="DA53" s="811" t="str">
        <f t="shared" si="56"/>
        <v/>
      </c>
      <c r="DB53" s="811" t="str">
        <f t="shared" si="56"/>
        <v/>
      </c>
      <c r="DC53" s="811" t="str">
        <f t="shared" si="56"/>
        <v/>
      </c>
      <c r="DD53" s="811" t="str">
        <f t="shared" si="56"/>
        <v/>
      </c>
      <c r="DE53" s="811" t="str">
        <f t="shared" si="56"/>
        <v/>
      </c>
      <c r="DF53" s="811" t="str">
        <f t="shared" si="56"/>
        <v/>
      </c>
      <c r="DG53" s="811" t="str">
        <f t="shared" si="56"/>
        <v/>
      </c>
      <c r="DH53" s="811" t="str">
        <f t="shared" si="56"/>
        <v/>
      </c>
      <c r="DI53" s="811" t="str">
        <f t="shared" si="56"/>
        <v/>
      </c>
      <c r="DJ53" s="811" t="str">
        <f t="shared" si="56"/>
        <v/>
      </c>
      <c r="DK53" s="811" t="str">
        <f t="shared" si="56"/>
        <v/>
      </c>
    </row>
    <row r="54" spans="2:115" ht="20.100000000000001" customHeight="1" x14ac:dyDescent="0.2">
      <c r="B54" s="815" t="s">
        <v>809</v>
      </c>
      <c r="C54" s="816">
        <v>1</v>
      </c>
      <c r="D54" s="814">
        <v>130</v>
      </c>
      <c r="E54" s="776">
        <v>41791</v>
      </c>
      <c r="F54" s="817">
        <v>25</v>
      </c>
      <c r="G54" s="776">
        <v>47635</v>
      </c>
      <c r="H54" s="817">
        <v>0</v>
      </c>
      <c r="I54" s="806"/>
      <c r="J54" s="795">
        <f t="shared" si="13"/>
        <v>41974</v>
      </c>
      <c r="K54" s="795">
        <f t="shared" si="14"/>
        <v>47818</v>
      </c>
      <c r="L54" s="810">
        <f t="shared" si="26"/>
        <v>12.424657534246576</v>
      </c>
      <c r="M54" s="809" t="str">
        <f t="shared" si="15"/>
        <v>Leichardt Power Station (100%)</v>
      </c>
      <c r="N54" s="811" t="str">
        <f t="shared" si="47"/>
        <v/>
      </c>
      <c r="O54" s="811" t="str">
        <f t="shared" si="47"/>
        <v/>
      </c>
      <c r="P54" s="811" t="str">
        <f t="shared" si="47"/>
        <v/>
      </c>
      <c r="Q54" s="811" t="str">
        <f t="shared" si="47"/>
        <v/>
      </c>
      <c r="R54" s="811" t="str">
        <f t="shared" si="47"/>
        <v/>
      </c>
      <c r="S54" s="811" t="str">
        <f t="shared" si="47"/>
        <v/>
      </c>
      <c r="T54" s="811" t="str">
        <f t="shared" si="47"/>
        <v/>
      </c>
      <c r="U54" s="811" t="str">
        <f t="shared" si="47"/>
        <v/>
      </c>
      <c r="V54" s="811" t="str">
        <f t="shared" si="47"/>
        <v/>
      </c>
      <c r="W54" s="811" t="str">
        <f t="shared" si="47"/>
        <v/>
      </c>
      <c r="X54" s="811" t="str">
        <f t="shared" si="48"/>
        <v/>
      </c>
      <c r="Y54" s="811" t="str">
        <f t="shared" si="48"/>
        <v/>
      </c>
      <c r="Z54" s="811" t="str">
        <f t="shared" si="48"/>
        <v/>
      </c>
      <c r="AA54" s="811" t="str">
        <f t="shared" si="48"/>
        <v/>
      </c>
      <c r="AB54" s="811" t="str">
        <f t="shared" si="48"/>
        <v/>
      </c>
      <c r="AC54" s="811" t="str">
        <f t="shared" si="48"/>
        <v/>
      </c>
      <c r="AD54" s="811" t="str">
        <f t="shared" si="48"/>
        <v/>
      </c>
      <c r="AE54" s="811" t="str">
        <f t="shared" si="48"/>
        <v/>
      </c>
      <c r="AF54" s="811" t="str">
        <f t="shared" si="48"/>
        <v/>
      </c>
      <c r="AG54" s="811" t="str">
        <f t="shared" si="48"/>
        <v/>
      </c>
      <c r="AH54" s="811" t="str">
        <f t="shared" si="49"/>
        <v/>
      </c>
      <c r="AI54" s="811" t="str">
        <f t="shared" si="49"/>
        <v/>
      </c>
      <c r="AJ54" s="811" t="str">
        <f t="shared" si="49"/>
        <v/>
      </c>
      <c r="AK54" s="811" t="str">
        <f t="shared" si="49"/>
        <v/>
      </c>
      <c r="AL54" s="811" t="str">
        <f t="shared" si="49"/>
        <v/>
      </c>
      <c r="AM54" s="811" t="str">
        <f t="shared" si="49"/>
        <v/>
      </c>
      <c r="AN54" s="811" t="str">
        <f t="shared" si="49"/>
        <v/>
      </c>
      <c r="AO54" s="811" t="str">
        <f t="shared" si="49"/>
        <v/>
      </c>
      <c r="AP54" s="811" t="str">
        <f t="shared" si="49"/>
        <v/>
      </c>
      <c r="AQ54" s="811" t="str">
        <f t="shared" si="49"/>
        <v/>
      </c>
      <c r="AR54" s="811" t="str">
        <f t="shared" si="50"/>
        <v/>
      </c>
      <c r="AS54" s="811" t="str">
        <f t="shared" si="50"/>
        <v/>
      </c>
      <c r="AT54" s="811" t="str">
        <f t="shared" si="50"/>
        <v/>
      </c>
      <c r="AU54" s="811" t="str">
        <f t="shared" si="50"/>
        <v/>
      </c>
      <c r="AV54" s="811" t="str">
        <f t="shared" si="50"/>
        <v/>
      </c>
      <c r="AW54" s="811" t="str">
        <f t="shared" si="50"/>
        <v/>
      </c>
      <c r="AX54" s="811" t="str">
        <f t="shared" si="50"/>
        <v/>
      </c>
      <c r="AY54" s="811" t="str">
        <f t="shared" si="50"/>
        <v/>
      </c>
      <c r="AZ54" s="811" t="str">
        <f t="shared" si="50"/>
        <v/>
      </c>
      <c r="BA54" s="811" t="str">
        <f t="shared" si="50"/>
        <v/>
      </c>
      <c r="BB54" s="811" t="str">
        <f t="shared" si="51"/>
        <v/>
      </c>
      <c r="BC54" s="811" t="str">
        <f t="shared" si="51"/>
        <v/>
      </c>
      <c r="BD54" s="811" t="str">
        <f t="shared" si="51"/>
        <v/>
      </c>
      <c r="BE54" s="811" t="str">
        <f t="shared" si="51"/>
        <v/>
      </c>
      <c r="BF54" s="811" t="str">
        <f t="shared" si="51"/>
        <v/>
      </c>
      <c r="BG54" s="811">
        <f t="shared" si="51"/>
        <v>130</v>
      </c>
      <c r="BH54" s="811">
        <f t="shared" si="51"/>
        <v>124.8</v>
      </c>
      <c r="BI54" s="811">
        <f t="shared" si="51"/>
        <v>119.58575342465754</v>
      </c>
      <c r="BJ54" s="811">
        <f t="shared" si="51"/>
        <v>114.38575342465754</v>
      </c>
      <c r="BK54" s="811">
        <f t="shared" si="51"/>
        <v>109.18575342465752</v>
      </c>
      <c r="BL54" s="811">
        <f t="shared" si="52"/>
        <v>103.98575342465753</v>
      </c>
      <c r="BM54" s="811">
        <f t="shared" si="52"/>
        <v>98.77150684931506</v>
      </c>
      <c r="BN54" s="811">
        <f t="shared" si="52"/>
        <v>93.571506849315071</v>
      </c>
      <c r="BO54" s="811">
        <f t="shared" si="52"/>
        <v>88.371506849315068</v>
      </c>
      <c r="BP54" s="811">
        <f t="shared" si="52"/>
        <v>83.17150684931508</v>
      </c>
      <c r="BQ54" s="811">
        <f t="shared" si="52"/>
        <v>77.957260273972594</v>
      </c>
      <c r="BR54" s="811">
        <f t="shared" si="52"/>
        <v>72.757260273972605</v>
      </c>
      <c r="BS54" s="811">
        <f t="shared" si="52"/>
        <v>67.557260273972602</v>
      </c>
      <c r="BT54" s="811">
        <f t="shared" si="52"/>
        <v>62.357260273972599</v>
      </c>
      <c r="BU54" s="811">
        <f t="shared" si="52"/>
        <v>57.143013698630142</v>
      </c>
      <c r="BV54" s="811">
        <f t="shared" si="53"/>
        <v>51.943013698630139</v>
      </c>
      <c r="BW54" s="811">
        <f t="shared" si="53"/>
        <v>46.743013698630129</v>
      </c>
      <c r="BX54" s="811">
        <f t="shared" si="53"/>
        <v>41.543013698630141</v>
      </c>
      <c r="BY54" s="811">
        <f t="shared" si="53"/>
        <v>36.328767123287669</v>
      </c>
      <c r="BZ54" s="811">
        <f t="shared" si="53"/>
        <v>31.128767123287677</v>
      </c>
      <c r="CA54" s="811">
        <f t="shared" si="53"/>
        <v>25.92876712328767</v>
      </c>
      <c r="CB54" s="811">
        <f t="shared" si="53"/>
        <v>20.728767123287668</v>
      </c>
      <c r="CC54" s="811">
        <f t="shared" si="53"/>
        <v>15.514520547945207</v>
      </c>
      <c r="CD54" s="811">
        <f t="shared" si="53"/>
        <v>10.314520547945202</v>
      </c>
      <c r="CE54" s="811">
        <f t="shared" si="53"/>
        <v>5.1145205479452116</v>
      </c>
      <c r="CF54" s="811" t="str">
        <f t="shared" si="54"/>
        <v/>
      </c>
      <c r="CG54" s="811" t="str">
        <f t="shared" si="54"/>
        <v/>
      </c>
      <c r="CH54" s="811" t="str">
        <f t="shared" si="54"/>
        <v/>
      </c>
      <c r="CI54" s="811" t="str">
        <f t="shared" si="54"/>
        <v/>
      </c>
      <c r="CJ54" s="811" t="str">
        <f t="shared" si="54"/>
        <v/>
      </c>
      <c r="CK54" s="811" t="str">
        <f t="shared" si="54"/>
        <v/>
      </c>
      <c r="CL54" s="811" t="str">
        <f t="shared" si="54"/>
        <v/>
      </c>
      <c r="CM54" s="811" t="str">
        <f t="shared" si="54"/>
        <v/>
      </c>
      <c r="CN54" s="811" t="str">
        <f t="shared" si="54"/>
        <v/>
      </c>
      <c r="CO54" s="811" t="str">
        <f t="shared" si="54"/>
        <v/>
      </c>
      <c r="CP54" s="811" t="str">
        <f t="shared" si="55"/>
        <v/>
      </c>
      <c r="CQ54" s="811" t="str">
        <f t="shared" si="55"/>
        <v/>
      </c>
      <c r="CR54" s="811" t="str">
        <f t="shared" si="55"/>
        <v/>
      </c>
      <c r="CS54" s="811" t="str">
        <f t="shared" si="55"/>
        <v/>
      </c>
      <c r="CT54" s="811" t="str">
        <f t="shared" si="55"/>
        <v/>
      </c>
      <c r="CU54" s="811" t="str">
        <f t="shared" si="55"/>
        <v/>
      </c>
      <c r="CV54" s="811" t="str">
        <f t="shared" si="55"/>
        <v/>
      </c>
      <c r="CW54" s="811" t="str">
        <f t="shared" si="55"/>
        <v/>
      </c>
      <c r="CX54" s="811" t="str">
        <f t="shared" si="55"/>
        <v/>
      </c>
      <c r="CY54" s="811" t="str">
        <f t="shared" si="55"/>
        <v/>
      </c>
      <c r="CZ54" s="811" t="str">
        <f t="shared" si="56"/>
        <v/>
      </c>
      <c r="DA54" s="811" t="str">
        <f t="shared" si="56"/>
        <v/>
      </c>
      <c r="DB54" s="811" t="str">
        <f t="shared" si="56"/>
        <v/>
      </c>
      <c r="DC54" s="811" t="str">
        <f t="shared" si="56"/>
        <v/>
      </c>
      <c r="DD54" s="811" t="str">
        <f t="shared" si="56"/>
        <v/>
      </c>
      <c r="DE54" s="811" t="str">
        <f t="shared" si="56"/>
        <v/>
      </c>
      <c r="DF54" s="811" t="str">
        <f t="shared" si="56"/>
        <v/>
      </c>
      <c r="DG54" s="811" t="str">
        <f t="shared" si="56"/>
        <v/>
      </c>
      <c r="DH54" s="811" t="str">
        <f t="shared" si="56"/>
        <v/>
      </c>
      <c r="DI54" s="811" t="str">
        <f t="shared" si="56"/>
        <v/>
      </c>
      <c r="DJ54" s="811" t="str">
        <f t="shared" si="56"/>
        <v/>
      </c>
      <c r="DK54" s="811" t="str">
        <f t="shared" si="56"/>
        <v/>
      </c>
    </row>
    <row r="55" spans="2:115" ht="20.100000000000001" customHeight="1" x14ac:dyDescent="0.2">
      <c r="B55" s="815" t="s">
        <v>778</v>
      </c>
      <c r="C55" s="816">
        <v>0.19900000000000001</v>
      </c>
      <c r="D55" s="814">
        <v>334</v>
      </c>
      <c r="E55" s="776">
        <v>40513</v>
      </c>
      <c r="F55" s="817">
        <v>25</v>
      </c>
      <c r="G55" s="776">
        <v>49796</v>
      </c>
      <c r="H55" s="817">
        <v>0</v>
      </c>
      <c r="I55" s="806"/>
      <c r="J55" s="795">
        <f t="shared" si="13"/>
        <v>40513</v>
      </c>
      <c r="K55" s="795">
        <f t="shared" si="14"/>
        <v>50010</v>
      </c>
      <c r="L55" s="810">
        <f t="shared" si="26"/>
        <v>18.345205479452055</v>
      </c>
      <c r="M55" s="809" t="str">
        <f t="shared" si="15"/>
        <v>North Brown Hill Wind Farm (20%)</v>
      </c>
      <c r="N55" s="811" t="str">
        <f t="shared" ref="N55:W64" si="57">IF(ISNUMBER($J55),IF(N$12&lt;$J55,"",IF(N$12=$J55,$D55*$C55,IF(AND(N$12&gt;$J55,N$12&lt;$J55+$F55*365),$D55*(1-(N$12-$J55)/($F55*365))*$C55,""))),"")</f>
        <v/>
      </c>
      <c r="O55" s="811" t="str">
        <f t="shared" si="57"/>
        <v/>
      </c>
      <c r="P55" s="811" t="str">
        <f t="shared" si="57"/>
        <v/>
      </c>
      <c r="Q55" s="811" t="str">
        <f t="shared" si="57"/>
        <v/>
      </c>
      <c r="R55" s="811" t="str">
        <f t="shared" si="57"/>
        <v/>
      </c>
      <c r="S55" s="811" t="str">
        <f t="shared" si="57"/>
        <v/>
      </c>
      <c r="T55" s="811" t="str">
        <f t="shared" si="57"/>
        <v/>
      </c>
      <c r="U55" s="811" t="str">
        <f t="shared" si="57"/>
        <v/>
      </c>
      <c r="V55" s="811" t="str">
        <f t="shared" si="57"/>
        <v/>
      </c>
      <c r="W55" s="811" t="str">
        <f t="shared" si="57"/>
        <v/>
      </c>
      <c r="X55" s="811" t="str">
        <f t="shared" ref="X55:AG64" si="58">IF(ISNUMBER($J55),IF(X$12&lt;$J55,"",IF(X$12=$J55,$D55*$C55,IF(AND(X$12&gt;$J55,X$12&lt;$J55+$F55*365),$D55*(1-(X$12-$J55)/($F55*365))*$C55,""))),"")</f>
        <v/>
      </c>
      <c r="Y55" s="811" t="str">
        <f t="shared" si="58"/>
        <v/>
      </c>
      <c r="Z55" s="811" t="str">
        <f t="shared" si="58"/>
        <v/>
      </c>
      <c r="AA55" s="811" t="str">
        <f t="shared" si="58"/>
        <v/>
      </c>
      <c r="AB55" s="811" t="str">
        <f t="shared" si="58"/>
        <v/>
      </c>
      <c r="AC55" s="811" t="str">
        <f t="shared" si="58"/>
        <v/>
      </c>
      <c r="AD55" s="811" t="str">
        <f t="shared" si="58"/>
        <v/>
      </c>
      <c r="AE55" s="811" t="str">
        <f t="shared" si="58"/>
        <v/>
      </c>
      <c r="AF55" s="811" t="str">
        <f t="shared" si="58"/>
        <v/>
      </c>
      <c r="AG55" s="811" t="str">
        <f t="shared" si="58"/>
        <v/>
      </c>
      <c r="AH55" s="811" t="str">
        <f t="shared" ref="AH55:AQ64" si="59">IF(ISNUMBER($J55),IF(AH$12&lt;$J55,"",IF(AH$12=$J55,$D55*$C55,IF(AND(AH$12&gt;$J55,AH$12&lt;$J55+$F55*365),$D55*(1-(AH$12-$J55)/($F55*365))*$C55,""))),"")</f>
        <v/>
      </c>
      <c r="AI55" s="811" t="str">
        <f t="shared" si="59"/>
        <v/>
      </c>
      <c r="AJ55" s="811" t="str">
        <f t="shared" si="59"/>
        <v/>
      </c>
      <c r="AK55" s="811" t="str">
        <f t="shared" si="59"/>
        <v/>
      </c>
      <c r="AL55" s="811" t="str">
        <f t="shared" si="59"/>
        <v/>
      </c>
      <c r="AM55" s="811" t="str">
        <f t="shared" si="59"/>
        <v/>
      </c>
      <c r="AN55" s="811" t="str">
        <f t="shared" si="59"/>
        <v/>
      </c>
      <c r="AO55" s="811" t="str">
        <f t="shared" si="59"/>
        <v/>
      </c>
      <c r="AP55" s="811" t="str">
        <f t="shared" si="59"/>
        <v/>
      </c>
      <c r="AQ55" s="811" t="str">
        <f t="shared" si="59"/>
        <v/>
      </c>
      <c r="AR55" s="811" t="str">
        <f t="shared" ref="AR55:BA64" si="60">IF(ISNUMBER($J55),IF(AR$12&lt;$J55,"",IF(AR$12=$J55,$D55*$C55,IF(AND(AR$12&gt;$J55,AR$12&lt;$J55+$F55*365),$D55*(1-(AR$12-$J55)/($F55*365))*$C55,""))),"")</f>
        <v/>
      </c>
      <c r="AS55" s="811" t="str">
        <f t="shared" si="60"/>
        <v/>
      </c>
      <c r="AT55" s="811" t="str">
        <f t="shared" si="60"/>
        <v/>
      </c>
      <c r="AU55" s="811" t="str">
        <f t="shared" si="60"/>
        <v/>
      </c>
      <c r="AV55" s="811" t="str">
        <f t="shared" si="60"/>
        <v/>
      </c>
      <c r="AW55" s="811" t="str">
        <f t="shared" si="60"/>
        <v/>
      </c>
      <c r="AX55" s="811" t="str">
        <f t="shared" si="60"/>
        <v/>
      </c>
      <c r="AY55" s="811" t="str">
        <f t="shared" si="60"/>
        <v/>
      </c>
      <c r="AZ55" s="811" t="str">
        <f t="shared" si="60"/>
        <v/>
      </c>
      <c r="BA55" s="811" t="str">
        <f t="shared" si="60"/>
        <v/>
      </c>
      <c r="BB55" s="811" t="str">
        <f t="shared" ref="BB55:BK64" si="61">IF(ISNUMBER($J55),IF(BB$12&lt;$J55,"",IF(BB$12=$J55,$D55*$C55,IF(AND(BB$12&gt;$J55,BB$12&lt;$J55+$F55*365),$D55*(1-(BB$12-$J55)/($F55*365))*$C55,""))),"")</f>
        <v/>
      </c>
      <c r="BC55" s="811">
        <f t="shared" si="61"/>
        <v>66.466000000000008</v>
      </c>
      <c r="BD55" s="811">
        <f t="shared" si="61"/>
        <v>63.807360000000003</v>
      </c>
      <c r="BE55" s="811">
        <f t="shared" si="61"/>
        <v>61.141436054794525</v>
      </c>
      <c r="BF55" s="811">
        <f t="shared" si="61"/>
        <v>58.48279605479452</v>
      </c>
      <c r="BG55" s="811">
        <f t="shared" si="61"/>
        <v>55.824156054794521</v>
      </c>
      <c r="BH55" s="811">
        <f t="shared" si="61"/>
        <v>53.16551605479453</v>
      </c>
      <c r="BI55" s="811">
        <f t="shared" si="61"/>
        <v>50.499592109589038</v>
      </c>
      <c r="BJ55" s="811">
        <f t="shared" si="61"/>
        <v>47.840952109589047</v>
      </c>
      <c r="BK55" s="811">
        <f t="shared" si="61"/>
        <v>45.182312109589041</v>
      </c>
      <c r="BL55" s="811">
        <f t="shared" ref="BL55:BU64" si="62">IF(ISNUMBER($J55),IF(BL$12&lt;$J55,"",IF(BL$12=$J55,$D55*$C55,IF(AND(BL$12&gt;$J55,BL$12&lt;$J55+$F55*365),$D55*(1-(BL$12-$J55)/($F55*365))*$C55,""))),"")</f>
        <v>42.52367210958905</v>
      </c>
      <c r="BM55" s="811">
        <f t="shared" si="62"/>
        <v>39.857748164383565</v>
      </c>
      <c r="BN55" s="811">
        <f t="shared" si="62"/>
        <v>37.199108164383567</v>
      </c>
      <c r="BO55" s="811">
        <f t="shared" si="62"/>
        <v>34.540468164383562</v>
      </c>
      <c r="BP55" s="811">
        <f t="shared" si="62"/>
        <v>31.88182816438356</v>
      </c>
      <c r="BQ55" s="811">
        <f t="shared" si="62"/>
        <v>29.215904219178086</v>
      </c>
      <c r="BR55" s="811">
        <f t="shared" si="62"/>
        <v>26.55726421917808</v>
      </c>
      <c r="BS55" s="811">
        <f t="shared" si="62"/>
        <v>23.898624219178082</v>
      </c>
      <c r="BT55" s="811">
        <f t="shared" si="62"/>
        <v>21.239984219178083</v>
      </c>
      <c r="BU55" s="811">
        <f t="shared" si="62"/>
        <v>18.574060273972602</v>
      </c>
      <c r="BV55" s="811">
        <f t="shared" ref="BV55:CE64" si="63">IF(ISNUMBER($J55),IF(BV$12&lt;$J55,"",IF(BV$12=$J55,$D55*$C55,IF(AND(BV$12&gt;$J55,BV$12&lt;$J55+$F55*365),$D55*(1-(BV$12-$J55)/($F55*365))*$C55,""))),"")</f>
        <v>15.915420273972606</v>
      </c>
      <c r="BW55" s="811">
        <f t="shared" si="63"/>
        <v>13.256780273972604</v>
      </c>
      <c r="BX55" s="811">
        <f t="shared" si="63"/>
        <v>10.5981402739726</v>
      </c>
      <c r="BY55" s="811">
        <f t="shared" si="63"/>
        <v>7.9322163287671241</v>
      </c>
      <c r="BZ55" s="811">
        <f t="shared" si="63"/>
        <v>5.2735763287671213</v>
      </c>
      <c r="CA55" s="811">
        <f t="shared" si="63"/>
        <v>2.6149363287671266</v>
      </c>
      <c r="CB55" s="811" t="str">
        <f t="shared" si="63"/>
        <v/>
      </c>
      <c r="CC55" s="811" t="str">
        <f t="shared" si="63"/>
        <v/>
      </c>
      <c r="CD55" s="811" t="str">
        <f t="shared" si="63"/>
        <v/>
      </c>
      <c r="CE55" s="811" t="str">
        <f t="shared" si="63"/>
        <v/>
      </c>
      <c r="CF55" s="811" t="str">
        <f t="shared" ref="CF55:CO64" si="64">IF(ISNUMBER($J55),IF(CF$12&lt;$J55,"",IF(CF$12=$J55,$D55*$C55,IF(AND(CF$12&gt;$J55,CF$12&lt;$J55+$F55*365),$D55*(1-(CF$12-$J55)/($F55*365))*$C55,""))),"")</f>
        <v/>
      </c>
      <c r="CG55" s="811" t="str">
        <f t="shared" si="64"/>
        <v/>
      </c>
      <c r="CH55" s="811" t="str">
        <f t="shared" si="64"/>
        <v/>
      </c>
      <c r="CI55" s="811" t="str">
        <f t="shared" si="64"/>
        <v/>
      </c>
      <c r="CJ55" s="811" t="str">
        <f t="shared" si="64"/>
        <v/>
      </c>
      <c r="CK55" s="811" t="str">
        <f t="shared" si="64"/>
        <v/>
      </c>
      <c r="CL55" s="811" t="str">
        <f t="shared" si="64"/>
        <v/>
      </c>
      <c r="CM55" s="811" t="str">
        <f t="shared" si="64"/>
        <v/>
      </c>
      <c r="CN55" s="811" t="str">
        <f t="shared" si="64"/>
        <v/>
      </c>
      <c r="CO55" s="811" t="str">
        <f t="shared" si="64"/>
        <v/>
      </c>
      <c r="CP55" s="811" t="str">
        <f t="shared" ref="CP55:CY64" si="65">IF(ISNUMBER($J55),IF(CP$12&lt;$J55,"",IF(CP$12=$J55,$D55*$C55,IF(AND(CP$12&gt;$J55,CP$12&lt;$J55+$F55*365),$D55*(1-(CP$12-$J55)/($F55*365))*$C55,""))),"")</f>
        <v/>
      </c>
      <c r="CQ55" s="811" t="str">
        <f t="shared" si="65"/>
        <v/>
      </c>
      <c r="CR55" s="811" t="str">
        <f t="shared" si="65"/>
        <v/>
      </c>
      <c r="CS55" s="811" t="str">
        <f t="shared" si="65"/>
        <v/>
      </c>
      <c r="CT55" s="811" t="str">
        <f t="shared" si="65"/>
        <v/>
      </c>
      <c r="CU55" s="811" t="str">
        <f t="shared" si="65"/>
        <v/>
      </c>
      <c r="CV55" s="811" t="str">
        <f t="shared" si="65"/>
        <v/>
      </c>
      <c r="CW55" s="811" t="str">
        <f t="shared" si="65"/>
        <v/>
      </c>
      <c r="CX55" s="811" t="str">
        <f t="shared" si="65"/>
        <v/>
      </c>
      <c r="CY55" s="811" t="str">
        <f t="shared" si="65"/>
        <v/>
      </c>
      <c r="CZ55" s="811" t="str">
        <f t="shared" ref="CZ55:DK64" si="66">IF(ISNUMBER($J55),IF(CZ$12&lt;$J55,"",IF(CZ$12=$J55,$D55*$C55,IF(AND(CZ$12&gt;$J55,CZ$12&lt;$J55+$F55*365),$D55*(1-(CZ$12-$J55)/($F55*365))*$C55,""))),"")</f>
        <v/>
      </c>
      <c r="DA55" s="811" t="str">
        <f t="shared" si="66"/>
        <v/>
      </c>
      <c r="DB55" s="811" t="str">
        <f t="shared" si="66"/>
        <v/>
      </c>
      <c r="DC55" s="811" t="str">
        <f t="shared" si="66"/>
        <v/>
      </c>
      <c r="DD55" s="811" t="str">
        <f t="shared" si="66"/>
        <v/>
      </c>
      <c r="DE55" s="811" t="str">
        <f t="shared" si="66"/>
        <v/>
      </c>
      <c r="DF55" s="811" t="str">
        <f t="shared" si="66"/>
        <v/>
      </c>
      <c r="DG55" s="811" t="str">
        <f t="shared" si="66"/>
        <v/>
      </c>
      <c r="DH55" s="811" t="str">
        <f t="shared" si="66"/>
        <v/>
      </c>
      <c r="DI55" s="811" t="str">
        <f t="shared" si="66"/>
        <v/>
      </c>
      <c r="DJ55" s="811" t="str">
        <f t="shared" si="66"/>
        <v/>
      </c>
      <c r="DK55" s="811" t="str">
        <f t="shared" si="66"/>
        <v/>
      </c>
    </row>
    <row r="56" spans="2:115" ht="20.100000000000001" customHeight="1" x14ac:dyDescent="0.2">
      <c r="B56" s="815" t="s">
        <v>816</v>
      </c>
      <c r="C56" s="816">
        <v>0.19900000000000001</v>
      </c>
      <c r="D56" s="814">
        <v>38</v>
      </c>
      <c r="E56" s="776">
        <v>39387</v>
      </c>
      <c r="F56" s="817">
        <v>25</v>
      </c>
      <c r="G56" s="776">
        <v>46687</v>
      </c>
      <c r="H56" s="817">
        <v>0</v>
      </c>
      <c r="I56" s="806"/>
      <c r="J56" s="795">
        <f t="shared" si="13"/>
        <v>39417</v>
      </c>
      <c r="K56" s="795">
        <f t="shared" si="14"/>
        <v>46722</v>
      </c>
      <c r="L56" s="810">
        <f t="shared" si="26"/>
        <v>9.8273972602739725</v>
      </c>
      <c r="M56" s="809" t="str">
        <f t="shared" si="15"/>
        <v>X41 Power Station (20%)</v>
      </c>
      <c r="N56" s="811" t="str">
        <f t="shared" si="57"/>
        <v/>
      </c>
      <c r="O56" s="811" t="str">
        <f t="shared" si="57"/>
        <v/>
      </c>
      <c r="P56" s="811" t="str">
        <f t="shared" si="57"/>
        <v/>
      </c>
      <c r="Q56" s="811" t="str">
        <f t="shared" si="57"/>
        <v/>
      </c>
      <c r="R56" s="811" t="str">
        <f t="shared" si="57"/>
        <v/>
      </c>
      <c r="S56" s="811" t="str">
        <f t="shared" si="57"/>
        <v/>
      </c>
      <c r="T56" s="811" t="str">
        <f t="shared" si="57"/>
        <v/>
      </c>
      <c r="U56" s="811" t="str">
        <f t="shared" si="57"/>
        <v/>
      </c>
      <c r="V56" s="811" t="str">
        <f t="shared" si="57"/>
        <v/>
      </c>
      <c r="W56" s="811" t="str">
        <f t="shared" si="57"/>
        <v/>
      </c>
      <c r="X56" s="811" t="str">
        <f t="shared" si="58"/>
        <v/>
      </c>
      <c r="Y56" s="811" t="str">
        <f t="shared" si="58"/>
        <v/>
      </c>
      <c r="Z56" s="811" t="str">
        <f t="shared" si="58"/>
        <v/>
      </c>
      <c r="AA56" s="811" t="str">
        <f t="shared" si="58"/>
        <v/>
      </c>
      <c r="AB56" s="811" t="str">
        <f t="shared" si="58"/>
        <v/>
      </c>
      <c r="AC56" s="811" t="str">
        <f t="shared" si="58"/>
        <v/>
      </c>
      <c r="AD56" s="811" t="str">
        <f t="shared" si="58"/>
        <v/>
      </c>
      <c r="AE56" s="811" t="str">
        <f t="shared" si="58"/>
        <v/>
      </c>
      <c r="AF56" s="811" t="str">
        <f t="shared" si="58"/>
        <v/>
      </c>
      <c r="AG56" s="811" t="str">
        <f t="shared" si="58"/>
        <v/>
      </c>
      <c r="AH56" s="811" t="str">
        <f t="shared" si="59"/>
        <v/>
      </c>
      <c r="AI56" s="811" t="str">
        <f t="shared" si="59"/>
        <v/>
      </c>
      <c r="AJ56" s="811" t="str">
        <f t="shared" si="59"/>
        <v/>
      </c>
      <c r="AK56" s="811" t="str">
        <f t="shared" si="59"/>
        <v/>
      </c>
      <c r="AL56" s="811" t="str">
        <f t="shared" si="59"/>
        <v/>
      </c>
      <c r="AM56" s="811" t="str">
        <f t="shared" si="59"/>
        <v/>
      </c>
      <c r="AN56" s="811" t="str">
        <f t="shared" si="59"/>
        <v/>
      </c>
      <c r="AO56" s="811" t="str">
        <f t="shared" si="59"/>
        <v/>
      </c>
      <c r="AP56" s="811" t="str">
        <f t="shared" si="59"/>
        <v/>
      </c>
      <c r="AQ56" s="811" t="str">
        <f t="shared" si="59"/>
        <v/>
      </c>
      <c r="AR56" s="811" t="str">
        <f t="shared" si="60"/>
        <v/>
      </c>
      <c r="AS56" s="811" t="str">
        <f t="shared" si="60"/>
        <v/>
      </c>
      <c r="AT56" s="811" t="str">
        <f t="shared" si="60"/>
        <v/>
      </c>
      <c r="AU56" s="811" t="str">
        <f t="shared" si="60"/>
        <v/>
      </c>
      <c r="AV56" s="811" t="str">
        <f t="shared" si="60"/>
        <v/>
      </c>
      <c r="AW56" s="811" t="str">
        <f t="shared" si="60"/>
        <v/>
      </c>
      <c r="AX56" s="811" t="str">
        <f t="shared" si="60"/>
        <v/>
      </c>
      <c r="AY56" s="811" t="str">
        <f t="shared" si="60"/>
        <v/>
      </c>
      <c r="AZ56" s="811">
        <f t="shared" si="60"/>
        <v>7.5620000000000003</v>
      </c>
      <c r="BA56" s="811">
        <f t="shared" si="60"/>
        <v>7.2586912876712342</v>
      </c>
      <c r="BB56" s="811">
        <f t="shared" si="61"/>
        <v>6.9562112876712332</v>
      </c>
      <c r="BC56" s="811">
        <f t="shared" si="61"/>
        <v>6.6537312876712331</v>
      </c>
      <c r="BD56" s="811">
        <f t="shared" si="61"/>
        <v>6.351251287671233</v>
      </c>
      <c r="BE56" s="811">
        <f t="shared" si="61"/>
        <v>6.047942575342466</v>
      </c>
      <c r="BF56" s="811">
        <f t="shared" si="61"/>
        <v>5.745462575342466</v>
      </c>
      <c r="BG56" s="811">
        <f t="shared" si="61"/>
        <v>5.4429825753424659</v>
      </c>
      <c r="BH56" s="811">
        <f t="shared" si="61"/>
        <v>5.1405025753424658</v>
      </c>
      <c r="BI56" s="811">
        <f t="shared" si="61"/>
        <v>4.8371938630136988</v>
      </c>
      <c r="BJ56" s="811">
        <f t="shared" si="61"/>
        <v>4.5347138630136987</v>
      </c>
      <c r="BK56" s="811">
        <f t="shared" si="61"/>
        <v>4.2322338630136986</v>
      </c>
      <c r="BL56" s="811">
        <f t="shared" si="62"/>
        <v>3.929753863013699</v>
      </c>
      <c r="BM56" s="811">
        <f t="shared" si="62"/>
        <v>3.6264451506849311</v>
      </c>
      <c r="BN56" s="811">
        <f t="shared" si="62"/>
        <v>3.3239651506849319</v>
      </c>
      <c r="BO56" s="811">
        <f t="shared" si="62"/>
        <v>3.0214851506849318</v>
      </c>
      <c r="BP56" s="811">
        <f t="shared" si="62"/>
        <v>2.7190051506849313</v>
      </c>
      <c r="BQ56" s="811">
        <f t="shared" si="62"/>
        <v>2.4156964383561643</v>
      </c>
      <c r="BR56" s="811">
        <f t="shared" si="62"/>
        <v>2.1132164383561642</v>
      </c>
      <c r="BS56" s="811">
        <f t="shared" si="62"/>
        <v>1.8107364383561648</v>
      </c>
      <c r="BT56" s="811">
        <f t="shared" si="62"/>
        <v>1.5082564383561645</v>
      </c>
      <c r="BU56" s="811">
        <f t="shared" si="62"/>
        <v>1.2049477260273975</v>
      </c>
      <c r="BV56" s="811">
        <f t="shared" si="63"/>
        <v>0.90246772602739733</v>
      </c>
      <c r="BW56" s="811">
        <f t="shared" si="63"/>
        <v>0.59998772602739703</v>
      </c>
      <c r="BX56" s="811">
        <f t="shared" si="63"/>
        <v>0.29750772602739761</v>
      </c>
      <c r="BY56" s="811" t="str">
        <f t="shared" si="63"/>
        <v/>
      </c>
      <c r="BZ56" s="811" t="str">
        <f t="shared" si="63"/>
        <v/>
      </c>
      <c r="CA56" s="811" t="str">
        <f t="shared" si="63"/>
        <v/>
      </c>
      <c r="CB56" s="811" t="str">
        <f t="shared" si="63"/>
        <v/>
      </c>
      <c r="CC56" s="811" t="str">
        <f t="shared" si="63"/>
        <v/>
      </c>
      <c r="CD56" s="811" t="str">
        <f t="shared" si="63"/>
        <v/>
      </c>
      <c r="CE56" s="811" t="str">
        <f t="shared" si="63"/>
        <v/>
      </c>
      <c r="CF56" s="811" t="str">
        <f t="shared" si="64"/>
        <v/>
      </c>
      <c r="CG56" s="811" t="str">
        <f t="shared" si="64"/>
        <v/>
      </c>
      <c r="CH56" s="811" t="str">
        <f t="shared" si="64"/>
        <v/>
      </c>
      <c r="CI56" s="811" t="str">
        <f t="shared" si="64"/>
        <v/>
      </c>
      <c r="CJ56" s="811" t="str">
        <f t="shared" si="64"/>
        <v/>
      </c>
      <c r="CK56" s="811" t="str">
        <f t="shared" si="64"/>
        <v/>
      </c>
      <c r="CL56" s="811" t="str">
        <f t="shared" si="64"/>
        <v/>
      </c>
      <c r="CM56" s="811" t="str">
        <f t="shared" si="64"/>
        <v/>
      </c>
      <c r="CN56" s="811" t="str">
        <f t="shared" si="64"/>
        <v/>
      </c>
      <c r="CO56" s="811" t="str">
        <f t="shared" si="64"/>
        <v/>
      </c>
      <c r="CP56" s="811" t="str">
        <f t="shared" si="65"/>
        <v/>
      </c>
      <c r="CQ56" s="811" t="str">
        <f t="shared" si="65"/>
        <v/>
      </c>
      <c r="CR56" s="811" t="str">
        <f t="shared" si="65"/>
        <v/>
      </c>
      <c r="CS56" s="811" t="str">
        <f t="shared" si="65"/>
        <v/>
      </c>
      <c r="CT56" s="811" t="str">
        <f t="shared" si="65"/>
        <v/>
      </c>
      <c r="CU56" s="811" t="str">
        <f t="shared" si="65"/>
        <v/>
      </c>
      <c r="CV56" s="811" t="str">
        <f t="shared" si="65"/>
        <v/>
      </c>
      <c r="CW56" s="811" t="str">
        <f t="shared" si="65"/>
        <v/>
      </c>
      <c r="CX56" s="811" t="str">
        <f t="shared" si="65"/>
        <v/>
      </c>
      <c r="CY56" s="811" t="str">
        <f t="shared" si="65"/>
        <v/>
      </c>
      <c r="CZ56" s="811" t="str">
        <f t="shared" si="66"/>
        <v/>
      </c>
      <c r="DA56" s="811" t="str">
        <f t="shared" si="66"/>
        <v/>
      </c>
      <c r="DB56" s="811" t="str">
        <f t="shared" si="66"/>
        <v/>
      </c>
      <c r="DC56" s="811" t="str">
        <f t="shared" si="66"/>
        <v/>
      </c>
      <c r="DD56" s="811" t="str">
        <f t="shared" si="66"/>
        <v/>
      </c>
      <c r="DE56" s="811" t="str">
        <f t="shared" si="66"/>
        <v/>
      </c>
      <c r="DF56" s="811" t="str">
        <f t="shared" si="66"/>
        <v/>
      </c>
      <c r="DG56" s="811" t="str">
        <f t="shared" si="66"/>
        <v/>
      </c>
      <c r="DH56" s="811" t="str">
        <f t="shared" si="66"/>
        <v/>
      </c>
      <c r="DI56" s="811" t="str">
        <f t="shared" si="66"/>
        <v/>
      </c>
      <c r="DJ56" s="811" t="str">
        <f t="shared" si="66"/>
        <v/>
      </c>
      <c r="DK56" s="811" t="str">
        <f t="shared" si="66"/>
        <v/>
      </c>
    </row>
    <row r="57" spans="2:115" ht="20.100000000000001" customHeight="1" x14ac:dyDescent="0.2">
      <c r="B57" s="815" t="s">
        <v>715</v>
      </c>
      <c r="C57" s="816">
        <v>1</v>
      </c>
      <c r="D57" s="814">
        <v>27</v>
      </c>
      <c r="E57" s="776">
        <v>43435</v>
      </c>
      <c r="F57" s="817">
        <v>25</v>
      </c>
      <c r="G57" s="776">
        <v>48910</v>
      </c>
      <c r="H57" s="817">
        <v>0</v>
      </c>
      <c r="I57" s="806"/>
      <c r="J57" s="795">
        <f t="shared" si="13"/>
        <v>43435</v>
      </c>
      <c r="K57" s="795">
        <f t="shared" si="14"/>
        <v>48914</v>
      </c>
      <c r="L57" s="810">
        <f t="shared" si="26"/>
        <v>15.917808219178083</v>
      </c>
      <c r="M57" s="809" t="str">
        <f t="shared" si="15"/>
        <v>Yamarna Gas-fired Power Station (100%)</v>
      </c>
      <c r="N57" s="811" t="str">
        <f t="shared" si="57"/>
        <v/>
      </c>
      <c r="O57" s="811" t="str">
        <f t="shared" si="57"/>
        <v/>
      </c>
      <c r="P57" s="811" t="str">
        <f t="shared" si="57"/>
        <v/>
      </c>
      <c r="Q57" s="811" t="str">
        <f t="shared" si="57"/>
        <v/>
      </c>
      <c r="R57" s="811" t="str">
        <f t="shared" si="57"/>
        <v/>
      </c>
      <c r="S57" s="811" t="str">
        <f t="shared" si="57"/>
        <v/>
      </c>
      <c r="T57" s="811" t="str">
        <f t="shared" si="57"/>
        <v/>
      </c>
      <c r="U57" s="811" t="str">
        <f t="shared" si="57"/>
        <v/>
      </c>
      <c r="V57" s="811" t="str">
        <f t="shared" si="57"/>
        <v/>
      </c>
      <c r="W57" s="811" t="str">
        <f t="shared" si="57"/>
        <v/>
      </c>
      <c r="X57" s="811" t="str">
        <f t="shared" si="58"/>
        <v/>
      </c>
      <c r="Y57" s="811" t="str">
        <f t="shared" si="58"/>
        <v/>
      </c>
      <c r="Z57" s="811" t="str">
        <f t="shared" si="58"/>
        <v/>
      </c>
      <c r="AA57" s="811" t="str">
        <f t="shared" si="58"/>
        <v/>
      </c>
      <c r="AB57" s="811" t="str">
        <f t="shared" si="58"/>
        <v/>
      </c>
      <c r="AC57" s="811" t="str">
        <f t="shared" si="58"/>
        <v/>
      </c>
      <c r="AD57" s="811" t="str">
        <f t="shared" si="58"/>
        <v/>
      </c>
      <c r="AE57" s="811" t="str">
        <f t="shared" si="58"/>
        <v/>
      </c>
      <c r="AF57" s="811" t="str">
        <f t="shared" si="58"/>
        <v/>
      </c>
      <c r="AG57" s="811" t="str">
        <f t="shared" si="58"/>
        <v/>
      </c>
      <c r="AH57" s="811" t="str">
        <f t="shared" si="59"/>
        <v/>
      </c>
      <c r="AI57" s="811" t="str">
        <f t="shared" si="59"/>
        <v/>
      </c>
      <c r="AJ57" s="811" t="str">
        <f t="shared" si="59"/>
        <v/>
      </c>
      <c r="AK57" s="811" t="str">
        <f t="shared" si="59"/>
        <v/>
      </c>
      <c r="AL57" s="811" t="str">
        <f t="shared" si="59"/>
        <v/>
      </c>
      <c r="AM57" s="811" t="str">
        <f t="shared" si="59"/>
        <v/>
      </c>
      <c r="AN57" s="811" t="str">
        <f t="shared" si="59"/>
        <v/>
      </c>
      <c r="AO57" s="811" t="str">
        <f t="shared" si="59"/>
        <v/>
      </c>
      <c r="AP57" s="811" t="str">
        <f t="shared" si="59"/>
        <v/>
      </c>
      <c r="AQ57" s="811" t="str">
        <f t="shared" si="59"/>
        <v/>
      </c>
      <c r="AR57" s="811" t="str">
        <f t="shared" si="60"/>
        <v/>
      </c>
      <c r="AS57" s="811" t="str">
        <f t="shared" si="60"/>
        <v/>
      </c>
      <c r="AT57" s="811" t="str">
        <f t="shared" si="60"/>
        <v/>
      </c>
      <c r="AU57" s="811" t="str">
        <f t="shared" si="60"/>
        <v/>
      </c>
      <c r="AV57" s="811" t="str">
        <f t="shared" si="60"/>
        <v/>
      </c>
      <c r="AW57" s="811" t="str">
        <f t="shared" si="60"/>
        <v/>
      </c>
      <c r="AX57" s="811" t="str">
        <f t="shared" si="60"/>
        <v/>
      </c>
      <c r="AY57" s="811" t="str">
        <f t="shared" si="60"/>
        <v/>
      </c>
      <c r="AZ57" s="811" t="str">
        <f t="shared" si="60"/>
        <v/>
      </c>
      <c r="BA57" s="811" t="str">
        <f t="shared" si="60"/>
        <v/>
      </c>
      <c r="BB57" s="811" t="str">
        <f t="shared" si="61"/>
        <v/>
      </c>
      <c r="BC57" s="811" t="str">
        <f t="shared" si="61"/>
        <v/>
      </c>
      <c r="BD57" s="811" t="str">
        <f t="shared" si="61"/>
        <v/>
      </c>
      <c r="BE57" s="811" t="str">
        <f t="shared" si="61"/>
        <v/>
      </c>
      <c r="BF57" s="811" t="str">
        <f t="shared" si="61"/>
        <v/>
      </c>
      <c r="BG57" s="811" t="str">
        <f t="shared" si="61"/>
        <v/>
      </c>
      <c r="BH57" s="811" t="str">
        <f t="shared" si="61"/>
        <v/>
      </c>
      <c r="BI57" s="811" t="str">
        <f t="shared" si="61"/>
        <v/>
      </c>
      <c r="BJ57" s="811" t="str">
        <f t="shared" si="61"/>
        <v/>
      </c>
      <c r="BK57" s="811">
        <f t="shared" si="61"/>
        <v>27</v>
      </c>
      <c r="BL57" s="811">
        <f t="shared" si="62"/>
        <v>25.919999999999998</v>
      </c>
      <c r="BM57" s="811">
        <f t="shared" si="62"/>
        <v>24.83704109589041</v>
      </c>
      <c r="BN57" s="811">
        <f t="shared" si="62"/>
        <v>23.757041095890411</v>
      </c>
      <c r="BO57" s="811">
        <f t="shared" si="62"/>
        <v>22.677041095890409</v>
      </c>
      <c r="BP57" s="811">
        <f t="shared" si="62"/>
        <v>21.597041095890411</v>
      </c>
      <c r="BQ57" s="811">
        <f t="shared" si="62"/>
        <v>20.514082191780819</v>
      </c>
      <c r="BR57" s="811">
        <f t="shared" si="62"/>
        <v>19.434082191780821</v>
      </c>
      <c r="BS57" s="811">
        <f t="shared" si="62"/>
        <v>18.354082191780822</v>
      </c>
      <c r="BT57" s="811">
        <f t="shared" si="62"/>
        <v>17.274082191780824</v>
      </c>
      <c r="BU57" s="811">
        <f t="shared" si="62"/>
        <v>16.191123287671232</v>
      </c>
      <c r="BV57" s="811">
        <f t="shared" si="63"/>
        <v>15.111123287671234</v>
      </c>
      <c r="BW57" s="811">
        <f t="shared" si="63"/>
        <v>14.031123287671234</v>
      </c>
      <c r="BX57" s="811">
        <f t="shared" si="63"/>
        <v>12.951123287671233</v>
      </c>
      <c r="BY57" s="811">
        <f t="shared" si="63"/>
        <v>11.868164383561645</v>
      </c>
      <c r="BZ57" s="811">
        <f t="shared" si="63"/>
        <v>10.788164383561643</v>
      </c>
      <c r="CA57" s="811">
        <f t="shared" si="63"/>
        <v>9.7081643835616429</v>
      </c>
      <c r="CB57" s="811">
        <f t="shared" si="63"/>
        <v>8.6281643835616446</v>
      </c>
      <c r="CC57" s="811">
        <f t="shared" si="63"/>
        <v>7.5452054794520542</v>
      </c>
      <c r="CD57" s="811">
        <f t="shared" si="63"/>
        <v>6.4652054794520559</v>
      </c>
      <c r="CE57" s="811">
        <f t="shared" si="63"/>
        <v>5.385205479452055</v>
      </c>
      <c r="CF57" s="811">
        <f t="shared" si="64"/>
        <v>4.305205479452054</v>
      </c>
      <c r="CG57" s="811">
        <f t="shared" si="64"/>
        <v>3.2222465753424658</v>
      </c>
      <c r="CH57" s="811">
        <f t="shared" si="64"/>
        <v>2.1422465753424649</v>
      </c>
      <c r="CI57" s="811">
        <f t="shared" si="64"/>
        <v>1.062246575342467</v>
      </c>
      <c r="CJ57" s="811" t="str">
        <f t="shared" si="64"/>
        <v/>
      </c>
      <c r="CK57" s="811" t="str">
        <f t="shared" si="64"/>
        <v/>
      </c>
      <c r="CL57" s="811" t="str">
        <f t="shared" si="64"/>
        <v/>
      </c>
      <c r="CM57" s="811" t="str">
        <f t="shared" si="64"/>
        <v/>
      </c>
      <c r="CN57" s="811" t="str">
        <f t="shared" si="64"/>
        <v/>
      </c>
      <c r="CO57" s="811" t="str">
        <f t="shared" si="64"/>
        <v/>
      </c>
      <c r="CP57" s="811" t="str">
        <f t="shared" si="65"/>
        <v/>
      </c>
      <c r="CQ57" s="811" t="str">
        <f t="shared" si="65"/>
        <v/>
      </c>
      <c r="CR57" s="811" t="str">
        <f t="shared" si="65"/>
        <v/>
      </c>
      <c r="CS57" s="811" t="str">
        <f t="shared" si="65"/>
        <v/>
      </c>
      <c r="CT57" s="811" t="str">
        <f t="shared" si="65"/>
        <v/>
      </c>
      <c r="CU57" s="811" t="str">
        <f t="shared" si="65"/>
        <v/>
      </c>
      <c r="CV57" s="811" t="str">
        <f t="shared" si="65"/>
        <v/>
      </c>
      <c r="CW57" s="811" t="str">
        <f t="shared" si="65"/>
        <v/>
      </c>
      <c r="CX57" s="811" t="str">
        <f t="shared" si="65"/>
        <v/>
      </c>
      <c r="CY57" s="811" t="str">
        <f t="shared" si="65"/>
        <v/>
      </c>
      <c r="CZ57" s="811" t="str">
        <f t="shared" si="66"/>
        <v/>
      </c>
      <c r="DA57" s="811" t="str">
        <f t="shared" si="66"/>
        <v/>
      </c>
      <c r="DB57" s="811" t="str">
        <f t="shared" si="66"/>
        <v/>
      </c>
      <c r="DC57" s="811" t="str">
        <f t="shared" si="66"/>
        <v/>
      </c>
      <c r="DD57" s="811" t="str">
        <f t="shared" si="66"/>
        <v/>
      </c>
      <c r="DE57" s="811" t="str">
        <f t="shared" si="66"/>
        <v/>
      </c>
      <c r="DF57" s="811" t="str">
        <f t="shared" si="66"/>
        <v/>
      </c>
      <c r="DG57" s="811" t="str">
        <f t="shared" si="66"/>
        <v/>
      </c>
      <c r="DH57" s="811" t="str">
        <f t="shared" si="66"/>
        <v/>
      </c>
      <c r="DI57" s="811" t="str">
        <f t="shared" si="66"/>
        <v/>
      </c>
      <c r="DJ57" s="811" t="str">
        <f t="shared" si="66"/>
        <v/>
      </c>
      <c r="DK57" s="811" t="str">
        <f t="shared" si="66"/>
        <v/>
      </c>
    </row>
    <row r="58" spans="2:115" ht="20.100000000000001" customHeight="1" x14ac:dyDescent="0.2">
      <c r="B58" s="815">
        <v>1</v>
      </c>
      <c r="C58" s="816"/>
      <c r="D58" s="814"/>
      <c r="E58" s="776"/>
      <c r="F58" s="817"/>
      <c r="G58" s="776"/>
      <c r="H58" s="817"/>
      <c r="I58" s="806"/>
      <c r="J58" s="795" t="str">
        <f t="shared" si="13"/>
        <v/>
      </c>
      <c r="K58" s="795" t="str">
        <f t="shared" si="14"/>
        <v/>
      </c>
      <c r="L58" s="810" t="str">
        <f t="shared" si="26"/>
        <v/>
      </c>
      <c r="M58" s="809" t="str">
        <f t="shared" si="15"/>
        <v/>
      </c>
      <c r="N58" s="811" t="str">
        <f t="shared" si="57"/>
        <v/>
      </c>
      <c r="O58" s="811" t="str">
        <f t="shared" si="57"/>
        <v/>
      </c>
      <c r="P58" s="811" t="str">
        <f t="shared" si="57"/>
        <v/>
      </c>
      <c r="Q58" s="811" t="str">
        <f t="shared" si="57"/>
        <v/>
      </c>
      <c r="R58" s="811" t="str">
        <f t="shared" si="57"/>
        <v/>
      </c>
      <c r="S58" s="811" t="str">
        <f t="shared" si="57"/>
        <v/>
      </c>
      <c r="T58" s="811" t="str">
        <f t="shared" si="57"/>
        <v/>
      </c>
      <c r="U58" s="811" t="str">
        <f t="shared" si="57"/>
        <v/>
      </c>
      <c r="V58" s="811" t="str">
        <f t="shared" si="57"/>
        <v/>
      </c>
      <c r="W58" s="811" t="str">
        <f t="shared" si="57"/>
        <v/>
      </c>
      <c r="X58" s="811" t="str">
        <f t="shared" si="58"/>
        <v/>
      </c>
      <c r="Y58" s="811" t="str">
        <f t="shared" si="58"/>
        <v/>
      </c>
      <c r="Z58" s="811" t="str">
        <f t="shared" si="58"/>
        <v/>
      </c>
      <c r="AA58" s="811" t="str">
        <f t="shared" si="58"/>
        <v/>
      </c>
      <c r="AB58" s="811" t="str">
        <f t="shared" si="58"/>
        <v/>
      </c>
      <c r="AC58" s="811" t="str">
        <f t="shared" si="58"/>
        <v/>
      </c>
      <c r="AD58" s="811" t="str">
        <f t="shared" si="58"/>
        <v/>
      </c>
      <c r="AE58" s="811" t="str">
        <f t="shared" si="58"/>
        <v/>
      </c>
      <c r="AF58" s="811" t="str">
        <f t="shared" si="58"/>
        <v/>
      </c>
      <c r="AG58" s="811" t="str">
        <f t="shared" si="58"/>
        <v/>
      </c>
      <c r="AH58" s="811" t="str">
        <f t="shared" si="59"/>
        <v/>
      </c>
      <c r="AI58" s="811" t="str">
        <f t="shared" si="59"/>
        <v/>
      </c>
      <c r="AJ58" s="811" t="str">
        <f t="shared" si="59"/>
        <v/>
      </c>
      <c r="AK58" s="811" t="str">
        <f t="shared" si="59"/>
        <v/>
      </c>
      <c r="AL58" s="811" t="str">
        <f t="shared" si="59"/>
        <v/>
      </c>
      <c r="AM58" s="811" t="str">
        <f t="shared" si="59"/>
        <v/>
      </c>
      <c r="AN58" s="811" t="str">
        <f t="shared" si="59"/>
        <v/>
      </c>
      <c r="AO58" s="811" t="str">
        <f t="shared" si="59"/>
        <v/>
      </c>
      <c r="AP58" s="811" t="str">
        <f t="shared" si="59"/>
        <v/>
      </c>
      <c r="AQ58" s="811" t="str">
        <f t="shared" si="59"/>
        <v/>
      </c>
      <c r="AR58" s="811" t="str">
        <f t="shared" si="60"/>
        <v/>
      </c>
      <c r="AS58" s="811" t="str">
        <f t="shared" si="60"/>
        <v/>
      </c>
      <c r="AT58" s="811" t="str">
        <f t="shared" si="60"/>
        <v/>
      </c>
      <c r="AU58" s="811" t="str">
        <f t="shared" si="60"/>
        <v/>
      </c>
      <c r="AV58" s="811" t="str">
        <f t="shared" si="60"/>
        <v/>
      </c>
      <c r="AW58" s="811" t="str">
        <f t="shared" si="60"/>
        <v/>
      </c>
      <c r="AX58" s="811" t="str">
        <f t="shared" si="60"/>
        <v/>
      </c>
      <c r="AY58" s="811" t="str">
        <f t="shared" si="60"/>
        <v/>
      </c>
      <c r="AZ58" s="811" t="str">
        <f t="shared" si="60"/>
        <v/>
      </c>
      <c r="BA58" s="811" t="str">
        <f t="shared" si="60"/>
        <v/>
      </c>
      <c r="BB58" s="811" t="str">
        <f t="shared" si="61"/>
        <v/>
      </c>
      <c r="BC58" s="811" t="str">
        <f t="shared" si="61"/>
        <v/>
      </c>
      <c r="BD58" s="811" t="str">
        <f t="shared" si="61"/>
        <v/>
      </c>
      <c r="BE58" s="811" t="str">
        <f t="shared" si="61"/>
        <v/>
      </c>
      <c r="BF58" s="811" t="str">
        <f t="shared" si="61"/>
        <v/>
      </c>
      <c r="BG58" s="811" t="str">
        <f t="shared" si="61"/>
        <v/>
      </c>
      <c r="BH58" s="811" t="str">
        <f t="shared" si="61"/>
        <v/>
      </c>
      <c r="BI58" s="811" t="str">
        <f t="shared" si="61"/>
        <v/>
      </c>
      <c r="BJ58" s="811" t="str">
        <f t="shared" si="61"/>
        <v/>
      </c>
      <c r="BK58" s="811" t="str">
        <f t="shared" si="61"/>
        <v/>
      </c>
      <c r="BL58" s="811" t="str">
        <f t="shared" si="62"/>
        <v/>
      </c>
      <c r="BM58" s="811" t="str">
        <f t="shared" si="62"/>
        <v/>
      </c>
      <c r="BN58" s="811" t="str">
        <f t="shared" si="62"/>
        <v/>
      </c>
      <c r="BO58" s="811" t="str">
        <f t="shared" si="62"/>
        <v/>
      </c>
      <c r="BP58" s="811" t="str">
        <f t="shared" si="62"/>
        <v/>
      </c>
      <c r="BQ58" s="811" t="str">
        <f t="shared" si="62"/>
        <v/>
      </c>
      <c r="BR58" s="811" t="str">
        <f t="shared" si="62"/>
        <v/>
      </c>
      <c r="BS58" s="811" t="str">
        <f t="shared" si="62"/>
        <v/>
      </c>
      <c r="BT58" s="811" t="str">
        <f t="shared" si="62"/>
        <v/>
      </c>
      <c r="BU58" s="811" t="str">
        <f t="shared" si="62"/>
        <v/>
      </c>
      <c r="BV58" s="811" t="str">
        <f t="shared" si="63"/>
        <v/>
      </c>
      <c r="BW58" s="811" t="str">
        <f t="shared" si="63"/>
        <v/>
      </c>
      <c r="BX58" s="811" t="str">
        <f t="shared" si="63"/>
        <v/>
      </c>
      <c r="BY58" s="811" t="str">
        <f t="shared" si="63"/>
        <v/>
      </c>
      <c r="BZ58" s="811" t="str">
        <f t="shared" si="63"/>
        <v/>
      </c>
      <c r="CA58" s="811" t="str">
        <f t="shared" si="63"/>
        <v/>
      </c>
      <c r="CB58" s="811" t="str">
        <f t="shared" si="63"/>
        <v/>
      </c>
      <c r="CC58" s="811" t="str">
        <f t="shared" si="63"/>
        <v/>
      </c>
      <c r="CD58" s="811" t="str">
        <f t="shared" si="63"/>
        <v/>
      </c>
      <c r="CE58" s="811" t="str">
        <f t="shared" si="63"/>
        <v/>
      </c>
      <c r="CF58" s="811" t="str">
        <f t="shared" si="64"/>
        <v/>
      </c>
      <c r="CG58" s="811" t="str">
        <f t="shared" si="64"/>
        <v/>
      </c>
      <c r="CH58" s="811" t="str">
        <f t="shared" si="64"/>
        <v/>
      </c>
      <c r="CI58" s="811" t="str">
        <f t="shared" si="64"/>
        <v/>
      </c>
      <c r="CJ58" s="811" t="str">
        <f t="shared" si="64"/>
        <v/>
      </c>
      <c r="CK58" s="811" t="str">
        <f t="shared" si="64"/>
        <v/>
      </c>
      <c r="CL58" s="811" t="str">
        <f t="shared" si="64"/>
        <v/>
      </c>
      <c r="CM58" s="811" t="str">
        <f t="shared" si="64"/>
        <v/>
      </c>
      <c r="CN58" s="811" t="str">
        <f t="shared" si="64"/>
        <v/>
      </c>
      <c r="CO58" s="811" t="str">
        <f t="shared" si="64"/>
        <v/>
      </c>
      <c r="CP58" s="811" t="str">
        <f t="shared" si="65"/>
        <v/>
      </c>
      <c r="CQ58" s="811" t="str">
        <f t="shared" si="65"/>
        <v/>
      </c>
      <c r="CR58" s="811" t="str">
        <f t="shared" si="65"/>
        <v/>
      </c>
      <c r="CS58" s="811" t="str">
        <f t="shared" si="65"/>
        <v/>
      </c>
      <c r="CT58" s="811" t="str">
        <f t="shared" si="65"/>
        <v/>
      </c>
      <c r="CU58" s="811" t="str">
        <f t="shared" si="65"/>
        <v/>
      </c>
      <c r="CV58" s="811" t="str">
        <f t="shared" si="65"/>
        <v/>
      </c>
      <c r="CW58" s="811" t="str">
        <f t="shared" si="65"/>
        <v/>
      </c>
      <c r="CX58" s="811" t="str">
        <f t="shared" si="65"/>
        <v/>
      </c>
      <c r="CY58" s="811" t="str">
        <f t="shared" si="65"/>
        <v/>
      </c>
      <c r="CZ58" s="811" t="str">
        <f t="shared" si="66"/>
        <v/>
      </c>
      <c r="DA58" s="811" t="str">
        <f t="shared" si="66"/>
        <v/>
      </c>
      <c r="DB58" s="811" t="str">
        <f t="shared" si="66"/>
        <v/>
      </c>
      <c r="DC58" s="811" t="str">
        <f t="shared" si="66"/>
        <v/>
      </c>
      <c r="DD58" s="811" t="str">
        <f t="shared" si="66"/>
        <v/>
      </c>
      <c r="DE58" s="811" t="str">
        <f t="shared" si="66"/>
        <v/>
      </c>
      <c r="DF58" s="811" t="str">
        <f t="shared" si="66"/>
        <v/>
      </c>
      <c r="DG58" s="811" t="str">
        <f t="shared" si="66"/>
        <v/>
      </c>
      <c r="DH58" s="811" t="str">
        <f t="shared" si="66"/>
        <v/>
      </c>
      <c r="DI58" s="811" t="str">
        <f t="shared" si="66"/>
        <v/>
      </c>
      <c r="DJ58" s="811" t="str">
        <f t="shared" si="66"/>
        <v/>
      </c>
      <c r="DK58" s="811" t="str">
        <f t="shared" si="66"/>
        <v/>
      </c>
    </row>
    <row r="59" spans="2:115" ht="20.100000000000001" customHeight="1" x14ac:dyDescent="0.2">
      <c r="B59" s="815" t="s">
        <v>683</v>
      </c>
      <c r="C59" s="816"/>
      <c r="D59" s="814"/>
      <c r="E59" s="776"/>
      <c r="F59" s="817"/>
      <c r="G59" s="776"/>
      <c r="H59" s="817"/>
      <c r="I59" s="806"/>
      <c r="J59" s="795" t="str">
        <f t="shared" si="13"/>
        <v/>
      </c>
      <c r="K59" s="795" t="str">
        <f t="shared" si="14"/>
        <v/>
      </c>
      <c r="L59" s="810" t="str">
        <f t="shared" si="26"/>
        <v/>
      </c>
      <c r="M59" s="809" t="str">
        <f t="shared" si="15"/>
        <v/>
      </c>
      <c r="N59" s="811" t="str">
        <f t="shared" si="57"/>
        <v/>
      </c>
      <c r="O59" s="811" t="str">
        <f t="shared" si="57"/>
        <v/>
      </c>
      <c r="P59" s="811" t="str">
        <f t="shared" si="57"/>
        <v/>
      </c>
      <c r="Q59" s="811" t="str">
        <f t="shared" si="57"/>
        <v/>
      </c>
      <c r="R59" s="811" t="str">
        <f t="shared" si="57"/>
        <v/>
      </c>
      <c r="S59" s="811" t="str">
        <f t="shared" si="57"/>
        <v/>
      </c>
      <c r="T59" s="811" t="str">
        <f t="shared" si="57"/>
        <v/>
      </c>
      <c r="U59" s="811" t="str">
        <f t="shared" si="57"/>
        <v/>
      </c>
      <c r="V59" s="811" t="str">
        <f t="shared" si="57"/>
        <v/>
      </c>
      <c r="W59" s="811" t="str">
        <f t="shared" si="57"/>
        <v/>
      </c>
      <c r="X59" s="811" t="str">
        <f t="shared" si="58"/>
        <v/>
      </c>
      <c r="Y59" s="811" t="str">
        <f t="shared" si="58"/>
        <v/>
      </c>
      <c r="Z59" s="811" t="str">
        <f t="shared" si="58"/>
        <v/>
      </c>
      <c r="AA59" s="811" t="str">
        <f t="shared" si="58"/>
        <v/>
      </c>
      <c r="AB59" s="811" t="str">
        <f t="shared" si="58"/>
        <v/>
      </c>
      <c r="AC59" s="811" t="str">
        <f t="shared" si="58"/>
        <v/>
      </c>
      <c r="AD59" s="811" t="str">
        <f t="shared" si="58"/>
        <v/>
      </c>
      <c r="AE59" s="811" t="str">
        <f t="shared" si="58"/>
        <v/>
      </c>
      <c r="AF59" s="811" t="str">
        <f t="shared" si="58"/>
        <v/>
      </c>
      <c r="AG59" s="811" t="str">
        <f t="shared" si="58"/>
        <v/>
      </c>
      <c r="AH59" s="811" t="str">
        <f t="shared" si="59"/>
        <v/>
      </c>
      <c r="AI59" s="811" t="str">
        <f t="shared" si="59"/>
        <v/>
      </c>
      <c r="AJ59" s="811" t="str">
        <f t="shared" si="59"/>
        <v/>
      </c>
      <c r="AK59" s="811" t="str">
        <f t="shared" si="59"/>
        <v/>
      </c>
      <c r="AL59" s="811" t="str">
        <f t="shared" si="59"/>
        <v/>
      </c>
      <c r="AM59" s="811" t="str">
        <f t="shared" si="59"/>
        <v/>
      </c>
      <c r="AN59" s="811" t="str">
        <f t="shared" si="59"/>
        <v/>
      </c>
      <c r="AO59" s="811" t="str">
        <f t="shared" si="59"/>
        <v/>
      </c>
      <c r="AP59" s="811" t="str">
        <f t="shared" si="59"/>
        <v/>
      </c>
      <c r="AQ59" s="811" t="str">
        <f t="shared" si="59"/>
        <v/>
      </c>
      <c r="AR59" s="811" t="str">
        <f t="shared" si="60"/>
        <v/>
      </c>
      <c r="AS59" s="811" t="str">
        <f t="shared" si="60"/>
        <v/>
      </c>
      <c r="AT59" s="811" t="str">
        <f t="shared" si="60"/>
        <v/>
      </c>
      <c r="AU59" s="811" t="str">
        <f t="shared" si="60"/>
        <v/>
      </c>
      <c r="AV59" s="811" t="str">
        <f t="shared" si="60"/>
        <v/>
      </c>
      <c r="AW59" s="811" t="str">
        <f t="shared" si="60"/>
        <v/>
      </c>
      <c r="AX59" s="811" t="str">
        <f t="shared" si="60"/>
        <v/>
      </c>
      <c r="AY59" s="811" t="str">
        <f t="shared" si="60"/>
        <v/>
      </c>
      <c r="AZ59" s="811" t="str">
        <f t="shared" si="60"/>
        <v/>
      </c>
      <c r="BA59" s="811" t="str">
        <f t="shared" si="60"/>
        <v/>
      </c>
      <c r="BB59" s="811" t="str">
        <f t="shared" si="61"/>
        <v/>
      </c>
      <c r="BC59" s="811" t="str">
        <f t="shared" si="61"/>
        <v/>
      </c>
      <c r="BD59" s="811" t="str">
        <f t="shared" si="61"/>
        <v/>
      </c>
      <c r="BE59" s="811" t="str">
        <f t="shared" si="61"/>
        <v/>
      </c>
      <c r="BF59" s="811" t="str">
        <f t="shared" si="61"/>
        <v/>
      </c>
      <c r="BG59" s="811" t="str">
        <f t="shared" si="61"/>
        <v/>
      </c>
      <c r="BH59" s="811" t="str">
        <f t="shared" si="61"/>
        <v/>
      </c>
      <c r="BI59" s="811" t="str">
        <f t="shared" si="61"/>
        <v/>
      </c>
      <c r="BJ59" s="811" t="str">
        <f t="shared" si="61"/>
        <v/>
      </c>
      <c r="BK59" s="811" t="str">
        <f t="shared" si="61"/>
        <v/>
      </c>
      <c r="BL59" s="811" t="str">
        <f t="shared" si="62"/>
        <v/>
      </c>
      <c r="BM59" s="811" t="str">
        <f t="shared" si="62"/>
        <v/>
      </c>
      <c r="BN59" s="811" t="str">
        <f t="shared" si="62"/>
        <v/>
      </c>
      <c r="BO59" s="811" t="str">
        <f t="shared" si="62"/>
        <v/>
      </c>
      <c r="BP59" s="811" t="str">
        <f t="shared" si="62"/>
        <v/>
      </c>
      <c r="BQ59" s="811" t="str">
        <f t="shared" si="62"/>
        <v/>
      </c>
      <c r="BR59" s="811" t="str">
        <f t="shared" si="62"/>
        <v/>
      </c>
      <c r="BS59" s="811" t="str">
        <f t="shared" si="62"/>
        <v/>
      </c>
      <c r="BT59" s="811" t="str">
        <f t="shared" si="62"/>
        <v/>
      </c>
      <c r="BU59" s="811" t="str">
        <f t="shared" si="62"/>
        <v/>
      </c>
      <c r="BV59" s="811" t="str">
        <f t="shared" si="63"/>
        <v/>
      </c>
      <c r="BW59" s="811" t="str">
        <f t="shared" si="63"/>
        <v/>
      </c>
      <c r="BX59" s="811" t="str">
        <f t="shared" si="63"/>
        <v/>
      </c>
      <c r="BY59" s="811" t="str">
        <f t="shared" si="63"/>
        <v/>
      </c>
      <c r="BZ59" s="811" t="str">
        <f t="shared" si="63"/>
        <v/>
      </c>
      <c r="CA59" s="811" t="str">
        <f t="shared" si="63"/>
        <v/>
      </c>
      <c r="CB59" s="811" t="str">
        <f t="shared" si="63"/>
        <v/>
      </c>
      <c r="CC59" s="811" t="str">
        <f t="shared" si="63"/>
        <v/>
      </c>
      <c r="CD59" s="811" t="str">
        <f t="shared" si="63"/>
        <v/>
      </c>
      <c r="CE59" s="811" t="str">
        <f t="shared" si="63"/>
        <v/>
      </c>
      <c r="CF59" s="811" t="str">
        <f t="shared" si="64"/>
        <v/>
      </c>
      <c r="CG59" s="811" t="str">
        <f t="shared" si="64"/>
        <v/>
      </c>
      <c r="CH59" s="811" t="str">
        <f t="shared" si="64"/>
        <v/>
      </c>
      <c r="CI59" s="811" t="str">
        <f t="shared" si="64"/>
        <v/>
      </c>
      <c r="CJ59" s="811" t="str">
        <f t="shared" si="64"/>
        <v/>
      </c>
      <c r="CK59" s="811" t="str">
        <f t="shared" si="64"/>
        <v/>
      </c>
      <c r="CL59" s="811" t="str">
        <f t="shared" si="64"/>
        <v/>
      </c>
      <c r="CM59" s="811" t="str">
        <f t="shared" si="64"/>
        <v/>
      </c>
      <c r="CN59" s="811" t="str">
        <f t="shared" si="64"/>
        <v/>
      </c>
      <c r="CO59" s="811" t="str">
        <f t="shared" si="64"/>
        <v/>
      </c>
      <c r="CP59" s="811" t="str">
        <f t="shared" si="65"/>
        <v/>
      </c>
      <c r="CQ59" s="811" t="str">
        <f t="shared" si="65"/>
        <v/>
      </c>
      <c r="CR59" s="811" t="str">
        <f t="shared" si="65"/>
        <v/>
      </c>
      <c r="CS59" s="811" t="str">
        <f t="shared" si="65"/>
        <v/>
      </c>
      <c r="CT59" s="811" t="str">
        <f t="shared" si="65"/>
        <v/>
      </c>
      <c r="CU59" s="811" t="str">
        <f t="shared" si="65"/>
        <v/>
      </c>
      <c r="CV59" s="811" t="str">
        <f t="shared" si="65"/>
        <v/>
      </c>
      <c r="CW59" s="811" t="str">
        <f t="shared" si="65"/>
        <v/>
      </c>
      <c r="CX59" s="811" t="str">
        <f t="shared" si="65"/>
        <v/>
      </c>
      <c r="CY59" s="811" t="str">
        <f t="shared" si="65"/>
        <v/>
      </c>
      <c r="CZ59" s="811" t="str">
        <f t="shared" si="66"/>
        <v/>
      </c>
      <c r="DA59" s="811" t="str">
        <f t="shared" si="66"/>
        <v/>
      </c>
      <c r="DB59" s="811" t="str">
        <f t="shared" si="66"/>
        <v/>
      </c>
      <c r="DC59" s="811" t="str">
        <f t="shared" si="66"/>
        <v/>
      </c>
      <c r="DD59" s="811" t="str">
        <f t="shared" si="66"/>
        <v/>
      </c>
      <c r="DE59" s="811" t="str">
        <f t="shared" si="66"/>
        <v/>
      </c>
      <c r="DF59" s="811" t="str">
        <f t="shared" si="66"/>
        <v/>
      </c>
      <c r="DG59" s="811" t="str">
        <f t="shared" si="66"/>
        <v/>
      </c>
      <c r="DH59" s="811" t="str">
        <f t="shared" si="66"/>
        <v/>
      </c>
      <c r="DI59" s="811" t="str">
        <f t="shared" si="66"/>
        <v/>
      </c>
      <c r="DJ59" s="811" t="str">
        <f t="shared" si="66"/>
        <v/>
      </c>
      <c r="DK59" s="811" t="str">
        <f t="shared" si="66"/>
        <v/>
      </c>
    </row>
    <row r="60" spans="2:115" ht="20.100000000000001" customHeight="1" x14ac:dyDescent="0.2">
      <c r="B60" s="815" t="s">
        <v>836</v>
      </c>
      <c r="C60" s="816">
        <v>1</v>
      </c>
      <c r="D60" s="814">
        <v>308.04297443315062</v>
      </c>
      <c r="E60" s="776">
        <v>35976</v>
      </c>
      <c r="F60" s="817">
        <v>70</v>
      </c>
      <c r="G60" s="776">
        <v>44835</v>
      </c>
      <c r="H60" s="817">
        <v>1</v>
      </c>
      <c r="I60" s="806"/>
      <c r="J60" s="795">
        <f t="shared" si="13"/>
        <v>36130</v>
      </c>
      <c r="K60" s="795">
        <f t="shared" si="14"/>
        <v>44896</v>
      </c>
      <c r="L60" s="810">
        <f t="shared" si="26"/>
        <v>4.7534246575342465</v>
      </c>
      <c r="M60" s="809" t="str">
        <f t="shared" si="15"/>
        <v>Carpentaria Gas Pipeline (100%)</v>
      </c>
      <c r="N60" s="811" t="str">
        <f t="shared" si="57"/>
        <v/>
      </c>
      <c r="O60" s="811" t="str">
        <f t="shared" si="57"/>
        <v/>
      </c>
      <c r="P60" s="811" t="str">
        <f t="shared" si="57"/>
        <v/>
      </c>
      <c r="Q60" s="811" t="str">
        <f t="shared" si="57"/>
        <v/>
      </c>
      <c r="R60" s="811" t="str">
        <f t="shared" si="57"/>
        <v/>
      </c>
      <c r="S60" s="811" t="str">
        <f t="shared" si="57"/>
        <v/>
      </c>
      <c r="T60" s="811" t="str">
        <f t="shared" si="57"/>
        <v/>
      </c>
      <c r="U60" s="811" t="str">
        <f t="shared" si="57"/>
        <v/>
      </c>
      <c r="V60" s="811" t="str">
        <f t="shared" si="57"/>
        <v/>
      </c>
      <c r="W60" s="811" t="str">
        <f t="shared" si="57"/>
        <v/>
      </c>
      <c r="X60" s="811" t="str">
        <f t="shared" si="58"/>
        <v/>
      </c>
      <c r="Y60" s="811" t="str">
        <f t="shared" si="58"/>
        <v/>
      </c>
      <c r="Z60" s="811" t="str">
        <f t="shared" si="58"/>
        <v/>
      </c>
      <c r="AA60" s="811" t="str">
        <f t="shared" si="58"/>
        <v/>
      </c>
      <c r="AB60" s="811" t="str">
        <f t="shared" si="58"/>
        <v/>
      </c>
      <c r="AC60" s="811" t="str">
        <f t="shared" si="58"/>
        <v/>
      </c>
      <c r="AD60" s="811" t="str">
        <f t="shared" si="58"/>
        <v/>
      </c>
      <c r="AE60" s="811" t="str">
        <f t="shared" si="58"/>
        <v/>
      </c>
      <c r="AF60" s="811" t="str">
        <f t="shared" si="58"/>
        <v/>
      </c>
      <c r="AG60" s="811" t="str">
        <f t="shared" si="58"/>
        <v/>
      </c>
      <c r="AH60" s="811" t="str">
        <f t="shared" si="59"/>
        <v/>
      </c>
      <c r="AI60" s="811" t="str">
        <f t="shared" si="59"/>
        <v/>
      </c>
      <c r="AJ60" s="811" t="str">
        <f t="shared" si="59"/>
        <v/>
      </c>
      <c r="AK60" s="811" t="str">
        <f t="shared" si="59"/>
        <v/>
      </c>
      <c r="AL60" s="811" t="str">
        <f t="shared" si="59"/>
        <v/>
      </c>
      <c r="AM60" s="811" t="str">
        <f t="shared" si="59"/>
        <v/>
      </c>
      <c r="AN60" s="811" t="str">
        <f t="shared" si="59"/>
        <v/>
      </c>
      <c r="AO60" s="811" t="str">
        <f t="shared" si="59"/>
        <v/>
      </c>
      <c r="AP60" s="811" t="str">
        <f t="shared" si="59"/>
        <v/>
      </c>
      <c r="AQ60" s="811">
        <f t="shared" si="59"/>
        <v>308.04297443315062</v>
      </c>
      <c r="AR60" s="811">
        <f t="shared" si="60"/>
        <v>303.64236051267704</v>
      </c>
      <c r="AS60" s="811">
        <f t="shared" si="60"/>
        <v>299.22969011570905</v>
      </c>
      <c r="AT60" s="811">
        <f t="shared" si="60"/>
        <v>294.82907619523542</v>
      </c>
      <c r="AU60" s="811">
        <f t="shared" si="60"/>
        <v>290.42846227476184</v>
      </c>
      <c r="AV60" s="811">
        <f t="shared" si="60"/>
        <v>286.02784835428827</v>
      </c>
      <c r="AW60" s="811">
        <f t="shared" si="60"/>
        <v>281.61517795732021</v>
      </c>
      <c r="AX60" s="811">
        <f t="shared" si="60"/>
        <v>277.2145640368467</v>
      </c>
      <c r="AY60" s="811">
        <f t="shared" si="60"/>
        <v>272.81395011637306</v>
      </c>
      <c r="AZ60" s="811">
        <f t="shared" si="60"/>
        <v>268.41333619589949</v>
      </c>
      <c r="BA60" s="811">
        <f t="shared" si="60"/>
        <v>264.00066579893149</v>
      </c>
      <c r="BB60" s="811">
        <f t="shared" si="61"/>
        <v>259.60005187845786</v>
      </c>
      <c r="BC60" s="811">
        <f t="shared" si="61"/>
        <v>255.19943795798432</v>
      </c>
      <c r="BD60" s="811">
        <f t="shared" si="61"/>
        <v>250.79882403751074</v>
      </c>
      <c r="BE60" s="811">
        <f t="shared" si="61"/>
        <v>246.38615364054272</v>
      </c>
      <c r="BF60" s="811">
        <f t="shared" si="61"/>
        <v>241.98553972006911</v>
      </c>
      <c r="BG60" s="811">
        <f t="shared" si="61"/>
        <v>237.58492579959551</v>
      </c>
      <c r="BH60" s="811">
        <f t="shared" si="61"/>
        <v>233.18431187912196</v>
      </c>
      <c r="BI60" s="811">
        <f t="shared" si="61"/>
        <v>228.77164148215394</v>
      </c>
      <c r="BJ60" s="811">
        <f t="shared" si="61"/>
        <v>224.37102756168036</v>
      </c>
      <c r="BK60" s="811">
        <f t="shared" si="61"/>
        <v>219.97041364120676</v>
      </c>
      <c r="BL60" s="811">
        <f t="shared" si="62"/>
        <v>215.56979972073319</v>
      </c>
      <c r="BM60" s="811">
        <f t="shared" si="62"/>
        <v>211.15712932376516</v>
      </c>
      <c r="BN60" s="811">
        <f t="shared" si="62"/>
        <v>206.75651540329159</v>
      </c>
      <c r="BO60" s="811">
        <f t="shared" si="62"/>
        <v>202.35590148281801</v>
      </c>
      <c r="BP60" s="811">
        <f t="shared" si="62"/>
        <v>197.95528756234444</v>
      </c>
      <c r="BQ60" s="811">
        <f t="shared" si="62"/>
        <v>193.54261716537641</v>
      </c>
      <c r="BR60" s="811">
        <f t="shared" si="62"/>
        <v>189.14200324490281</v>
      </c>
      <c r="BS60" s="811">
        <f t="shared" si="62"/>
        <v>184.74138932442921</v>
      </c>
      <c r="BT60" s="811">
        <f t="shared" si="62"/>
        <v>180.34077540395566</v>
      </c>
      <c r="BU60" s="811">
        <f t="shared" si="62"/>
        <v>175.92810500698764</v>
      </c>
      <c r="BV60" s="811">
        <f t="shared" si="63"/>
        <v>171.52749108651406</v>
      </c>
      <c r="BW60" s="811">
        <f t="shared" si="63"/>
        <v>167.12687716604046</v>
      </c>
      <c r="BX60" s="811">
        <f t="shared" si="63"/>
        <v>162.72626324556686</v>
      </c>
      <c r="BY60" s="811">
        <f t="shared" si="63"/>
        <v>158.31359284859883</v>
      </c>
      <c r="BZ60" s="811">
        <f t="shared" si="63"/>
        <v>153.91297892812526</v>
      </c>
      <c r="CA60" s="811">
        <f t="shared" si="63"/>
        <v>149.51236500765171</v>
      </c>
      <c r="CB60" s="811">
        <f t="shared" si="63"/>
        <v>145.11175108717811</v>
      </c>
      <c r="CC60" s="811">
        <f t="shared" si="63"/>
        <v>140.69908069021008</v>
      </c>
      <c r="CD60" s="811">
        <f t="shared" si="63"/>
        <v>136.29846676973651</v>
      </c>
      <c r="CE60" s="811">
        <f t="shared" si="63"/>
        <v>131.8978528492629</v>
      </c>
      <c r="CF60" s="811">
        <f t="shared" si="64"/>
        <v>127.49723892878934</v>
      </c>
      <c r="CG60" s="811">
        <f t="shared" si="64"/>
        <v>123.08456853182132</v>
      </c>
      <c r="CH60" s="811">
        <f t="shared" si="64"/>
        <v>118.68395461134776</v>
      </c>
      <c r="CI60" s="811">
        <f t="shared" si="64"/>
        <v>114.28334069087416</v>
      </c>
      <c r="CJ60" s="811">
        <f t="shared" si="64"/>
        <v>109.88272677040059</v>
      </c>
      <c r="CK60" s="811">
        <f t="shared" si="64"/>
        <v>105.47005637343256</v>
      </c>
      <c r="CL60" s="811">
        <f t="shared" si="64"/>
        <v>101.06944245295897</v>
      </c>
      <c r="CM60" s="811">
        <f t="shared" si="64"/>
        <v>96.668828532485392</v>
      </c>
      <c r="CN60" s="811">
        <f t="shared" si="64"/>
        <v>92.268214612011803</v>
      </c>
      <c r="CO60" s="811">
        <f t="shared" si="64"/>
        <v>87.855544215043764</v>
      </c>
      <c r="CP60" s="811">
        <f t="shared" si="65"/>
        <v>83.454930294570204</v>
      </c>
      <c r="CQ60" s="811">
        <f t="shared" si="65"/>
        <v>79.054316374096601</v>
      </c>
      <c r="CR60" s="811">
        <f t="shared" si="65"/>
        <v>74.65370245362304</v>
      </c>
      <c r="CS60" s="811">
        <f t="shared" si="65"/>
        <v>70.241032056655015</v>
      </c>
      <c r="CT60" s="811">
        <f t="shared" si="65"/>
        <v>65.840418136181412</v>
      </c>
      <c r="CU60" s="811">
        <f t="shared" si="65"/>
        <v>61.439804215707852</v>
      </c>
      <c r="CV60" s="811">
        <f t="shared" si="65"/>
        <v>57.039190295234285</v>
      </c>
      <c r="CW60" s="811">
        <f t="shared" si="65"/>
        <v>52.62651989826626</v>
      </c>
      <c r="CX60" s="811">
        <f t="shared" si="65"/>
        <v>48.225905977792657</v>
      </c>
      <c r="CY60" s="811">
        <f t="shared" si="65"/>
        <v>43.825292057319096</v>
      </c>
      <c r="CZ60" s="811">
        <f t="shared" si="66"/>
        <v>39.424678136845493</v>
      </c>
      <c r="DA60" s="811">
        <f t="shared" si="66"/>
        <v>35.012007739877468</v>
      </c>
      <c r="DB60" s="811">
        <f t="shared" si="66"/>
        <v>30.611393819403901</v>
      </c>
      <c r="DC60" s="811">
        <f t="shared" si="66"/>
        <v>26.210779898930301</v>
      </c>
      <c r="DD60" s="811">
        <f t="shared" si="66"/>
        <v>21.810165978456737</v>
      </c>
      <c r="DE60" s="811">
        <f t="shared" si="66"/>
        <v>17.397495581488709</v>
      </c>
      <c r="DF60" s="811">
        <f t="shared" si="66"/>
        <v>12.996881661015109</v>
      </c>
      <c r="DG60" s="811">
        <f t="shared" si="66"/>
        <v>8.5962677405415455</v>
      </c>
      <c r="DH60" s="811">
        <f t="shared" si="66"/>
        <v>4.1956538200679461</v>
      </c>
      <c r="DI60" s="811" t="str">
        <f t="shared" si="66"/>
        <v/>
      </c>
      <c r="DJ60" s="811" t="str">
        <f t="shared" si="66"/>
        <v/>
      </c>
      <c r="DK60" s="811" t="str">
        <f t="shared" si="66"/>
        <v/>
      </c>
    </row>
    <row r="61" spans="2:115" ht="20.100000000000001" customHeight="1" x14ac:dyDescent="0.2">
      <c r="B61" s="815" t="s">
        <v>833</v>
      </c>
      <c r="C61" s="816">
        <v>1</v>
      </c>
      <c r="D61" s="814">
        <v>40</v>
      </c>
      <c r="E61" s="776">
        <v>39965</v>
      </c>
      <c r="F61" s="817">
        <v>40</v>
      </c>
      <c r="G61" s="776">
        <v>47265</v>
      </c>
      <c r="H61" s="817">
        <v>1</v>
      </c>
      <c r="I61" s="806"/>
      <c r="J61" s="795">
        <f t="shared" si="13"/>
        <v>40148</v>
      </c>
      <c r="K61" s="795">
        <f t="shared" si="14"/>
        <v>47453</v>
      </c>
      <c r="L61" s="810">
        <f t="shared" si="26"/>
        <v>11.41095890410959</v>
      </c>
      <c r="M61" s="809" t="str">
        <f t="shared" si="15"/>
        <v>Carpentaria Gas Pipeline expansion (100%)</v>
      </c>
      <c r="N61" s="811" t="str">
        <f t="shared" si="57"/>
        <v/>
      </c>
      <c r="O61" s="811" t="str">
        <f t="shared" si="57"/>
        <v/>
      </c>
      <c r="P61" s="811" t="str">
        <f t="shared" si="57"/>
        <v/>
      </c>
      <c r="Q61" s="811" t="str">
        <f t="shared" si="57"/>
        <v/>
      </c>
      <c r="R61" s="811" t="str">
        <f t="shared" si="57"/>
        <v/>
      </c>
      <c r="S61" s="811" t="str">
        <f t="shared" si="57"/>
        <v/>
      </c>
      <c r="T61" s="811" t="str">
        <f t="shared" si="57"/>
        <v/>
      </c>
      <c r="U61" s="811" t="str">
        <f t="shared" si="57"/>
        <v/>
      </c>
      <c r="V61" s="811" t="str">
        <f t="shared" si="57"/>
        <v/>
      </c>
      <c r="W61" s="811" t="str">
        <f t="shared" si="57"/>
        <v/>
      </c>
      <c r="X61" s="811" t="str">
        <f t="shared" si="58"/>
        <v/>
      </c>
      <c r="Y61" s="811" t="str">
        <f t="shared" si="58"/>
        <v/>
      </c>
      <c r="Z61" s="811" t="str">
        <f t="shared" si="58"/>
        <v/>
      </c>
      <c r="AA61" s="811" t="str">
        <f t="shared" si="58"/>
        <v/>
      </c>
      <c r="AB61" s="811" t="str">
        <f t="shared" si="58"/>
        <v/>
      </c>
      <c r="AC61" s="811" t="str">
        <f t="shared" si="58"/>
        <v/>
      </c>
      <c r="AD61" s="811" t="str">
        <f t="shared" si="58"/>
        <v/>
      </c>
      <c r="AE61" s="811" t="str">
        <f t="shared" si="58"/>
        <v/>
      </c>
      <c r="AF61" s="811" t="str">
        <f t="shared" si="58"/>
        <v/>
      </c>
      <c r="AG61" s="811" t="str">
        <f t="shared" si="58"/>
        <v/>
      </c>
      <c r="AH61" s="811" t="str">
        <f t="shared" si="59"/>
        <v/>
      </c>
      <c r="AI61" s="811" t="str">
        <f t="shared" si="59"/>
        <v/>
      </c>
      <c r="AJ61" s="811" t="str">
        <f t="shared" si="59"/>
        <v/>
      </c>
      <c r="AK61" s="811" t="str">
        <f t="shared" si="59"/>
        <v/>
      </c>
      <c r="AL61" s="811" t="str">
        <f t="shared" si="59"/>
        <v/>
      </c>
      <c r="AM61" s="811" t="str">
        <f t="shared" si="59"/>
        <v/>
      </c>
      <c r="AN61" s="811" t="str">
        <f t="shared" si="59"/>
        <v/>
      </c>
      <c r="AO61" s="811" t="str">
        <f t="shared" si="59"/>
        <v/>
      </c>
      <c r="AP61" s="811" t="str">
        <f t="shared" si="59"/>
        <v/>
      </c>
      <c r="AQ61" s="811" t="str">
        <f t="shared" si="59"/>
        <v/>
      </c>
      <c r="AR61" s="811" t="str">
        <f t="shared" si="60"/>
        <v/>
      </c>
      <c r="AS61" s="811" t="str">
        <f t="shared" si="60"/>
        <v/>
      </c>
      <c r="AT61" s="811" t="str">
        <f t="shared" si="60"/>
        <v/>
      </c>
      <c r="AU61" s="811" t="str">
        <f t="shared" si="60"/>
        <v/>
      </c>
      <c r="AV61" s="811" t="str">
        <f t="shared" si="60"/>
        <v/>
      </c>
      <c r="AW61" s="811" t="str">
        <f t="shared" si="60"/>
        <v/>
      </c>
      <c r="AX61" s="811" t="str">
        <f t="shared" si="60"/>
        <v/>
      </c>
      <c r="AY61" s="811" t="str">
        <f t="shared" si="60"/>
        <v/>
      </c>
      <c r="AZ61" s="811" t="str">
        <f t="shared" si="60"/>
        <v/>
      </c>
      <c r="BA61" s="811" t="str">
        <f t="shared" si="60"/>
        <v/>
      </c>
      <c r="BB61" s="811">
        <f t="shared" si="61"/>
        <v>40</v>
      </c>
      <c r="BC61" s="811">
        <f t="shared" si="61"/>
        <v>39</v>
      </c>
      <c r="BD61" s="811">
        <f t="shared" si="61"/>
        <v>38</v>
      </c>
      <c r="BE61" s="811">
        <f t="shared" si="61"/>
        <v>36.9972602739726</v>
      </c>
      <c r="BF61" s="811">
        <f t="shared" si="61"/>
        <v>35.997260273972607</v>
      </c>
      <c r="BG61" s="811">
        <f t="shared" si="61"/>
        <v>34.9972602739726</v>
      </c>
      <c r="BH61" s="811">
        <f t="shared" si="61"/>
        <v>33.9972602739726</v>
      </c>
      <c r="BI61" s="811">
        <f t="shared" si="61"/>
        <v>32.994520547945207</v>
      </c>
      <c r="BJ61" s="811">
        <f t="shared" si="61"/>
        <v>31.994520547945204</v>
      </c>
      <c r="BK61" s="811">
        <f t="shared" si="61"/>
        <v>30.994520547945204</v>
      </c>
      <c r="BL61" s="811">
        <f t="shared" si="62"/>
        <v>29.994520547945207</v>
      </c>
      <c r="BM61" s="811">
        <f t="shared" si="62"/>
        <v>28.991780821917807</v>
      </c>
      <c r="BN61" s="811">
        <f t="shared" si="62"/>
        <v>27.991780821917807</v>
      </c>
      <c r="BO61" s="811">
        <f t="shared" si="62"/>
        <v>26.991780821917807</v>
      </c>
      <c r="BP61" s="811">
        <f t="shared" si="62"/>
        <v>25.991780821917807</v>
      </c>
      <c r="BQ61" s="811">
        <f t="shared" si="62"/>
        <v>24.989041095890414</v>
      </c>
      <c r="BR61" s="811">
        <f t="shared" si="62"/>
        <v>23.989041095890407</v>
      </c>
      <c r="BS61" s="811">
        <f t="shared" si="62"/>
        <v>22.989041095890414</v>
      </c>
      <c r="BT61" s="811">
        <f t="shared" si="62"/>
        <v>21.989041095890411</v>
      </c>
      <c r="BU61" s="811">
        <f t="shared" si="62"/>
        <v>20.986301369863014</v>
      </c>
      <c r="BV61" s="811">
        <f t="shared" si="63"/>
        <v>19.986301369863014</v>
      </c>
      <c r="BW61" s="811">
        <f t="shared" si="63"/>
        <v>18.986301369863014</v>
      </c>
      <c r="BX61" s="811">
        <f t="shared" si="63"/>
        <v>17.986301369863014</v>
      </c>
      <c r="BY61" s="811">
        <f t="shared" si="63"/>
        <v>16.983561643835618</v>
      </c>
      <c r="BZ61" s="811">
        <f t="shared" si="63"/>
        <v>15.983561643835618</v>
      </c>
      <c r="CA61" s="811">
        <f t="shared" si="63"/>
        <v>14.983561643835618</v>
      </c>
      <c r="CB61" s="811">
        <f t="shared" si="63"/>
        <v>13.983561643835616</v>
      </c>
      <c r="CC61" s="811">
        <f t="shared" si="63"/>
        <v>12.980821917808218</v>
      </c>
      <c r="CD61" s="811">
        <f t="shared" si="63"/>
        <v>11.980821917808218</v>
      </c>
      <c r="CE61" s="811">
        <f t="shared" si="63"/>
        <v>10.980821917808221</v>
      </c>
      <c r="CF61" s="811">
        <f t="shared" si="64"/>
        <v>9.9808219178082211</v>
      </c>
      <c r="CG61" s="811">
        <f t="shared" si="64"/>
        <v>8.9780821917808229</v>
      </c>
      <c r="CH61" s="811">
        <f t="shared" si="64"/>
        <v>7.978082191780822</v>
      </c>
      <c r="CI61" s="811">
        <f t="shared" si="64"/>
        <v>6.9780821917808211</v>
      </c>
      <c r="CJ61" s="811">
        <f t="shared" si="64"/>
        <v>5.9780821917808202</v>
      </c>
      <c r="CK61" s="811">
        <f t="shared" si="64"/>
        <v>4.9753424657534229</v>
      </c>
      <c r="CL61" s="811">
        <f t="shared" si="64"/>
        <v>3.9753424657534264</v>
      </c>
      <c r="CM61" s="811">
        <f t="shared" si="64"/>
        <v>2.9753424657534255</v>
      </c>
      <c r="CN61" s="811">
        <f t="shared" si="64"/>
        <v>1.9753424657534246</v>
      </c>
      <c r="CO61" s="811">
        <f t="shared" si="64"/>
        <v>0.97260273972602729</v>
      </c>
      <c r="CP61" s="811" t="str">
        <f t="shared" si="65"/>
        <v/>
      </c>
      <c r="CQ61" s="811" t="str">
        <f t="shared" si="65"/>
        <v/>
      </c>
      <c r="CR61" s="811" t="str">
        <f t="shared" si="65"/>
        <v/>
      </c>
      <c r="CS61" s="811" t="str">
        <f t="shared" si="65"/>
        <v/>
      </c>
      <c r="CT61" s="811" t="str">
        <f t="shared" si="65"/>
        <v/>
      </c>
      <c r="CU61" s="811" t="str">
        <f t="shared" si="65"/>
        <v/>
      </c>
      <c r="CV61" s="811" t="str">
        <f t="shared" si="65"/>
        <v/>
      </c>
      <c r="CW61" s="811" t="str">
        <f t="shared" si="65"/>
        <v/>
      </c>
      <c r="CX61" s="811" t="str">
        <f t="shared" si="65"/>
        <v/>
      </c>
      <c r="CY61" s="811" t="str">
        <f t="shared" si="65"/>
        <v/>
      </c>
      <c r="CZ61" s="811" t="str">
        <f t="shared" si="66"/>
        <v/>
      </c>
      <c r="DA61" s="811" t="str">
        <f t="shared" si="66"/>
        <v/>
      </c>
      <c r="DB61" s="811" t="str">
        <f t="shared" si="66"/>
        <v/>
      </c>
      <c r="DC61" s="811" t="str">
        <f t="shared" si="66"/>
        <v/>
      </c>
      <c r="DD61" s="811" t="str">
        <f t="shared" si="66"/>
        <v/>
      </c>
      <c r="DE61" s="811" t="str">
        <f t="shared" si="66"/>
        <v/>
      </c>
      <c r="DF61" s="811" t="str">
        <f t="shared" si="66"/>
        <v/>
      </c>
      <c r="DG61" s="811" t="str">
        <f t="shared" si="66"/>
        <v/>
      </c>
      <c r="DH61" s="811" t="str">
        <f t="shared" si="66"/>
        <v/>
      </c>
      <c r="DI61" s="811" t="str">
        <f t="shared" si="66"/>
        <v/>
      </c>
      <c r="DJ61" s="811" t="str">
        <f t="shared" si="66"/>
        <v/>
      </c>
      <c r="DK61" s="811" t="str">
        <f t="shared" si="66"/>
        <v/>
      </c>
    </row>
    <row r="62" spans="2:115" ht="20.100000000000001" customHeight="1" x14ac:dyDescent="0.2">
      <c r="B62" s="815" t="s">
        <v>869</v>
      </c>
      <c r="C62" s="816">
        <v>1</v>
      </c>
      <c r="D62" s="814">
        <v>66</v>
      </c>
      <c r="E62" s="776">
        <v>38930</v>
      </c>
      <c r="F62" s="817">
        <v>70</v>
      </c>
      <c r="G62" s="776">
        <v>46230</v>
      </c>
      <c r="H62" s="817">
        <v>1</v>
      </c>
      <c r="I62" s="806"/>
      <c r="J62" s="795">
        <f t="shared" si="13"/>
        <v>39052</v>
      </c>
      <c r="K62" s="795">
        <f t="shared" si="14"/>
        <v>46357</v>
      </c>
      <c r="L62" s="810">
        <f t="shared" si="26"/>
        <v>8.5753424657534243</v>
      </c>
      <c r="M62" s="809" t="str">
        <f t="shared" si="15"/>
        <v>Central Ranges Pipeline (100%)</v>
      </c>
      <c r="N62" s="811" t="str">
        <f t="shared" si="57"/>
        <v/>
      </c>
      <c r="O62" s="811" t="str">
        <f t="shared" si="57"/>
        <v/>
      </c>
      <c r="P62" s="811" t="str">
        <f t="shared" si="57"/>
        <v/>
      </c>
      <c r="Q62" s="811" t="str">
        <f t="shared" si="57"/>
        <v/>
      </c>
      <c r="R62" s="811" t="str">
        <f t="shared" si="57"/>
        <v/>
      </c>
      <c r="S62" s="811" t="str">
        <f t="shared" si="57"/>
        <v/>
      </c>
      <c r="T62" s="811" t="str">
        <f t="shared" si="57"/>
        <v/>
      </c>
      <c r="U62" s="811" t="str">
        <f t="shared" si="57"/>
        <v/>
      </c>
      <c r="V62" s="811" t="str">
        <f t="shared" si="57"/>
        <v/>
      </c>
      <c r="W62" s="811" t="str">
        <f t="shared" si="57"/>
        <v/>
      </c>
      <c r="X62" s="811" t="str">
        <f t="shared" si="58"/>
        <v/>
      </c>
      <c r="Y62" s="811" t="str">
        <f t="shared" si="58"/>
        <v/>
      </c>
      <c r="Z62" s="811" t="str">
        <f t="shared" si="58"/>
        <v/>
      </c>
      <c r="AA62" s="811" t="str">
        <f t="shared" si="58"/>
        <v/>
      </c>
      <c r="AB62" s="811" t="str">
        <f t="shared" si="58"/>
        <v/>
      </c>
      <c r="AC62" s="811" t="str">
        <f t="shared" si="58"/>
        <v/>
      </c>
      <c r="AD62" s="811" t="str">
        <f t="shared" si="58"/>
        <v/>
      </c>
      <c r="AE62" s="811" t="str">
        <f t="shared" si="58"/>
        <v/>
      </c>
      <c r="AF62" s="811" t="str">
        <f t="shared" si="58"/>
        <v/>
      </c>
      <c r="AG62" s="811" t="str">
        <f t="shared" si="58"/>
        <v/>
      </c>
      <c r="AH62" s="811" t="str">
        <f t="shared" si="59"/>
        <v/>
      </c>
      <c r="AI62" s="811" t="str">
        <f t="shared" si="59"/>
        <v/>
      </c>
      <c r="AJ62" s="811" t="str">
        <f t="shared" si="59"/>
        <v/>
      </c>
      <c r="AK62" s="811" t="str">
        <f t="shared" si="59"/>
        <v/>
      </c>
      <c r="AL62" s="811" t="str">
        <f t="shared" si="59"/>
        <v/>
      </c>
      <c r="AM62" s="811" t="str">
        <f t="shared" si="59"/>
        <v/>
      </c>
      <c r="AN62" s="811" t="str">
        <f t="shared" si="59"/>
        <v/>
      </c>
      <c r="AO62" s="811" t="str">
        <f t="shared" si="59"/>
        <v/>
      </c>
      <c r="AP62" s="811" t="str">
        <f t="shared" si="59"/>
        <v/>
      </c>
      <c r="AQ62" s="811" t="str">
        <f t="shared" si="59"/>
        <v/>
      </c>
      <c r="AR62" s="811" t="str">
        <f t="shared" si="60"/>
        <v/>
      </c>
      <c r="AS62" s="811" t="str">
        <f t="shared" si="60"/>
        <v/>
      </c>
      <c r="AT62" s="811" t="str">
        <f t="shared" si="60"/>
        <v/>
      </c>
      <c r="AU62" s="811" t="str">
        <f t="shared" si="60"/>
        <v/>
      </c>
      <c r="AV62" s="811" t="str">
        <f t="shared" si="60"/>
        <v/>
      </c>
      <c r="AW62" s="811" t="str">
        <f t="shared" si="60"/>
        <v/>
      </c>
      <c r="AX62" s="811" t="str">
        <f t="shared" si="60"/>
        <v/>
      </c>
      <c r="AY62" s="811">
        <f t="shared" si="60"/>
        <v>66</v>
      </c>
      <c r="AZ62" s="811">
        <f t="shared" si="60"/>
        <v>65.057142857142864</v>
      </c>
      <c r="BA62" s="811">
        <f t="shared" si="60"/>
        <v>64.111702544031317</v>
      </c>
      <c r="BB62" s="811">
        <f t="shared" si="61"/>
        <v>63.168845401174167</v>
      </c>
      <c r="BC62" s="811">
        <f t="shared" si="61"/>
        <v>62.225988258317031</v>
      </c>
      <c r="BD62" s="811">
        <f t="shared" si="61"/>
        <v>61.283131115459881</v>
      </c>
      <c r="BE62" s="811">
        <f t="shared" si="61"/>
        <v>60.337690802348334</v>
      </c>
      <c r="BF62" s="811">
        <f t="shared" si="61"/>
        <v>59.394833659491198</v>
      </c>
      <c r="BG62" s="811">
        <f t="shared" si="61"/>
        <v>58.451976516634048</v>
      </c>
      <c r="BH62" s="811">
        <f t="shared" si="61"/>
        <v>57.509119373776912</v>
      </c>
      <c r="BI62" s="811">
        <f t="shared" si="61"/>
        <v>56.563679060665365</v>
      </c>
      <c r="BJ62" s="811">
        <f t="shared" si="61"/>
        <v>55.620821917808215</v>
      </c>
      <c r="BK62" s="811">
        <f t="shared" si="61"/>
        <v>54.677964774951079</v>
      </c>
      <c r="BL62" s="811">
        <f t="shared" si="62"/>
        <v>53.735107632093936</v>
      </c>
      <c r="BM62" s="811">
        <f t="shared" si="62"/>
        <v>52.789667318982389</v>
      </c>
      <c r="BN62" s="811">
        <f t="shared" si="62"/>
        <v>51.846810176125246</v>
      </c>
      <c r="BO62" s="811">
        <f t="shared" si="62"/>
        <v>50.903953033268095</v>
      </c>
      <c r="BP62" s="811">
        <f t="shared" si="62"/>
        <v>49.961095890410959</v>
      </c>
      <c r="BQ62" s="811">
        <f t="shared" si="62"/>
        <v>49.015655577299412</v>
      </c>
      <c r="BR62" s="811">
        <f t="shared" si="62"/>
        <v>48.072798434442269</v>
      </c>
      <c r="BS62" s="811">
        <f t="shared" si="62"/>
        <v>47.129941291585126</v>
      </c>
      <c r="BT62" s="811">
        <f t="shared" si="62"/>
        <v>46.187084148727983</v>
      </c>
      <c r="BU62" s="811">
        <f t="shared" si="62"/>
        <v>45.241643835616443</v>
      </c>
      <c r="BV62" s="811">
        <f t="shared" si="63"/>
        <v>44.298786692759293</v>
      </c>
      <c r="BW62" s="811">
        <f t="shared" si="63"/>
        <v>43.355929549902157</v>
      </c>
      <c r="BX62" s="811">
        <f t="shared" si="63"/>
        <v>42.413072407045014</v>
      </c>
      <c r="BY62" s="811">
        <f t="shared" si="63"/>
        <v>41.467632093933467</v>
      </c>
      <c r="BZ62" s="811">
        <f t="shared" si="63"/>
        <v>40.524774951076324</v>
      </c>
      <c r="CA62" s="811">
        <f t="shared" si="63"/>
        <v>39.581917808219174</v>
      </c>
      <c r="CB62" s="811">
        <f t="shared" si="63"/>
        <v>38.639060665362038</v>
      </c>
      <c r="CC62" s="811">
        <f t="shared" si="63"/>
        <v>37.693620352250491</v>
      </c>
      <c r="CD62" s="811">
        <f t="shared" si="63"/>
        <v>36.750763209393348</v>
      </c>
      <c r="CE62" s="811">
        <f t="shared" si="63"/>
        <v>35.807906066536205</v>
      </c>
      <c r="CF62" s="811">
        <f t="shared" si="64"/>
        <v>34.865048923679055</v>
      </c>
      <c r="CG62" s="811">
        <f t="shared" si="64"/>
        <v>33.919608610567508</v>
      </c>
      <c r="CH62" s="811">
        <f t="shared" si="64"/>
        <v>32.976751467710372</v>
      </c>
      <c r="CI62" s="811">
        <f t="shared" si="64"/>
        <v>32.033894324853229</v>
      </c>
      <c r="CJ62" s="811">
        <f t="shared" si="64"/>
        <v>31.091037181996082</v>
      </c>
      <c r="CK62" s="811">
        <f t="shared" si="64"/>
        <v>30.145596868884539</v>
      </c>
      <c r="CL62" s="811">
        <f t="shared" si="64"/>
        <v>29.202739726027399</v>
      </c>
      <c r="CM62" s="811">
        <f t="shared" si="64"/>
        <v>28.259882583170253</v>
      </c>
      <c r="CN62" s="811">
        <f t="shared" si="64"/>
        <v>27.317025440313113</v>
      </c>
      <c r="CO62" s="811">
        <f t="shared" si="64"/>
        <v>26.371585127201566</v>
      </c>
      <c r="CP62" s="811">
        <f t="shared" si="65"/>
        <v>25.428727984344427</v>
      </c>
      <c r="CQ62" s="811">
        <f t="shared" si="65"/>
        <v>24.48587084148728</v>
      </c>
      <c r="CR62" s="811">
        <f t="shared" si="65"/>
        <v>23.543013698630141</v>
      </c>
      <c r="CS62" s="811">
        <f t="shared" si="65"/>
        <v>22.597573385518594</v>
      </c>
      <c r="CT62" s="811">
        <f t="shared" si="65"/>
        <v>21.654716242661447</v>
      </c>
      <c r="CU62" s="811">
        <f t="shared" si="65"/>
        <v>20.711859099804308</v>
      </c>
      <c r="CV62" s="811">
        <f t="shared" si="65"/>
        <v>19.769001956947161</v>
      </c>
      <c r="CW62" s="811">
        <f t="shared" si="65"/>
        <v>18.823561643835614</v>
      </c>
      <c r="CX62" s="811">
        <f t="shared" si="65"/>
        <v>17.880704500978474</v>
      </c>
      <c r="CY62" s="811">
        <f t="shared" si="65"/>
        <v>16.937847358121328</v>
      </c>
      <c r="CZ62" s="811">
        <f t="shared" si="66"/>
        <v>15.994990215264188</v>
      </c>
      <c r="DA62" s="811">
        <f t="shared" si="66"/>
        <v>15.049549902152643</v>
      </c>
      <c r="DB62" s="811">
        <f t="shared" si="66"/>
        <v>14.106692759295496</v>
      </c>
      <c r="DC62" s="811">
        <f t="shared" si="66"/>
        <v>13.163835616438357</v>
      </c>
      <c r="DD62" s="811">
        <f t="shared" si="66"/>
        <v>12.220978473581217</v>
      </c>
      <c r="DE62" s="811">
        <f t="shared" si="66"/>
        <v>11.275538160469671</v>
      </c>
      <c r="DF62" s="811">
        <f t="shared" si="66"/>
        <v>10.332681017612524</v>
      </c>
      <c r="DG62" s="811">
        <f t="shared" si="66"/>
        <v>9.3898238747553844</v>
      </c>
      <c r="DH62" s="811">
        <f t="shared" si="66"/>
        <v>8.4469667318982378</v>
      </c>
      <c r="DI62" s="811">
        <f t="shared" si="66"/>
        <v>7.5015264187866917</v>
      </c>
      <c r="DJ62" s="811">
        <f t="shared" si="66"/>
        <v>6.5586692759295522</v>
      </c>
      <c r="DK62" s="811">
        <f t="shared" si="66"/>
        <v>5.6158121330724047</v>
      </c>
    </row>
    <row r="63" spans="2:115" ht="20.100000000000001" customHeight="1" x14ac:dyDescent="0.2">
      <c r="B63" s="815" t="s">
        <v>856</v>
      </c>
      <c r="C63" s="816">
        <v>1</v>
      </c>
      <c r="D63" s="814">
        <v>30</v>
      </c>
      <c r="E63" s="776">
        <v>36678</v>
      </c>
      <c r="F63" s="817">
        <v>70</v>
      </c>
      <c r="G63" s="776">
        <v>43978</v>
      </c>
      <c r="H63" s="817">
        <v>1</v>
      </c>
      <c r="I63" s="806"/>
      <c r="J63" s="795">
        <f t="shared" si="13"/>
        <v>36861</v>
      </c>
      <c r="K63" s="795">
        <f t="shared" si="14"/>
        <v>44166</v>
      </c>
      <c r="L63" s="810">
        <f t="shared" si="26"/>
        <v>2.4054794520547946</v>
      </c>
      <c r="M63" s="809" t="str">
        <f t="shared" si="15"/>
        <v>Central West Pipeline (100%)</v>
      </c>
      <c r="N63" s="811" t="str">
        <f t="shared" si="57"/>
        <v/>
      </c>
      <c r="O63" s="811" t="str">
        <f t="shared" si="57"/>
        <v/>
      </c>
      <c r="P63" s="811" t="str">
        <f t="shared" si="57"/>
        <v/>
      </c>
      <c r="Q63" s="811" t="str">
        <f t="shared" si="57"/>
        <v/>
      </c>
      <c r="R63" s="811" t="str">
        <f t="shared" si="57"/>
        <v/>
      </c>
      <c r="S63" s="811" t="str">
        <f t="shared" si="57"/>
        <v/>
      </c>
      <c r="T63" s="811" t="str">
        <f t="shared" si="57"/>
        <v/>
      </c>
      <c r="U63" s="811" t="str">
        <f t="shared" si="57"/>
        <v/>
      </c>
      <c r="V63" s="811" t="str">
        <f t="shared" si="57"/>
        <v/>
      </c>
      <c r="W63" s="811" t="str">
        <f t="shared" si="57"/>
        <v/>
      </c>
      <c r="X63" s="811" t="str">
        <f t="shared" si="58"/>
        <v/>
      </c>
      <c r="Y63" s="811" t="str">
        <f t="shared" si="58"/>
        <v/>
      </c>
      <c r="Z63" s="811" t="str">
        <f t="shared" si="58"/>
        <v/>
      </c>
      <c r="AA63" s="811" t="str">
        <f t="shared" si="58"/>
        <v/>
      </c>
      <c r="AB63" s="811" t="str">
        <f t="shared" si="58"/>
        <v/>
      </c>
      <c r="AC63" s="811" t="str">
        <f t="shared" si="58"/>
        <v/>
      </c>
      <c r="AD63" s="811" t="str">
        <f t="shared" si="58"/>
        <v/>
      </c>
      <c r="AE63" s="811" t="str">
        <f t="shared" si="58"/>
        <v/>
      </c>
      <c r="AF63" s="811" t="str">
        <f t="shared" si="58"/>
        <v/>
      </c>
      <c r="AG63" s="811" t="str">
        <f t="shared" si="58"/>
        <v/>
      </c>
      <c r="AH63" s="811" t="str">
        <f t="shared" si="59"/>
        <v/>
      </c>
      <c r="AI63" s="811" t="str">
        <f t="shared" si="59"/>
        <v/>
      </c>
      <c r="AJ63" s="811" t="str">
        <f t="shared" si="59"/>
        <v/>
      </c>
      <c r="AK63" s="811" t="str">
        <f t="shared" si="59"/>
        <v/>
      </c>
      <c r="AL63" s="811" t="str">
        <f t="shared" si="59"/>
        <v/>
      </c>
      <c r="AM63" s="811" t="str">
        <f t="shared" si="59"/>
        <v/>
      </c>
      <c r="AN63" s="811" t="str">
        <f t="shared" si="59"/>
        <v/>
      </c>
      <c r="AO63" s="811" t="str">
        <f t="shared" si="59"/>
        <v/>
      </c>
      <c r="AP63" s="811" t="str">
        <f t="shared" si="59"/>
        <v/>
      </c>
      <c r="AQ63" s="811" t="str">
        <f t="shared" si="59"/>
        <v/>
      </c>
      <c r="AR63" s="811" t="str">
        <f t="shared" si="60"/>
        <v/>
      </c>
      <c r="AS63" s="811">
        <f t="shared" si="60"/>
        <v>30</v>
      </c>
      <c r="AT63" s="811">
        <f t="shared" si="60"/>
        <v>29.571428571428573</v>
      </c>
      <c r="AU63" s="811">
        <f t="shared" si="60"/>
        <v>29.142857142857142</v>
      </c>
      <c r="AV63" s="811">
        <f t="shared" si="60"/>
        <v>28.714285714285715</v>
      </c>
      <c r="AW63" s="811">
        <f t="shared" si="60"/>
        <v>28.284540117416832</v>
      </c>
      <c r="AX63" s="811">
        <f t="shared" si="60"/>
        <v>27.855968688845401</v>
      </c>
      <c r="AY63" s="811">
        <f t="shared" si="60"/>
        <v>27.427397260273974</v>
      </c>
      <c r="AZ63" s="811">
        <f t="shared" si="60"/>
        <v>26.998825831702543</v>
      </c>
      <c r="BA63" s="811">
        <f t="shared" si="60"/>
        <v>26.56908023483366</v>
      </c>
      <c r="BB63" s="811">
        <f t="shared" si="61"/>
        <v>26.140508806262233</v>
      </c>
      <c r="BC63" s="811">
        <f t="shared" si="61"/>
        <v>25.711937377690802</v>
      </c>
      <c r="BD63" s="811">
        <f t="shared" si="61"/>
        <v>25.283365949119375</v>
      </c>
      <c r="BE63" s="811">
        <f t="shared" si="61"/>
        <v>24.853620352250488</v>
      </c>
      <c r="BF63" s="811">
        <f t="shared" si="61"/>
        <v>24.425048923679064</v>
      </c>
      <c r="BG63" s="811">
        <f t="shared" si="61"/>
        <v>23.996477495107634</v>
      </c>
      <c r="BH63" s="811">
        <f t="shared" si="61"/>
        <v>23.567906066536203</v>
      </c>
      <c r="BI63" s="811">
        <f t="shared" si="61"/>
        <v>23.138160469667316</v>
      </c>
      <c r="BJ63" s="811">
        <f t="shared" si="61"/>
        <v>22.709589041095889</v>
      </c>
      <c r="BK63" s="811">
        <f t="shared" si="61"/>
        <v>22.281017612524462</v>
      </c>
      <c r="BL63" s="811">
        <f t="shared" si="62"/>
        <v>21.852446183953031</v>
      </c>
      <c r="BM63" s="811">
        <f t="shared" si="62"/>
        <v>21.422700587084147</v>
      </c>
      <c r="BN63" s="811">
        <f t="shared" si="62"/>
        <v>20.99412915851272</v>
      </c>
      <c r="BO63" s="811">
        <f t="shared" si="62"/>
        <v>20.56555772994129</v>
      </c>
      <c r="BP63" s="811">
        <f t="shared" si="62"/>
        <v>20.136986301369863</v>
      </c>
      <c r="BQ63" s="811">
        <f t="shared" si="62"/>
        <v>19.707240704500979</v>
      </c>
      <c r="BR63" s="811">
        <f t="shared" si="62"/>
        <v>19.278669275929552</v>
      </c>
      <c r="BS63" s="811">
        <f t="shared" si="62"/>
        <v>18.850097847358121</v>
      </c>
      <c r="BT63" s="811">
        <f t="shared" si="62"/>
        <v>18.421526418786691</v>
      </c>
      <c r="BU63" s="811">
        <f t="shared" si="62"/>
        <v>17.991780821917807</v>
      </c>
      <c r="BV63" s="811">
        <f t="shared" si="63"/>
        <v>17.56320939334638</v>
      </c>
      <c r="BW63" s="811">
        <f t="shared" si="63"/>
        <v>17.134637964774953</v>
      </c>
      <c r="BX63" s="811">
        <f t="shared" si="63"/>
        <v>16.706066536203522</v>
      </c>
      <c r="BY63" s="811">
        <f t="shared" si="63"/>
        <v>16.276320939334639</v>
      </c>
      <c r="BZ63" s="811">
        <f t="shared" si="63"/>
        <v>15.847749510763208</v>
      </c>
      <c r="CA63" s="811">
        <f t="shared" si="63"/>
        <v>15.419178082191781</v>
      </c>
      <c r="CB63" s="811">
        <f t="shared" si="63"/>
        <v>14.990606653620354</v>
      </c>
      <c r="CC63" s="811">
        <f t="shared" si="63"/>
        <v>14.560861056751468</v>
      </c>
      <c r="CD63" s="811">
        <f t="shared" si="63"/>
        <v>14.132289628180038</v>
      </c>
      <c r="CE63" s="811">
        <f t="shared" si="63"/>
        <v>13.703718199608611</v>
      </c>
      <c r="CF63" s="811">
        <f t="shared" si="64"/>
        <v>13.27514677103718</v>
      </c>
      <c r="CG63" s="811">
        <f t="shared" si="64"/>
        <v>12.845401174168297</v>
      </c>
      <c r="CH63" s="811">
        <f t="shared" si="64"/>
        <v>12.416829745596869</v>
      </c>
      <c r="CI63" s="811">
        <f t="shared" si="64"/>
        <v>11.988258317025442</v>
      </c>
      <c r="CJ63" s="811">
        <f t="shared" si="64"/>
        <v>11.559686888454012</v>
      </c>
      <c r="CK63" s="811">
        <f t="shared" si="64"/>
        <v>11.129941291585126</v>
      </c>
      <c r="CL63" s="811">
        <f t="shared" si="64"/>
        <v>10.701369863013699</v>
      </c>
      <c r="CM63" s="811">
        <f t="shared" si="64"/>
        <v>10.272798434442269</v>
      </c>
      <c r="CN63" s="811">
        <f t="shared" si="64"/>
        <v>9.8442270058708417</v>
      </c>
      <c r="CO63" s="811">
        <f t="shared" si="64"/>
        <v>9.414481409001958</v>
      </c>
      <c r="CP63" s="811">
        <f t="shared" si="65"/>
        <v>8.9859099804305274</v>
      </c>
      <c r="CQ63" s="811">
        <f t="shared" si="65"/>
        <v>8.5573385518591003</v>
      </c>
      <c r="CR63" s="811">
        <f t="shared" si="65"/>
        <v>8.1287671232876697</v>
      </c>
      <c r="CS63" s="811">
        <f t="shared" si="65"/>
        <v>7.699021526418786</v>
      </c>
      <c r="CT63" s="811">
        <f t="shared" si="65"/>
        <v>7.270450097847359</v>
      </c>
      <c r="CU63" s="811">
        <f t="shared" si="65"/>
        <v>6.8418786692759284</v>
      </c>
      <c r="CV63" s="811">
        <f t="shared" si="65"/>
        <v>6.4133072407045013</v>
      </c>
      <c r="CW63" s="811">
        <f t="shared" si="65"/>
        <v>5.9835616438356167</v>
      </c>
      <c r="CX63" s="811">
        <f t="shared" si="65"/>
        <v>5.5549902152641897</v>
      </c>
      <c r="CY63" s="811">
        <f t="shared" si="65"/>
        <v>5.1264187866927591</v>
      </c>
      <c r="CZ63" s="811">
        <f t="shared" si="66"/>
        <v>4.697847358121332</v>
      </c>
      <c r="DA63" s="811">
        <f t="shared" si="66"/>
        <v>4.2681017612524474</v>
      </c>
      <c r="DB63" s="811">
        <f t="shared" si="66"/>
        <v>3.8395303326810168</v>
      </c>
      <c r="DC63" s="811">
        <f t="shared" si="66"/>
        <v>3.4109589041095898</v>
      </c>
      <c r="DD63" s="811">
        <f t="shared" si="66"/>
        <v>2.9823874755381596</v>
      </c>
      <c r="DE63" s="811">
        <f t="shared" si="66"/>
        <v>2.5526418786692751</v>
      </c>
      <c r="DF63" s="811">
        <f t="shared" si="66"/>
        <v>2.124070450097848</v>
      </c>
      <c r="DG63" s="811">
        <f t="shared" si="66"/>
        <v>1.6954990215264176</v>
      </c>
      <c r="DH63" s="811">
        <f t="shared" si="66"/>
        <v>1.2669275929549906</v>
      </c>
      <c r="DI63" s="811">
        <f t="shared" si="66"/>
        <v>0.837181996086106</v>
      </c>
      <c r="DJ63" s="811">
        <f t="shared" si="66"/>
        <v>0.40861056751467562</v>
      </c>
      <c r="DK63" s="811" t="str">
        <f t="shared" si="66"/>
        <v/>
      </c>
    </row>
    <row r="64" spans="2:115" ht="20.100000000000001" customHeight="1" x14ac:dyDescent="0.2">
      <c r="B64" s="815" t="s">
        <v>721</v>
      </c>
      <c r="C64" s="816">
        <v>1</v>
      </c>
      <c r="D64" s="814">
        <v>15.191814266571454</v>
      </c>
      <c r="E64" s="776">
        <v>35217</v>
      </c>
      <c r="F64" s="817">
        <v>70</v>
      </c>
      <c r="G64" s="776">
        <v>46167</v>
      </c>
      <c r="H64" s="817">
        <v>1</v>
      </c>
      <c r="I64" s="806"/>
      <c r="J64" s="795">
        <f t="shared" si="13"/>
        <v>35400</v>
      </c>
      <c r="K64" s="795">
        <f t="shared" si="14"/>
        <v>46357</v>
      </c>
      <c r="L64" s="810">
        <f t="shared" si="26"/>
        <v>8.4027397260273968</v>
      </c>
      <c r="M64" s="809" t="str">
        <f t="shared" si="15"/>
        <v>Kalgoorlie to Kambalda Pipeline  (100%)</v>
      </c>
      <c r="N64" s="811" t="str">
        <f t="shared" si="57"/>
        <v/>
      </c>
      <c r="O64" s="811" t="str">
        <f t="shared" si="57"/>
        <v/>
      </c>
      <c r="P64" s="811" t="str">
        <f t="shared" si="57"/>
        <v/>
      </c>
      <c r="Q64" s="811" t="str">
        <f t="shared" si="57"/>
        <v/>
      </c>
      <c r="R64" s="811" t="str">
        <f t="shared" si="57"/>
        <v/>
      </c>
      <c r="S64" s="811" t="str">
        <f t="shared" si="57"/>
        <v/>
      </c>
      <c r="T64" s="811" t="str">
        <f t="shared" si="57"/>
        <v/>
      </c>
      <c r="U64" s="811" t="str">
        <f t="shared" si="57"/>
        <v/>
      </c>
      <c r="V64" s="811" t="str">
        <f t="shared" si="57"/>
        <v/>
      </c>
      <c r="W64" s="811" t="str">
        <f t="shared" si="57"/>
        <v/>
      </c>
      <c r="X64" s="811" t="str">
        <f t="shared" si="58"/>
        <v/>
      </c>
      <c r="Y64" s="811" t="str">
        <f t="shared" si="58"/>
        <v/>
      </c>
      <c r="Z64" s="811" t="str">
        <f t="shared" si="58"/>
        <v/>
      </c>
      <c r="AA64" s="811" t="str">
        <f t="shared" si="58"/>
        <v/>
      </c>
      <c r="AB64" s="811" t="str">
        <f t="shared" si="58"/>
        <v/>
      </c>
      <c r="AC64" s="811" t="str">
        <f t="shared" si="58"/>
        <v/>
      </c>
      <c r="AD64" s="811" t="str">
        <f t="shared" si="58"/>
        <v/>
      </c>
      <c r="AE64" s="811" t="str">
        <f t="shared" si="58"/>
        <v/>
      </c>
      <c r="AF64" s="811" t="str">
        <f t="shared" si="58"/>
        <v/>
      </c>
      <c r="AG64" s="811" t="str">
        <f t="shared" si="58"/>
        <v/>
      </c>
      <c r="AH64" s="811" t="str">
        <f t="shared" si="59"/>
        <v/>
      </c>
      <c r="AI64" s="811" t="str">
        <f t="shared" si="59"/>
        <v/>
      </c>
      <c r="AJ64" s="811" t="str">
        <f t="shared" si="59"/>
        <v/>
      </c>
      <c r="AK64" s="811" t="str">
        <f t="shared" si="59"/>
        <v/>
      </c>
      <c r="AL64" s="811" t="str">
        <f t="shared" si="59"/>
        <v/>
      </c>
      <c r="AM64" s="811" t="str">
        <f t="shared" si="59"/>
        <v/>
      </c>
      <c r="AN64" s="811" t="str">
        <f t="shared" si="59"/>
        <v/>
      </c>
      <c r="AO64" s="811">
        <f t="shared" si="59"/>
        <v>15.191814266571454</v>
      </c>
      <c r="AP64" s="811">
        <f t="shared" si="59"/>
        <v>14.974788348477576</v>
      </c>
      <c r="AQ64" s="811">
        <f t="shared" si="59"/>
        <v>14.757762430383698</v>
      </c>
      <c r="AR64" s="811">
        <f t="shared" si="60"/>
        <v>14.54073651228982</v>
      </c>
      <c r="AS64" s="811">
        <f t="shared" si="60"/>
        <v>14.323116002639521</v>
      </c>
      <c r="AT64" s="811">
        <f t="shared" si="60"/>
        <v>14.106090084545642</v>
      </c>
      <c r="AU64" s="811">
        <f t="shared" si="60"/>
        <v>13.889064166451766</v>
      </c>
      <c r="AV64" s="811">
        <f t="shared" si="60"/>
        <v>13.672038248357886</v>
      </c>
      <c r="AW64" s="811">
        <f t="shared" si="60"/>
        <v>13.454417738707587</v>
      </c>
      <c r="AX64" s="811">
        <f t="shared" si="60"/>
        <v>13.237391820613709</v>
      </c>
      <c r="AY64" s="811">
        <f t="shared" si="60"/>
        <v>13.020365902519831</v>
      </c>
      <c r="AZ64" s="811">
        <f t="shared" si="60"/>
        <v>12.803339984425953</v>
      </c>
      <c r="BA64" s="811">
        <f t="shared" si="60"/>
        <v>12.585719474775654</v>
      </c>
      <c r="BB64" s="811">
        <f t="shared" si="61"/>
        <v>12.368693556681777</v>
      </c>
      <c r="BC64" s="811">
        <f t="shared" si="61"/>
        <v>12.151667638587899</v>
      </c>
      <c r="BD64" s="811">
        <f t="shared" si="61"/>
        <v>11.934641720494019</v>
      </c>
      <c r="BE64" s="811">
        <f t="shared" si="61"/>
        <v>11.71702121084372</v>
      </c>
      <c r="BF64" s="811">
        <f t="shared" si="61"/>
        <v>11.499995292749842</v>
      </c>
      <c r="BG64" s="811">
        <f t="shared" si="61"/>
        <v>11.282969374655966</v>
      </c>
      <c r="BH64" s="811">
        <f t="shared" si="61"/>
        <v>11.065943456562087</v>
      </c>
      <c r="BI64" s="811">
        <f t="shared" si="61"/>
        <v>10.848322946911788</v>
      </c>
      <c r="BJ64" s="811">
        <f t="shared" si="61"/>
        <v>10.63129702881791</v>
      </c>
      <c r="BK64" s="811">
        <f t="shared" si="61"/>
        <v>10.414271110724032</v>
      </c>
      <c r="BL64" s="811">
        <f t="shared" si="62"/>
        <v>10.197245192630154</v>
      </c>
      <c r="BM64" s="811">
        <f t="shared" si="62"/>
        <v>9.9796246829798552</v>
      </c>
      <c r="BN64" s="811">
        <f t="shared" si="62"/>
        <v>9.7625987648859773</v>
      </c>
      <c r="BO64" s="811">
        <f t="shared" si="62"/>
        <v>9.5455728467920995</v>
      </c>
      <c r="BP64" s="811">
        <f t="shared" si="62"/>
        <v>9.3285469286982199</v>
      </c>
      <c r="BQ64" s="811">
        <f t="shared" si="62"/>
        <v>9.1109264190479209</v>
      </c>
      <c r="BR64" s="811">
        <f t="shared" si="62"/>
        <v>8.8939005009540431</v>
      </c>
      <c r="BS64" s="811">
        <f t="shared" si="62"/>
        <v>8.6768745828601652</v>
      </c>
      <c r="BT64" s="811">
        <f t="shared" si="62"/>
        <v>8.4598486647662874</v>
      </c>
      <c r="BU64" s="811">
        <f t="shared" si="62"/>
        <v>8.2422281551159884</v>
      </c>
      <c r="BV64" s="811">
        <f t="shared" si="63"/>
        <v>8.0252022370221088</v>
      </c>
      <c r="BW64" s="811">
        <f t="shared" si="63"/>
        <v>7.8081763189282318</v>
      </c>
      <c r="BX64" s="811">
        <f t="shared" si="63"/>
        <v>7.5911504008343549</v>
      </c>
      <c r="BY64" s="811">
        <f t="shared" si="63"/>
        <v>7.373529891184055</v>
      </c>
      <c r="BZ64" s="811">
        <f t="shared" si="63"/>
        <v>7.1565039730901763</v>
      </c>
      <c r="CA64" s="811">
        <f t="shared" si="63"/>
        <v>6.9394780549962993</v>
      </c>
      <c r="CB64" s="811">
        <f t="shared" si="63"/>
        <v>6.7224521369024206</v>
      </c>
      <c r="CC64" s="811">
        <f t="shared" si="63"/>
        <v>6.5048316272521207</v>
      </c>
      <c r="CD64" s="811">
        <f t="shared" si="63"/>
        <v>6.2878057091582438</v>
      </c>
      <c r="CE64" s="811">
        <f t="shared" si="63"/>
        <v>6.0707797910643668</v>
      </c>
      <c r="CF64" s="811">
        <f t="shared" si="64"/>
        <v>5.8537538729704881</v>
      </c>
      <c r="CG64" s="811">
        <f t="shared" si="64"/>
        <v>5.6361333633201882</v>
      </c>
      <c r="CH64" s="811">
        <f t="shared" si="64"/>
        <v>5.4191074452263113</v>
      </c>
      <c r="CI64" s="811">
        <f t="shared" si="64"/>
        <v>5.2020815271324325</v>
      </c>
      <c r="CJ64" s="811">
        <f t="shared" si="64"/>
        <v>4.9850556090385547</v>
      </c>
      <c r="CK64" s="811">
        <f t="shared" si="64"/>
        <v>4.7674350993882557</v>
      </c>
      <c r="CL64" s="811">
        <f t="shared" si="64"/>
        <v>4.550409181294377</v>
      </c>
      <c r="CM64" s="811">
        <f t="shared" si="64"/>
        <v>4.3333832632004992</v>
      </c>
      <c r="CN64" s="811">
        <f t="shared" si="64"/>
        <v>4.1163573451066204</v>
      </c>
      <c r="CO64" s="811">
        <f t="shared" si="64"/>
        <v>3.8987368354563214</v>
      </c>
      <c r="CP64" s="811">
        <f t="shared" si="65"/>
        <v>3.681710917362444</v>
      </c>
      <c r="CQ64" s="811">
        <f t="shared" si="65"/>
        <v>3.4646849992685653</v>
      </c>
      <c r="CR64" s="811">
        <f t="shared" si="65"/>
        <v>3.2476590811746879</v>
      </c>
      <c r="CS64" s="811">
        <f t="shared" si="65"/>
        <v>3.0300385715243885</v>
      </c>
      <c r="CT64" s="811">
        <f t="shared" si="65"/>
        <v>2.8130126534305115</v>
      </c>
      <c r="CU64" s="811">
        <f t="shared" si="65"/>
        <v>2.5959867353366328</v>
      </c>
      <c r="CV64" s="811">
        <f t="shared" si="65"/>
        <v>2.3789608172427554</v>
      </c>
      <c r="CW64" s="811">
        <f t="shared" si="65"/>
        <v>2.161340307592456</v>
      </c>
      <c r="CX64" s="811">
        <f t="shared" si="65"/>
        <v>1.9443143894985773</v>
      </c>
      <c r="CY64" s="811">
        <f t="shared" si="65"/>
        <v>1.7272884714047001</v>
      </c>
      <c r="CZ64" s="811">
        <f t="shared" si="66"/>
        <v>1.5102625533108212</v>
      </c>
      <c r="DA64" s="811">
        <f t="shared" si="66"/>
        <v>1.2926420436605217</v>
      </c>
      <c r="DB64" s="811">
        <f t="shared" si="66"/>
        <v>1.0756161255666445</v>
      </c>
      <c r="DC64" s="811">
        <f t="shared" si="66"/>
        <v>0.85859020747276571</v>
      </c>
      <c r="DD64" s="811">
        <f t="shared" si="66"/>
        <v>0.64156428937888854</v>
      </c>
      <c r="DE64" s="811">
        <f t="shared" si="66"/>
        <v>0.42394377972858904</v>
      </c>
      <c r="DF64" s="811">
        <f t="shared" si="66"/>
        <v>0.20691786163471024</v>
      </c>
      <c r="DG64" s="811" t="str">
        <f t="shared" si="66"/>
        <v/>
      </c>
      <c r="DH64" s="811" t="str">
        <f t="shared" si="66"/>
        <v/>
      </c>
      <c r="DI64" s="811" t="str">
        <f t="shared" si="66"/>
        <v/>
      </c>
      <c r="DJ64" s="811" t="str">
        <f t="shared" si="66"/>
        <v/>
      </c>
      <c r="DK64" s="811" t="str">
        <f t="shared" si="66"/>
        <v/>
      </c>
    </row>
    <row r="65" spans="2:115" ht="20.100000000000001" customHeight="1" x14ac:dyDescent="0.2">
      <c r="B65" s="815" t="s">
        <v>863</v>
      </c>
      <c r="C65" s="816">
        <v>1</v>
      </c>
      <c r="D65" s="814">
        <v>96</v>
      </c>
      <c r="E65" s="776">
        <v>40452</v>
      </c>
      <c r="F65" s="817">
        <v>70</v>
      </c>
      <c r="G65" s="776">
        <v>44102</v>
      </c>
      <c r="H65" s="817">
        <v>1</v>
      </c>
      <c r="I65" s="806"/>
      <c r="J65" s="795">
        <f t="shared" si="13"/>
        <v>40513</v>
      </c>
      <c r="K65" s="795">
        <f t="shared" si="14"/>
        <v>44166</v>
      </c>
      <c r="L65" s="810">
        <f t="shared" si="26"/>
        <v>2.7452054794520548</v>
      </c>
      <c r="M65" s="809" t="str">
        <f t="shared" si="15"/>
        <v>Moomba Sydney Pipeline expansion (100%)</v>
      </c>
      <c r="N65" s="811" t="str">
        <f t="shared" ref="N65:W74" si="67">IF(ISNUMBER($J65),IF(N$12&lt;$J65,"",IF(N$12=$J65,$D65*$C65,IF(AND(N$12&gt;$J65,N$12&lt;$J65+$F65*365),$D65*(1-(N$12-$J65)/($F65*365))*$C65,""))),"")</f>
        <v/>
      </c>
      <c r="O65" s="811" t="str">
        <f t="shared" si="67"/>
        <v/>
      </c>
      <c r="P65" s="811" t="str">
        <f t="shared" si="67"/>
        <v/>
      </c>
      <c r="Q65" s="811" t="str">
        <f t="shared" si="67"/>
        <v/>
      </c>
      <c r="R65" s="811" t="str">
        <f t="shared" si="67"/>
        <v/>
      </c>
      <c r="S65" s="811" t="str">
        <f t="shared" si="67"/>
        <v/>
      </c>
      <c r="T65" s="811" t="str">
        <f t="shared" si="67"/>
        <v/>
      </c>
      <c r="U65" s="811" t="str">
        <f t="shared" si="67"/>
        <v/>
      </c>
      <c r="V65" s="811" t="str">
        <f t="shared" si="67"/>
        <v/>
      </c>
      <c r="W65" s="811" t="str">
        <f t="shared" si="67"/>
        <v/>
      </c>
      <c r="X65" s="811" t="str">
        <f t="shared" ref="X65:AG74" si="68">IF(ISNUMBER($J65),IF(X$12&lt;$J65,"",IF(X$12=$J65,$D65*$C65,IF(AND(X$12&gt;$J65,X$12&lt;$J65+$F65*365),$D65*(1-(X$12-$J65)/($F65*365))*$C65,""))),"")</f>
        <v/>
      </c>
      <c r="Y65" s="811" t="str">
        <f t="shared" si="68"/>
        <v/>
      </c>
      <c r="Z65" s="811" t="str">
        <f t="shared" si="68"/>
        <v/>
      </c>
      <c r="AA65" s="811" t="str">
        <f t="shared" si="68"/>
        <v/>
      </c>
      <c r="AB65" s="811" t="str">
        <f t="shared" si="68"/>
        <v/>
      </c>
      <c r="AC65" s="811" t="str">
        <f t="shared" si="68"/>
        <v/>
      </c>
      <c r="AD65" s="811" t="str">
        <f t="shared" si="68"/>
        <v/>
      </c>
      <c r="AE65" s="811" t="str">
        <f t="shared" si="68"/>
        <v/>
      </c>
      <c r="AF65" s="811" t="str">
        <f t="shared" si="68"/>
        <v/>
      </c>
      <c r="AG65" s="811" t="str">
        <f t="shared" si="68"/>
        <v/>
      </c>
      <c r="AH65" s="811" t="str">
        <f t="shared" ref="AH65:AQ74" si="69">IF(ISNUMBER($J65),IF(AH$12&lt;$J65,"",IF(AH$12=$J65,$D65*$C65,IF(AND(AH$12&gt;$J65,AH$12&lt;$J65+$F65*365),$D65*(1-(AH$12-$J65)/($F65*365))*$C65,""))),"")</f>
        <v/>
      </c>
      <c r="AI65" s="811" t="str">
        <f t="shared" si="69"/>
        <v/>
      </c>
      <c r="AJ65" s="811" t="str">
        <f t="shared" si="69"/>
        <v/>
      </c>
      <c r="AK65" s="811" t="str">
        <f t="shared" si="69"/>
        <v/>
      </c>
      <c r="AL65" s="811" t="str">
        <f t="shared" si="69"/>
        <v/>
      </c>
      <c r="AM65" s="811" t="str">
        <f t="shared" si="69"/>
        <v/>
      </c>
      <c r="AN65" s="811" t="str">
        <f t="shared" si="69"/>
        <v/>
      </c>
      <c r="AO65" s="811" t="str">
        <f t="shared" si="69"/>
        <v/>
      </c>
      <c r="AP65" s="811" t="str">
        <f t="shared" si="69"/>
        <v/>
      </c>
      <c r="AQ65" s="811" t="str">
        <f t="shared" si="69"/>
        <v/>
      </c>
      <c r="AR65" s="811" t="str">
        <f t="shared" ref="AR65:BA74" si="70">IF(ISNUMBER($J65),IF(AR$12&lt;$J65,"",IF(AR$12=$J65,$D65*$C65,IF(AND(AR$12&gt;$J65,AR$12&lt;$J65+$F65*365),$D65*(1-(AR$12-$J65)/($F65*365))*$C65,""))),"")</f>
        <v/>
      </c>
      <c r="AS65" s="811" t="str">
        <f t="shared" si="70"/>
        <v/>
      </c>
      <c r="AT65" s="811" t="str">
        <f t="shared" si="70"/>
        <v/>
      </c>
      <c r="AU65" s="811" t="str">
        <f t="shared" si="70"/>
        <v/>
      </c>
      <c r="AV65" s="811" t="str">
        <f t="shared" si="70"/>
        <v/>
      </c>
      <c r="AW65" s="811" t="str">
        <f t="shared" si="70"/>
        <v/>
      </c>
      <c r="AX65" s="811" t="str">
        <f t="shared" si="70"/>
        <v/>
      </c>
      <c r="AY65" s="811" t="str">
        <f t="shared" si="70"/>
        <v/>
      </c>
      <c r="AZ65" s="811" t="str">
        <f t="shared" si="70"/>
        <v/>
      </c>
      <c r="BA65" s="811" t="str">
        <f t="shared" si="70"/>
        <v/>
      </c>
      <c r="BB65" s="811" t="str">
        <f t="shared" ref="BB65:BK74" si="71">IF(ISNUMBER($J65),IF(BB$12&lt;$J65,"",IF(BB$12=$J65,$D65*$C65,IF(AND(BB$12&gt;$J65,BB$12&lt;$J65+$F65*365),$D65*(1-(BB$12-$J65)/($F65*365))*$C65,""))),"")</f>
        <v/>
      </c>
      <c r="BC65" s="811">
        <f t="shared" si="71"/>
        <v>96</v>
      </c>
      <c r="BD65" s="811">
        <f t="shared" si="71"/>
        <v>94.628571428571433</v>
      </c>
      <c r="BE65" s="811">
        <f t="shared" si="71"/>
        <v>93.253385518591003</v>
      </c>
      <c r="BF65" s="811">
        <f t="shared" si="71"/>
        <v>91.881956947162422</v>
      </c>
      <c r="BG65" s="811">
        <f t="shared" si="71"/>
        <v>90.510528375733855</v>
      </c>
      <c r="BH65" s="811">
        <f t="shared" si="71"/>
        <v>89.139099804305289</v>
      </c>
      <c r="BI65" s="811">
        <f t="shared" si="71"/>
        <v>87.763913894324844</v>
      </c>
      <c r="BJ65" s="811">
        <f t="shared" si="71"/>
        <v>86.392485322896277</v>
      </c>
      <c r="BK65" s="811">
        <f t="shared" si="71"/>
        <v>85.021056751467711</v>
      </c>
      <c r="BL65" s="811">
        <f t="shared" ref="BL65:BU74" si="72">IF(ISNUMBER($J65),IF(BL$12&lt;$J65,"",IF(BL$12=$J65,$D65*$C65,IF(AND(BL$12&gt;$J65,BL$12&lt;$J65+$F65*365),$D65*(1-(BL$12-$J65)/($F65*365))*$C65,""))),"")</f>
        <v>83.649628180039144</v>
      </c>
      <c r="BM65" s="811">
        <f t="shared" si="72"/>
        <v>82.274442270058714</v>
      </c>
      <c r="BN65" s="811">
        <f t="shared" si="72"/>
        <v>80.903013698630133</v>
      </c>
      <c r="BO65" s="811">
        <f t="shared" si="72"/>
        <v>79.531585127201566</v>
      </c>
      <c r="BP65" s="811">
        <f t="shared" si="72"/>
        <v>78.160156555773</v>
      </c>
      <c r="BQ65" s="811">
        <f t="shared" si="72"/>
        <v>76.784970645792569</v>
      </c>
      <c r="BR65" s="811">
        <f t="shared" si="72"/>
        <v>75.413542074363988</v>
      </c>
      <c r="BS65" s="811">
        <f t="shared" si="72"/>
        <v>74.042113502935422</v>
      </c>
      <c r="BT65" s="811">
        <f t="shared" si="72"/>
        <v>72.670684931506855</v>
      </c>
      <c r="BU65" s="811">
        <f t="shared" si="72"/>
        <v>71.29549902152641</v>
      </c>
      <c r="BV65" s="811">
        <f t="shared" ref="BV65:CE74" si="73">IF(ISNUMBER($J65),IF(BV$12&lt;$J65,"",IF(BV$12=$J65,$D65*$C65,IF(AND(BV$12&gt;$J65,BV$12&lt;$J65+$F65*365),$D65*(1-(BV$12-$J65)/($F65*365))*$C65,""))),"")</f>
        <v>69.924070450097844</v>
      </c>
      <c r="BW65" s="811">
        <f t="shared" si="73"/>
        <v>68.552641878669277</v>
      </c>
      <c r="BX65" s="811">
        <f t="shared" si="73"/>
        <v>67.181213307240711</v>
      </c>
      <c r="BY65" s="811">
        <f t="shared" si="73"/>
        <v>65.80602739726028</v>
      </c>
      <c r="BZ65" s="811">
        <f t="shared" si="73"/>
        <v>64.434598825831699</v>
      </c>
      <c r="CA65" s="811">
        <f t="shared" si="73"/>
        <v>63.063170254403133</v>
      </c>
      <c r="CB65" s="811">
        <f t="shared" si="73"/>
        <v>61.691741682974566</v>
      </c>
      <c r="CC65" s="811">
        <f t="shared" si="73"/>
        <v>60.316555772994136</v>
      </c>
      <c r="CD65" s="811">
        <f t="shared" si="73"/>
        <v>58.945127201565555</v>
      </c>
      <c r="CE65" s="811">
        <f t="shared" si="73"/>
        <v>57.573698630136981</v>
      </c>
      <c r="CF65" s="811">
        <f t="shared" ref="CF65:CO74" si="74">IF(ISNUMBER($J65),IF(CF$12&lt;$J65,"",IF(CF$12=$J65,$D65*$C65,IF(AND(CF$12&gt;$J65,CF$12&lt;$J65+$F65*365),$D65*(1-(CF$12-$J65)/($F65*365))*$C65,""))),"")</f>
        <v>56.202270058708415</v>
      </c>
      <c r="CG65" s="811">
        <f t="shared" si="74"/>
        <v>54.827084148727984</v>
      </c>
      <c r="CH65" s="811">
        <f t="shared" si="74"/>
        <v>53.455655577299417</v>
      </c>
      <c r="CI65" s="811">
        <f t="shared" si="74"/>
        <v>52.084227005870844</v>
      </c>
      <c r="CJ65" s="811">
        <f t="shared" si="74"/>
        <v>50.712798434442263</v>
      </c>
      <c r="CK65" s="811">
        <f t="shared" si="74"/>
        <v>49.337612524461832</v>
      </c>
      <c r="CL65" s="811">
        <f t="shared" si="74"/>
        <v>47.966183953033266</v>
      </c>
      <c r="CM65" s="811">
        <f t="shared" si="74"/>
        <v>46.594755381604699</v>
      </c>
      <c r="CN65" s="811">
        <f t="shared" si="74"/>
        <v>45.223326810176118</v>
      </c>
      <c r="CO65" s="811">
        <f t="shared" si="74"/>
        <v>43.848140900195688</v>
      </c>
      <c r="CP65" s="811">
        <f t="shared" ref="CP65:CY74" si="75">IF(ISNUMBER($J65),IF(CP$12&lt;$J65,"",IF(CP$12=$J65,$D65*$C65,IF(AND(CP$12&gt;$J65,CP$12&lt;$J65+$F65*365),$D65*(1-(CP$12-$J65)/($F65*365))*$C65,""))),"")</f>
        <v>42.476712328767121</v>
      </c>
      <c r="CQ65" s="811">
        <f t="shared" si="75"/>
        <v>41.105283757338547</v>
      </c>
      <c r="CR65" s="811">
        <f t="shared" si="75"/>
        <v>39.733855185909981</v>
      </c>
      <c r="CS65" s="811">
        <f t="shared" si="75"/>
        <v>38.35866927592955</v>
      </c>
      <c r="CT65" s="811">
        <f t="shared" si="75"/>
        <v>36.987240704500984</v>
      </c>
      <c r="CU65" s="811">
        <f t="shared" si="75"/>
        <v>35.61581213307241</v>
      </c>
      <c r="CV65" s="811">
        <f t="shared" si="75"/>
        <v>34.244383561643843</v>
      </c>
      <c r="CW65" s="811">
        <f t="shared" si="75"/>
        <v>32.869197651663413</v>
      </c>
      <c r="CX65" s="811">
        <f t="shared" si="75"/>
        <v>31.497769080234832</v>
      </c>
      <c r="CY65" s="811">
        <f t="shared" si="75"/>
        <v>30.126340508806265</v>
      </c>
      <c r="CZ65" s="811">
        <f t="shared" ref="CZ65:DK74" si="76">IF(ISNUMBER($J65),IF(CZ$12&lt;$J65,"",IF(CZ$12=$J65,$D65*$C65,IF(AND(CZ$12&gt;$J65,CZ$12&lt;$J65+$F65*365),$D65*(1-(CZ$12-$J65)/($F65*365))*$C65,""))),"")</f>
        <v>28.754911937377688</v>
      </c>
      <c r="DA65" s="811">
        <f t="shared" si="76"/>
        <v>27.379726027397258</v>
      </c>
      <c r="DB65" s="811">
        <f t="shared" si="76"/>
        <v>26.008297455968691</v>
      </c>
      <c r="DC65" s="811">
        <f t="shared" si="76"/>
        <v>24.636868884540114</v>
      </c>
      <c r="DD65" s="811">
        <f t="shared" si="76"/>
        <v>23.265440313111547</v>
      </c>
      <c r="DE65" s="811">
        <f t="shared" si="76"/>
        <v>21.890254403131117</v>
      </c>
      <c r="DF65" s="811">
        <f t="shared" si="76"/>
        <v>20.518825831702539</v>
      </c>
      <c r="DG65" s="811">
        <f t="shared" si="76"/>
        <v>19.147397260273973</v>
      </c>
      <c r="DH65" s="811">
        <f t="shared" si="76"/>
        <v>17.775968688845406</v>
      </c>
      <c r="DI65" s="811">
        <f t="shared" si="76"/>
        <v>16.400782778864976</v>
      </c>
      <c r="DJ65" s="811">
        <f t="shared" si="76"/>
        <v>15.029354207436398</v>
      </c>
      <c r="DK65" s="811">
        <f t="shared" si="76"/>
        <v>13.657925636007832</v>
      </c>
    </row>
    <row r="66" spans="2:115" ht="20.100000000000001" customHeight="1" x14ac:dyDescent="0.2">
      <c r="B66" s="815" t="s">
        <v>860</v>
      </c>
      <c r="C66" s="816">
        <v>1</v>
      </c>
      <c r="D66" s="814">
        <v>86</v>
      </c>
      <c r="E66" s="776">
        <v>40422</v>
      </c>
      <c r="F66" s="817">
        <v>70</v>
      </c>
      <c r="G66" s="776">
        <v>44072</v>
      </c>
      <c r="H66" s="817">
        <v>1</v>
      </c>
      <c r="I66" s="806"/>
      <c r="J66" s="795">
        <f t="shared" si="13"/>
        <v>40513</v>
      </c>
      <c r="K66" s="795">
        <f t="shared" si="14"/>
        <v>44166</v>
      </c>
      <c r="L66" s="810">
        <f t="shared" si="26"/>
        <v>2.6630136986301371</v>
      </c>
      <c r="M66" s="809" t="str">
        <f t="shared" si="15"/>
        <v>Moomba Sydney Pipeline expansion2 (100%)</v>
      </c>
      <c r="N66" s="811" t="str">
        <f t="shared" si="67"/>
        <v/>
      </c>
      <c r="O66" s="811" t="str">
        <f t="shared" si="67"/>
        <v/>
      </c>
      <c r="P66" s="811" t="str">
        <f t="shared" si="67"/>
        <v/>
      </c>
      <c r="Q66" s="811" t="str">
        <f t="shared" si="67"/>
        <v/>
      </c>
      <c r="R66" s="811" t="str">
        <f t="shared" si="67"/>
        <v/>
      </c>
      <c r="S66" s="811" t="str">
        <f t="shared" si="67"/>
        <v/>
      </c>
      <c r="T66" s="811" t="str">
        <f t="shared" si="67"/>
        <v/>
      </c>
      <c r="U66" s="811" t="str">
        <f t="shared" si="67"/>
        <v/>
      </c>
      <c r="V66" s="811" t="str">
        <f t="shared" si="67"/>
        <v/>
      </c>
      <c r="W66" s="811" t="str">
        <f t="shared" si="67"/>
        <v/>
      </c>
      <c r="X66" s="811" t="str">
        <f t="shared" si="68"/>
        <v/>
      </c>
      <c r="Y66" s="811" t="str">
        <f t="shared" si="68"/>
        <v/>
      </c>
      <c r="Z66" s="811" t="str">
        <f t="shared" si="68"/>
        <v/>
      </c>
      <c r="AA66" s="811" t="str">
        <f t="shared" si="68"/>
        <v/>
      </c>
      <c r="AB66" s="811" t="str">
        <f t="shared" si="68"/>
        <v/>
      </c>
      <c r="AC66" s="811" t="str">
        <f t="shared" si="68"/>
        <v/>
      </c>
      <c r="AD66" s="811" t="str">
        <f t="shared" si="68"/>
        <v/>
      </c>
      <c r="AE66" s="811" t="str">
        <f t="shared" si="68"/>
        <v/>
      </c>
      <c r="AF66" s="811" t="str">
        <f t="shared" si="68"/>
        <v/>
      </c>
      <c r="AG66" s="811" t="str">
        <f t="shared" si="68"/>
        <v/>
      </c>
      <c r="AH66" s="811" t="str">
        <f t="shared" si="69"/>
        <v/>
      </c>
      <c r="AI66" s="811" t="str">
        <f t="shared" si="69"/>
        <v/>
      </c>
      <c r="AJ66" s="811" t="str">
        <f t="shared" si="69"/>
        <v/>
      </c>
      <c r="AK66" s="811" t="str">
        <f t="shared" si="69"/>
        <v/>
      </c>
      <c r="AL66" s="811" t="str">
        <f t="shared" si="69"/>
        <v/>
      </c>
      <c r="AM66" s="811" t="str">
        <f t="shared" si="69"/>
        <v/>
      </c>
      <c r="AN66" s="811" t="str">
        <f t="shared" si="69"/>
        <v/>
      </c>
      <c r="AO66" s="811" t="str">
        <f t="shared" si="69"/>
        <v/>
      </c>
      <c r="AP66" s="811" t="str">
        <f t="shared" si="69"/>
        <v/>
      </c>
      <c r="AQ66" s="811" t="str">
        <f t="shared" si="69"/>
        <v/>
      </c>
      <c r="AR66" s="811" t="str">
        <f t="shared" si="70"/>
        <v/>
      </c>
      <c r="AS66" s="811" t="str">
        <f t="shared" si="70"/>
        <v/>
      </c>
      <c r="AT66" s="811" t="str">
        <f t="shared" si="70"/>
        <v/>
      </c>
      <c r="AU66" s="811" t="str">
        <f t="shared" si="70"/>
        <v/>
      </c>
      <c r="AV66" s="811" t="str">
        <f t="shared" si="70"/>
        <v/>
      </c>
      <c r="AW66" s="811" t="str">
        <f t="shared" si="70"/>
        <v/>
      </c>
      <c r="AX66" s="811" t="str">
        <f t="shared" si="70"/>
        <v/>
      </c>
      <c r="AY66" s="811" t="str">
        <f t="shared" si="70"/>
        <v/>
      </c>
      <c r="AZ66" s="811" t="str">
        <f t="shared" si="70"/>
        <v/>
      </c>
      <c r="BA66" s="811" t="str">
        <f t="shared" si="70"/>
        <v/>
      </c>
      <c r="BB66" s="811" t="str">
        <f t="shared" si="71"/>
        <v/>
      </c>
      <c r="BC66" s="811">
        <f t="shared" si="71"/>
        <v>86</v>
      </c>
      <c r="BD66" s="811">
        <f t="shared" si="71"/>
        <v>84.771428571428572</v>
      </c>
      <c r="BE66" s="811">
        <f t="shared" si="71"/>
        <v>83.539491193737774</v>
      </c>
      <c r="BF66" s="811">
        <f t="shared" si="71"/>
        <v>82.310919765166346</v>
      </c>
      <c r="BG66" s="811">
        <f t="shared" si="71"/>
        <v>81.082348336594919</v>
      </c>
      <c r="BH66" s="811">
        <f t="shared" si="71"/>
        <v>79.853776908023477</v>
      </c>
      <c r="BI66" s="811">
        <f t="shared" si="71"/>
        <v>78.621839530332679</v>
      </c>
      <c r="BJ66" s="811">
        <f t="shared" si="71"/>
        <v>77.393268101761251</v>
      </c>
      <c r="BK66" s="811">
        <f t="shared" si="71"/>
        <v>76.164696673189823</v>
      </c>
      <c r="BL66" s="811">
        <f t="shared" si="72"/>
        <v>74.936125244618395</v>
      </c>
      <c r="BM66" s="811">
        <f t="shared" si="72"/>
        <v>73.704187866927597</v>
      </c>
      <c r="BN66" s="811">
        <f t="shared" si="72"/>
        <v>72.475616438356155</v>
      </c>
      <c r="BO66" s="811">
        <f t="shared" si="72"/>
        <v>71.247045009784742</v>
      </c>
      <c r="BP66" s="811">
        <f t="shared" si="72"/>
        <v>70.018473581213314</v>
      </c>
      <c r="BQ66" s="811">
        <f t="shared" si="72"/>
        <v>68.786536203522516</v>
      </c>
      <c r="BR66" s="811">
        <f t="shared" si="72"/>
        <v>67.557964774951074</v>
      </c>
      <c r="BS66" s="811">
        <f t="shared" si="72"/>
        <v>66.329393346379646</v>
      </c>
      <c r="BT66" s="811">
        <f t="shared" si="72"/>
        <v>65.100821917808219</v>
      </c>
      <c r="BU66" s="811">
        <f t="shared" si="72"/>
        <v>63.868884540117413</v>
      </c>
      <c r="BV66" s="811">
        <f t="shared" si="73"/>
        <v>62.640313111545993</v>
      </c>
      <c r="BW66" s="811">
        <f t="shared" si="73"/>
        <v>61.411741682974558</v>
      </c>
      <c r="BX66" s="811">
        <f t="shared" si="73"/>
        <v>60.18317025440313</v>
      </c>
      <c r="BY66" s="811">
        <f t="shared" si="73"/>
        <v>58.951232876712332</v>
      </c>
      <c r="BZ66" s="811">
        <f t="shared" si="73"/>
        <v>57.722661448140897</v>
      </c>
      <c r="CA66" s="811">
        <f t="shared" si="73"/>
        <v>56.49409001956947</v>
      </c>
      <c r="CB66" s="811">
        <f t="shared" si="73"/>
        <v>55.265518590998049</v>
      </c>
      <c r="CC66" s="811">
        <f t="shared" si="73"/>
        <v>54.033581213307244</v>
      </c>
      <c r="CD66" s="811">
        <f t="shared" si="73"/>
        <v>52.805009784735816</v>
      </c>
      <c r="CE66" s="811">
        <f t="shared" si="73"/>
        <v>51.576438356164381</v>
      </c>
      <c r="CF66" s="811">
        <f t="shared" si="74"/>
        <v>50.347866927592953</v>
      </c>
      <c r="CG66" s="811">
        <f t="shared" si="74"/>
        <v>49.115929549902155</v>
      </c>
      <c r="CH66" s="811">
        <f t="shared" si="74"/>
        <v>47.887358121330728</v>
      </c>
      <c r="CI66" s="811">
        <f t="shared" si="74"/>
        <v>46.658786692759293</v>
      </c>
      <c r="CJ66" s="811">
        <f t="shared" si="74"/>
        <v>45.430215264187858</v>
      </c>
      <c r="CK66" s="811">
        <f t="shared" si="74"/>
        <v>44.19827788649706</v>
      </c>
      <c r="CL66" s="811">
        <f t="shared" si="74"/>
        <v>42.969706457925632</v>
      </c>
      <c r="CM66" s="811">
        <f t="shared" si="74"/>
        <v>41.741135029354211</v>
      </c>
      <c r="CN66" s="811">
        <f t="shared" si="74"/>
        <v>40.512563600782777</v>
      </c>
      <c r="CO66" s="811">
        <f t="shared" si="74"/>
        <v>39.280626223091971</v>
      </c>
      <c r="CP66" s="811">
        <f t="shared" si="75"/>
        <v>38.052054794520551</v>
      </c>
      <c r="CQ66" s="811">
        <f t="shared" si="75"/>
        <v>36.823483365949116</v>
      </c>
      <c r="CR66" s="811">
        <f t="shared" si="75"/>
        <v>35.594911937377688</v>
      </c>
      <c r="CS66" s="811">
        <f t="shared" si="75"/>
        <v>34.36297455968689</v>
      </c>
      <c r="CT66" s="811">
        <f t="shared" si="75"/>
        <v>33.134403131115462</v>
      </c>
      <c r="CU66" s="811">
        <f t="shared" si="75"/>
        <v>31.905831702544031</v>
      </c>
      <c r="CV66" s="811">
        <f t="shared" si="75"/>
        <v>30.677260273972607</v>
      </c>
      <c r="CW66" s="811">
        <f t="shared" si="75"/>
        <v>29.445322896281805</v>
      </c>
      <c r="CX66" s="811">
        <f t="shared" si="75"/>
        <v>28.21675146771037</v>
      </c>
      <c r="CY66" s="811">
        <f t="shared" si="75"/>
        <v>26.988180039138946</v>
      </c>
      <c r="CZ66" s="811">
        <f t="shared" si="76"/>
        <v>25.759608610567511</v>
      </c>
      <c r="DA66" s="811">
        <f t="shared" si="76"/>
        <v>24.52767123287671</v>
      </c>
      <c r="DB66" s="811">
        <f t="shared" si="76"/>
        <v>23.299099804305285</v>
      </c>
      <c r="DC66" s="811">
        <f t="shared" si="76"/>
        <v>22.070528375733851</v>
      </c>
      <c r="DD66" s="811">
        <f t="shared" si="76"/>
        <v>20.841956947162426</v>
      </c>
      <c r="DE66" s="811">
        <f t="shared" si="76"/>
        <v>19.610019569471625</v>
      </c>
      <c r="DF66" s="811">
        <f t="shared" si="76"/>
        <v>18.38144814090019</v>
      </c>
      <c r="DG66" s="811">
        <f t="shared" si="76"/>
        <v>17.152876712328766</v>
      </c>
      <c r="DH66" s="811">
        <f t="shared" si="76"/>
        <v>15.924305283757343</v>
      </c>
      <c r="DI66" s="811">
        <f t="shared" si="76"/>
        <v>14.69236790606654</v>
      </c>
      <c r="DJ66" s="811">
        <f t="shared" si="76"/>
        <v>13.463796477495107</v>
      </c>
      <c r="DK66" s="811">
        <f t="shared" si="76"/>
        <v>12.235225048923683</v>
      </c>
    </row>
    <row r="67" spans="2:115" ht="20.100000000000001" customHeight="1" x14ac:dyDescent="0.2">
      <c r="B67" s="815">
        <v>2</v>
      </c>
      <c r="C67" s="816"/>
      <c r="D67" s="814"/>
      <c r="E67" s="776"/>
      <c r="F67" s="817"/>
      <c r="G67" s="776"/>
      <c r="H67" s="817"/>
      <c r="I67" s="806"/>
      <c r="J67" s="795" t="str">
        <f t="shared" si="13"/>
        <v/>
      </c>
      <c r="K67" s="795" t="str">
        <f t="shared" si="14"/>
        <v/>
      </c>
      <c r="L67" s="810" t="str">
        <f t="shared" si="26"/>
        <v/>
      </c>
      <c r="M67" s="809" t="str">
        <f t="shared" si="15"/>
        <v/>
      </c>
      <c r="N67" s="811" t="str">
        <f t="shared" si="67"/>
        <v/>
      </c>
      <c r="O67" s="811" t="str">
        <f t="shared" si="67"/>
        <v/>
      </c>
      <c r="P67" s="811" t="str">
        <f t="shared" si="67"/>
        <v/>
      </c>
      <c r="Q67" s="811" t="str">
        <f t="shared" si="67"/>
        <v/>
      </c>
      <c r="R67" s="811" t="str">
        <f t="shared" si="67"/>
        <v/>
      </c>
      <c r="S67" s="811" t="str">
        <f t="shared" si="67"/>
        <v/>
      </c>
      <c r="T67" s="811" t="str">
        <f t="shared" si="67"/>
        <v/>
      </c>
      <c r="U67" s="811" t="str">
        <f t="shared" si="67"/>
        <v/>
      </c>
      <c r="V67" s="811" t="str">
        <f t="shared" si="67"/>
        <v/>
      </c>
      <c r="W67" s="811" t="str">
        <f t="shared" si="67"/>
        <v/>
      </c>
      <c r="X67" s="811" t="str">
        <f t="shared" si="68"/>
        <v/>
      </c>
      <c r="Y67" s="811" t="str">
        <f t="shared" si="68"/>
        <v/>
      </c>
      <c r="Z67" s="811" t="str">
        <f t="shared" si="68"/>
        <v/>
      </c>
      <c r="AA67" s="811" t="str">
        <f t="shared" si="68"/>
        <v/>
      </c>
      <c r="AB67" s="811" t="str">
        <f t="shared" si="68"/>
        <v/>
      </c>
      <c r="AC67" s="811" t="str">
        <f t="shared" si="68"/>
        <v/>
      </c>
      <c r="AD67" s="811" t="str">
        <f t="shared" si="68"/>
        <v/>
      </c>
      <c r="AE67" s="811" t="str">
        <f t="shared" si="68"/>
        <v/>
      </c>
      <c r="AF67" s="811" t="str">
        <f t="shared" si="68"/>
        <v/>
      </c>
      <c r="AG67" s="811" t="str">
        <f t="shared" si="68"/>
        <v/>
      </c>
      <c r="AH67" s="811" t="str">
        <f t="shared" si="69"/>
        <v/>
      </c>
      <c r="AI67" s="811" t="str">
        <f t="shared" si="69"/>
        <v/>
      </c>
      <c r="AJ67" s="811" t="str">
        <f t="shared" si="69"/>
        <v/>
      </c>
      <c r="AK67" s="811" t="str">
        <f t="shared" si="69"/>
        <v/>
      </c>
      <c r="AL67" s="811" t="str">
        <f t="shared" si="69"/>
        <v/>
      </c>
      <c r="AM67" s="811" t="str">
        <f t="shared" si="69"/>
        <v/>
      </c>
      <c r="AN67" s="811" t="str">
        <f t="shared" si="69"/>
        <v/>
      </c>
      <c r="AO67" s="811" t="str">
        <f t="shared" si="69"/>
        <v/>
      </c>
      <c r="AP67" s="811" t="str">
        <f t="shared" si="69"/>
        <v/>
      </c>
      <c r="AQ67" s="811" t="str">
        <f t="shared" si="69"/>
        <v/>
      </c>
      <c r="AR67" s="811" t="str">
        <f t="shared" si="70"/>
        <v/>
      </c>
      <c r="AS67" s="811" t="str">
        <f t="shared" si="70"/>
        <v/>
      </c>
      <c r="AT67" s="811" t="str">
        <f t="shared" si="70"/>
        <v/>
      </c>
      <c r="AU67" s="811" t="str">
        <f t="shared" si="70"/>
        <v/>
      </c>
      <c r="AV67" s="811" t="str">
        <f t="shared" si="70"/>
        <v/>
      </c>
      <c r="AW67" s="811" t="str">
        <f t="shared" si="70"/>
        <v/>
      </c>
      <c r="AX67" s="811" t="str">
        <f t="shared" si="70"/>
        <v/>
      </c>
      <c r="AY67" s="811" t="str">
        <f t="shared" si="70"/>
        <v/>
      </c>
      <c r="AZ67" s="811" t="str">
        <f t="shared" si="70"/>
        <v/>
      </c>
      <c r="BA67" s="811" t="str">
        <f t="shared" si="70"/>
        <v/>
      </c>
      <c r="BB67" s="811" t="str">
        <f t="shared" si="71"/>
        <v/>
      </c>
      <c r="BC67" s="811" t="str">
        <f t="shared" si="71"/>
        <v/>
      </c>
      <c r="BD67" s="811" t="str">
        <f t="shared" si="71"/>
        <v/>
      </c>
      <c r="BE67" s="811" t="str">
        <f t="shared" si="71"/>
        <v/>
      </c>
      <c r="BF67" s="811" t="str">
        <f t="shared" si="71"/>
        <v/>
      </c>
      <c r="BG67" s="811" t="str">
        <f t="shared" si="71"/>
        <v/>
      </c>
      <c r="BH67" s="811" t="str">
        <f t="shared" si="71"/>
        <v/>
      </c>
      <c r="BI67" s="811" t="str">
        <f t="shared" si="71"/>
        <v/>
      </c>
      <c r="BJ67" s="811" t="str">
        <f t="shared" si="71"/>
        <v/>
      </c>
      <c r="BK67" s="811" t="str">
        <f t="shared" si="71"/>
        <v/>
      </c>
      <c r="BL67" s="811" t="str">
        <f t="shared" si="72"/>
        <v/>
      </c>
      <c r="BM67" s="811" t="str">
        <f t="shared" si="72"/>
        <v/>
      </c>
      <c r="BN67" s="811" t="str">
        <f t="shared" si="72"/>
        <v/>
      </c>
      <c r="BO67" s="811" t="str">
        <f t="shared" si="72"/>
        <v/>
      </c>
      <c r="BP67" s="811" t="str">
        <f t="shared" si="72"/>
        <v/>
      </c>
      <c r="BQ67" s="811" t="str">
        <f t="shared" si="72"/>
        <v/>
      </c>
      <c r="BR67" s="811" t="str">
        <f t="shared" si="72"/>
        <v/>
      </c>
      <c r="BS67" s="811" t="str">
        <f t="shared" si="72"/>
        <v/>
      </c>
      <c r="BT67" s="811" t="str">
        <f t="shared" si="72"/>
        <v/>
      </c>
      <c r="BU67" s="811" t="str">
        <f t="shared" si="72"/>
        <v/>
      </c>
      <c r="BV67" s="811" t="str">
        <f t="shared" si="73"/>
        <v/>
      </c>
      <c r="BW67" s="811" t="str">
        <f t="shared" si="73"/>
        <v/>
      </c>
      <c r="BX67" s="811" t="str">
        <f t="shared" si="73"/>
        <v/>
      </c>
      <c r="BY67" s="811" t="str">
        <f t="shared" si="73"/>
        <v/>
      </c>
      <c r="BZ67" s="811" t="str">
        <f t="shared" si="73"/>
        <v/>
      </c>
      <c r="CA67" s="811" t="str">
        <f t="shared" si="73"/>
        <v/>
      </c>
      <c r="CB67" s="811" t="str">
        <f t="shared" si="73"/>
        <v/>
      </c>
      <c r="CC67" s="811" t="str">
        <f t="shared" si="73"/>
        <v/>
      </c>
      <c r="CD67" s="811" t="str">
        <f t="shared" si="73"/>
        <v/>
      </c>
      <c r="CE67" s="811" t="str">
        <f t="shared" si="73"/>
        <v/>
      </c>
      <c r="CF67" s="811" t="str">
        <f t="shared" si="74"/>
        <v/>
      </c>
      <c r="CG67" s="811" t="str">
        <f t="shared" si="74"/>
        <v/>
      </c>
      <c r="CH67" s="811" t="str">
        <f t="shared" si="74"/>
        <v/>
      </c>
      <c r="CI67" s="811" t="str">
        <f t="shared" si="74"/>
        <v/>
      </c>
      <c r="CJ67" s="811" t="str">
        <f t="shared" si="74"/>
        <v/>
      </c>
      <c r="CK67" s="811" t="str">
        <f t="shared" si="74"/>
        <v/>
      </c>
      <c r="CL67" s="811" t="str">
        <f t="shared" si="74"/>
        <v/>
      </c>
      <c r="CM67" s="811" t="str">
        <f t="shared" si="74"/>
        <v/>
      </c>
      <c r="CN67" s="811" t="str">
        <f t="shared" si="74"/>
        <v/>
      </c>
      <c r="CO67" s="811" t="str">
        <f t="shared" si="74"/>
        <v/>
      </c>
      <c r="CP67" s="811" t="str">
        <f t="shared" si="75"/>
        <v/>
      </c>
      <c r="CQ67" s="811" t="str">
        <f t="shared" si="75"/>
        <v/>
      </c>
      <c r="CR67" s="811" t="str">
        <f t="shared" si="75"/>
        <v/>
      </c>
      <c r="CS67" s="811" t="str">
        <f t="shared" si="75"/>
        <v/>
      </c>
      <c r="CT67" s="811" t="str">
        <f t="shared" si="75"/>
        <v/>
      </c>
      <c r="CU67" s="811" t="str">
        <f t="shared" si="75"/>
        <v/>
      </c>
      <c r="CV67" s="811" t="str">
        <f t="shared" si="75"/>
        <v/>
      </c>
      <c r="CW67" s="811" t="str">
        <f t="shared" si="75"/>
        <v/>
      </c>
      <c r="CX67" s="811" t="str">
        <f t="shared" si="75"/>
        <v/>
      </c>
      <c r="CY67" s="811" t="str">
        <f t="shared" si="75"/>
        <v/>
      </c>
      <c r="CZ67" s="811" t="str">
        <f t="shared" si="76"/>
        <v/>
      </c>
      <c r="DA67" s="811" t="str">
        <f t="shared" si="76"/>
        <v/>
      </c>
      <c r="DB67" s="811" t="str">
        <f t="shared" si="76"/>
        <v/>
      </c>
      <c r="DC67" s="811" t="str">
        <f t="shared" si="76"/>
        <v/>
      </c>
      <c r="DD67" s="811" t="str">
        <f t="shared" si="76"/>
        <v/>
      </c>
      <c r="DE67" s="811" t="str">
        <f t="shared" si="76"/>
        <v/>
      </c>
      <c r="DF67" s="811" t="str">
        <f t="shared" si="76"/>
        <v/>
      </c>
      <c r="DG67" s="811" t="str">
        <f t="shared" si="76"/>
        <v/>
      </c>
      <c r="DH67" s="811" t="str">
        <f t="shared" si="76"/>
        <v/>
      </c>
      <c r="DI67" s="811" t="str">
        <f t="shared" si="76"/>
        <v/>
      </c>
      <c r="DJ67" s="811" t="str">
        <f t="shared" si="76"/>
        <v/>
      </c>
      <c r="DK67" s="811" t="str">
        <f t="shared" si="76"/>
        <v/>
      </c>
    </row>
    <row r="68" spans="2:115" ht="20.100000000000001" customHeight="1" x14ac:dyDescent="0.2">
      <c r="B68" s="815" t="s">
        <v>769</v>
      </c>
      <c r="C68" s="816"/>
      <c r="D68" s="814"/>
      <c r="E68" s="776"/>
      <c r="F68" s="817"/>
      <c r="G68" s="776"/>
      <c r="H68" s="817"/>
      <c r="I68" s="806"/>
      <c r="J68" s="795" t="str">
        <f t="shared" si="13"/>
        <v/>
      </c>
      <c r="K68" s="795" t="str">
        <f t="shared" si="14"/>
        <v/>
      </c>
      <c r="L68" s="810" t="str">
        <f t="shared" si="26"/>
        <v/>
      </c>
      <c r="M68" s="809" t="str">
        <f t="shared" si="15"/>
        <v/>
      </c>
      <c r="N68" s="811" t="str">
        <f t="shared" si="67"/>
        <v/>
      </c>
      <c r="O68" s="811" t="str">
        <f t="shared" si="67"/>
        <v/>
      </c>
      <c r="P68" s="811" t="str">
        <f t="shared" si="67"/>
        <v/>
      </c>
      <c r="Q68" s="811" t="str">
        <f t="shared" si="67"/>
        <v/>
      </c>
      <c r="R68" s="811" t="str">
        <f t="shared" si="67"/>
        <v/>
      </c>
      <c r="S68" s="811" t="str">
        <f t="shared" si="67"/>
        <v/>
      </c>
      <c r="T68" s="811" t="str">
        <f t="shared" si="67"/>
        <v/>
      </c>
      <c r="U68" s="811" t="str">
        <f t="shared" si="67"/>
        <v/>
      </c>
      <c r="V68" s="811" t="str">
        <f t="shared" si="67"/>
        <v/>
      </c>
      <c r="W68" s="811" t="str">
        <f t="shared" si="67"/>
        <v/>
      </c>
      <c r="X68" s="811" t="str">
        <f t="shared" si="68"/>
        <v/>
      </c>
      <c r="Y68" s="811" t="str">
        <f t="shared" si="68"/>
        <v/>
      </c>
      <c r="Z68" s="811" t="str">
        <f t="shared" si="68"/>
        <v/>
      </c>
      <c r="AA68" s="811" t="str">
        <f t="shared" si="68"/>
        <v/>
      </c>
      <c r="AB68" s="811" t="str">
        <f t="shared" si="68"/>
        <v/>
      </c>
      <c r="AC68" s="811" t="str">
        <f t="shared" si="68"/>
        <v/>
      </c>
      <c r="AD68" s="811" t="str">
        <f t="shared" si="68"/>
        <v/>
      </c>
      <c r="AE68" s="811" t="str">
        <f t="shared" si="68"/>
        <v/>
      </c>
      <c r="AF68" s="811" t="str">
        <f t="shared" si="68"/>
        <v/>
      </c>
      <c r="AG68" s="811" t="str">
        <f t="shared" si="68"/>
        <v/>
      </c>
      <c r="AH68" s="811" t="str">
        <f t="shared" si="69"/>
        <v/>
      </c>
      <c r="AI68" s="811" t="str">
        <f t="shared" si="69"/>
        <v/>
      </c>
      <c r="AJ68" s="811" t="str">
        <f t="shared" si="69"/>
        <v/>
      </c>
      <c r="AK68" s="811" t="str">
        <f t="shared" si="69"/>
        <v/>
      </c>
      <c r="AL68" s="811" t="str">
        <f t="shared" si="69"/>
        <v/>
      </c>
      <c r="AM68" s="811" t="str">
        <f t="shared" si="69"/>
        <v/>
      </c>
      <c r="AN68" s="811" t="str">
        <f t="shared" si="69"/>
        <v/>
      </c>
      <c r="AO68" s="811" t="str">
        <f t="shared" si="69"/>
        <v/>
      </c>
      <c r="AP68" s="811" t="str">
        <f t="shared" si="69"/>
        <v/>
      </c>
      <c r="AQ68" s="811" t="str">
        <f t="shared" si="69"/>
        <v/>
      </c>
      <c r="AR68" s="811" t="str">
        <f t="shared" si="70"/>
        <v/>
      </c>
      <c r="AS68" s="811" t="str">
        <f t="shared" si="70"/>
        <v/>
      </c>
      <c r="AT68" s="811" t="str">
        <f t="shared" si="70"/>
        <v/>
      </c>
      <c r="AU68" s="811" t="str">
        <f t="shared" si="70"/>
        <v/>
      </c>
      <c r="AV68" s="811" t="str">
        <f t="shared" si="70"/>
        <v/>
      </c>
      <c r="AW68" s="811" t="str">
        <f t="shared" si="70"/>
        <v/>
      </c>
      <c r="AX68" s="811" t="str">
        <f t="shared" si="70"/>
        <v/>
      </c>
      <c r="AY68" s="811" t="str">
        <f t="shared" si="70"/>
        <v/>
      </c>
      <c r="AZ68" s="811" t="str">
        <f t="shared" si="70"/>
        <v/>
      </c>
      <c r="BA68" s="811" t="str">
        <f t="shared" si="70"/>
        <v/>
      </c>
      <c r="BB68" s="811" t="str">
        <f t="shared" si="71"/>
        <v/>
      </c>
      <c r="BC68" s="811" t="str">
        <f t="shared" si="71"/>
        <v/>
      </c>
      <c r="BD68" s="811" t="str">
        <f t="shared" si="71"/>
        <v/>
      </c>
      <c r="BE68" s="811" t="str">
        <f t="shared" si="71"/>
        <v/>
      </c>
      <c r="BF68" s="811" t="str">
        <f t="shared" si="71"/>
        <v/>
      </c>
      <c r="BG68" s="811" t="str">
        <f t="shared" si="71"/>
        <v/>
      </c>
      <c r="BH68" s="811" t="str">
        <f t="shared" si="71"/>
        <v/>
      </c>
      <c r="BI68" s="811" t="str">
        <f t="shared" si="71"/>
        <v/>
      </c>
      <c r="BJ68" s="811" t="str">
        <f t="shared" si="71"/>
        <v/>
      </c>
      <c r="BK68" s="811" t="str">
        <f t="shared" si="71"/>
        <v/>
      </c>
      <c r="BL68" s="811" t="str">
        <f t="shared" si="72"/>
        <v/>
      </c>
      <c r="BM68" s="811" t="str">
        <f t="shared" si="72"/>
        <v/>
      </c>
      <c r="BN68" s="811" t="str">
        <f t="shared" si="72"/>
        <v/>
      </c>
      <c r="BO68" s="811" t="str">
        <f t="shared" si="72"/>
        <v/>
      </c>
      <c r="BP68" s="811" t="str">
        <f t="shared" si="72"/>
        <v/>
      </c>
      <c r="BQ68" s="811" t="str">
        <f t="shared" si="72"/>
        <v/>
      </c>
      <c r="BR68" s="811" t="str">
        <f t="shared" si="72"/>
        <v/>
      </c>
      <c r="BS68" s="811" t="str">
        <f t="shared" si="72"/>
        <v/>
      </c>
      <c r="BT68" s="811" t="str">
        <f t="shared" si="72"/>
        <v/>
      </c>
      <c r="BU68" s="811" t="str">
        <f t="shared" si="72"/>
        <v/>
      </c>
      <c r="BV68" s="811" t="str">
        <f t="shared" si="73"/>
        <v/>
      </c>
      <c r="BW68" s="811" t="str">
        <f t="shared" si="73"/>
        <v/>
      </c>
      <c r="BX68" s="811" t="str">
        <f t="shared" si="73"/>
        <v/>
      </c>
      <c r="BY68" s="811" t="str">
        <f t="shared" si="73"/>
        <v/>
      </c>
      <c r="BZ68" s="811" t="str">
        <f t="shared" si="73"/>
        <v/>
      </c>
      <c r="CA68" s="811" t="str">
        <f t="shared" si="73"/>
        <v/>
      </c>
      <c r="CB68" s="811" t="str">
        <f t="shared" si="73"/>
        <v/>
      </c>
      <c r="CC68" s="811" t="str">
        <f t="shared" si="73"/>
        <v/>
      </c>
      <c r="CD68" s="811" t="str">
        <f t="shared" si="73"/>
        <v/>
      </c>
      <c r="CE68" s="811" t="str">
        <f t="shared" si="73"/>
        <v/>
      </c>
      <c r="CF68" s="811" t="str">
        <f t="shared" si="74"/>
        <v/>
      </c>
      <c r="CG68" s="811" t="str">
        <f t="shared" si="74"/>
        <v/>
      </c>
      <c r="CH68" s="811" t="str">
        <f t="shared" si="74"/>
        <v/>
      </c>
      <c r="CI68" s="811" t="str">
        <f t="shared" si="74"/>
        <v/>
      </c>
      <c r="CJ68" s="811" t="str">
        <f t="shared" si="74"/>
        <v/>
      </c>
      <c r="CK68" s="811" t="str">
        <f t="shared" si="74"/>
        <v/>
      </c>
      <c r="CL68" s="811" t="str">
        <f t="shared" si="74"/>
        <v/>
      </c>
      <c r="CM68" s="811" t="str">
        <f t="shared" si="74"/>
        <v/>
      </c>
      <c r="CN68" s="811" t="str">
        <f t="shared" si="74"/>
        <v/>
      </c>
      <c r="CO68" s="811" t="str">
        <f t="shared" si="74"/>
        <v/>
      </c>
      <c r="CP68" s="811" t="str">
        <f t="shared" si="75"/>
        <v/>
      </c>
      <c r="CQ68" s="811" t="str">
        <f t="shared" si="75"/>
        <v/>
      </c>
      <c r="CR68" s="811" t="str">
        <f t="shared" si="75"/>
        <v/>
      </c>
      <c r="CS68" s="811" t="str">
        <f t="shared" si="75"/>
        <v/>
      </c>
      <c r="CT68" s="811" t="str">
        <f t="shared" si="75"/>
        <v/>
      </c>
      <c r="CU68" s="811" t="str">
        <f t="shared" si="75"/>
        <v/>
      </c>
      <c r="CV68" s="811" t="str">
        <f t="shared" si="75"/>
        <v/>
      </c>
      <c r="CW68" s="811" t="str">
        <f t="shared" si="75"/>
        <v/>
      </c>
      <c r="CX68" s="811" t="str">
        <f t="shared" si="75"/>
        <v/>
      </c>
      <c r="CY68" s="811" t="str">
        <f t="shared" si="75"/>
        <v/>
      </c>
      <c r="CZ68" s="811" t="str">
        <f t="shared" si="76"/>
        <v/>
      </c>
      <c r="DA68" s="811" t="str">
        <f t="shared" si="76"/>
        <v/>
      </c>
      <c r="DB68" s="811" t="str">
        <f t="shared" si="76"/>
        <v/>
      </c>
      <c r="DC68" s="811" t="str">
        <f t="shared" si="76"/>
        <v/>
      </c>
      <c r="DD68" s="811" t="str">
        <f t="shared" si="76"/>
        <v/>
      </c>
      <c r="DE68" s="811" t="str">
        <f t="shared" si="76"/>
        <v/>
      </c>
      <c r="DF68" s="811" t="str">
        <f t="shared" si="76"/>
        <v/>
      </c>
      <c r="DG68" s="811" t="str">
        <f t="shared" si="76"/>
        <v/>
      </c>
      <c r="DH68" s="811" t="str">
        <f t="shared" si="76"/>
        <v/>
      </c>
      <c r="DI68" s="811" t="str">
        <f t="shared" si="76"/>
        <v/>
      </c>
      <c r="DJ68" s="811" t="str">
        <f t="shared" si="76"/>
        <v/>
      </c>
      <c r="DK68" s="811" t="str">
        <f t="shared" si="76"/>
        <v/>
      </c>
    </row>
    <row r="69" spans="2:115" ht="20.100000000000001" customHeight="1" x14ac:dyDescent="0.2">
      <c r="B69" s="815" t="s">
        <v>872</v>
      </c>
      <c r="C69" s="816">
        <v>0.19900000000000001</v>
      </c>
      <c r="D69" s="814">
        <v>110.49723756906079</v>
      </c>
      <c r="E69" s="776">
        <v>36495</v>
      </c>
      <c r="F69" s="817">
        <v>40</v>
      </c>
      <c r="G69" s="776"/>
      <c r="H69" s="817">
        <v>2</v>
      </c>
      <c r="I69" s="806"/>
      <c r="J69" s="795">
        <f t="shared" si="13"/>
        <v>36495</v>
      </c>
      <c r="K69" s="795" t="str">
        <f t="shared" si="14"/>
        <v/>
      </c>
      <c r="L69" s="810" t="str">
        <f t="shared" si="26"/>
        <v/>
      </c>
      <c r="M69" s="809" t="str">
        <f t="shared" si="15"/>
        <v>Directlink (20%)</v>
      </c>
      <c r="N69" s="811" t="str">
        <f t="shared" si="67"/>
        <v/>
      </c>
      <c r="O69" s="811" t="str">
        <f t="shared" si="67"/>
        <v/>
      </c>
      <c r="P69" s="811" t="str">
        <f t="shared" si="67"/>
        <v/>
      </c>
      <c r="Q69" s="811" t="str">
        <f t="shared" si="67"/>
        <v/>
      </c>
      <c r="R69" s="811" t="str">
        <f t="shared" si="67"/>
        <v/>
      </c>
      <c r="S69" s="811" t="str">
        <f t="shared" si="67"/>
        <v/>
      </c>
      <c r="T69" s="811" t="str">
        <f t="shared" si="67"/>
        <v/>
      </c>
      <c r="U69" s="811" t="str">
        <f t="shared" si="67"/>
        <v/>
      </c>
      <c r="V69" s="811" t="str">
        <f t="shared" si="67"/>
        <v/>
      </c>
      <c r="W69" s="811" t="str">
        <f t="shared" si="67"/>
        <v/>
      </c>
      <c r="X69" s="811" t="str">
        <f t="shared" si="68"/>
        <v/>
      </c>
      <c r="Y69" s="811" t="str">
        <f t="shared" si="68"/>
        <v/>
      </c>
      <c r="Z69" s="811" t="str">
        <f t="shared" si="68"/>
        <v/>
      </c>
      <c r="AA69" s="811" t="str">
        <f t="shared" si="68"/>
        <v/>
      </c>
      <c r="AB69" s="811" t="str">
        <f t="shared" si="68"/>
        <v/>
      </c>
      <c r="AC69" s="811" t="str">
        <f t="shared" si="68"/>
        <v/>
      </c>
      <c r="AD69" s="811" t="str">
        <f t="shared" si="68"/>
        <v/>
      </c>
      <c r="AE69" s="811" t="str">
        <f t="shared" si="68"/>
        <v/>
      </c>
      <c r="AF69" s="811" t="str">
        <f t="shared" si="68"/>
        <v/>
      </c>
      <c r="AG69" s="811" t="str">
        <f t="shared" si="68"/>
        <v/>
      </c>
      <c r="AH69" s="811" t="str">
        <f t="shared" si="69"/>
        <v/>
      </c>
      <c r="AI69" s="811" t="str">
        <f t="shared" si="69"/>
        <v/>
      </c>
      <c r="AJ69" s="811" t="str">
        <f t="shared" si="69"/>
        <v/>
      </c>
      <c r="AK69" s="811" t="str">
        <f t="shared" si="69"/>
        <v/>
      </c>
      <c r="AL69" s="811" t="str">
        <f t="shared" si="69"/>
        <v/>
      </c>
      <c r="AM69" s="811" t="str">
        <f t="shared" si="69"/>
        <v/>
      </c>
      <c r="AN69" s="811" t="str">
        <f t="shared" si="69"/>
        <v/>
      </c>
      <c r="AO69" s="811" t="str">
        <f t="shared" si="69"/>
        <v/>
      </c>
      <c r="AP69" s="811" t="str">
        <f t="shared" si="69"/>
        <v/>
      </c>
      <c r="AQ69" s="811" t="str">
        <f t="shared" si="69"/>
        <v/>
      </c>
      <c r="AR69" s="811">
        <f t="shared" si="70"/>
        <v>21.988950276243099</v>
      </c>
      <c r="AS69" s="811">
        <f t="shared" si="70"/>
        <v>21.437720426852344</v>
      </c>
      <c r="AT69" s="811">
        <f t="shared" si="70"/>
        <v>20.887996669946268</v>
      </c>
      <c r="AU69" s="811">
        <f t="shared" si="70"/>
        <v>20.338272913040193</v>
      </c>
      <c r="AV69" s="811">
        <f t="shared" si="70"/>
        <v>19.788549156134113</v>
      </c>
      <c r="AW69" s="811">
        <f t="shared" si="70"/>
        <v>19.237319306743363</v>
      </c>
      <c r="AX69" s="811">
        <f t="shared" si="70"/>
        <v>18.687595549837283</v>
      </c>
      <c r="AY69" s="811">
        <f t="shared" si="70"/>
        <v>18.137871792931207</v>
      </c>
      <c r="AZ69" s="811">
        <f t="shared" si="70"/>
        <v>17.588148036025132</v>
      </c>
      <c r="BA69" s="811">
        <f t="shared" si="70"/>
        <v>17.036918186634377</v>
      </c>
      <c r="BB69" s="811">
        <f t="shared" si="71"/>
        <v>16.487194429728302</v>
      </c>
      <c r="BC69" s="811">
        <f t="shared" si="71"/>
        <v>15.93747067282222</v>
      </c>
      <c r="BD69" s="811">
        <f t="shared" si="71"/>
        <v>15.387746915916146</v>
      </c>
      <c r="BE69" s="811">
        <f t="shared" si="71"/>
        <v>14.836517066525394</v>
      </c>
      <c r="BF69" s="811">
        <f t="shared" si="71"/>
        <v>14.286793309619316</v>
      </c>
      <c r="BG69" s="811">
        <f t="shared" si="71"/>
        <v>13.73706955271324</v>
      </c>
      <c r="BH69" s="811">
        <f t="shared" si="71"/>
        <v>13.187345795807159</v>
      </c>
      <c r="BI69" s="811">
        <f t="shared" si="71"/>
        <v>12.636115946416412</v>
      </c>
      <c r="BJ69" s="811">
        <f t="shared" si="71"/>
        <v>12.086392189510331</v>
      </c>
      <c r="BK69" s="811">
        <f t="shared" si="71"/>
        <v>11.536668432604255</v>
      </c>
      <c r="BL69" s="811">
        <f t="shared" si="72"/>
        <v>10.986944675698178</v>
      </c>
      <c r="BM69" s="811">
        <f t="shared" si="72"/>
        <v>10.435714826307425</v>
      </c>
      <c r="BN69" s="811">
        <f t="shared" si="72"/>
        <v>9.8859910694013475</v>
      </c>
      <c r="BO69" s="811">
        <f t="shared" si="72"/>
        <v>9.3362673124952718</v>
      </c>
      <c r="BP69" s="811">
        <f t="shared" si="72"/>
        <v>8.7865435555891942</v>
      </c>
      <c r="BQ69" s="811">
        <f t="shared" si="72"/>
        <v>8.2353137061984434</v>
      </c>
      <c r="BR69" s="811">
        <f t="shared" si="72"/>
        <v>7.6855899492923658</v>
      </c>
      <c r="BS69" s="811">
        <f t="shared" si="72"/>
        <v>7.1358661923862865</v>
      </c>
      <c r="BT69" s="811">
        <f t="shared" si="72"/>
        <v>6.5861424354802098</v>
      </c>
      <c r="BU69" s="811">
        <f t="shared" si="72"/>
        <v>6.0349125860894572</v>
      </c>
      <c r="BV69" s="811">
        <f t="shared" si="73"/>
        <v>5.4851888291833815</v>
      </c>
      <c r="BW69" s="811">
        <f t="shared" si="73"/>
        <v>4.9354650722773039</v>
      </c>
      <c r="BX69" s="811">
        <f t="shared" si="73"/>
        <v>4.3857413153712255</v>
      </c>
      <c r="BY69" s="811">
        <f t="shared" si="73"/>
        <v>3.8345114659804747</v>
      </c>
      <c r="BZ69" s="811">
        <f t="shared" si="73"/>
        <v>3.2847877090743967</v>
      </c>
      <c r="CA69" s="811">
        <f t="shared" si="73"/>
        <v>2.7350639521683187</v>
      </c>
      <c r="CB69" s="811">
        <f t="shared" si="73"/>
        <v>2.1853401952622429</v>
      </c>
      <c r="CC69" s="811">
        <f t="shared" si="73"/>
        <v>1.6341103458714914</v>
      </c>
      <c r="CD69" s="811">
        <f t="shared" si="73"/>
        <v>1.0843865889654134</v>
      </c>
      <c r="CE69" s="811">
        <f t="shared" si="73"/>
        <v>0.53466283205933551</v>
      </c>
      <c r="CF69" s="811" t="str">
        <f t="shared" si="74"/>
        <v/>
      </c>
      <c r="CG69" s="811" t="str">
        <f t="shared" si="74"/>
        <v/>
      </c>
      <c r="CH69" s="811" t="str">
        <f t="shared" si="74"/>
        <v/>
      </c>
      <c r="CI69" s="811" t="str">
        <f t="shared" si="74"/>
        <v/>
      </c>
      <c r="CJ69" s="811" t="str">
        <f t="shared" si="74"/>
        <v/>
      </c>
      <c r="CK69" s="811" t="str">
        <f t="shared" si="74"/>
        <v/>
      </c>
      <c r="CL69" s="811" t="str">
        <f t="shared" si="74"/>
        <v/>
      </c>
      <c r="CM69" s="811" t="str">
        <f t="shared" si="74"/>
        <v/>
      </c>
      <c r="CN69" s="811" t="str">
        <f t="shared" si="74"/>
        <v/>
      </c>
      <c r="CO69" s="811" t="str">
        <f t="shared" si="74"/>
        <v/>
      </c>
      <c r="CP69" s="811" t="str">
        <f t="shared" si="75"/>
        <v/>
      </c>
      <c r="CQ69" s="811" t="str">
        <f t="shared" si="75"/>
        <v/>
      </c>
      <c r="CR69" s="811" t="str">
        <f t="shared" si="75"/>
        <v/>
      </c>
      <c r="CS69" s="811" t="str">
        <f t="shared" si="75"/>
        <v/>
      </c>
      <c r="CT69" s="811" t="str">
        <f t="shared" si="75"/>
        <v/>
      </c>
      <c r="CU69" s="811" t="str">
        <f t="shared" si="75"/>
        <v/>
      </c>
      <c r="CV69" s="811" t="str">
        <f t="shared" si="75"/>
        <v/>
      </c>
      <c r="CW69" s="811" t="str">
        <f t="shared" si="75"/>
        <v/>
      </c>
      <c r="CX69" s="811" t="str">
        <f t="shared" si="75"/>
        <v/>
      </c>
      <c r="CY69" s="811" t="str">
        <f t="shared" si="75"/>
        <v/>
      </c>
      <c r="CZ69" s="811" t="str">
        <f t="shared" si="76"/>
        <v/>
      </c>
      <c r="DA69" s="811" t="str">
        <f t="shared" si="76"/>
        <v/>
      </c>
      <c r="DB69" s="811" t="str">
        <f t="shared" si="76"/>
        <v/>
      </c>
      <c r="DC69" s="811" t="str">
        <f t="shared" si="76"/>
        <v/>
      </c>
      <c r="DD69" s="811" t="str">
        <f t="shared" si="76"/>
        <v/>
      </c>
      <c r="DE69" s="811" t="str">
        <f t="shared" si="76"/>
        <v/>
      </c>
      <c r="DF69" s="811" t="str">
        <f t="shared" si="76"/>
        <v/>
      </c>
      <c r="DG69" s="811" t="str">
        <f t="shared" si="76"/>
        <v/>
      </c>
      <c r="DH69" s="811" t="str">
        <f t="shared" si="76"/>
        <v/>
      </c>
      <c r="DI69" s="811" t="str">
        <f t="shared" si="76"/>
        <v/>
      </c>
      <c r="DJ69" s="811" t="str">
        <f t="shared" si="76"/>
        <v/>
      </c>
      <c r="DK69" s="811" t="str">
        <f t="shared" si="76"/>
        <v/>
      </c>
    </row>
    <row r="70" spans="2:115" ht="20.100000000000001" customHeight="1" x14ac:dyDescent="0.2">
      <c r="B70" s="815" t="s">
        <v>770</v>
      </c>
      <c r="C70" s="816">
        <v>0.19900000000000001</v>
      </c>
      <c r="D70" s="814">
        <v>200</v>
      </c>
      <c r="E70" s="776">
        <v>38869</v>
      </c>
      <c r="F70" s="817">
        <v>40</v>
      </c>
      <c r="G70" s="776"/>
      <c r="H70" s="817">
        <v>2</v>
      </c>
      <c r="I70" s="806"/>
      <c r="J70" s="795">
        <f t="shared" si="13"/>
        <v>39052</v>
      </c>
      <c r="K70" s="795" t="str">
        <f t="shared" si="14"/>
        <v/>
      </c>
      <c r="L70" s="810" t="str">
        <f t="shared" si="26"/>
        <v/>
      </c>
      <c r="M70" s="809" t="str">
        <f t="shared" si="15"/>
        <v>Murraylink (20%)</v>
      </c>
      <c r="N70" s="811" t="str">
        <f t="shared" si="67"/>
        <v/>
      </c>
      <c r="O70" s="811" t="str">
        <f t="shared" si="67"/>
        <v/>
      </c>
      <c r="P70" s="811" t="str">
        <f t="shared" si="67"/>
        <v/>
      </c>
      <c r="Q70" s="811" t="str">
        <f t="shared" si="67"/>
        <v/>
      </c>
      <c r="R70" s="811" t="str">
        <f t="shared" si="67"/>
        <v/>
      </c>
      <c r="S70" s="811" t="str">
        <f t="shared" si="67"/>
        <v/>
      </c>
      <c r="T70" s="811" t="str">
        <f t="shared" si="67"/>
        <v/>
      </c>
      <c r="U70" s="811" t="str">
        <f t="shared" si="67"/>
        <v/>
      </c>
      <c r="V70" s="811" t="str">
        <f t="shared" si="67"/>
        <v/>
      </c>
      <c r="W70" s="811" t="str">
        <f t="shared" si="67"/>
        <v/>
      </c>
      <c r="X70" s="811" t="str">
        <f t="shared" si="68"/>
        <v/>
      </c>
      <c r="Y70" s="811" t="str">
        <f t="shared" si="68"/>
        <v/>
      </c>
      <c r="Z70" s="811" t="str">
        <f t="shared" si="68"/>
        <v/>
      </c>
      <c r="AA70" s="811" t="str">
        <f t="shared" si="68"/>
        <v/>
      </c>
      <c r="AB70" s="811" t="str">
        <f t="shared" si="68"/>
        <v/>
      </c>
      <c r="AC70" s="811" t="str">
        <f t="shared" si="68"/>
        <v/>
      </c>
      <c r="AD70" s="811" t="str">
        <f t="shared" si="68"/>
        <v/>
      </c>
      <c r="AE70" s="811" t="str">
        <f t="shared" si="68"/>
        <v/>
      </c>
      <c r="AF70" s="811" t="str">
        <f t="shared" si="68"/>
        <v/>
      </c>
      <c r="AG70" s="811" t="str">
        <f t="shared" si="68"/>
        <v/>
      </c>
      <c r="AH70" s="811" t="str">
        <f t="shared" si="69"/>
        <v/>
      </c>
      <c r="AI70" s="811" t="str">
        <f t="shared" si="69"/>
        <v/>
      </c>
      <c r="AJ70" s="811" t="str">
        <f t="shared" si="69"/>
        <v/>
      </c>
      <c r="AK70" s="811" t="str">
        <f t="shared" si="69"/>
        <v/>
      </c>
      <c r="AL70" s="811" t="str">
        <f t="shared" si="69"/>
        <v/>
      </c>
      <c r="AM70" s="811" t="str">
        <f t="shared" si="69"/>
        <v/>
      </c>
      <c r="AN70" s="811" t="str">
        <f t="shared" si="69"/>
        <v/>
      </c>
      <c r="AO70" s="811" t="str">
        <f t="shared" si="69"/>
        <v/>
      </c>
      <c r="AP70" s="811" t="str">
        <f t="shared" si="69"/>
        <v/>
      </c>
      <c r="AQ70" s="811" t="str">
        <f t="shared" si="69"/>
        <v/>
      </c>
      <c r="AR70" s="811" t="str">
        <f t="shared" si="70"/>
        <v/>
      </c>
      <c r="AS70" s="811" t="str">
        <f t="shared" si="70"/>
        <v/>
      </c>
      <c r="AT70" s="811" t="str">
        <f t="shared" si="70"/>
        <v/>
      </c>
      <c r="AU70" s="811" t="str">
        <f t="shared" si="70"/>
        <v/>
      </c>
      <c r="AV70" s="811" t="str">
        <f t="shared" si="70"/>
        <v/>
      </c>
      <c r="AW70" s="811" t="str">
        <f t="shared" si="70"/>
        <v/>
      </c>
      <c r="AX70" s="811" t="str">
        <f t="shared" si="70"/>
        <v/>
      </c>
      <c r="AY70" s="811">
        <f t="shared" si="70"/>
        <v>39.800000000000004</v>
      </c>
      <c r="AZ70" s="811">
        <f t="shared" si="70"/>
        <v>38.805</v>
      </c>
      <c r="BA70" s="811">
        <f t="shared" si="70"/>
        <v>37.807273972602744</v>
      </c>
      <c r="BB70" s="811">
        <f t="shared" si="71"/>
        <v>36.812273972602739</v>
      </c>
      <c r="BC70" s="811">
        <f t="shared" si="71"/>
        <v>35.817273972602742</v>
      </c>
      <c r="BD70" s="811">
        <f t="shared" si="71"/>
        <v>34.822273972602744</v>
      </c>
      <c r="BE70" s="811">
        <f t="shared" si="71"/>
        <v>33.824547945205481</v>
      </c>
      <c r="BF70" s="811">
        <f t="shared" si="71"/>
        <v>32.829547945205483</v>
      </c>
      <c r="BG70" s="811">
        <f t="shared" si="71"/>
        <v>31.834547945205482</v>
      </c>
      <c r="BH70" s="811">
        <f t="shared" si="71"/>
        <v>30.839547945205481</v>
      </c>
      <c r="BI70" s="811">
        <f t="shared" si="71"/>
        <v>29.841821917808222</v>
      </c>
      <c r="BJ70" s="811">
        <f t="shared" si="71"/>
        <v>28.846821917808214</v>
      </c>
      <c r="BK70" s="811">
        <f t="shared" si="71"/>
        <v>27.85182191780822</v>
      </c>
      <c r="BL70" s="811">
        <f t="shared" si="72"/>
        <v>26.856821917808222</v>
      </c>
      <c r="BM70" s="811">
        <f t="shared" si="72"/>
        <v>25.859095890410959</v>
      </c>
      <c r="BN70" s="811">
        <f t="shared" si="72"/>
        <v>24.864095890410962</v>
      </c>
      <c r="BO70" s="811">
        <f t="shared" si="72"/>
        <v>23.869095890410957</v>
      </c>
      <c r="BP70" s="811">
        <f t="shared" si="72"/>
        <v>22.87409589041096</v>
      </c>
      <c r="BQ70" s="811">
        <f t="shared" si="72"/>
        <v>21.876369863013696</v>
      </c>
      <c r="BR70" s="811">
        <f t="shared" si="72"/>
        <v>20.881369863013699</v>
      </c>
      <c r="BS70" s="811">
        <f t="shared" si="72"/>
        <v>19.886369863013702</v>
      </c>
      <c r="BT70" s="811">
        <f t="shared" si="72"/>
        <v>18.891369863013697</v>
      </c>
      <c r="BU70" s="811">
        <f t="shared" si="72"/>
        <v>17.893643835616437</v>
      </c>
      <c r="BV70" s="811">
        <f t="shared" si="73"/>
        <v>16.898643835616443</v>
      </c>
      <c r="BW70" s="811">
        <f t="shared" si="73"/>
        <v>15.903643835616439</v>
      </c>
      <c r="BX70" s="811">
        <f t="shared" si="73"/>
        <v>14.90864383561644</v>
      </c>
      <c r="BY70" s="811">
        <f t="shared" si="73"/>
        <v>13.91091780821918</v>
      </c>
      <c r="BZ70" s="811">
        <f t="shared" si="73"/>
        <v>12.915917808219179</v>
      </c>
      <c r="CA70" s="811">
        <f t="shared" si="73"/>
        <v>11.920917808219176</v>
      </c>
      <c r="CB70" s="811">
        <f t="shared" si="73"/>
        <v>10.925917808219181</v>
      </c>
      <c r="CC70" s="811">
        <f t="shared" si="73"/>
        <v>9.9281917808219209</v>
      </c>
      <c r="CD70" s="811">
        <f t="shared" si="73"/>
        <v>8.9331917808219181</v>
      </c>
      <c r="CE70" s="811">
        <f t="shared" si="73"/>
        <v>7.9381917808219189</v>
      </c>
      <c r="CF70" s="811">
        <f t="shared" si="74"/>
        <v>6.943191780821917</v>
      </c>
      <c r="CG70" s="811">
        <f t="shared" si="74"/>
        <v>5.9454657534246573</v>
      </c>
      <c r="CH70" s="811">
        <f t="shared" si="74"/>
        <v>4.9504657534246554</v>
      </c>
      <c r="CI70" s="811">
        <f t="shared" si="74"/>
        <v>3.9554657534246598</v>
      </c>
      <c r="CJ70" s="811">
        <f t="shared" si="74"/>
        <v>2.9604657534246583</v>
      </c>
      <c r="CK70" s="811">
        <f t="shared" si="74"/>
        <v>1.9627397260273982</v>
      </c>
      <c r="CL70" s="811">
        <f t="shared" si="74"/>
        <v>0.96773972602739722</v>
      </c>
      <c r="CM70" s="811" t="str">
        <f t="shared" si="74"/>
        <v/>
      </c>
      <c r="CN70" s="811" t="str">
        <f t="shared" si="74"/>
        <v/>
      </c>
      <c r="CO70" s="811" t="str">
        <f t="shared" si="74"/>
        <v/>
      </c>
      <c r="CP70" s="811" t="str">
        <f t="shared" si="75"/>
        <v/>
      </c>
      <c r="CQ70" s="811" t="str">
        <f t="shared" si="75"/>
        <v/>
      </c>
      <c r="CR70" s="811" t="str">
        <f t="shared" si="75"/>
        <v/>
      </c>
      <c r="CS70" s="811" t="str">
        <f t="shared" si="75"/>
        <v/>
      </c>
      <c r="CT70" s="811" t="str">
        <f t="shared" si="75"/>
        <v/>
      </c>
      <c r="CU70" s="811" t="str">
        <f t="shared" si="75"/>
        <v/>
      </c>
      <c r="CV70" s="811" t="str">
        <f t="shared" si="75"/>
        <v/>
      </c>
      <c r="CW70" s="811" t="str">
        <f t="shared" si="75"/>
        <v/>
      </c>
      <c r="CX70" s="811" t="str">
        <f t="shared" si="75"/>
        <v/>
      </c>
      <c r="CY70" s="811" t="str">
        <f t="shared" si="75"/>
        <v/>
      </c>
      <c r="CZ70" s="811" t="str">
        <f t="shared" si="76"/>
        <v/>
      </c>
      <c r="DA70" s="811" t="str">
        <f t="shared" si="76"/>
        <v/>
      </c>
      <c r="DB70" s="811" t="str">
        <f t="shared" si="76"/>
        <v/>
      </c>
      <c r="DC70" s="811" t="str">
        <f t="shared" si="76"/>
        <v/>
      </c>
      <c r="DD70" s="811" t="str">
        <f t="shared" si="76"/>
        <v/>
      </c>
      <c r="DE70" s="811" t="str">
        <f t="shared" si="76"/>
        <v/>
      </c>
      <c r="DF70" s="811" t="str">
        <f t="shared" si="76"/>
        <v/>
      </c>
      <c r="DG70" s="811" t="str">
        <f t="shared" si="76"/>
        <v/>
      </c>
      <c r="DH70" s="811" t="str">
        <f t="shared" si="76"/>
        <v/>
      </c>
      <c r="DI70" s="811" t="str">
        <f t="shared" si="76"/>
        <v/>
      </c>
      <c r="DJ70" s="811" t="str">
        <f t="shared" si="76"/>
        <v/>
      </c>
      <c r="DK70" s="811" t="str">
        <f t="shared" si="76"/>
        <v/>
      </c>
    </row>
    <row r="71" spans="2:115" ht="20.100000000000001" customHeight="1" x14ac:dyDescent="0.2">
      <c r="B71" s="815" t="s">
        <v>683</v>
      </c>
      <c r="C71" s="816"/>
      <c r="D71" s="814"/>
      <c r="E71" s="776"/>
      <c r="F71" s="817"/>
      <c r="G71" s="776"/>
      <c r="H71" s="817"/>
      <c r="I71" s="806"/>
      <c r="J71" s="795" t="str">
        <f t="shared" si="13"/>
        <v/>
      </c>
      <c r="K71" s="795" t="str">
        <f t="shared" si="14"/>
        <v/>
      </c>
      <c r="L71" s="810" t="str">
        <f t="shared" si="26"/>
        <v/>
      </c>
      <c r="M71" s="809" t="str">
        <f t="shared" si="15"/>
        <v/>
      </c>
      <c r="N71" s="811" t="str">
        <f t="shared" si="67"/>
        <v/>
      </c>
      <c r="O71" s="811" t="str">
        <f t="shared" si="67"/>
        <v/>
      </c>
      <c r="P71" s="811" t="str">
        <f t="shared" si="67"/>
        <v/>
      </c>
      <c r="Q71" s="811" t="str">
        <f t="shared" si="67"/>
        <v/>
      </c>
      <c r="R71" s="811" t="str">
        <f t="shared" si="67"/>
        <v/>
      </c>
      <c r="S71" s="811" t="str">
        <f t="shared" si="67"/>
        <v/>
      </c>
      <c r="T71" s="811" t="str">
        <f t="shared" si="67"/>
        <v/>
      </c>
      <c r="U71" s="811" t="str">
        <f t="shared" si="67"/>
        <v/>
      </c>
      <c r="V71" s="811" t="str">
        <f t="shared" si="67"/>
        <v/>
      </c>
      <c r="W71" s="811" t="str">
        <f t="shared" si="67"/>
        <v/>
      </c>
      <c r="X71" s="811" t="str">
        <f t="shared" si="68"/>
        <v/>
      </c>
      <c r="Y71" s="811" t="str">
        <f t="shared" si="68"/>
        <v/>
      </c>
      <c r="Z71" s="811" t="str">
        <f t="shared" si="68"/>
        <v/>
      </c>
      <c r="AA71" s="811" t="str">
        <f t="shared" si="68"/>
        <v/>
      </c>
      <c r="AB71" s="811" t="str">
        <f t="shared" si="68"/>
        <v/>
      </c>
      <c r="AC71" s="811" t="str">
        <f t="shared" si="68"/>
        <v/>
      </c>
      <c r="AD71" s="811" t="str">
        <f t="shared" si="68"/>
        <v/>
      </c>
      <c r="AE71" s="811" t="str">
        <f t="shared" si="68"/>
        <v/>
      </c>
      <c r="AF71" s="811" t="str">
        <f t="shared" si="68"/>
        <v/>
      </c>
      <c r="AG71" s="811" t="str">
        <f t="shared" si="68"/>
        <v/>
      </c>
      <c r="AH71" s="811" t="str">
        <f t="shared" si="69"/>
        <v/>
      </c>
      <c r="AI71" s="811" t="str">
        <f t="shared" si="69"/>
        <v/>
      </c>
      <c r="AJ71" s="811" t="str">
        <f t="shared" si="69"/>
        <v/>
      </c>
      <c r="AK71" s="811" t="str">
        <f t="shared" si="69"/>
        <v/>
      </c>
      <c r="AL71" s="811" t="str">
        <f t="shared" si="69"/>
        <v/>
      </c>
      <c r="AM71" s="811" t="str">
        <f t="shared" si="69"/>
        <v/>
      </c>
      <c r="AN71" s="811" t="str">
        <f t="shared" si="69"/>
        <v/>
      </c>
      <c r="AO71" s="811" t="str">
        <f t="shared" si="69"/>
        <v/>
      </c>
      <c r="AP71" s="811" t="str">
        <f t="shared" si="69"/>
        <v/>
      </c>
      <c r="AQ71" s="811" t="str">
        <f t="shared" si="69"/>
        <v/>
      </c>
      <c r="AR71" s="811" t="str">
        <f t="shared" si="70"/>
        <v/>
      </c>
      <c r="AS71" s="811" t="str">
        <f t="shared" si="70"/>
        <v/>
      </c>
      <c r="AT71" s="811" t="str">
        <f t="shared" si="70"/>
        <v/>
      </c>
      <c r="AU71" s="811" t="str">
        <f t="shared" si="70"/>
        <v/>
      </c>
      <c r="AV71" s="811" t="str">
        <f t="shared" si="70"/>
        <v/>
      </c>
      <c r="AW71" s="811" t="str">
        <f t="shared" si="70"/>
        <v/>
      </c>
      <c r="AX71" s="811" t="str">
        <f t="shared" si="70"/>
        <v/>
      </c>
      <c r="AY71" s="811" t="str">
        <f t="shared" si="70"/>
        <v/>
      </c>
      <c r="AZ71" s="811" t="str">
        <f t="shared" si="70"/>
        <v/>
      </c>
      <c r="BA71" s="811" t="str">
        <f t="shared" si="70"/>
        <v/>
      </c>
      <c r="BB71" s="811" t="str">
        <f t="shared" si="71"/>
        <v/>
      </c>
      <c r="BC71" s="811" t="str">
        <f t="shared" si="71"/>
        <v/>
      </c>
      <c r="BD71" s="811" t="str">
        <f t="shared" si="71"/>
        <v/>
      </c>
      <c r="BE71" s="811" t="str">
        <f t="shared" si="71"/>
        <v/>
      </c>
      <c r="BF71" s="811" t="str">
        <f t="shared" si="71"/>
        <v/>
      </c>
      <c r="BG71" s="811" t="str">
        <f t="shared" si="71"/>
        <v/>
      </c>
      <c r="BH71" s="811" t="str">
        <f t="shared" si="71"/>
        <v/>
      </c>
      <c r="BI71" s="811" t="str">
        <f t="shared" si="71"/>
        <v/>
      </c>
      <c r="BJ71" s="811" t="str">
        <f t="shared" si="71"/>
        <v/>
      </c>
      <c r="BK71" s="811" t="str">
        <f t="shared" si="71"/>
        <v/>
      </c>
      <c r="BL71" s="811" t="str">
        <f t="shared" si="72"/>
        <v/>
      </c>
      <c r="BM71" s="811" t="str">
        <f t="shared" si="72"/>
        <v/>
      </c>
      <c r="BN71" s="811" t="str">
        <f t="shared" si="72"/>
        <v/>
      </c>
      <c r="BO71" s="811" t="str">
        <f t="shared" si="72"/>
        <v/>
      </c>
      <c r="BP71" s="811" t="str">
        <f t="shared" si="72"/>
        <v/>
      </c>
      <c r="BQ71" s="811" t="str">
        <f t="shared" si="72"/>
        <v/>
      </c>
      <c r="BR71" s="811" t="str">
        <f t="shared" si="72"/>
        <v/>
      </c>
      <c r="BS71" s="811" t="str">
        <f t="shared" si="72"/>
        <v/>
      </c>
      <c r="BT71" s="811" t="str">
        <f t="shared" si="72"/>
        <v/>
      </c>
      <c r="BU71" s="811" t="str">
        <f t="shared" si="72"/>
        <v/>
      </c>
      <c r="BV71" s="811" t="str">
        <f t="shared" si="73"/>
        <v/>
      </c>
      <c r="BW71" s="811" t="str">
        <f t="shared" si="73"/>
        <v/>
      </c>
      <c r="BX71" s="811" t="str">
        <f t="shared" si="73"/>
        <v/>
      </c>
      <c r="BY71" s="811" t="str">
        <f t="shared" si="73"/>
        <v/>
      </c>
      <c r="BZ71" s="811" t="str">
        <f t="shared" si="73"/>
        <v/>
      </c>
      <c r="CA71" s="811" t="str">
        <f t="shared" si="73"/>
        <v/>
      </c>
      <c r="CB71" s="811" t="str">
        <f t="shared" si="73"/>
        <v/>
      </c>
      <c r="CC71" s="811" t="str">
        <f t="shared" si="73"/>
        <v/>
      </c>
      <c r="CD71" s="811" t="str">
        <f t="shared" si="73"/>
        <v/>
      </c>
      <c r="CE71" s="811" t="str">
        <f t="shared" si="73"/>
        <v/>
      </c>
      <c r="CF71" s="811" t="str">
        <f t="shared" si="74"/>
        <v/>
      </c>
      <c r="CG71" s="811" t="str">
        <f t="shared" si="74"/>
        <v/>
      </c>
      <c r="CH71" s="811" t="str">
        <f t="shared" si="74"/>
        <v/>
      </c>
      <c r="CI71" s="811" t="str">
        <f t="shared" si="74"/>
        <v/>
      </c>
      <c r="CJ71" s="811" t="str">
        <f t="shared" si="74"/>
        <v/>
      </c>
      <c r="CK71" s="811" t="str">
        <f t="shared" si="74"/>
        <v/>
      </c>
      <c r="CL71" s="811" t="str">
        <f t="shared" si="74"/>
        <v/>
      </c>
      <c r="CM71" s="811" t="str">
        <f t="shared" si="74"/>
        <v/>
      </c>
      <c r="CN71" s="811" t="str">
        <f t="shared" si="74"/>
        <v/>
      </c>
      <c r="CO71" s="811" t="str">
        <f t="shared" si="74"/>
        <v/>
      </c>
      <c r="CP71" s="811" t="str">
        <f t="shared" si="75"/>
        <v/>
      </c>
      <c r="CQ71" s="811" t="str">
        <f t="shared" si="75"/>
        <v/>
      </c>
      <c r="CR71" s="811" t="str">
        <f t="shared" si="75"/>
        <v/>
      </c>
      <c r="CS71" s="811" t="str">
        <f t="shared" si="75"/>
        <v/>
      </c>
      <c r="CT71" s="811" t="str">
        <f t="shared" si="75"/>
        <v/>
      </c>
      <c r="CU71" s="811" t="str">
        <f t="shared" si="75"/>
        <v/>
      </c>
      <c r="CV71" s="811" t="str">
        <f t="shared" si="75"/>
        <v/>
      </c>
      <c r="CW71" s="811" t="str">
        <f t="shared" si="75"/>
        <v/>
      </c>
      <c r="CX71" s="811" t="str">
        <f t="shared" si="75"/>
        <v/>
      </c>
      <c r="CY71" s="811" t="str">
        <f t="shared" si="75"/>
        <v/>
      </c>
      <c r="CZ71" s="811" t="str">
        <f t="shared" si="76"/>
        <v/>
      </c>
      <c r="DA71" s="811" t="str">
        <f t="shared" si="76"/>
        <v/>
      </c>
      <c r="DB71" s="811" t="str">
        <f t="shared" si="76"/>
        <v/>
      </c>
      <c r="DC71" s="811" t="str">
        <f t="shared" si="76"/>
        <v/>
      </c>
      <c r="DD71" s="811" t="str">
        <f t="shared" si="76"/>
        <v/>
      </c>
      <c r="DE71" s="811" t="str">
        <f t="shared" si="76"/>
        <v/>
      </c>
      <c r="DF71" s="811" t="str">
        <f t="shared" si="76"/>
        <v/>
      </c>
      <c r="DG71" s="811" t="str">
        <f t="shared" si="76"/>
        <v/>
      </c>
      <c r="DH71" s="811" t="str">
        <f t="shared" si="76"/>
        <v/>
      </c>
      <c r="DI71" s="811" t="str">
        <f t="shared" si="76"/>
        <v/>
      </c>
      <c r="DJ71" s="811" t="str">
        <f t="shared" si="76"/>
        <v/>
      </c>
      <c r="DK71" s="811" t="str">
        <f t="shared" si="76"/>
        <v/>
      </c>
    </row>
    <row r="72" spans="2:115" ht="20.100000000000001" customHeight="1" x14ac:dyDescent="0.2">
      <c r="B72" s="815" t="s">
        <v>824</v>
      </c>
      <c r="C72" s="816">
        <v>0.2</v>
      </c>
      <c r="D72" s="814">
        <v>88.289999999999992</v>
      </c>
      <c r="E72" s="776">
        <v>25355</v>
      </c>
      <c r="F72" s="817">
        <v>70</v>
      </c>
      <c r="G72" s="776"/>
      <c r="H72" s="817">
        <v>2</v>
      </c>
      <c r="I72" s="806"/>
      <c r="J72" s="795">
        <f t="shared" si="13"/>
        <v>25538</v>
      </c>
      <c r="K72" s="795" t="str">
        <f t="shared" si="14"/>
        <v/>
      </c>
      <c r="L72" s="810" t="str">
        <f t="shared" si="26"/>
        <v/>
      </c>
      <c r="M72" s="809" t="str">
        <f t="shared" si="15"/>
        <v>Allgas (20%)</v>
      </c>
      <c r="N72" s="811">
        <f t="shared" si="67"/>
        <v>17.657999999999998</v>
      </c>
      <c r="O72" s="811">
        <f t="shared" si="67"/>
        <v>17.405742857142858</v>
      </c>
      <c r="P72" s="811">
        <f t="shared" si="67"/>
        <v>17.153485714285715</v>
      </c>
      <c r="Q72" s="811">
        <f t="shared" si="67"/>
        <v>16.900537455968689</v>
      </c>
      <c r="R72" s="811">
        <f t="shared" si="67"/>
        <v>16.648280313111545</v>
      </c>
      <c r="S72" s="811">
        <f t="shared" si="67"/>
        <v>16.396023170254402</v>
      </c>
      <c r="T72" s="811">
        <f t="shared" si="67"/>
        <v>16.143766027397259</v>
      </c>
      <c r="U72" s="811">
        <f t="shared" si="67"/>
        <v>15.890817769080236</v>
      </c>
      <c r="V72" s="811">
        <f t="shared" si="67"/>
        <v>15.638560626223091</v>
      </c>
      <c r="W72" s="811">
        <f t="shared" si="67"/>
        <v>15.386303483365948</v>
      </c>
      <c r="X72" s="811">
        <f t="shared" si="68"/>
        <v>15.134046340508803</v>
      </c>
      <c r="Y72" s="811">
        <f t="shared" si="68"/>
        <v>14.881098082191778</v>
      </c>
      <c r="Z72" s="811">
        <f t="shared" si="68"/>
        <v>14.628840939334637</v>
      </c>
      <c r="AA72" s="811">
        <f t="shared" si="68"/>
        <v>14.376583796477497</v>
      </c>
      <c r="AB72" s="811">
        <f t="shared" si="68"/>
        <v>14.124326653620352</v>
      </c>
      <c r="AC72" s="811">
        <f t="shared" si="68"/>
        <v>13.871378395303324</v>
      </c>
      <c r="AD72" s="811">
        <f t="shared" si="68"/>
        <v>13.619121252446181</v>
      </c>
      <c r="AE72" s="811">
        <f t="shared" si="68"/>
        <v>13.36686410958904</v>
      </c>
      <c r="AF72" s="811">
        <f t="shared" si="68"/>
        <v>13.114606966731898</v>
      </c>
      <c r="AG72" s="811">
        <f t="shared" si="68"/>
        <v>12.861658708414874</v>
      </c>
      <c r="AH72" s="811">
        <f t="shared" si="69"/>
        <v>12.609401565557729</v>
      </c>
      <c r="AI72" s="811">
        <f t="shared" si="69"/>
        <v>12.357144422700587</v>
      </c>
      <c r="AJ72" s="811">
        <f t="shared" si="69"/>
        <v>12.104887279843444</v>
      </c>
      <c r="AK72" s="811">
        <f t="shared" si="69"/>
        <v>11.851939021526418</v>
      </c>
      <c r="AL72" s="811">
        <f t="shared" si="69"/>
        <v>11.599681878669276</v>
      </c>
      <c r="AM72" s="811">
        <f t="shared" si="69"/>
        <v>11.347424735812133</v>
      </c>
      <c r="AN72" s="811">
        <f t="shared" si="69"/>
        <v>11.09516759295499</v>
      </c>
      <c r="AO72" s="811">
        <f t="shared" si="69"/>
        <v>10.842219334637965</v>
      </c>
      <c r="AP72" s="811">
        <f t="shared" si="69"/>
        <v>10.58996219178082</v>
      </c>
      <c r="AQ72" s="811">
        <f t="shared" si="69"/>
        <v>10.337705048923679</v>
      </c>
      <c r="AR72" s="811">
        <f t="shared" si="70"/>
        <v>10.085447906066536</v>
      </c>
      <c r="AS72" s="811">
        <f t="shared" si="70"/>
        <v>9.8324996477495112</v>
      </c>
      <c r="AT72" s="811">
        <f t="shared" si="70"/>
        <v>9.5802425048923663</v>
      </c>
      <c r="AU72" s="811">
        <f t="shared" si="70"/>
        <v>9.3279853620352231</v>
      </c>
      <c r="AV72" s="811">
        <f t="shared" si="70"/>
        <v>9.0757282191780799</v>
      </c>
      <c r="AW72" s="811">
        <f t="shared" si="70"/>
        <v>8.8227799608610553</v>
      </c>
      <c r="AX72" s="811">
        <f t="shared" si="70"/>
        <v>8.5705228180039139</v>
      </c>
      <c r="AY72" s="811">
        <f t="shared" si="70"/>
        <v>8.3182656751467707</v>
      </c>
      <c r="AZ72" s="811">
        <f t="shared" si="70"/>
        <v>8.0660085322896276</v>
      </c>
      <c r="BA72" s="811">
        <f t="shared" si="70"/>
        <v>7.8130602739726029</v>
      </c>
      <c r="BB72" s="811">
        <f t="shared" si="71"/>
        <v>7.5608031311154598</v>
      </c>
      <c r="BC72" s="811">
        <f t="shared" si="71"/>
        <v>7.3085459882583166</v>
      </c>
      <c r="BD72" s="811">
        <f t="shared" si="71"/>
        <v>7.0562888454011743</v>
      </c>
      <c r="BE72" s="811">
        <f t="shared" si="71"/>
        <v>6.8033405870841497</v>
      </c>
      <c r="BF72" s="811">
        <f t="shared" si="71"/>
        <v>6.5510834442270056</v>
      </c>
      <c r="BG72" s="811">
        <f t="shared" si="71"/>
        <v>6.2988263013698642</v>
      </c>
      <c r="BH72" s="811">
        <f t="shared" si="71"/>
        <v>6.0465691585127201</v>
      </c>
      <c r="BI72" s="811">
        <f t="shared" si="71"/>
        <v>5.7936209001956946</v>
      </c>
      <c r="BJ72" s="811">
        <f t="shared" si="71"/>
        <v>5.5413637573385524</v>
      </c>
      <c r="BK72" s="811">
        <f t="shared" si="71"/>
        <v>5.2891066144814083</v>
      </c>
      <c r="BL72" s="811">
        <f t="shared" si="72"/>
        <v>5.036849471624266</v>
      </c>
      <c r="BM72" s="811">
        <f t="shared" si="72"/>
        <v>4.7839012133072414</v>
      </c>
      <c r="BN72" s="811">
        <f t="shared" si="72"/>
        <v>4.5316440704500973</v>
      </c>
      <c r="BO72" s="811">
        <f t="shared" si="72"/>
        <v>4.279386927592955</v>
      </c>
      <c r="BP72" s="811">
        <f t="shared" si="72"/>
        <v>4.027129784735811</v>
      </c>
      <c r="BQ72" s="811">
        <f t="shared" si="72"/>
        <v>3.7741815264187859</v>
      </c>
      <c r="BR72" s="811">
        <f t="shared" si="72"/>
        <v>3.5219243835616441</v>
      </c>
      <c r="BS72" s="811">
        <f t="shared" si="72"/>
        <v>3.2696672407045018</v>
      </c>
      <c r="BT72" s="811">
        <f t="shared" si="72"/>
        <v>3.0174100978473581</v>
      </c>
      <c r="BU72" s="811">
        <f t="shared" si="72"/>
        <v>2.7644618395303322</v>
      </c>
      <c r="BV72" s="811">
        <f t="shared" si="73"/>
        <v>2.5122046966731908</v>
      </c>
      <c r="BW72" s="811">
        <f t="shared" si="73"/>
        <v>2.2599475538160467</v>
      </c>
      <c r="BX72" s="811">
        <f t="shared" si="73"/>
        <v>2.0076904109589044</v>
      </c>
      <c r="BY72" s="811">
        <f t="shared" si="73"/>
        <v>1.7547421526418792</v>
      </c>
      <c r="BZ72" s="811">
        <f t="shared" si="73"/>
        <v>1.5024850097847353</v>
      </c>
      <c r="CA72" s="811">
        <f t="shared" si="73"/>
        <v>1.2502278669275935</v>
      </c>
      <c r="CB72" s="811">
        <f t="shared" si="73"/>
        <v>0.9979707240704494</v>
      </c>
      <c r="CC72" s="811">
        <f t="shared" si="73"/>
        <v>0.7450224657534239</v>
      </c>
      <c r="CD72" s="811">
        <f t="shared" si="73"/>
        <v>0.492765322896282</v>
      </c>
      <c r="CE72" s="811">
        <f t="shared" si="73"/>
        <v>0.24050818003913804</v>
      </c>
      <c r="CF72" s="811" t="str">
        <f t="shared" si="74"/>
        <v/>
      </c>
      <c r="CG72" s="811" t="str">
        <f t="shared" si="74"/>
        <v/>
      </c>
      <c r="CH72" s="811" t="str">
        <f t="shared" si="74"/>
        <v/>
      </c>
      <c r="CI72" s="811" t="str">
        <f t="shared" si="74"/>
        <v/>
      </c>
      <c r="CJ72" s="811" t="str">
        <f t="shared" si="74"/>
        <v/>
      </c>
      <c r="CK72" s="811" t="str">
        <f t="shared" si="74"/>
        <v/>
      </c>
      <c r="CL72" s="811" t="str">
        <f t="shared" si="74"/>
        <v/>
      </c>
      <c r="CM72" s="811" t="str">
        <f t="shared" si="74"/>
        <v/>
      </c>
      <c r="CN72" s="811" t="str">
        <f t="shared" si="74"/>
        <v/>
      </c>
      <c r="CO72" s="811" t="str">
        <f t="shared" si="74"/>
        <v/>
      </c>
      <c r="CP72" s="811" t="str">
        <f t="shared" si="75"/>
        <v/>
      </c>
      <c r="CQ72" s="811" t="str">
        <f t="shared" si="75"/>
        <v/>
      </c>
      <c r="CR72" s="811" t="str">
        <f t="shared" si="75"/>
        <v/>
      </c>
      <c r="CS72" s="811" t="str">
        <f t="shared" si="75"/>
        <v/>
      </c>
      <c r="CT72" s="811" t="str">
        <f t="shared" si="75"/>
        <v/>
      </c>
      <c r="CU72" s="811" t="str">
        <f t="shared" si="75"/>
        <v/>
      </c>
      <c r="CV72" s="811" t="str">
        <f t="shared" si="75"/>
        <v/>
      </c>
      <c r="CW72" s="811" t="str">
        <f t="shared" si="75"/>
        <v/>
      </c>
      <c r="CX72" s="811" t="str">
        <f t="shared" si="75"/>
        <v/>
      </c>
      <c r="CY72" s="811" t="str">
        <f t="shared" si="75"/>
        <v/>
      </c>
      <c r="CZ72" s="811" t="str">
        <f t="shared" si="76"/>
        <v/>
      </c>
      <c r="DA72" s="811" t="str">
        <f t="shared" si="76"/>
        <v/>
      </c>
      <c r="DB72" s="811" t="str">
        <f t="shared" si="76"/>
        <v/>
      </c>
      <c r="DC72" s="811" t="str">
        <f t="shared" si="76"/>
        <v/>
      </c>
      <c r="DD72" s="811" t="str">
        <f t="shared" si="76"/>
        <v/>
      </c>
      <c r="DE72" s="811" t="str">
        <f t="shared" si="76"/>
        <v/>
      </c>
      <c r="DF72" s="811" t="str">
        <f t="shared" si="76"/>
        <v/>
      </c>
      <c r="DG72" s="811" t="str">
        <f t="shared" si="76"/>
        <v/>
      </c>
      <c r="DH72" s="811" t="str">
        <f t="shared" si="76"/>
        <v/>
      </c>
      <c r="DI72" s="811" t="str">
        <f t="shared" si="76"/>
        <v/>
      </c>
      <c r="DJ72" s="811" t="str">
        <f t="shared" si="76"/>
        <v/>
      </c>
      <c r="DK72" s="811" t="str">
        <f t="shared" si="76"/>
        <v/>
      </c>
    </row>
    <row r="73" spans="2:115" ht="20.100000000000001" customHeight="1" x14ac:dyDescent="0.2">
      <c r="B73" s="815" t="s">
        <v>341</v>
      </c>
      <c r="C73" s="816">
        <v>1</v>
      </c>
      <c r="D73" s="814">
        <v>313.69141357725471</v>
      </c>
      <c r="E73" s="776">
        <v>31929</v>
      </c>
      <c r="F73" s="817">
        <v>70</v>
      </c>
      <c r="G73" s="776"/>
      <c r="H73" s="817">
        <v>2</v>
      </c>
      <c r="I73" s="806"/>
      <c r="J73" s="795">
        <f t="shared" si="13"/>
        <v>32112</v>
      </c>
      <c r="K73" s="795" t="str">
        <f t="shared" si="14"/>
        <v/>
      </c>
      <c r="L73" s="810" t="str">
        <f t="shared" si="26"/>
        <v/>
      </c>
      <c r="M73" s="809" t="str">
        <f t="shared" si="15"/>
        <v>Amadeus Gas Pipeline (100%)</v>
      </c>
      <c r="N73" s="811" t="str">
        <f t="shared" si="67"/>
        <v/>
      </c>
      <c r="O73" s="811" t="str">
        <f t="shared" si="67"/>
        <v/>
      </c>
      <c r="P73" s="811" t="str">
        <f t="shared" si="67"/>
        <v/>
      </c>
      <c r="Q73" s="811" t="str">
        <f t="shared" si="67"/>
        <v/>
      </c>
      <c r="R73" s="811" t="str">
        <f t="shared" si="67"/>
        <v/>
      </c>
      <c r="S73" s="811" t="str">
        <f t="shared" si="67"/>
        <v/>
      </c>
      <c r="T73" s="811" t="str">
        <f t="shared" si="67"/>
        <v/>
      </c>
      <c r="U73" s="811" t="str">
        <f t="shared" si="67"/>
        <v/>
      </c>
      <c r="V73" s="811" t="str">
        <f t="shared" si="67"/>
        <v/>
      </c>
      <c r="W73" s="811" t="str">
        <f t="shared" si="67"/>
        <v/>
      </c>
      <c r="X73" s="811" t="str">
        <f t="shared" si="68"/>
        <v/>
      </c>
      <c r="Y73" s="811" t="str">
        <f t="shared" si="68"/>
        <v/>
      </c>
      <c r="Z73" s="811" t="str">
        <f t="shared" si="68"/>
        <v/>
      </c>
      <c r="AA73" s="811" t="str">
        <f t="shared" si="68"/>
        <v/>
      </c>
      <c r="AB73" s="811" t="str">
        <f t="shared" si="68"/>
        <v/>
      </c>
      <c r="AC73" s="811" t="str">
        <f t="shared" si="68"/>
        <v/>
      </c>
      <c r="AD73" s="811" t="str">
        <f t="shared" si="68"/>
        <v/>
      </c>
      <c r="AE73" s="811" t="str">
        <f t="shared" si="68"/>
        <v/>
      </c>
      <c r="AF73" s="811">
        <f t="shared" si="68"/>
        <v>313.69141357725471</v>
      </c>
      <c r="AG73" s="811">
        <f t="shared" si="68"/>
        <v>309.19783011857464</v>
      </c>
      <c r="AH73" s="811">
        <f t="shared" si="69"/>
        <v>304.7165242103282</v>
      </c>
      <c r="AI73" s="811">
        <f t="shared" si="69"/>
        <v>300.23521830208165</v>
      </c>
      <c r="AJ73" s="811">
        <f t="shared" si="69"/>
        <v>295.75391239383521</v>
      </c>
      <c r="AK73" s="811">
        <f t="shared" si="69"/>
        <v>291.26032893515514</v>
      </c>
      <c r="AL73" s="811">
        <f t="shared" si="69"/>
        <v>286.77902302690865</v>
      </c>
      <c r="AM73" s="811">
        <f t="shared" si="69"/>
        <v>282.29771711866215</v>
      </c>
      <c r="AN73" s="811">
        <f t="shared" si="69"/>
        <v>277.81641121041565</v>
      </c>
      <c r="AO73" s="811">
        <f t="shared" si="69"/>
        <v>273.32282775173559</v>
      </c>
      <c r="AP73" s="811">
        <f t="shared" si="69"/>
        <v>268.84152184348909</v>
      </c>
      <c r="AQ73" s="811">
        <f t="shared" si="69"/>
        <v>264.36021593524259</v>
      </c>
      <c r="AR73" s="811">
        <f t="shared" si="70"/>
        <v>259.8789100269961</v>
      </c>
      <c r="AS73" s="811">
        <f t="shared" si="70"/>
        <v>255.38532656831606</v>
      </c>
      <c r="AT73" s="811">
        <f t="shared" si="70"/>
        <v>250.90402066006956</v>
      </c>
      <c r="AU73" s="811">
        <f t="shared" si="70"/>
        <v>246.42271475182307</v>
      </c>
      <c r="AV73" s="811">
        <f t="shared" si="70"/>
        <v>241.94140884357654</v>
      </c>
      <c r="AW73" s="811">
        <f t="shared" si="70"/>
        <v>237.4478253848965</v>
      </c>
      <c r="AX73" s="811">
        <f t="shared" si="70"/>
        <v>232.96651947665001</v>
      </c>
      <c r="AY73" s="811">
        <f t="shared" si="70"/>
        <v>228.48521356840354</v>
      </c>
      <c r="AZ73" s="811">
        <f t="shared" si="70"/>
        <v>224.00390766015701</v>
      </c>
      <c r="BA73" s="811">
        <f t="shared" si="70"/>
        <v>219.51032420147698</v>
      </c>
      <c r="BB73" s="811">
        <f t="shared" si="71"/>
        <v>215.02901829323051</v>
      </c>
      <c r="BC73" s="811">
        <f t="shared" si="71"/>
        <v>210.54771238498398</v>
      </c>
      <c r="BD73" s="811">
        <f t="shared" si="71"/>
        <v>206.06640647673751</v>
      </c>
      <c r="BE73" s="811">
        <f t="shared" si="71"/>
        <v>201.57282301805745</v>
      </c>
      <c r="BF73" s="811">
        <f t="shared" si="71"/>
        <v>197.09151710981098</v>
      </c>
      <c r="BG73" s="811">
        <f t="shared" si="71"/>
        <v>192.61021120156445</v>
      </c>
      <c r="BH73" s="811">
        <f t="shared" si="71"/>
        <v>188.12890529331796</v>
      </c>
      <c r="BI73" s="811">
        <f t="shared" si="71"/>
        <v>183.63532183463789</v>
      </c>
      <c r="BJ73" s="811">
        <f t="shared" si="71"/>
        <v>179.15401592639142</v>
      </c>
      <c r="BK73" s="811">
        <f t="shared" si="71"/>
        <v>174.67271001814493</v>
      </c>
      <c r="BL73" s="811">
        <f t="shared" si="72"/>
        <v>170.19140410989843</v>
      </c>
      <c r="BM73" s="811">
        <f t="shared" si="72"/>
        <v>165.69782065121836</v>
      </c>
      <c r="BN73" s="811">
        <f t="shared" si="72"/>
        <v>161.21651474297187</v>
      </c>
      <c r="BO73" s="811">
        <f t="shared" si="72"/>
        <v>156.73520883472537</v>
      </c>
      <c r="BP73" s="811">
        <f t="shared" si="72"/>
        <v>152.2539029264789</v>
      </c>
      <c r="BQ73" s="811">
        <f t="shared" si="72"/>
        <v>147.76031946779884</v>
      </c>
      <c r="BR73" s="811">
        <f t="shared" si="72"/>
        <v>143.27901355955234</v>
      </c>
      <c r="BS73" s="811">
        <f t="shared" si="72"/>
        <v>138.79770765130584</v>
      </c>
      <c r="BT73" s="811">
        <f t="shared" si="72"/>
        <v>134.31640174305934</v>
      </c>
      <c r="BU73" s="811">
        <f t="shared" si="72"/>
        <v>129.82281828437928</v>
      </c>
      <c r="BV73" s="811">
        <f t="shared" si="73"/>
        <v>125.34151237613281</v>
      </c>
      <c r="BW73" s="811">
        <f t="shared" si="73"/>
        <v>120.86020646788633</v>
      </c>
      <c r="BX73" s="811">
        <f t="shared" si="73"/>
        <v>116.37890055963982</v>
      </c>
      <c r="BY73" s="811">
        <f t="shared" si="73"/>
        <v>111.88531710095977</v>
      </c>
      <c r="BZ73" s="811">
        <f t="shared" si="73"/>
        <v>107.40401119271328</v>
      </c>
      <c r="CA73" s="811">
        <f t="shared" si="73"/>
        <v>102.92270528446677</v>
      </c>
      <c r="CB73" s="811">
        <f t="shared" si="73"/>
        <v>98.441399376220289</v>
      </c>
      <c r="CC73" s="811">
        <f t="shared" si="73"/>
        <v>93.94781591754024</v>
      </c>
      <c r="CD73" s="811">
        <f t="shared" si="73"/>
        <v>89.466510009293728</v>
      </c>
      <c r="CE73" s="811">
        <f t="shared" si="73"/>
        <v>84.985204101047245</v>
      </c>
      <c r="CF73" s="811">
        <f t="shared" si="74"/>
        <v>80.503898192800733</v>
      </c>
      <c r="CG73" s="811">
        <f t="shared" si="74"/>
        <v>76.010314734120684</v>
      </c>
      <c r="CH73" s="811">
        <f t="shared" si="74"/>
        <v>71.529008825874214</v>
      </c>
      <c r="CI73" s="811">
        <f t="shared" si="74"/>
        <v>67.047702917627689</v>
      </c>
      <c r="CJ73" s="811">
        <f t="shared" si="74"/>
        <v>62.566397009381213</v>
      </c>
      <c r="CK73" s="811">
        <f t="shared" si="74"/>
        <v>58.072813550701163</v>
      </c>
      <c r="CL73" s="811">
        <f t="shared" si="74"/>
        <v>53.591507642454687</v>
      </c>
      <c r="CM73" s="811">
        <f t="shared" si="74"/>
        <v>49.110201734208168</v>
      </c>
      <c r="CN73" s="811">
        <f t="shared" si="74"/>
        <v>44.628895825961692</v>
      </c>
      <c r="CO73" s="811">
        <f t="shared" si="74"/>
        <v>40.135312367281642</v>
      </c>
      <c r="CP73" s="811">
        <f t="shared" si="75"/>
        <v>35.654006459035131</v>
      </c>
      <c r="CQ73" s="811">
        <f t="shared" si="75"/>
        <v>31.172700550788647</v>
      </c>
      <c r="CR73" s="811">
        <f t="shared" si="75"/>
        <v>26.691394642542132</v>
      </c>
      <c r="CS73" s="811">
        <f t="shared" si="75"/>
        <v>22.197811183862086</v>
      </c>
      <c r="CT73" s="811">
        <f t="shared" si="75"/>
        <v>17.716505275615607</v>
      </c>
      <c r="CU73" s="811">
        <f t="shared" si="75"/>
        <v>13.23519936736909</v>
      </c>
      <c r="CV73" s="811">
        <f t="shared" si="75"/>
        <v>8.7538934591226099</v>
      </c>
      <c r="CW73" s="811">
        <f t="shared" si="75"/>
        <v>4.260310000442562</v>
      </c>
      <c r="CX73" s="811" t="str">
        <f t="shared" si="75"/>
        <v/>
      </c>
      <c r="CY73" s="811" t="str">
        <f t="shared" si="75"/>
        <v/>
      </c>
      <c r="CZ73" s="811" t="str">
        <f t="shared" si="76"/>
        <v/>
      </c>
      <c r="DA73" s="811" t="str">
        <f t="shared" si="76"/>
        <v/>
      </c>
      <c r="DB73" s="811" t="str">
        <f t="shared" si="76"/>
        <v/>
      </c>
      <c r="DC73" s="811" t="str">
        <f t="shared" si="76"/>
        <v/>
      </c>
      <c r="DD73" s="811" t="str">
        <f t="shared" si="76"/>
        <v/>
      </c>
      <c r="DE73" s="811" t="str">
        <f t="shared" si="76"/>
        <v/>
      </c>
      <c r="DF73" s="811" t="str">
        <f t="shared" si="76"/>
        <v/>
      </c>
      <c r="DG73" s="811" t="str">
        <f t="shared" si="76"/>
        <v/>
      </c>
      <c r="DH73" s="811" t="str">
        <f t="shared" si="76"/>
        <v/>
      </c>
      <c r="DI73" s="811" t="str">
        <f t="shared" si="76"/>
        <v/>
      </c>
      <c r="DJ73" s="811" t="str">
        <f t="shared" si="76"/>
        <v/>
      </c>
      <c r="DK73" s="811" t="str">
        <f t="shared" si="76"/>
        <v/>
      </c>
    </row>
    <row r="74" spans="2:115" ht="20.100000000000001" customHeight="1" x14ac:dyDescent="0.2">
      <c r="B74" s="815" t="s">
        <v>755</v>
      </c>
      <c r="C74" s="816">
        <v>1</v>
      </c>
      <c r="D74" s="814">
        <v>43</v>
      </c>
      <c r="E74" s="776">
        <v>39508</v>
      </c>
      <c r="F74" s="817">
        <v>70</v>
      </c>
      <c r="G74" s="776"/>
      <c r="H74" s="817">
        <v>2</v>
      </c>
      <c r="I74" s="806"/>
      <c r="J74" s="795">
        <f t="shared" si="13"/>
        <v>39783</v>
      </c>
      <c r="K74" s="795" t="str">
        <f t="shared" si="14"/>
        <v/>
      </c>
      <c r="L74" s="810" t="str">
        <f t="shared" si="26"/>
        <v/>
      </c>
      <c r="M74" s="809" t="str">
        <f t="shared" si="15"/>
        <v>Brooklyn Lara Pipeline (100%)</v>
      </c>
      <c r="N74" s="811" t="str">
        <f t="shared" si="67"/>
        <v/>
      </c>
      <c r="O74" s="811" t="str">
        <f t="shared" si="67"/>
        <v/>
      </c>
      <c r="P74" s="811" t="str">
        <f t="shared" si="67"/>
        <v/>
      </c>
      <c r="Q74" s="811" t="str">
        <f t="shared" si="67"/>
        <v/>
      </c>
      <c r="R74" s="811" t="str">
        <f t="shared" si="67"/>
        <v/>
      </c>
      <c r="S74" s="811" t="str">
        <f t="shared" si="67"/>
        <v/>
      </c>
      <c r="T74" s="811" t="str">
        <f t="shared" si="67"/>
        <v/>
      </c>
      <c r="U74" s="811" t="str">
        <f t="shared" si="67"/>
        <v/>
      </c>
      <c r="V74" s="811" t="str">
        <f t="shared" si="67"/>
        <v/>
      </c>
      <c r="W74" s="811" t="str">
        <f t="shared" si="67"/>
        <v/>
      </c>
      <c r="X74" s="811" t="str">
        <f t="shared" si="68"/>
        <v/>
      </c>
      <c r="Y74" s="811" t="str">
        <f t="shared" si="68"/>
        <v/>
      </c>
      <c r="Z74" s="811" t="str">
        <f t="shared" si="68"/>
        <v/>
      </c>
      <c r="AA74" s="811" t="str">
        <f t="shared" si="68"/>
        <v/>
      </c>
      <c r="AB74" s="811" t="str">
        <f t="shared" si="68"/>
        <v/>
      </c>
      <c r="AC74" s="811" t="str">
        <f t="shared" si="68"/>
        <v/>
      </c>
      <c r="AD74" s="811" t="str">
        <f t="shared" si="68"/>
        <v/>
      </c>
      <c r="AE74" s="811" t="str">
        <f t="shared" si="68"/>
        <v/>
      </c>
      <c r="AF74" s="811" t="str">
        <f t="shared" si="68"/>
        <v/>
      </c>
      <c r="AG74" s="811" t="str">
        <f t="shared" si="68"/>
        <v/>
      </c>
      <c r="AH74" s="811" t="str">
        <f t="shared" si="69"/>
        <v/>
      </c>
      <c r="AI74" s="811" t="str">
        <f t="shared" si="69"/>
        <v/>
      </c>
      <c r="AJ74" s="811" t="str">
        <f t="shared" si="69"/>
        <v/>
      </c>
      <c r="AK74" s="811" t="str">
        <f t="shared" si="69"/>
        <v/>
      </c>
      <c r="AL74" s="811" t="str">
        <f t="shared" si="69"/>
        <v/>
      </c>
      <c r="AM74" s="811" t="str">
        <f t="shared" si="69"/>
        <v/>
      </c>
      <c r="AN74" s="811" t="str">
        <f t="shared" si="69"/>
        <v/>
      </c>
      <c r="AO74" s="811" t="str">
        <f t="shared" si="69"/>
        <v/>
      </c>
      <c r="AP74" s="811" t="str">
        <f t="shared" si="69"/>
        <v/>
      </c>
      <c r="AQ74" s="811" t="str">
        <f t="shared" si="69"/>
        <v/>
      </c>
      <c r="AR74" s="811" t="str">
        <f t="shared" si="70"/>
        <v/>
      </c>
      <c r="AS74" s="811" t="str">
        <f t="shared" si="70"/>
        <v/>
      </c>
      <c r="AT74" s="811" t="str">
        <f t="shared" si="70"/>
        <v/>
      </c>
      <c r="AU74" s="811" t="str">
        <f t="shared" si="70"/>
        <v/>
      </c>
      <c r="AV74" s="811" t="str">
        <f t="shared" si="70"/>
        <v/>
      </c>
      <c r="AW74" s="811" t="str">
        <f t="shared" si="70"/>
        <v/>
      </c>
      <c r="AX74" s="811" t="str">
        <f t="shared" si="70"/>
        <v/>
      </c>
      <c r="AY74" s="811" t="str">
        <f t="shared" si="70"/>
        <v/>
      </c>
      <c r="AZ74" s="811" t="str">
        <f t="shared" si="70"/>
        <v/>
      </c>
      <c r="BA74" s="811">
        <f t="shared" si="70"/>
        <v>43</v>
      </c>
      <c r="BB74" s="811">
        <f t="shared" si="71"/>
        <v>42.385714285714286</v>
      </c>
      <c r="BC74" s="811">
        <f t="shared" si="71"/>
        <v>41.771428571428572</v>
      </c>
      <c r="BD74" s="811">
        <f t="shared" si="71"/>
        <v>41.157142857142858</v>
      </c>
      <c r="BE74" s="811">
        <f t="shared" si="71"/>
        <v>40.541174168297459</v>
      </c>
      <c r="BF74" s="811">
        <f t="shared" si="71"/>
        <v>39.926888454011738</v>
      </c>
      <c r="BG74" s="811">
        <f t="shared" si="71"/>
        <v>39.312602739726032</v>
      </c>
      <c r="BH74" s="811">
        <f t="shared" si="71"/>
        <v>38.698317025440311</v>
      </c>
      <c r="BI74" s="811">
        <f t="shared" si="71"/>
        <v>38.082348336594912</v>
      </c>
      <c r="BJ74" s="811">
        <f t="shared" si="71"/>
        <v>37.468062622309198</v>
      </c>
      <c r="BK74" s="811">
        <f t="shared" si="71"/>
        <v>36.853776908023484</v>
      </c>
      <c r="BL74" s="811">
        <f t="shared" si="72"/>
        <v>36.23949119373777</v>
      </c>
      <c r="BM74" s="811">
        <f t="shared" si="72"/>
        <v>35.623522504892371</v>
      </c>
      <c r="BN74" s="811">
        <f t="shared" si="72"/>
        <v>35.009236790606657</v>
      </c>
      <c r="BO74" s="811">
        <f t="shared" si="72"/>
        <v>34.394951076320936</v>
      </c>
      <c r="BP74" s="811">
        <f t="shared" si="72"/>
        <v>33.780665362035222</v>
      </c>
      <c r="BQ74" s="811">
        <f t="shared" si="72"/>
        <v>33.164696673189823</v>
      </c>
      <c r="BR74" s="811">
        <f t="shared" si="72"/>
        <v>32.550410958904109</v>
      </c>
      <c r="BS74" s="811">
        <f t="shared" si="72"/>
        <v>31.936125244618395</v>
      </c>
      <c r="BT74" s="811">
        <f t="shared" si="72"/>
        <v>31.321839530332682</v>
      </c>
      <c r="BU74" s="811">
        <f t="shared" si="72"/>
        <v>30.705870841487279</v>
      </c>
      <c r="BV74" s="811">
        <f t="shared" si="73"/>
        <v>30.091585127201565</v>
      </c>
      <c r="BW74" s="811">
        <f t="shared" si="73"/>
        <v>29.477299412915851</v>
      </c>
      <c r="BX74" s="811">
        <f t="shared" si="73"/>
        <v>28.863013698630137</v>
      </c>
      <c r="BY74" s="811">
        <f t="shared" si="73"/>
        <v>28.247045009784735</v>
      </c>
      <c r="BZ74" s="811">
        <f t="shared" si="73"/>
        <v>27.632759295499024</v>
      </c>
      <c r="CA74" s="811">
        <f t="shared" si="73"/>
        <v>27.018473581213307</v>
      </c>
      <c r="CB74" s="811">
        <f t="shared" si="73"/>
        <v>26.40418786692759</v>
      </c>
      <c r="CC74" s="811">
        <f t="shared" si="73"/>
        <v>25.788219178082191</v>
      </c>
      <c r="CD74" s="811">
        <f t="shared" si="73"/>
        <v>25.173933463796477</v>
      </c>
      <c r="CE74" s="811">
        <f t="shared" si="73"/>
        <v>24.559647749510766</v>
      </c>
      <c r="CF74" s="811">
        <f t="shared" si="74"/>
        <v>23.945362035225049</v>
      </c>
      <c r="CG74" s="811">
        <f t="shared" si="74"/>
        <v>23.329393346379646</v>
      </c>
      <c r="CH74" s="811">
        <f t="shared" si="74"/>
        <v>22.715107632093929</v>
      </c>
      <c r="CI74" s="811">
        <f t="shared" si="74"/>
        <v>22.100821917808219</v>
      </c>
      <c r="CJ74" s="811">
        <f t="shared" si="74"/>
        <v>21.486536203522505</v>
      </c>
      <c r="CK74" s="811">
        <f t="shared" si="74"/>
        <v>20.870567514677106</v>
      </c>
      <c r="CL74" s="811">
        <f t="shared" si="74"/>
        <v>20.256281800391388</v>
      </c>
      <c r="CM74" s="811">
        <f t="shared" si="74"/>
        <v>19.641996086105674</v>
      </c>
      <c r="CN74" s="811">
        <f t="shared" si="74"/>
        <v>19.02771037181996</v>
      </c>
      <c r="CO74" s="811">
        <f t="shared" si="74"/>
        <v>18.411741682974558</v>
      </c>
      <c r="CP74" s="811">
        <f t="shared" si="75"/>
        <v>17.797455968688844</v>
      </c>
      <c r="CQ74" s="811">
        <f t="shared" si="75"/>
        <v>17.183170254403134</v>
      </c>
      <c r="CR74" s="811">
        <f t="shared" si="75"/>
        <v>16.568884540117416</v>
      </c>
      <c r="CS74" s="811">
        <f t="shared" si="75"/>
        <v>15.952915851272016</v>
      </c>
      <c r="CT74" s="811">
        <f t="shared" si="75"/>
        <v>15.338630136986303</v>
      </c>
      <c r="CU74" s="811">
        <f t="shared" si="75"/>
        <v>14.724344422700586</v>
      </c>
      <c r="CV74" s="811">
        <f t="shared" si="75"/>
        <v>14.110058708414874</v>
      </c>
      <c r="CW74" s="811">
        <f t="shared" si="75"/>
        <v>13.494090019569473</v>
      </c>
      <c r="CX74" s="811">
        <f t="shared" si="75"/>
        <v>12.879804305283756</v>
      </c>
      <c r="CY74" s="811">
        <f t="shared" si="75"/>
        <v>12.265518590998044</v>
      </c>
      <c r="CZ74" s="811">
        <f t="shared" si="76"/>
        <v>11.651232876712328</v>
      </c>
      <c r="DA74" s="811">
        <f t="shared" si="76"/>
        <v>11.035264187866925</v>
      </c>
      <c r="DB74" s="811">
        <f t="shared" si="76"/>
        <v>10.420978473581213</v>
      </c>
      <c r="DC74" s="811">
        <f t="shared" si="76"/>
        <v>9.8066927592954976</v>
      </c>
      <c r="DD74" s="811">
        <f t="shared" si="76"/>
        <v>9.1924070450097854</v>
      </c>
      <c r="DE74" s="811">
        <f t="shared" si="76"/>
        <v>8.5764383561643829</v>
      </c>
      <c r="DF74" s="811">
        <f t="shared" si="76"/>
        <v>7.9621526418786717</v>
      </c>
      <c r="DG74" s="811">
        <f t="shared" si="76"/>
        <v>7.3478669275929551</v>
      </c>
      <c r="DH74" s="811">
        <f t="shared" si="76"/>
        <v>6.733581213307243</v>
      </c>
      <c r="DI74" s="811">
        <f t="shared" si="76"/>
        <v>6.1176125244618413</v>
      </c>
      <c r="DJ74" s="811">
        <f t="shared" si="76"/>
        <v>5.5033268101761248</v>
      </c>
      <c r="DK74" s="811">
        <f t="shared" si="76"/>
        <v>4.8890410958904127</v>
      </c>
    </row>
    <row r="75" spans="2:115" ht="20.100000000000001" customHeight="1" x14ac:dyDescent="0.2">
      <c r="B75" s="815" t="s">
        <v>336</v>
      </c>
      <c r="C75" s="816">
        <v>0.88200000000000001</v>
      </c>
      <c r="D75" s="814">
        <v>400</v>
      </c>
      <c r="E75" s="776">
        <v>35217</v>
      </c>
      <c r="F75" s="817">
        <v>70</v>
      </c>
      <c r="G75" s="776">
        <v>45809</v>
      </c>
      <c r="H75" s="817">
        <v>2</v>
      </c>
      <c r="J75" s="795">
        <f t="shared" si="13"/>
        <v>35400</v>
      </c>
      <c r="K75" s="795">
        <f t="shared" si="14"/>
        <v>45992</v>
      </c>
      <c r="L75" s="810">
        <f t="shared" si="26"/>
        <v>7.4219178082191783</v>
      </c>
      <c r="M75" s="809" t="str">
        <f t="shared" si="15"/>
        <v>Goldfields Gas Pipeline (88%)</v>
      </c>
      <c r="N75" s="811" t="str">
        <f t="shared" ref="N75:W85" si="77">IF(ISNUMBER($J75),IF(N$12&lt;$J75,"",IF(N$12=$J75,$D75*$C75,IF(AND(N$12&gt;$J75,N$12&lt;$J75+$F75*365),$D75*(1-(N$12-$J75)/($F75*365))*$C75,""))),"")</f>
        <v/>
      </c>
      <c r="O75" s="811" t="str">
        <f t="shared" si="77"/>
        <v/>
      </c>
      <c r="P75" s="811" t="str">
        <f t="shared" si="77"/>
        <v/>
      </c>
      <c r="Q75" s="811" t="str">
        <f t="shared" si="77"/>
        <v/>
      </c>
      <c r="R75" s="811" t="str">
        <f t="shared" si="77"/>
        <v/>
      </c>
      <c r="S75" s="811" t="str">
        <f t="shared" si="77"/>
        <v/>
      </c>
      <c r="T75" s="811" t="str">
        <f t="shared" si="77"/>
        <v/>
      </c>
      <c r="U75" s="811" t="str">
        <f t="shared" si="77"/>
        <v/>
      </c>
      <c r="V75" s="811" t="str">
        <f t="shared" si="77"/>
        <v/>
      </c>
      <c r="W75" s="811" t="str">
        <f t="shared" si="77"/>
        <v/>
      </c>
      <c r="X75" s="811" t="str">
        <f t="shared" ref="X75:AG85" si="78">IF(ISNUMBER($J75),IF(X$12&lt;$J75,"",IF(X$12=$J75,$D75*$C75,IF(AND(X$12&gt;$J75,X$12&lt;$J75+$F75*365),$D75*(1-(X$12-$J75)/($F75*365))*$C75,""))),"")</f>
        <v/>
      </c>
      <c r="Y75" s="811" t="str">
        <f t="shared" si="78"/>
        <v/>
      </c>
      <c r="Z75" s="811" t="str">
        <f t="shared" si="78"/>
        <v/>
      </c>
      <c r="AA75" s="811" t="str">
        <f t="shared" si="78"/>
        <v/>
      </c>
      <c r="AB75" s="811" t="str">
        <f t="shared" si="78"/>
        <v/>
      </c>
      <c r="AC75" s="811" t="str">
        <f t="shared" si="78"/>
        <v/>
      </c>
      <c r="AD75" s="811" t="str">
        <f t="shared" si="78"/>
        <v/>
      </c>
      <c r="AE75" s="811" t="str">
        <f t="shared" si="78"/>
        <v/>
      </c>
      <c r="AF75" s="811" t="str">
        <f t="shared" si="78"/>
        <v/>
      </c>
      <c r="AG75" s="811" t="str">
        <f t="shared" si="78"/>
        <v/>
      </c>
      <c r="AH75" s="811" t="str">
        <f t="shared" ref="AH75:AQ85" si="79">IF(ISNUMBER($J75),IF(AH$12&lt;$J75,"",IF(AH$12=$J75,$D75*$C75,IF(AND(AH$12&gt;$J75,AH$12&lt;$J75+$F75*365),$D75*(1-(AH$12-$J75)/($F75*365))*$C75,""))),"")</f>
        <v/>
      </c>
      <c r="AI75" s="811" t="str">
        <f t="shared" si="79"/>
        <v/>
      </c>
      <c r="AJ75" s="811" t="str">
        <f t="shared" si="79"/>
        <v/>
      </c>
      <c r="AK75" s="811" t="str">
        <f t="shared" si="79"/>
        <v/>
      </c>
      <c r="AL75" s="811" t="str">
        <f t="shared" si="79"/>
        <v/>
      </c>
      <c r="AM75" s="811" t="str">
        <f t="shared" si="79"/>
        <v/>
      </c>
      <c r="AN75" s="811" t="str">
        <f t="shared" si="79"/>
        <v/>
      </c>
      <c r="AO75" s="811">
        <f t="shared" si="79"/>
        <v>352.8</v>
      </c>
      <c r="AP75" s="811">
        <f t="shared" si="79"/>
        <v>347.76000000000005</v>
      </c>
      <c r="AQ75" s="811">
        <f t="shared" si="79"/>
        <v>342.71999999999997</v>
      </c>
      <c r="AR75" s="811">
        <f t="shared" ref="AR75:BA85" si="80">IF(ISNUMBER($J75),IF(AR$12&lt;$J75,"",IF(AR$12=$J75,$D75*$C75,IF(AND(AR$12&gt;$J75,AR$12&lt;$J75+$F75*365),$D75*(1-(AR$12-$J75)/($F75*365))*$C75,""))),"")</f>
        <v>337.68</v>
      </c>
      <c r="AS75" s="811">
        <f t="shared" si="80"/>
        <v>332.62619178082196</v>
      </c>
      <c r="AT75" s="811">
        <f t="shared" si="80"/>
        <v>327.58619178082193</v>
      </c>
      <c r="AU75" s="811">
        <f t="shared" si="80"/>
        <v>322.54619178082191</v>
      </c>
      <c r="AV75" s="811">
        <f t="shared" si="80"/>
        <v>317.50619178082189</v>
      </c>
      <c r="AW75" s="811">
        <f t="shared" si="80"/>
        <v>312.45238356164384</v>
      </c>
      <c r="AX75" s="811">
        <f t="shared" si="80"/>
        <v>307.41238356164382</v>
      </c>
      <c r="AY75" s="811">
        <f t="shared" si="80"/>
        <v>302.3723835616438</v>
      </c>
      <c r="AZ75" s="811">
        <f t="shared" si="80"/>
        <v>297.33238356164384</v>
      </c>
      <c r="BA75" s="811">
        <f t="shared" si="80"/>
        <v>292.27857534246579</v>
      </c>
      <c r="BB75" s="811">
        <f t="shared" ref="BB75:BK85" si="81">IF(ISNUMBER($J75),IF(BB$12&lt;$J75,"",IF(BB$12=$J75,$D75*$C75,IF(AND(BB$12&gt;$J75,BB$12&lt;$J75+$F75*365),$D75*(1-(BB$12-$J75)/($F75*365))*$C75,""))),"")</f>
        <v>287.23857534246577</v>
      </c>
      <c r="BC75" s="811">
        <f t="shared" si="81"/>
        <v>282.19857534246574</v>
      </c>
      <c r="BD75" s="811">
        <f t="shared" si="81"/>
        <v>277.15857534246572</v>
      </c>
      <c r="BE75" s="811">
        <f t="shared" si="81"/>
        <v>272.10476712328767</v>
      </c>
      <c r="BF75" s="811">
        <f t="shared" si="81"/>
        <v>267.06476712328765</v>
      </c>
      <c r="BG75" s="811">
        <f t="shared" si="81"/>
        <v>262.02476712328769</v>
      </c>
      <c r="BH75" s="811">
        <f t="shared" si="81"/>
        <v>256.98476712328767</v>
      </c>
      <c r="BI75" s="811">
        <f t="shared" si="81"/>
        <v>251.93095890410959</v>
      </c>
      <c r="BJ75" s="811">
        <f t="shared" si="81"/>
        <v>246.8909589041096</v>
      </c>
      <c r="BK75" s="811">
        <f t="shared" si="81"/>
        <v>241.85095890410958</v>
      </c>
      <c r="BL75" s="811">
        <f t="shared" ref="BL75:BU85" si="82">IF(ISNUMBER($J75),IF(BL$12&lt;$J75,"",IF(BL$12=$J75,$D75*$C75,IF(AND(BL$12&gt;$J75,BL$12&lt;$J75+$F75*365),$D75*(1-(BL$12-$J75)/($F75*365))*$C75,""))),"")</f>
        <v>236.81095890410958</v>
      </c>
      <c r="BM75" s="811">
        <f t="shared" si="82"/>
        <v>231.75715068493153</v>
      </c>
      <c r="BN75" s="811">
        <f t="shared" si="82"/>
        <v>226.71715068493154</v>
      </c>
      <c r="BO75" s="811">
        <f t="shared" si="82"/>
        <v>221.67715068493149</v>
      </c>
      <c r="BP75" s="811">
        <f t="shared" si="82"/>
        <v>216.6371506849315</v>
      </c>
      <c r="BQ75" s="811">
        <f t="shared" si="82"/>
        <v>211.58334246575339</v>
      </c>
      <c r="BR75" s="811">
        <f t="shared" si="82"/>
        <v>206.54334246575343</v>
      </c>
      <c r="BS75" s="811">
        <f t="shared" si="82"/>
        <v>201.50334246575343</v>
      </c>
      <c r="BT75" s="811">
        <f t="shared" si="82"/>
        <v>196.46334246575344</v>
      </c>
      <c r="BU75" s="811">
        <f t="shared" si="82"/>
        <v>191.40953424657533</v>
      </c>
      <c r="BV75" s="811">
        <f t="shared" ref="BV75:CE85" si="83">IF(ISNUMBER($J75),IF(BV$12&lt;$J75,"",IF(BV$12=$J75,$D75*$C75,IF(AND(BV$12&gt;$J75,BV$12&lt;$J75+$F75*365),$D75*(1-(BV$12-$J75)/($F75*365))*$C75,""))),"")</f>
        <v>186.36953424657531</v>
      </c>
      <c r="BW75" s="811">
        <f t="shared" si="83"/>
        <v>181.32953424657532</v>
      </c>
      <c r="BX75" s="811">
        <f t="shared" si="83"/>
        <v>176.28953424657536</v>
      </c>
      <c r="BY75" s="811">
        <f t="shared" si="83"/>
        <v>171.23572602739725</v>
      </c>
      <c r="BZ75" s="811">
        <f t="shared" si="83"/>
        <v>166.19572602739726</v>
      </c>
      <c r="CA75" s="811">
        <f t="shared" si="83"/>
        <v>161.15572602739726</v>
      </c>
      <c r="CB75" s="811">
        <f t="shared" si="83"/>
        <v>156.11572602739724</v>
      </c>
      <c r="CC75" s="811">
        <f t="shared" si="83"/>
        <v>151.06191780821916</v>
      </c>
      <c r="CD75" s="811">
        <f t="shared" si="83"/>
        <v>146.0219178082192</v>
      </c>
      <c r="CE75" s="811">
        <f t="shared" si="83"/>
        <v>140.98191780821921</v>
      </c>
      <c r="CF75" s="811">
        <f t="shared" ref="CF75:CO85" si="84">IF(ISNUMBER($J75),IF(CF$12&lt;$J75,"",IF(CF$12=$J75,$D75*$C75,IF(AND(CF$12&gt;$J75,CF$12&lt;$J75+$F75*365),$D75*(1-(CF$12-$J75)/($F75*365))*$C75,""))),"")</f>
        <v>135.94191780821919</v>
      </c>
      <c r="CG75" s="811">
        <f t="shared" si="84"/>
        <v>130.88810958904108</v>
      </c>
      <c r="CH75" s="811">
        <f t="shared" si="84"/>
        <v>125.8481095890411</v>
      </c>
      <c r="CI75" s="811">
        <f t="shared" si="84"/>
        <v>120.80810958904109</v>
      </c>
      <c r="CJ75" s="811">
        <f t="shared" si="84"/>
        <v>115.76810958904112</v>
      </c>
      <c r="CK75" s="811">
        <f t="shared" si="84"/>
        <v>110.71430136986302</v>
      </c>
      <c r="CL75" s="811">
        <f t="shared" si="84"/>
        <v>105.674301369863</v>
      </c>
      <c r="CM75" s="811">
        <f t="shared" si="84"/>
        <v>100.63430136986302</v>
      </c>
      <c r="CN75" s="811">
        <f t="shared" si="84"/>
        <v>95.594301369863004</v>
      </c>
      <c r="CO75" s="811">
        <f t="shared" si="84"/>
        <v>90.54049315068491</v>
      </c>
      <c r="CP75" s="811">
        <f t="shared" ref="CP75:CY85" si="85">IF(ISNUMBER($J75),IF(CP$12&lt;$J75,"",IF(CP$12=$J75,$D75*$C75,IF(AND(CP$12&gt;$J75,CP$12&lt;$J75+$F75*365),$D75*(1-(CP$12-$J75)/($F75*365))*$C75,""))),"")</f>
        <v>85.500493150684932</v>
      </c>
      <c r="CQ75" s="811">
        <f t="shared" si="85"/>
        <v>80.460493150684911</v>
      </c>
      <c r="CR75" s="811">
        <f t="shared" si="85"/>
        <v>75.420493150684933</v>
      </c>
      <c r="CS75" s="811">
        <f t="shared" si="85"/>
        <v>70.366684931506853</v>
      </c>
      <c r="CT75" s="811">
        <f t="shared" si="85"/>
        <v>65.326684931506875</v>
      </c>
      <c r="CU75" s="811">
        <f t="shared" si="85"/>
        <v>60.286684931506841</v>
      </c>
      <c r="CV75" s="811">
        <f t="shared" si="85"/>
        <v>55.246684931506863</v>
      </c>
      <c r="CW75" s="811">
        <f t="shared" si="85"/>
        <v>50.192876712328783</v>
      </c>
      <c r="CX75" s="811">
        <f t="shared" si="85"/>
        <v>45.152876712328762</v>
      </c>
      <c r="CY75" s="811">
        <f t="shared" si="85"/>
        <v>40.112876712328777</v>
      </c>
      <c r="CZ75" s="811">
        <f t="shared" ref="CZ75:DK85" si="86">IF(ISNUMBER($J75),IF(CZ$12&lt;$J75,"",IF(CZ$12=$J75,$D75*$C75,IF(AND(CZ$12&gt;$J75,CZ$12&lt;$J75+$F75*365),$D75*(1-(CZ$12-$J75)/($F75*365))*$C75,""))),"")</f>
        <v>35.072876712328764</v>
      </c>
      <c r="DA75" s="811">
        <f t="shared" si="86"/>
        <v>30.019068493150673</v>
      </c>
      <c r="DB75" s="811">
        <f t="shared" si="86"/>
        <v>24.979068493150692</v>
      </c>
      <c r="DC75" s="811">
        <f t="shared" si="86"/>
        <v>19.939068493150671</v>
      </c>
      <c r="DD75" s="811">
        <f t="shared" si="86"/>
        <v>14.899068493150688</v>
      </c>
      <c r="DE75" s="811">
        <f t="shared" si="86"/>
        <v>9.8452602739726061</v>
      </c>
      <c r="DF75" s="811">
        <f t="shared" si="86"/>
        <v>4.8052602739725856</v>
      </c>
      <c r="DG75" s="811" t="str">
        <f t="shared" si="86"/>
        <v/>
      </c>
      <c r="DH75" s="811" t="str">
        <f t="shared" si="86"/>
        <v/>
      </c>
      <c r="DI75" s="811" t="str">
        <f t="shared" si="86"/>
        <v/>
      </c>
      <c r="DJ75" s="811" t="str">
        <f t="shared" si="86"/>
        <v/>
      </c>
      <c r="DK75" s="811" t="str">
        <f t="shared" si="86"/>
        <v/>
      </c>
    </row>
    <row r="76" spans="2:115" ht="20.100000000000001" customHeight="1" x14ac:dyDescent="0.2">
      <c r="B76" s="815" t="s">
        <v>745</v>
      </c>
      <c r="C76" s="816">
        <v>0.88200000000000001</v>
      </c>
      <c r="D76" s="814">
        <v>139.27904160461512</v>
      </c>
      <c r="E76" s="776">
        <v>41243</v>
      </c>
      <c r="F76" s="817">
        <v>70</v>
      </c>
      <c r="G76" s="776">
        <v>48543</v>
      </c>
      <c r="H76" s="817">
        <v>2</v>
      </c>
      <c r="J76" s="795">
        <f t="shared" si="13"/>
        <v>41244</v>
      </c>
      <c r="K76" s="795">
        <f t="shared" si="14"/>
        <v>48549</v>
      </c>
      <c r="L76" s="810">
        <f t="shared" si="26"/>
        <v>14.912328767123288</v>
      </c>
      <c r="M76" s="809" t="str">
        <f t="shared" si="15"/>
        <v>Goldfields Gas Pipeline expansion (88%)</v>
      </c>
      <c r="N76" s="811" t="str">
        <f t="shared" si="77"/>
        <v/>
      </c>
      <c r="O76" s="811" t="str">
        <f t="shared" si="77"/>
        <v/>
      </c>
      <c r="P76" s="811" t="str">
        <f t="shared" si="77"/>
        <v/>
      </c>
      <c r="Q76" s="811" t="str">
        <f t="shared" si="77"/>
        <v/>
      </c>
      <c r="R76" s="811" t="str">
        <f t="shared" si="77"/>
        <v/>
      </c>
      <c r="S76" s="811" t="str">
        <f t="shared" si="77"/>
        <v/>
      </c>
      <c r="T76" s="811" t="str">
        <f t="shared" si="77"/>
        <v/>
      </c>
      <c r="U76" s="811" t="str">
        <f t="shared" si="77"/>
        <v/>
      </c>
      <c r="V76" s="811" t="str">
        <f t="shared" si="77"/>
        <v/>
      </c>
      <c r="W76" s="811" t="str">
        <f t="shared" si="77"/>
        <v/>
      </c>
      <c r="X76" s="811" t="str">
        <f t="shared" si="78"/>
        <v/>
      </c>
      <c r="Y76" s="811" t="str">
        <f t="shared" si="78"/>
        <v/>
      </c>
      <c r="Z76" s="811" t="str">
        <f t="shared" si="78"/>
        <v/>
      </c>
      <c r="AA76" s="811" t="str">
        <f t="shared" si="78"/>
        <v/>
      </c>
      <c r="AB76" s="811" t="str">
        <f t="shared" si="78"/>
        <v/>
      </c>
      <c r="AC76" s="811" t="str">
        <f t="shared" si="78"/>
        <v/>
      </c>
      <c r="AD76" s="811" t="str">
        <f t="shared" si="78"/>
        <v/>
      </c>
      <c r="AE76" s="811" t="str">
        <f t="shared" si="78"/>
        <v/>
      </c>
      <c r="AF76" s="811" t="str">
        <f t="shared" si="78"/>
        <v/>
      </c>
      <c r="AG76" s="811" t="str">
        <f t="shared" si="78"/>
        <v/>
      </c>
      <c r="AH76" s="811" t="str">
        <f t="shared" si="79"/>
        <v/>
      </c>
      <c r="AI76" s="811" t="str">
        <f t="shared" si="79"/>
        <v/>
      </c>
      <c r="AJ76" s="811" t="str">
        <f t="shared" si="79"/>
        <v/>
      </c>
      <c r="AK76" s="811" t="str">
        <f t="shared" si="79"/>
        <v/>
      </c>
      <c r="AL76" s="811" t="str">
        <f t="shared" si="79"/>
        <v/>
      </c>
      <c r="AM76" s="811" t="str">
        <f t="shared" si="79"/>
        <v/>
      </c>
      <c r="AN76" s="811" t="str">
        <f t="shared" si="79"/>
        <v/>
      </c>
      <c r="AO76" s="811" t="str">
        <f t="shared" si="79"/>
        <v/>
      </c>
      <c r="AP76" s="811" t="str">
        <f t="shared" si="79"/>
        <v/>
      </c>
      <c r="AQ76" s="811" t="str">
        <f t="shared" si="79"/>
        <v/>
      </c>
      <c r="AR76" s="811" t="str">
        <f t="shared" si="80"/>
        <v/>
      </c>
      <c r="AS76" s="811" t="str">
        <f t="shared" si="80"/>
        <v/>
      </c>
      <c r="AT76" s="811" t="str">
        <f t="shared" si="80"/>
        <v/>
      </c>
      <c r="AU76" s="811" t="str">
        <f t="shared" si="80"/>
        <v/>
      </c>
      <c r="AV76" s="811" t="str">
        <f t="shared" si="80"/>
        <v/>
      </c>
      <c r="AW76" s="811" t="str">
        <f t="shared" si="80"/>
        <v/>
      </c>
      <c r="AX76" s="811" t="str">
        <f t="shared" si="80"/>
        <v/>
      </c>
      <c r="AY76" s="811" t="str">
        <f t="shared" si="80"/>
        <v/>
      </c>
      <c r="AZ76" s="811" t="str">
        <f t="shared" si="80"/>
        <v/>
      </c>
      <c r="BA76" s="811" t="str">
        <f t="shared" si="80"/>
        <v/>
      </c>
      <c r="BB76" s="811" t="str">
        <f t="shared" si="81"/>
        <v/>
      </c>
      <c r="BC76" s="811" t="str">
        <f t="shared" si="81"/>
        <v/>
      </c>
      <c r="BD76" s="811" t="str">
        <f t="shared" si="81"/>
        <v/>
      </c>
      <c r="BE76" s="811">
        <f t="shared" si="81"/>
        <v>122.84411469527053</v>
      </c>
      <c r="BF76" s="811">
        <f t="shared" si="81"/>
        <v>121.08919877105239</v>
      </c>
      <c r="BG76" s="811">
        <f t="shared" si="81"/>
        <v>119.33428284683423</v>
      </c>
      <c r="BH76" s="811">
        <f t="shared" si="81"/>
        <v>117.57936692261609</v>
      </c>
      <c r="BI76" s="811">
        <f t="shared" si="81"/>
        <v>115.81964300956444</v>
      </c>
      <c r="BJ76" s="811">
        <f t="shared" si="81"/>
        <v>114.06472708534631</v>
      </c>
      <c r="BK76" s="811">
        <f t="shared" si="81"/>
        <v>112.30981116112815</v>
      </c>
      <c r="BL76" s="811">
        <f t="shared" si="82"/>
        <v>110.55489523691001</v>
      </c>
      <c r="BM76" s="811">
        <f t="shared" si="82"/>
        <v>108.79517132385838</v>
      </c>
      <c r="BN76" s="811">
        <f t="shared" si="82"/>
        <v>107.04025539964023</v>
      </c>
      <c r="BO76" s="811">
        <f t="shared" si="82"/>
        <v>105.28533947542208</v>
      </c>
      <c r="BP76" s="811">
        <f t="shared" si="82"/>
        <v>103.53042355120392</v>
      </c>
      <c r="BQ76" s="811">
        <f t="shared" si="82"/>
        <v>101.77069963815231</v>
      </c>
      <c r="BR76" s="811">
        <f t="shared" si="82"/>
        <v>100.01578371393416</v>
      </c>
      <c r="BS76" s="811">
        <f t="shared" si="82"/>
        <v>98.260867789716002</v>
      </c>
      <c r="BT76" s="811">
        <f t="shared" si="82"/>
        <v>96.505951865497849</v>
      </c>
      <c r="BU76" s="811">
        <f t="shared" si="82"/>
        <v>94.746227952446219</v>
      </c>
      <c r="BV76" s="811">
        <f t="shared" si="83"/>
        <v>92.99131202822808</v>
      </c>
      <c r="BW76" s="811">
        <f t="shared" si="83"/>
        <v>91.236396104009941</v>
      </c>
      <c r="BX76" s="811">
        <f t="shared" si="83"/>
        <v>89.481480179791774</v>
      </c>
      <c r="BY76" s="811">
        <f t="shared" si="83"/>
        <v>87.721756266740144</v>
      </c>
      <c r="BZ76" s="811">
        <f t="shared" si="83"/>
        <v>85.966840342522005</v>
      </c>
      <c r="CA76" s="811">
        <f t="shared" si="83"/>
        <v>84.211924418303852</v>
      </c>
      <c r="CB76" s="811">
        <f t="shared" si="83"/>
        <v>82.457008494085699</v>
      </c>
      <c r="CC76" s="811">
        <f t="shared" si="83"/>
        <v>80.697284581034069</v>
      </c>
      <c r="CD76" s="811">
        <f t="shared" si="83"/>
        <v>78.94236865681593</v>
      </c>
      <c r="CE76" s="811">
        <f t="shared" si="83"/>
        <v>77.187452732597777</v>
      </c>
      <c r="CF76" s="811">
        <f t="shared" si="84"/>
        <v>75.432536808379623</v>
      </c>
      <c r="CG76" s="811">
        <f t="shared" si="84"/>
        <v>73.672812895327993</v>
      </c>
      <c r="CH76" s="811">
        <f t="shared" si="84"/>
        <v>71.917896971109855</v>
      </c>
      <c r="CI76" s="811">
        <f t="shared" si="84"/>
        <v>70.162981046891701</v>
      </c>
      <c r="CJ76" s="811">
        <f t="shared" si="84"/>
        <v>68.408065122673548</v>
      </c>
      <c r="CK76" s="811">
        <f t="shared" si="84"/>
        <v>66.648341209621918</v>
      </c>
      <c r="CL76" s="811">
        <f t="shared" si="84"/>
        <v>64.893425285403765</v>
      </c>
      <c r="CM76" s="811">
        <f t="shared" si="84"/>
        <v>63.138509361185619</v>
      </c>
      <c r="CN76" s="811">
        <f t="shared" si="84"/>
        <v>61.38359343696748</v>
      </c>
      <c r="CO76" s="811">
        <f t="shared" si="84"/>
        <v>59.62386952391585</v>
      </c>
      <c r="CP76" s="811">
        <f t="shared" si="85"/>
        <v>57.868953599697683</v>
      </c>
      <c r="CQ76" s="811">
        <f t="shared" si="85"/>
        <v>56.114037675479544</v>
      </c>
      <c r="CR76" s="811">
        <f t="shared" si="85"/>
        <v>54.359121751261391</v>
      </c>
      <c r="CS76" s="811">
        <f t="shared" si="85"/>
        <v>52.599397838209768</v>
      </c>
      <c r="CT76" s="811">
        <f t="shared" si="85"/>
        <v>50.844481913991622</v>
      </c>
      <c r="CU76" s="811">
        <f t="shared" si="85"/>
        <v>49.089565989773476</v>
      </c>
      <c r="CV76" s="811">
        <f t="shared" si="85"/>
        <v>47.334650065555316</v>
      </c>
      <c r="CW76" s="811">
        <f t="shared" si="85"/>
        <v>45.574926152503693</v>
      </c>
      <c r="CX76" s="811">
        <f t="shared" si="85"/>
        <v>43.820010228285554</v>
      </c>
      <c r="CY76" s="811">
        <f t="shared" si="85"/>
        <v>42.065094304067394</v>
      </c>
      <c r="CZ76" s="811">
        <f t="shared" si="86"/>
        <v>40.310178379849248</v>
      </c>
      <c r="DA76" s="811">
        <f t="shared" si="86"/>
        <v>38.550454466797618</v>
      </c>
      <c r="DB76" s="811">
        <f t="shared" si="86"/>
        <v>36.795538542579465</v>
      </c>
      <c r="DC76" s="811">
        <f t="shared" si="86"/>
        <v>35.040622618361319</v>
      </c>
      <c r="DD76" s="811">
        <f t="shared" si="86"/>
        <v>33.285706694143158</v>
      </c>
      <c r="DE76" s="811">
        <f t="shared" si="86"/>
        <v>31.525982781091539</v>
      </c>
      <c r="DF76" s="811">
        <f t="shared" si="86"/>
        <v>29.771066856873393</v>
      </c>
      <c r="DG76" s="811">
        <f t="shared" si="86"/>
        <v>28.016150932655233</v>
      </c>
      <c r="DH76" s="811">
        <f t="shared" si="86"/>
        <v>26.26123500843709</v>
      </c>
      <c r="DI76" s="811">
        <f t="shared" si="86"/>
        <v>24.501511095385464</v>
      </c>
      <c r="DJ76" s="811">
        <f t="shared" si="86"/>
        <v>22.746595171167321</v>
      </c>
      <c r="DK76" s="811">
        <f t="shared" si="86"/>
        <v>20.991679246949165</v>
      </c>
    </row>
    <row r="77" spans="2:115" ht="20.100000000000001" customHeight="1" x14ac:dyDescent="0.2">
      <c r="B77" s="815" t="s">
        <v>744</v>
      </c>
      <c r="C77" s="816">
        <v>0.88200000000000001</v>
      </c>
      <c r="D77" s="814">
        <v>160.7065864668636</v>
      </c>
      <c r="E77" s="776">
        <v>41274</v>
      </c>
      <c r="F77" s="817">
        <v>70</v>
      </c>
      <c r="G77" s="776">
        <v>48574</v>
      </c>
      <c r="H77" s="817">
        <v>2</v>
      </c>
      <c r="J77" s="795">
        <f t="shared" si="13"/>
        <v>41244</v>
      </c>
      <c r="K77" s="795">
        <f t="shared" si="14"/>
        <v>48549</v>
      </c>
      <c r="L77" s="810">
        <f t="shared" si="26"/>
        <v>14.997260273972604</v>
      </c>
      <c r="M77" s="809" t="str">
        <f t="shared" si="15"/>
        <v>Goldfields Gas Pipeline expansion2 (88%)</v>
      </c>
      <c r="N77" s="811" t="str">
        <f t="shared" si="77"/>
        <v/>
      </c>
      <c r="O77" s="811" t="str">
        <f t="shared" si="77"/>
        <v/>
      </c>
      <c r="P77" s="811" t="str">
        <f t="shared" si="77"/>
        <v/>
      </c>
      <c r="Q77" s="811" t="str">
        <f t="shared" si="77"/>
        <v/>
      </c>
      <c r="R77" s="811" t="str">
        <f t="shared" si="77"/>
        <v/>
      </c>
      <c r="S77" s="811" t="str">
        <f t="shared" si="77"/>
        <v/>
      </c>
      <c r="T77" s="811" t="str">
        <f t="shared" si="77"/>
        <v/>
      </c>
      <c r="U77" s="811" t="str">
        <f t="shared" si="77"/>
        <v/>
      </c>
      <c r="V77" s="811" t="str">
        <f t="shared" si="77"/>
        <v/>
      </c>
      <c r="W77" s="811" t="str">
        <f t="shared" si="77"/>
        <v/>
      </c>
      <c r="X77" s="811" t="str">
        <f t="shared" si="78"/>
        <v/>
      </c>
      <c r="Y77" s="811" t="str">
        <f t="shared" si="78"/>
        <v/>
      </c>
      <c r="Z77" s="811" t="str">
        <f t="shared" si="78"/>
        <v/>
      </c>
      <c r="AA77" s="811" t="str">
        <f t="shared" si="78"/>
        <v/>
      </c>
      <c r="AB77" s="811" t="str">
        <f t="shared" si="78"/>
        <v/>
      </c>
      <c r="AC77" s="811" t="str">
        <f t="shared" si="78"/>
        <v/>
      </c>
      <c r="AD77" s="811" t="str">
        <f t="shared" si="78"/>
        <v/>
      </c>
      <c r="AE77" s="811" t="str">
        <f t="shared" si="78"/>
        <v/>
      </c>
      <c r="AF77" s="811" t="str">
        <f t="shared" si="78"/>
        <v/>
      </c>
      <c r="AG77" s="811" t="str">
        <f t="shared" si="78"/>
        <v/>
      </c>
      <c r="AH77" s="811" t="str">
        <f t="shared" si="79"/>
        <v/>
      </c>
      <c r="AI77" s="811" t="str">
        <f t="shared" si="79"/>
        <v/>
      </c>
      <c r="AJ77" s="811" t="str">
        <f t="shared" si="79"/>
        <v/>
      </c>
      <c r="AK77" s="811" t="str">
        <f t="shared" si="79"/>
        <v/>
      </c>
      <c r="AL77" s="811" t="str">
        <f t="shared" si="79"/>
        <v/>
      </c>
      <c r="AM77" s="811" t="str">
        <f t="shared" si="79"/>
        <v/>
      </c>
      <c r="AN77" s="811" t="str">
        <f t="shared" si="79"/>
        <v/>
      </c>
      <c r="AO77" s="811" t="str">
        <f t="shared" si="79"/>
        <v/>
      </c>
      <c r="AP77" s="811" t="str">
        <f t="shared" si="79"/>
        <v/>
      </c>
      <c r="AQ77" s="811" t="str">
        <f t="shared" si="79"/>
        <v/>
      </c>
      <c r="AR77" s="811" t="str">
        <f t="shared" si="80"/>
        <v/>
      </c>
      <c r="AS77" s="811" t="str">
        <f t="shared" si="80"/>
        <v/>
      </c>
      <c r="AT77" s="811" t="str">
        <f t="shared" si="80"/>
        <v/>
      </c>
      <c r="AU77" s="811" t="str">
        <f t="shared" si="80"/>
        <v/>
      </c>
      <c r="AV77" s="811" t="str">
        <f t="shared" si="80"/>
        <v/>
      </c>
      <c r="AW77" s="811" t="str">
        <f t="shared" si="80"/>
        <v/>
      </c>
      <c r="AX77" s="811" t="str">
        <f t="shared" si="80"/>
        <v/>
      </c>
      <c r="AY77" s="811" t="str">
        <f t="shared" si="80"/>
        <v/>
      </c>
      <c r="AZ77" s="811" t="str">
        <f t="shared" si="80"/>
        <v/>
      </c>
      <c r="BA77" s="811" t="str">
        <f t="shared" si="80"/>
        <v/>
      </c>
      <c r="BB77" s="811" t="str">
        <f t="shared" si="81"/>
        <v/>
      </c>
      <c r="BC77" s="811" t="str">
        <f t="shared" si="81"/>
        <v/>
      </c>
      <c r="BD77" s="811" t="str">
        <f t="shared" si="81"/>
        <v/>
      </c>
      <c r="BE77" s="811">
        <f t="shared" si="81"/>
        <v>141.74320926377371</v>
      </c>
      <c r="BF77" s="811">
        <f t="shared" si="81"/>
        <v>139.71830627429122</v>
      </c>
      <c r="BG77" s="811">
        <f t="shared" si="81"/>
        <v>137.69340328480871</v>
      </c>
      <c r="BH77" s="811">
        <f t="shared" si="81"/>
        <v>135.66850029532625</v>
      </c>
      <c r="BI77" s="811">
        <f t="shared" si="81"/>
        <v>133.63804962642052</v>
      </c>
      <c r="BJ77" s="811">
        <f t="shared" si="81"/>
        <v>131.61314663693804</v>
      </c>
      <c r="BK77" s="811">
        <f t="shared" si="81"/>
        <v>129.58824364745558</v>
      </c>
      <c r="BL77" s="811">
        <f t="shared" si="82"/>
        <v>127.56334065797309</v>
      </c>
      <c r="BM77" s="811">
        <f t="shared" si="82"/>
        <v>125.53288998906737</v>
      </c>
      <c r="BN77" s="811">
        <f t="shared" si="82"/>
        <v>123.50798699958487</v>
      </c>
      <c r="BO77" s="811">
        <f t="shared" si="82"/>
        <v>121.48308401010239</v>
      </c>
      <c r="BP77" s="811">
        <f t="shared" si="82"/>
        <v>119.45818102061993</v>
      </c>
      <c r="BQ77" s="811">
        <f t="shared" si="82"/>
        <v>117.4277303517142</v>
      </c>
      <c r="BR77" s="811">
        <f t="shared" si="82"/>
        <v>115.40282736223173</v>
      </c>
      <c r="BS77" s="811">
        <f t="shared" si="82"/>
        <v>113.37792437274922</v>
      </c>
      <c r="BT77" s="811">
        <f t="shared" si="82"/>
        <v>111.35302138326675</v>
      </c>
      <c r="BU77" s="811">
        <f t="shared" si="82"/>
        <v>109.32257071436102</v>
      </c>
      <c r="BV77" s="811">
        <f t="shared" si="83"/>
        <v>107.29766772487855</v>
      </c>
      <c r="BW77" s="811">
        <f t="shared" si="83"/>
        <v>105.27276473539607</v>
      </c>
      <c r="BX77" s="811">
        <f t="shared" si="83"/>
        <v>103.24786174591358</v>
      </c>
      <c r="BY77" s="811">
        <f t="shared" si="83"/>
        <v>101.21741107700787</v>
      </c>
      <c r="BZ77" s="811">
        <f t="shared" si="83"/>
        <v>99.192508087525397</v>
      </c>
      <c r="CA77" s="811">
        <f t="shared" si="83"/>
        <v>97.167605098042912</v>
      </c>
      <c r="CB77" s="811">
        <f t="shared" si="83"/>
        <v>95.142702108560428</v>
      </c>
      <c r="CC77" s="811">
        <f t="shared" si="83"/>
        <v>93.112251439654699</v>
      </c>
      <c r="CD77" s="811">
        <f t="shared" si="83"/>
        <v>91.087348450172229</v>
      </c>
      <c r="CE77" s="811">
        <f t="shared" si="83"/>
        <v>89.062445460689744</v>
      </c>
      <c r="CF77" s="811">
        <f t="shared" si="84"/>
        <v>87.03754247120726</v>
      </c>
      <c r="CG77" s="811">
        <f t="shared" si="84"/>
        <v>85.007091802301531</v>
      </c>
      <c r="CH77" s="811">
        <f t="shared" si="84"/>
        <v>82.982188812819047</v>
      </c>
      <c r="CI77" s="811">
        <f t="shared" si="84"/>
        <v>80.957285823336576</v>
      </c>
      <c r="CJ77" s="811">
        <f t="shared" si="84"/>
        <v>78.932382833854092</v>
      </c>
      <c r="CK77" s="811">
        <f t="shared" si="84"/>
        <v>76.901932164948377</v>
      </c>
      <c r="CL77" s="811">
        <f t="shared" si="84"/>
        <v>74.877029175465879</v>
      </c>
      <c r="CM77" s="811">
        <f t="shared" si="84"/>
        <v>72.852126185983408</v>
      </c>
      <c r="CN77" s="811">
        <f t="shared" si="84"/>
        <v>70.827223196500938</v>
      </c>
      <c r="CO77" s="811">
        <f t="shared" si="84"/>
        <v>68.796772527595209</v>
      </c>
      <c r="CP77" s="811">
        <f t="shared" si="85"/>
        <v>66.771869538112725</v>
      </c>
      <c r="CQ77" s="811">
        <f t="shared" si="85"/>
        <v>64.746966548630255</v>
      </c>
      <c r="CR77" s="811">
        <f t="shared" si="85"/>
        <v>62.722063559147763</v>
      </c>
      <c r="CS77" s="811">
        <f t="shared" si="85"/>
        <v>60.691612890242034</v>
      </c>
      <c r="CT77" s="811">
        <f t="shared" si="85"/>
        <v>58.666709900759557</v>
      </c>
      <c r="CU77" s="811">
        <f t="shared" si="85"/>
        <v>56.641806911277087</v>
      </c>
      <c r="CV77" s="811">
        <f t="shared" si="85"/>
        <v>54.616903921794602</v>
      </c>
      <c r="CW77" s="811">
        <f t="shared" si="85"/>
        <v>52.586453252888873</v>
      </c>
      <c r="CX77" s="811">
        <f t="shared" si="85"/>
        <v>50.56155026340641</v>
      </c>
      <c r="CY77" s="811">
        <f t="shared" si="85"/>
        <v>48.536647273923911</v>
      </c>
      <c r="CZ77" s="811">
        <f t="shared" si="86"/>
        <v>46.511744284441434</v>
      </c>
      <c r="DA77" s="811">
        <f t="shared" si="86"/>
        <v>44.481293615535719</v>
      </c>
      <c r="DB77" s="811">
        <f t="shared" si="86"/>
        <v>42.456390626053228</v>
      </c>
      <c r="DC77" s="811">
        <f t="shared" si="86"/>
        <v>40.431487636570758</v>
      </c>
      <c r="DD77" s="811">
        <f t="shared" si="86"/>
        <v>38.406584647088266</v>
      </c>
      <c r="DE77" s="811">
        <f t="shared" si="86"/>
        <v>36.376133978182544</v>
      </c>
      <c r="DF77" s="811">
        <f t="shared" si="86"/>
        <v>34.351230988700074</v>
      </c>
      <c r="DG77" s="811">
        <f t="shared" si="86"/>
        <v>32.326327999217575</v>
      </c>
      <c r="DH77" s="811">
        <f t="shared" si="86"/>
        <v>30.301425009735109</v>
      </c>
      <c r="DI77" s="811">
        <f t="shared" si="86"/>
        <v>28.27097434082938</v>
      </c>
      <c r="DJ77" s="811">
        <f t="shared" si="86"/>
        <v>26.246071351346909</v>
      </c>
      <c r="DK77" s="811">
        <f t="shared" si="86"/>
        <v>24.221168361864418</v>
      </c>
    </row>
    <row r="78" spans="2:115" ht="20.100000000000001" customHeight="1" x14ac:dyDescent="0.2">
      <c r="B78" s="815" t="s">
        <v>743</v>
      </c>
      <c r="C78" s="816">
        <v>0.88200000000000001</v>
      </c>
      <c r="D78" s="814">
        <v>61.38</v>
      </c>
      <c r="E78" s="776">
        <v>42125</v>
      </c>
      <c r="F78" s="817">
        <v>70</v>
      </c>
      <c r="G78" s="776">
        <v>45775</v>
      </c>
      <c r="H78" s="817">
        <v>2</v>
      </c>
      <c r="J78" s="795">
        <f t="shared" si="13"/>
        <v>42339</v>
      </c>
      <c r="K78" s="795">
        <f t="shared" si="14"/>
        <v>45992</v>
      </c>
      <c r="L78" s="810">
        <f t="shared" si="26"/>
        <v>7.3287671232876717</v>
      </c>
      <c r="M78" s="809" t="str">
        <f t="shared" si="15"/>
        <v>Goldfields Gas Pipeline expansion3 (88%)</v>
      </c>
      <c r="N78" s="811" t="str">
        <f t="shared" si="77"/>
        <v/>
      </c>
      <c r="O78" s="811" t="str">
        <f t="shared" si="77"/>
        <v/>
      </c>
      <c r="P78" s="811" t="str">
        <f t="shared" si="77"/>
        <v/>
      </c>
      <c r="Q78" s="811" t="str">
        <f t="shared" si="77"/>
        <v/>
      </c>
      <c r="R78" s="811" t="str">
        <f t="shared" si="77"/>
        <v/>
      </c>
      <c r="S78" s="811" t="str">
        <f t="shared" si="77"/>
        <v/>
      </c>
      <c r="T78" s="811" t="str">
        <f t="shared" si="77"/>
        <v/>
      </c>
      <c r="U78" s="811" t="str">
        <f t="shared" si="77"/>
        <v/>
      </c>
      <c r="V78" s="811" t="str">
        <f t="shared" si="77"/>
        <v/>
      </c>
      <c r="W78" s="811" t="str">
        <f t="shared" si="77"/>
        <v/>
      </c>
      <c r="X78" s="811" t="str">
        <f t="shared" si="78"/>
        <v/>
      </c>
      <c r="Y78" s="811" t="str">
        <f t="shared" si="78"/>
        <v/>
      </c>
      <c r="Z78" s="811" t="str">
        <f t="shared" si="78"/>
        <v/>
      </c>
      <c r="AA78" s="811" t="str">
        <f t="shared" si="78"/>
        <v/>
      </c>
      <c r="AB78" s="811" t="str">
        <f t="shared" si="78"/>
        <v/>
      </c>
      <c r="AC78" s="811" t="str">
        <f t="shared" si="78"/>
        <v/>
      </c>
      <c r="AD78" s="811" t="str">
        <f t="shared" si="78"/>
        <v/>
      </c>
      <c r="AE78" s="811" t="str">
        <f t="shared" si="78"/>
        <v/>
      </c>
      <c r="AF78" s="811" t="str">
        <f t="shared" si="78"/>
        <v/>
      </c>
      <c r="AG78" s="811" t="str">
        <f t="shared" si="78"/>
        <v/>
      </c>
      <c r="AH78" s="811" t="str">
        <f t="shared" si="79"/>
        <v/>
      </c>
      <c r="AI78" s="811" t="str">
        <f t="shared" si="79"/>
        <v/>
      </c>
      <c r="AJ78" s="811" t="str">
        <f t="shared" si="79"/>
        <v/>
      </c>
      <c r="AK78" s="811" t="str">
        <f t="shared" si="79"/>
        <v/>
      </c>
      <c r="AL78" s="811" t="str">
        <f t="shared" si="79"/>
        <v/>
      </c>
      <c r="AM78" s="811" t="str">
        <f t="shared" si="79"/>
        <v/>
      </c>
      <c r="AN78" s="811" t="str">
        <f t="shared" si="79"/>
        <v/>
      </c>
      <c r="AO78" s="811" t="str">
        <f t="shared" si="79"/>
        <v/>
      </c>
      <c r="AP78" s="811" t="str">
        <f t="shared" si="79"/>
        <v/>
      </c>
      <c r="AQ78" s="811" t="str">
        <f t="shared" si="79"/>
        <v/>
      </c>
      <c r="AR78" s="811" t="str">
        <f t="shared" si="80"/>
        <v/>
      </c>
      <c r="AS78" s="811" t="str">
        <f t="shared" si="80"/>
        <v/>
      </c>
      <c r="AT78" s="811" t="str">
        <f t="shared" si="80"/>
        <v/>
      </c>
      <c r="AU78" s="811" t="str">
        <f t="shared" si="80"/>
        <v/>
      </c>
      <c r="AV78" s="811" t="str">
        <f t="shared" si="80"/>
        <v/>
      </c>
      <c r="AW78" s="811" t="str">
        <f t="shared" si="80"/>
        <v/>
      </c>
      <c r="AX78" s="811" t="str">
        <f t="shared" si="80"/>
        <v/>
      </c>
      <c r="AY78" s="811" t="str">
        <f t="shared" si="80"/>
        <v/>
      </c>
      <c r="AZ78" s="811" t="str">
        <f t="shared" si="80"/>
        <v/>
      </c>
      <c r="BA78" s="811" t="str">
        <f t="shared" si="80"/>
        <v/>
      </c>
      <c r="BB78" s="811" t="str">
        <f t="shared" si="81"/>
        <v/>
      </c>
      <c r="BC78" s="811" t="str">
        <f t="shared" si="81"/>
        <v/>
      </c>
      <c r="BD78" s="811" t="str">
        <f t="shared" si="81"/>
        <v/>
      </c>
      <c r="BE78" s="811" t="str">
        <f t="shared" si="81"/>
        <v/>
      </c>
      <c r="BF78" s="811" t="str">
        <f t="shared" si="81"/>
        <v/>
      </c>
      <c r="BG78" s="811" t="str">
        <f t="shared" si="81"/>
        <v/>
      </c>
      <c r="BH78" s="811">
        <f t="shared" si="81"/>
        <v>54.137160000000002</v>
      </c>
      <c r="BI78" s="811">
        <f t="shared" si="81"/>
        <v>53.361653128767131</v>
      </c>
      <c r="BJ78" s="811">
        <f t="shared" si="81"/>
        <v>52.588265128767127</v>
      </c>
      <c r="BK78" s="811">
        <f t="shared" si="81"/>
        <v>51.814877128767122</v>
      </c>
      <c r="BL78" s="811">
        <f t="shared" si="82"/>
        <v>51.041489128767125</v>
      </c>
      <c r="BM78" s="811">
        <f t="shared" si="82"/>
        <v>50.265982257534255</v>
      </c>
      <c r="BN78" s="811">
        <f t="shared" si="82"/>
        <v>49.49259425753425</v>
      </c>
      <c r="BO78" s="811">
        <f t="shared" si="82"/>
        <v>48.719206257534253</v>
      </c>
      <c r="BP78" s="811">
        <f t="shared" si="82"/>
        <v>47.945818257534249</v>
      </c>
      <c r="BQ78" s="811">
        <f t="shared" si="82"/>
        <v>47.170311386301371</v>
      </c>
      <c r="BR78" s="811">
        <f t="shared" si="82"/>
        <v>46.396923386301374</v>
      </c>
      <c r="BS78" s="811">
        <f t="shared" si="82"/>
        <v>45.62353538630137</v>
      </c>
      <c r="BT78" s="811">
        <f t="shared" si="82"/>
        <v>44.850147386301373</v>
      </c>
      <c r="BU78" s="811">
        <f t="shared" si="82"/>
        <v>44.074640515068495</v>
      </c>
      <c r="BV78" s="811">
        <f t="shared" si="83"/>
        <v>43.301252515068498</v>
      </c>
      <c r="BW78" s="811">
        <f t="shared" si="83"/>
        <v>42.527864515068494</v>
      </c>
      <c r="BX78" s="811">
        <f t="shared" si="83"/>
        <v>41.75447651506849</v>
      </c>
      <c r="BY78" s="811">
        <f t="shared" si="83"/>
        <v>40.978969643835612</v>
      </c>
      <c r="BZ78" s="811">
        <f t="shared" si="83"/>
        <v>40.205581643835615</v>
      </c>
      <c r="CA78" s="811">
        <f t="shared" si="83"/>
        <v>39.432193643835618</v>
      </c>
      <c r="CB78" s="811">
        <f t="shared" si="83"/>
        <v>38.658805643835613</v>
      </c>
      <c r="CC78" s="811">
        <f t="shared" si="83"/>
        <v>37.883298772602743</v>
      </c>
      <c r="CD78" s="811">
        <f t="shared" si="83"/>
        <v>37.109910772602738</v>
      </c>
      <c r="CE78" s="811">
        <f t="shared" si="83"/>
        <v>36.336522772602734</v>
      </c>
      <c r="CF78" s="811">
        <f t="shared" si="84"/>
        <v>35.563134772602737</v>
      </c>
      <c r="CG78" s="811">
        <f t="shared" si="84"/>
        <v>34.787627901369866</v>
      </c>
      <c r="CH78" s="811">
        <f t="shared" si="84"/>
        <v>34.014239901369869</v>
      </c>
      <c r="CI78" s="811">
        <f t="shared" si="84"/>
        <v>33.240851901369865</v>
      </c>
      <c r="CJ78" s="811">
        <f t="shared" si="84"/>
        <v>32.467463901369861</v>
      </c>
      <c r="CK78" s="811">
        <f t="shared" si="84"/>
        <v>31.691957030136983</v>
      </c>
      <c r="CL78" s="811">
        <f t="shared" si="84"/>
        <v>30.918569030136986</v>
      </c>
      <c r="CM78" s="811">
        <f t="shared" si="84"/>
        <v>30.145181030136989</v>
      </c>
      <c r="CN78" s="811">
        <f t="shared" si="84"/>
        <v>29.371793030136988</v>
      </c>
      <c r="CO78" s="811">
        <f t="shared" si="84"/>
        <v>28.596286158904107</v>
      </c>
      <c r="CP78" s="811">
        <f t="shared" si="85"/>
        <v>27.822898158904106</v>
      </c>
      <c r="CQ78" s="811">
        <f t="shared" si="85"/>
        <v>27.049510158904109</v>
      </c>
      <c r="CR78" s="811">
        <f t="shared" si="85"/>
        <v>26.276122158904112</v>
      </c>
      <c r="CS78" s="811">
        <f t="shared" si="85"/>
        <v>25.500615287671238</v>
      </c>
      <c r="CT78" s="811">
        <f t="shared" si="85"/>
        <v>24.727227287671234</v>
      </c>
      <c r="CU78" s="811">
        <f t="shared" si="85"/>
        <v>23.953839287671233</v>
      </c>
      <c r="CV78" s="811">
        <f t="shared" si="85"/>
        <v>23.180451287671232</v>
      </c>
      <c r="CW78" s="811">
        <f t="shared" si="85"/>
        <v>22.404944416438354</v>
      </c>
      <c r="CX78" s="811">
        <f t="shared" si="85"/>
        <v>21.631556416438357</v>
      </c>
      <c r="CY78" s="811">
        <f t="shared" si="85"/>
        <v>20.85816841643836</v>
      </c>
      <c r="CZ78" s="811">
        <f t="shared" si="86"/>
        <v>20.084780416438356</v>
      </c>
      <c r="DA78" s="811">
        <f t="shared" si="86"/>
        <v>19.309273545205478</v>
      </c>
      <c r="DB78" s="811">
        <f t="shared" si="86"/>
        <v>18.535885545205481</v>
      </c>
      <c r="DC78" s="811">
        <f t="shared" si="86"/>
        <v>17.762497545205481</v>
      </c>
      <c r="DD78" s="811">
        <f t="shared" si="86"/>
        <v>16.989109545205483</v>
      </c>
      <c r="DE78" s="811">
        <f t="shared" si="86"/>
        <v>16.213602673972606</v>
      </c>
      <c r="DF78" s="811">
        <f t="shared" si="86"/>
        <v>15.4402146739726</v>
      </c>
      <c r="DG78" s="811">
        <f t="shared" si="86"/>
        <v>14.666826673972606</v>
      </c>
      <c r="DH78" s="811">
        <f t="shared" si="86"/>
        <v>13.893438673972602</v>
      </c>
      <c r="DI78" s="811">
        <f t="shared" si="86"/>
        <v>13.117931802739724</v>
      </c>
      <c r="DJ78" s="811">
        <f t="shared" si="86"/>
        <v>12.344543802739727</v>
      </c>
      <c r="DK78" s="811">
        <f t="shared" si="86"/>
        <v>11.571155802739725</v>
      </c>
    </row>
    <row r="79" spans="2:115" ht="20.100000000000001" customHeight="1" x14ac:dyDescent="0.2">
      <c r="B79" s="815" t="s">
        <v>843</v>
      </c>
      <c r="C79" s="816">
        <v>1</v>
      </c>
      <c r="D79" s="814">
        <v>11</v>
      </c>
      <c r="E79" s="776">
        <v>25263</v>
      </c>
      <c r="F79" s="817">
        <v>70</v>
      </c>
      <c r="G79" s="776">
        <v>44223</v>
      </c>
      <c r="H79" s="817">
        <v>2</v>
      </c>
      <c r="J79" s="795">
        <f t="shared" ref="J79:J85" si="87">IF(ISNUMBER(E79),DATE(YEAR(E79),12,1),"")</f>
        <v>25538</v>
      </c>
      <c r="K79" s="795">
        <f t="shared" ref="K79:K85" si="88">IF(ISNUMBER(G79),DATE(YEAR(G79),12,1),"")</f>
        <v>44531</v>
      </c>
      <c r="L79" s="810">
        <f t="shared" si="26"/>
        <v>3.0767123287671234</v>
      </c>
      <c r="M79" s="809" t="str">
        <f t="shared" ref="M79:M85" si="89">IF(ISNUMBER($C79),B79&amp;" ("&amp;TEXT($C79,"0%")&amp;")","")</f>
        <v>Roma Brisbane Pipeline (100%)</v>
      </c>
      <c r="N79" s="811">
        <f t="shared" si="77"/>
        <v>11</v>
      </c>
      <c r="O79" s="811">
        <f t="shared" si="77"/>
        <v>10.842857142857143</v>
      </c>
      <c r="P79" s="811">
        <f t="shared" si="77"/>
        <v>10.685714285714285</v>
      </c>
      <c r="Q79" s="811">
        <f t="shared" si="77"/>
        <v>10.528140900195694</v>
      </c>
      <c r="R79" s="811">
        <f t="shared" si="77"/>
        <v>10.370998043052838</v>
      </c>
      <c r="S79" s="811">
        <f t="shared" si="77"/>
        <v>10.21385518590998</v>
      </c>
      <c r="T79" s="811">
        <f t="shared" si="77"/>
        <v>10.056712328767123</v>
      </c>
      <c r="U79" s="811">
        <f t="shared" si="77"/>
        <v>9.8991389432485324</v>
      </c>
      <c r="V79" s="811">
        <f t="shared" si="77"/>
        <v>9.741996086105674</v>
      </c>
      <c r="W79" s="811">
        <f t="shared" si="77"/>
        <v>9.5848532289628174</v>
      </c>
      <c r="X79" s="811">
        <f t="shared" si="78"/>
        <v>9.4277103718199609</v>
      </c>
      <c r="Y79" s="811">
        <f t="shared" si="78"/>
        <v>9.2701369863013703</v>
      </c>
      <c r="Z79" s="811">
        <f t="shared" si="78"/>
        <v>9.1129941291585119</v>
      </c>
      <c r="AA79" s="811">
        <f t="shared" si="78"/>
        <v>8.9558512720156571</v>
      </c>
      <c r="AB79" s="811">
        <f t="shared" si="78"/>
        <v>8.7987084148727988</v>
      </c>
      <c r="AC79" s="811">
        <f t="shared" si="78"/>
        <v>8.6411350293542082</v>
      </c>
      <c r="AD79" s="811">
        <f t="shared" si="78"/>
        <v>8.4839921722113498</v>
      </c>
      <c r="AE79" s="811">
        <f t="shared" si="78"/>
        <v>8.3268493150684932</v>
      </c>
      <c r="AF79" s="811">
        <f t="shared" si="78"/>
        <v>8.1697064579256367</v>
      </c>
      <c r="AG79" s="811">
        <f t="shared" si="78"/>
        <v>8.0121330724070461</v>
      </c>
      <c r="AH79" s="811">
        <f t="shared" si="79"/>
        <v>7.8549902152641877</v>
      </c>
      <c r="AI79" s="811">
        <f t="shared" si="79"/>
        <v>7.6978473581213311</v>
      </c>
      <c r="AJ79" s="811">
        <f t="shared" si="79"/>
        <v>7.5407045009784728</v>
      </c>
      <c r="AK79" s="811">
        <f t="shared" si="79"/>
        <v>7.3831311154598822</v>
      </c>
      <c r="AL79" s="811">
        <f t="shared" si="79"/>
        <v>7.2259882583170256</v>
      </c>
      <c r="AM79" s="811">
        <f t="shared" si="79"/>
        <v>7.068845401174169</v>
      </c>
      <c r="AN79" s="811">
        <f t="shared" si="79"/>
        <v>6.9117025440313116</v>
      </c>
      <c r="AO79" s="811">
        <f t="shared" si="79"/>
        <v>6.7541291585127201</v>
      </c>
      <c r="AP79" s="811">
        <f t="shared" si="79"/>
        <v>6.5969863013698626</v>
      </c>
      <c r="AQ79" s="811">
        <f t="shared" si="79"/>
        <v>6.4398434442270061</v>
      </c>
      <c r="AR79" s="811">
        <f t="shared" si="80"/>
        <v>6.2827005870841495</v>
      </c>
      <c r="AS79" s="811">
        <f t="shared" si="80"/>
        <v>6.125127201565558</v>
      </c>
      <c r="AT79" s="811">
        <f t="shared" si="80"/>
        <v>5.9679843444227005</v>
      </c>
      <c r="AU79" s="811">
        <f t="shared" si="80"/>
        <v>5.8108414872798431</v>
      </c>
      <c r="AV79" s="811">
        <f t="shared" si="80"/>
        <v>5.6536986301369865</v>
      </c>
      <c r="AW79" s="811">
        <f t="shared" si="80"/>
        <v>5.496125244618395</v>
      </c>
      <c r="AX79" s="811">
        <f t="shared" si="80"/>
        <v>5.3389823874755384</v>
      </c>
      <c r="AY79" s="811">
        <f t="shared" si="80"/>
        <v>5.181839530332681</v>
      </c>
      <c r="AZ79" s="811">
        <f t="shared" si="80"/>
        <v>5.0246966731898244</v>
      </c>
      <c r="BA79" s="811">
        <f t="shared" si="80"/>
        <v>4.8671232876712329</v>
      </c>
      <c r="BB79" s="811">
        <f t="shared" si="81"/>
        <v>4.7099804305283755</v>
      </c>
      <c r="BC79" s="811">
        <f t="shared" si="81"/>
        <v>4.5528375733855189</v>
      </c>
      <c r="BD79" s="811">
        <f t="shared" si="81"/>
        <v>4.3956947162426623</v>
      </c>
      <c r="BE79" s="811">
        <f t="shared" si="81"/>
        <v>4.2381213307240708</v>
      </c>
      <c r="BF79" s="811">
        <f t="shared" si="81"/>
        <v>4.0809784735812134</v>
      </c>
      <c r="BG79" s="811">
        <f t="shared" si="81"/>
        <v>3.9238356164383568</v>
      </c>
      <c r="BH79" s="811">
        <f t="shared" si="81"/>
        <v>3.7666927592954988</v>
      </c>
      <c r="BI79" s="811">
        <f t="shared" si="81"/>
        <v>3.6091193737769078</v>
      </c>
      <c r="BJ79" s="811">
        <f t="shared" si="81"/>
        <v>3.4519765166340513</v>
      </c>
      <c r="BK79" s="811">
        <f t="shared" si="81"/>
        <v>3.2948336594911933</v>
      </c>
      <c r="BL79" s="811">
        <f t="shared" si="82"/>
        <v>3.1376908023483367</v>
      </c>
      <c r="BM79" s="811">
        <f t="shared" si="82"/>
        <v>2.9801174168297457</v>
      </c>
      <c r="BN79" s="811">
        <f t="shared" si="82"/>
        <v>2.8229745596868883</v>
      </c>
      <c r="BO79" s="811">
        <f t="shared" si="82"/>
        <v>2.6658317025440317</v>
      </c>
      <c r="BP79" s="811">
        <f t="shared" si="82"/>
        <v>2.5086888454011738</v>
      </c>
      <c r="BQ79" s="811">
        <f t="shared" si="82"/>
        <v>2.3511154598825827</v>
      </c>
      <c r="BR79" s="811">
        <f t="shared" si="82"/>
        <v>2.1939726027397262</v>
      </c>
      <c r="BS79" s="811">
        <f t="shared" si="82"/>
        <v>2.0368297455968696</v>
      </c>
      <c r="BT79" s="811">
        <f t="shared" si="82"/>
        <v>1.8796868884540117</v>
      </c>
      <c r="BU79" s="811">
        <f t="shared" si="82"/>
        <v>1.7221135029354206</v>
      </c>
      <c r="BV79" s="811">
        <f t="shared" si="83"/>
        <v>1.5649706457925641</v>
      </c>
      <c r="BW79" s="811">
        <f t="shared" si="83"/>
        <v>1.4078277886497061</v>
      </c>
      <c r="BX79" s="811">
        <f t="shared" si="83"/>
        <v>1.2506849315068496</v>
      </c>
      <c r="BY79" s="811">
        <f t="shared" si="83"/>
        <v>1.0931115459882585</v>
      </c>
      <c r="BZ79" s="811">
        <f t="shared" si="83"/>
        <v>0.93596868884540085</v>
      </c>
      <c r="CA79" s="811">
        <f t="shared" si="83"/>
        <v>0.77882583170254427</v>
      </c>
      <c r="CB79" s="811">
        <f t="shared" si="83"/>
        <v>0.62168297455968646</v>
      </c>
      <c r="CC79" s="811">
        <f t="shared" si="83"/>
        <v>0.46410958904109545</v>
      </c>
      <c r="CD79" s="811">
        <f t="shared" si="83"/>
        <v>0.30696673189823886</v>
      </c>
      <c r="CE79" s="811">
        <f t="shared" si="83"/>
        <v>0.14982387475538106</v>
      </c>
      <c r="CF79" s="811" t="str">
        <f t="shared" si="84"/>
        <v/>
      </c>
      <c r="CG79" s="811" t="str">
        <f t="shared" si="84"/>
        <v/>
      </c>
      <c r="CH79" s="811" t="str">
        <f t="shared" si="84"/>
        <v/>
      </c>
      <c r="CI79" s="811" t="str">
        <f t="shared" si="84"/>
        <v/>
      </c>
      <c r="CJ79" s="811" t="str">
        <f t="shared" si="84"/>
        <v/>
      </c>
      <c r="CK79" s="811" t="str">
        <f t="shared" si="84"/>
        <v/>
      </c>
      <c r="CL79" s="811" t="str">
        <f t="shared" si="84"/>
        <v/>
      </c>
      <c r="CM79" s="811" t="str">
        <f t="shared" si="84"/>
        <v/>
      </c>
      <c r="CN79" s="811" t="str">
        <f t="shared" si="84"/>
        <v/>
      </c>
      <c r="CO79" s="811" t="str">
        <f t="shared" si="84"/>
        <v/>
      </c>
      <c r="CP79" s="811" t="str">
        <f t="shared" si="85"/>
        <v/>
      </c>
      <c r="CQ79" s="811" t="str">
        <f t="shared" si="85"/>
        <v/>
      </c>
      <c r="CR79" s="811" t="str">
        <f t="shared" si="85"/>
        <v/>
      </c>
      <c r="CS79" s="811" t="str">
        <f t="shared" si="85"/>
        <v/>
      </c>
      <c r="CT79" s="811" t="str">
        <f t="shared" si="85"/>
        <v/>
      </c>
      <c r="CU79" s="811" t="str">
        <f t="shared" si="85"/>
        <v/>
      </c>
      <c r="CV79" s="811" t="str">
        <f t="shared" si="85"/>
        <v/>
      </c>
      <c r="CW79" s="811" t="str">
        <f t="shared" si="85"/>
        <v/>
      </c>
      <c r="CX79" s="811" t="str">
        <f t="shared" si="85"/>
        <v/>
      </c>
      <c r="CY79" s="811" t="str">
        <f t="shared" si="85"/>
        <v/>
      </c>
      <c r="CZ79" s="811" t="str">
        <f t="shared" si="86"/>
        <v/>
      </c>
      <c r="DA79" s="811" t="str">
        <f t="shared" si="86"/>
        <v/>
      </c>
      <c r="DB79" s="811" t="str">
        <f t="shared" si="86"/>
        <v/>
      </c>
      <c r="DC79" s="811" t="str">
        <f t="shared" si="86"/>
        <v/>
      </c>
      <c r="DD79" s="811" t="str">
        <f t="shared" si="86"/>
        <v/>
      </c>
      <c r="DE79" s="811" t="str">
        <f t="shared" si="86"/>
        <v/>
      </c>
      <c r="DF79" s="811" t="str">
        <f t="shared" si="86"/>
        <v/>
      </c>
      <c r="DG79" s="811" t="str">
        <f t="shared" si="86"/>
        <v/>
      </c>
      <c r="DH79" s="811" t="str">
        <f t="shared" si="86"/>
        <v/>
      </c>
      <c r="DI79" s="811" t="str">
        <f t="shared" si="86"/>
        <v/>
      </c>
      <c r="DJ79" s="811" t="str">
        <f t="shared" si="86"/>
        <v/>
      </c>
      <c r="DK79" s="811" t="str">
        <f t="shared" si="86"/>
        <v/>
      </c>
    </row>
    <row r="80" spans="2:115" ht="20.100000000000001" customHeight="1" x14ac:dyDescent="0.2">
      <c r="B80" s="815" t="s">
        <v>840</v>
      </c>
      <c r="C80" s="816">
        <v>1</v>
      </c>
      <c r="D80" s="814">
        <v>50</v>
      </c>
      <c r="E80" s="776">
        <v>41639</v>
      </c>
      <c r="F80" s="817">
        <v>70</v>
      </c>
      <c r="G80" s="776">
        <v>48574</v>
      </c>
      <c r="H80" s="817">
        <v>2</v>
      </c>
      <c r="J80" s="795">
        <f t="shared" si="87"/>
        <v>41609</v>
      </c>
      <c r="K80" s="795">
        <f t="shared" si="88"/>
        <v>48549</v>
      </c>
      <c r="L80" s="810">
        <f t="shared" ref="L80:L119" si="90">IF(ISNUMBER($G80),(G80-J$10)/365,"")</f>
        <v>14.997260273972604</v>
      </c>
      <c r="M80" s="809" t="str">
        <f t="shared" si="89"/>
        <v>Roma Brisbane Pipeline expansion (100%)</v>
      </c>
      <c r="N80" s="811" t="str">
        <f t="shared" si="77"/>
        <v/>
      </c>
      <c r="O80" s="811" t="str">
        <f t="shared" si="77"/>
        <v/>
      </c>
      <c r="P80" s="811" t="str">
        <f t="shared" si="77"/>
        <v/>
      </c>
      <c r="Q80" s="811" t="str">
        <f t="shared" si="77"/>
        <v/>
      </c>
      <c r="R80" s="811" t="str">
        <f t="shared" si="77"/>
        <v/>
      </c>
      <c r="S80" s="811" t="str">
        <f t="shared" si="77"/>
        <v/>
      </c>
      <c r="T80" s="811" t="str">
        <f t="shared" si="77"/>
        <v/>
      </c>
      <c r="U80" s="811" t="str">
        <f t="shared" si="77"/>
        <v/>
      </c>
      <c r="V80" s="811" t="str">
        <f t="shared" si="77"/>
        <v/>
      </c>
      <c r="W80" s="811" t="str">
        <f t="shared" si="77"/>
        <v/>
      </c>
      <c r="X80" s="811" t="str">
        <f t="shared" si="78"/>
        <v/>
      </c>
      <c r="Y80" s="811" t="str">
        <f t="shared" si="78"/>
        <v/>
      </c>
      <c r="Z80" s="811" t="str">
        <f t="shared" si="78"/>
        <v/>
      </c>
      <c r="AA80" s="811" t="str">
        <f t="shared" si="78"/>
        <v/>
      </c>
      <c r="AB80" s="811" t="str">
        <f t="shared" si="78"/>
        <v/>
      </c>
      <c r="AC80" s="811" t="str">
        <f t="shared" si="78"/>
        <v/>
      </c>
      <c r="AD80" s="811" t="str">
        <f t="shared" si="78"/>
        <v/>
      </c>
      <c r="AE80" s="811" t="str">
        <f t="shared" si="78"/>
        <v/>
      </c>
      <c r="AF80" s="811" t="str">
        <f t="shared" si="78"/>
        <v/>
      </c>
      <c r="AG80" s="811" t="str">
        <f t="shared" si="78"/>
        <v/>
      </c>
      <c r="AH80" s="811" t="str">
        <f t="shared" si="79"/>
        <v/>
      </c>
      <c r="AI80" s="811" t="str">
        <f t="shared" si="79"/>
        <v/>
      </c>
      <c r="AJ80" s="811" t="str">
        <f t="shared" si="79"/>
        <v/>
      </c>
      <c r="AK80" s="811" t="str">
        <f t="shared" si="79"/>
        <v/>
      </c>
      <c r="AL80" s="811" t="str">
        <f t="shared" si="79"/>
        <v/>
      </c>
      <c r="AM80" s="811" t="str">
        <f t="shared" si="79"/>
        <v/>
      </c>
      <c r="AN80" s="811" t="str">
        <f t="shared" si="79"/>
        <v/>
      </c>
      <c r="AO80" s="811" t="str">
        <f t="shared" si="79"/>
        <v/>
      </c>
      <c r="AP80" s="811" t="str">
        <f t="shared" si="79"/>
        <v/>
      </c>
      <c r="AQ80" s="811" t="str">
        <f t="shared" si="79"/>
        <v/>
      </c>
      <c r="AR80" s="811" t="str">
        <f t="shared" si="80"/>
        <v/>
      </c>
      <c r="AS80" s="811" t="str">
        <f t="shared" si="80"/>
        <v/>
      </c>
      <c r="AT80" s="811" t="str">
        <f t="shared" si="80"/>
        <v/>
      </c>
      <c r="AU80" s="811" t="str">
        <f t="shared" si="80"/>
        <v/>
      </c>
      <c r="AV80" s="811" t="str">
        <f t="shared" si="80"/>
        <v/>
      </c>
      <c r="AW80" s="811" t="str">
        <f t="shared" si="80"/>
        <v/>
      </c>
      <c r="AX80" s="811" t="str">
        <f t="shared" si="80"/>
        <v/>
      </c>
      <c r="AY80" s="811" t="str">
        <f t="shared" si="80"/>
        <v/>
      </c>
      <c r="AZ80" s="811" t="str">
        <f t="shared" si="80"/>
        <v/>
      </c>
      <c r="BA80" s="811" t="str">
        <f t="shared" si="80"/>
        <v/>
      </c>
      <c r="BB80" s="811" t="str">
        <f t="shared" si="81"/>
        <v/>
      </c>
      <c r="BC80" s="811" t="str">
        <f t="shared" si="81"/>
        <v/>
      </c>
      <c r="BD80" s="811" t="str">
        <f t="shared" si="81"/>
        <v/>
      </c>
      <c r="BE80" s="811" t="str">
        <f t="shared" si="81"/>
        <v/>
      </c>
      <c r="BF80" s="811">
        <f t="shared" si="81"/>
        <v>50</v>
      </c>
      <c r="BG80" s="811">
        <f t="shared" si="81"/>
        <v>49.285714285714292</v>
      </c>
      <c r="BH80" s="811">
        <f t="shared" si="81"/>
        <v>48.571428571428569</v>
      </c>
      <c r="BI80" s="811">
        <f t="shared" si="81"/>
        <v>47.855185909980428</v>
      </c>
      <c r="BJ80" s="811">
        <f t="shared" si="81"/>
        <v>47.140900195694719</v>
      </c>
      <c r="BK80" s="811">
        <f t="shared" si="81"/>
        <v>46.426614481409004</v>
      </c>
      <c r="BL80" s="811">
        <f t="shared" si="82"/>
        <v>45.712328767123289</v>
      </c>
      <c r="BM80" s="811">
        <f t="shared" si="82"/>
        <v>44.996086105675147</v>
      </c>
      <c r="BN80" s="811">
        <f t="shared" si="82"/>
        <v>44.281800391389432</v>
      </c>
      <c r="BO80" s="811">
        <f t="shared" si="82"/>
        <v>43.567514677103716</v>
      </c>
      <c r="BP80" s="811">
        <f t="shared" si="82"/>
        <v>42.853228962818001</v>
      </c>
      <c r="BQ80" s="811">
        <f t="shared" si="82"/>
        <v>42.136986301369859</v>
      </c>
      <c r="BR80" s="811">
        <f t="shared" si="82"/>
        <v>41.422700587084151</v>
      </c>
      <c r="BS80" s="811">
        <f t="shared" si="82"/>
        <v>40.708414872798436</v>
      </c>
      <c r="BT80" s="811">
        <f t="shared" si="82"/>
        <v>39.99412915851272</v>
      </c>
      <c r="BU80" s="811">
        <f t="shared" si="82"/>
        <v>39.277886497064578</v>
      </c>
      <c r="BV80" s="811">
        <f t="shared" si="83"/>
        <v>38.563600782778863</v>
      </c>
      <c r="BW80" s="811">
        <f t="shared" si="83"/>
        <v>37.849315068493148</v>
      </c>
      <c r="BX80" s="811">
        <f t="shared" si="83"/>
        <v>37.13502935420744</v>
      </c>
      <c r="BY80" s="811">
        <f t="shared" si="83"/>
        <v>36.418786692759298</v>
      </c>
      <c r="BZ80" s="811">
        <f t="shared" si="83"/>
        <v>35.704500978473583</v>
      </c>
      <c r="CA80" s="811">
        <f t="shared" si="83"/>
        <v>34.990215264187867</v>
      </c>
      <c r="CB80" s="811">
        <f t="shared" si="83"/>
        <v>34.275929549902152</v>
      </c>
      <c r="CC80" s="811">
        <f t="shared" si="83"/>
        <v>33.55968688845401</v>
      </c>
      <c r="CD80" s="811">
        <f t="shared" si="83"/>
        <v>32.845401174168302</v>
      </c>
      <c r="CE80" s="811">
        <f t="shared" si="83"/>
        <v>32.131115459882587</v>
      </c>
      <c r="CF80" s="811">
        <f t="shared" si="84"/>
        <v>31.416829745596868</v>
      </c>
      <c r="CG80" s="811">
        <f t="shared" si="84"/>
        <v>30.700587084148729</v>
      </c>
      <c r="CH80" s="811">
        <f t="shared" si="84"/>
        <v>29.986301369863011</v>
      </c>
      <c r="CI80" s="811">
        <f t="shared" si="84"/>
        <v>29.272015655577299</v>
      </c>
      <c r="CJ80" s="811">
        <f t="shared" si="84"/>
        <v>28.557729941291587</v>
      </c>
      <c r="CK80" s="811">
        <f t="shared" si="84"/>
        <v>27.841487279843445</v>
      </c>
      <c r="CL80" s="811">
        <f t="shared" si="84"/>
        <v>27.12720156555773</v>
      </c>
      <c r="CM80" s="811">
        <f t="shared" si="84"/>
        <v>26.412915851272011</v>
      </c>
      <c r="CN80" s="811">
        <f t="shared" si="84"/>
        <v>25.698630136986299</v>
      </c>
      <c r="CO80" s="811">
        <f t="shared" si="84"/>
        <v>24.982387475538161</v>
      </c>
      <c r="CP80" s="811">
        <f t="shared" si="85"/>
        <v>24.268101761252446</v>
      </c>
      <c r="CQ80" s="811">
        <f t="shared" si="85"/>
        <v>23.55381604696673</v>
      </c>
      <c r="CR80" s="811">
        <f t="shared" si="85"/>
        <v>22.839530332681019</v>
      </c>
      <c r="CS80" s="811">
        <f t="shared" si="85"/>
        <v>22.123287671232877</v>
      </c>
      <c r="CT80" s="811">
        <f t="shared" si="85"/>
        <v>21.409001956947161</v>
      </c>
      <c r="CU80" s="811">
        <f t="shared" si="85"/>
        <v>20.69471624266145</v>
      </c>
      <c r="CV80" s="811">
        <f t="shared" si="85"/>
        <v>19.980430528375738</v>
      </c>
      <c r="CW80" s="811">
        <f t="shared" si="85"/>
        <v>19.264187866927596</v>
      </c>
      <c r="CX80" s="811">
        <f t="shared" si="85"/>
        <v>18.549902152641877</v>
      </c>
      <c r="CY80" s="811">
        <f t="shared" si="85"/>
        <v>17.835616438356166</v>
      </c>
      <c r="CZ80" s="811">
        <f t="shared" si="86"/>
        <v>17.12133072407045</v>
      </c>
      <c r="DA80" s="811">
        <f t="shared" si="86"/>
        <v>16.405088062622308</v>
      </c>
      <c r="DB80" s="811">
        <f t="shared" si="86"/>
        <v>15.690802348336597</v>
      </c>
      <c r="DC80" s="811">
        <f t="shared" si="86"/>
        <v>14.97651663405088</v>
      </c>
      <c r="DD80" s="811">
        <f t="shared" si="86"/>
        <v>14.262230919765168</v>
      </c>
      <c r="DE80" s="811">
        <f t="shared" si="86"/>
        <v>13.545988258317026</v>
      </c>
      <c r="DF80" s="811">
        <f t="shared" si="86"/>
        <v>12.831702544031309</v>
      </c>
      <c r="DG80" s="811">
        <f t="shared" si="86"/>
        <v>12.117416829745597</v>
      </c>
      <c r="DH80" s="811">
        <f t="shared" si="86"/>
        <v>11.40313111545988</v>
      </c>
      <c r="DI80" s="811">
        <f t="shared" si="86"/>
        <v>10.68688845401174</v>
      </c>
      <c r="DJ80" s="811">
        <f t="shared" si="86"/>
        <v>9.9726027397260282</v>
      </c>
      <c r="DK80" s="811">
        <f t="shared" si="86"/>
        <v>9.2583170254403164</v>
      </c>
    </row>
    <row r="81" spans="2:120" ht="20.100000000000001" customHeight="1" x14ac:dyDescent="0.2">
      <c r="B81" s="815" t="s">
        <v>355</v>
      </c>
      <c r="C81" s="816">
        <v>1</v>
      </c>
      <c r="D81" s="814">
        <v>51.107305936073054</v>
      </c>
      <c r="E81" s="776">
        <v>25355</v>
      </c>
      <c r="F81" s="817">
        <v>70</v>
      </c>
      <c r="G81" s="776"/>
      <c r="H81" s="817">
        <v>2</v>
      </c>
      <c r="J81" s="795">
        <f t="shared" si="87"/>
        <v>25538</v>
      </c>
      <c r="K81" s="795" t="str">
        <f t="shared" si="88"/>
        <v/>
      </c>
      <c r="L81" s="810" t="str">
        <f t="shared" si="90"/>
        <v/>
      </c>
      <c r="M81" s="809" t="str">
        <f t="shared" si="89"/>
        <v>Victorian Transmission System (100%)</v>
      </c>
      <c r="N81" s="811">
        <f t="shared" si="77"/>
        <v>51.107305936073054</v>
      </c>
      <c r="O81" s="811">
        <f t="shared" si="77"/>
        <v>50.377201565557726</v>
      </c>
      <c r="P81" s="811">
        <f t="shared" si="77"/>
        <v>49.647097195042392</v>
      </c>
      <c r="Q81" s="811">
        <f t="shared" si="77"/>
        <v>48.914992538580449</v>
      </c>
      <c r="R81" s="811">
        <f t="shared" si="77"/>
        <v>48.184888168065122</v>
      </c>
      <c r="S81" s="811">
        <f t="shared" si="77"/>
        <v>47.454783797549787</v>
      </c>
      <c r="T81" s="811">
        <f t="shared" si="77"/>
        <v>46.724679427034459</v>
      </c>
      <c r="U81" s="811">
        <f t="shared" si="77"/>
        <v>45.992574770572517</v>
      </c>
      <c r="V81" s="811">
        <f t="shared" si="77"/>
        <v>45.262470400057182</v>
      </c>
      <c r="W81" s="811">
        <f t="shared" si="77"/>
        <v>44.532366029541855</v>
      </c>
      <c r="X81" s="811">
        <f t="shared" si="78"/>
        <v>43.802261659026527</v>
      </c>
      <c r="Y81" s="811">
        <f t="shared" si="78"/>
        <v>43.070157002564578</v>
      </c>
      <c r="Z81" s="811">
        <f t="shared" si="78"/>
        <v>42.34005263204925</v>
      </c>
      <c r="AA81" s="811">
        <f t="shared" si="78"/>
        <v>41.609948261533923</v>
      </c>
      <c r="AB81" s="811">
        <f t="shared" si="78"/>
        <v>40.879843891018588</v>
      </c>
      <c r="AC81" s="811">
        <f t="shared" si="78"/>
        <v>40.147739234556646</v>
      </c>
      <c r="AD81" s="811">
        <f t="shared" si="78"/>
        <v>39.417634864041311</v>
      </c>
      <c r="AE81" s="811">
        <f t="shared" si="78"/>
        <v>38.687530493525983</v>
      </c>
      <c r="AF81" s="811">
        <f t="shared" si="78"/>
        <v>37.957426123010656</v>
      </c>
      <c r="AG81" s="811">
        <f t="shared" si="78"/>
        <v>37.225321466548714</v>
      </c>
      <c r="AH81" s="811">
        <f t="shared" si="79"/>
        <v>36.495217096033379</v>
      </c>
      <c r="AI81" s="811">
        <f t="shared" si="79"/>
        <v>35.765112725518051</v>
      </c>
      <c r="AJ81" s="811">
        <f t="shared" si="79"/>
        <v>35.035008355002724</v>
      </c>
      <c r="AK81" s="811">
        <f t="shared" si="79"/>
        <v>34.302903698540774</v>
      </c>
      <c r="AL81" s="811">
        <f t="shared" si="79"/>
        <v>33.572799328025447</v>
      </c>
      <c r="AM81" s="811">
        <f t="shared" si="79"/>
        <v>32.842694957510119</v>
      </c>
      <c r="AN81" s="811">
        <f t="shared" si="79"/>
        <v>32.112590586994784</v>
      </c>
      <c r="AO81" s="811">
        <f t="shared" si="79"/>
        <v>31.380485930532842</v>
      </c>
      <c r="AP81" s="811">
        <f t="shared" si="79"/>
        <v>30.650381560017507</v>
      </c>
      <c r="AQ81" s="811">
        <f t="shared" si="79"/>
        <v>29.92027718950218</v>
      </c>
      <c r="AR81" s="811">
        <f t="shared" si="80"/>
        <v>29.190172818986856</v>
      </c>
      <c r="AS81" s="811">
        <f t="shared" si="80"/>
        <v>28.458068162524906</v>
      </c>
      <c r="AT81" s="811">
        <f t="shared" si="80"/>
        <v>27.727963792009575</v>
      </c>
      <c r="AU81" s="811">
        <f t="shared" si="80"/>
        <v>26.997859421494244</v>
      </c>
      <c r="AV81" s="811">
        <f t="shared" si="80"/>
        <v>26.267755050978916</v>
      </c>
      <c r="AW81" s="811">
        <f t="shared" si="80"/>
        <v>25.535650394516971</v>
      </c>
      <c r="AX81" s="811">
        <f t="shared" si="80"/>
        <v>24.805546024001643</v>
      </c>
      <c r="AY81" s="811">
        <f t="shared" si="80"/>
        <v>24.075441653486312</v>
      </c>
      <c r="AZ81" s="811">
        <f t="shared" si="80"/>
        <v>23.345337282970984</v>
      </c>
      <c r="BA81" s="811">
        <f t="shared" si="80"/>
        <v>22.613232626509038</v>
      </c>
      <c r="BB81" s="811">
        <f t="shared" si="81"/>
        <v>21.883128255993704</v>
      </c>
      <c r="BC81" s="811">
        <f t="shared" si="81"/>
        <v>21.153023885478376</v>
      </c>
      <c r="BD81" s="811">
        <f t="shared" si="81"/>
        <v>20.422919514963052</v>
      </c>
      <c r="BE81" s="811">
        <f t="shared" si="81"/>
        <v>19.690814858501103</v>
      </c>
      <c r="BF81" s="811">
        <f t="shared" si="81"/>
        <v>18.960710487985772</v>
      </c>
      <c r="BG81" s="811">
        <f t="shared" si="81"/>
        <v>18.230606117470444</v>
      </c>
      <c r="BH81" s="811">
        <f t="shared" si="81"/>
        <v>17.500501746955113</v>
      </c>
      <c r="BI81" s="811">
        <f t="shared" si="81"/>
        <v>16.768397090493167</v>
      </c>
      <c r="BJ81" s="811">
        <f t="shared" si="81"/>
        <v>16.038292719977839</v>
      </c>
      <c r="BK81" s="811">
        <f t="shared" si="81"/>
        <v>15.308188349462506</v>
      </c>
      <c r="BL81" s="811">
        <f t="shared" si="82"/>
        <v>14.578083978947181</v>
      </c>
      <c r="BM81" s="811">
        <f t="shared" si="82"/>
        <v>13.845979322485233</v>
      </c>
      <c r="BN81" s="811">
        <f t="shared" si="82"/>
        <v>13.1158749519699</v>
      </c>
      <c r="BO81" s="811">
        <f t="shared" si="82"/>
        <v>12.385770581454574</v>
      </c>
      <c r="BP81" s="811">
        <f t="shared" si="82"/>
        <v>11.655666210939241</v>
      </c>
      <c r="BQ81" s="811">
        <f t="shared" si="82"/>
        <v>10.923561554477295</v>
      </c>
      <c r="BR81" s="811">
        <f t="shared" si="82"/>
        <v>10.193457183961968</v>
      </c>
      <c r="BS81" s="811">
        <f t="shared" si="82"/>
        <v>9.463352813446642</v>
      </c>
      <c r="BT81" s="811">
        <f t="shared" si="82"/>
        <v>8.7332484429313091</v>
      </c>
      <c r="BU81" s="811">
        <f t="shared" si="82"/>
        <v>8.0011437864693615</v>
      </c>
      <c r="BV81" s="811">
        <f t="shared" si="83"/>
        <v>7.2710394159540357</v>
      </c>
      <c r="BW81" s="811">
        <f t="shared" si="83"/>
        <v>6.5409350454387027</v>
      </c>
      <c r="BX81" s="811">
        <f t="shared" si="83"/>
        <v>5.810830674923376</v>
      </c>
      <c r="BY81" s="811">
        <f t="shared" si="83"/>
        <v>5.0787260184614293</v>
      </c>
      <c r="BZ81" s="811">
        <f t="shared" si="83"/>
        <v>4.3486216479460973</v>
      </c>
      <c r="CA81" s="811">
        <f t="shared" si="83"/>
        <v>3.6185172774307706</v>
      </c>
      <c r="CB81" s="811">
        <f t="shared" si="83"/>
        <v>2.8884129069154381</v>
      </c>
      <c r="CC81" s="811">
        <f t="shared" si="83"/>
        <v>2.1563082504534914</v>
      </c>
      <c r="CD81" s="811">
        <f t="shared" si="83"/>
        <v>1.4262038799381644</v>
      </c>
      <c r="CE81" s="811">
        <f t="shared" si="83"/>
        <v>0.69609950942283205</v>
      </c>
      <c r="CF81" s="811" t="str">
        <f t="shared" si="84"/>
        <v/>
      </c>
      <c r="CG81" s="811" t="str">
        <f t="shared" si="84"/>
        <v/>
      </c>
      <c r="CH81" s="811" t="str">
        <f t="shared" si="84"/>
        <v/>
      </c>
      <c r="CI81" s="811" t="str">
        <f t="shared" si="84"/>
        <v/>
      </c>
      <c r="CJ81" s="811" t="str">
        <f t="shared" si="84"/>
        <v/>
      </c>
      <c r="CK81" s="811" t="str">
        <f t="shared" si="84"/>
        <v/>
      </c>
      <c r="CL81" s="811" t="str">
        <f t="shared" si="84"/>
        <v/>
      </c>
      <c r="CM81" s="811" t="str">
        <f t="shared" si="84"/>
        <v/>
      </c>
      <c r="CN81" s="811" t="str">
        <f t="shared" si="84"/>
        <v/>
      </c>
      <c r="CO81" s="811" t="str">
        <f t="shared" si="84"/>
        <v/>
      </c>
      <c r="CP81" s="811" t="str">
        <f t="shared" si="85"/>
        <v/>
      </c>
      <c r="CQ81" s="811" t="str">
        <f t="shared" si="85"/>
        <v/>
      </c>
      <c r="CR81" s="811" t="str">
        <f t="shared" si="85"/>
        <v/>
      </c>
      <c r="CS81" s="811" t="str">
        <f t="shared" si="85"/>
        <v/>
      </c>
      <c r="CT81" s="811" t="str">
        <f t="shared" si="85"/>
        <v/>
      </c>
      <c r="CU81" s="811" t="str">
        <f t="shared" si="85"/>
        <v/>
      </c>
      <c r="CV81" s="811" t="str">
        <f t="shared" si="85"/>
        <v/>
      </c>
      <c r="CW81" s="811" t="str">
        <f t="shared" si="85"/>
        <v/>
      </c>
      <c r="CX81" s="811" t="str">
        <f t="shared" si="85"/>
        <v/>
      </c>
      <c r="CY81" s="811" t="str">
        <f t="shared" si="85"/>
        <v/>
      </c>
      <c r="CZ81" s="811" t="str">
        <f t="shared" si="86"/>
        <v/>
      </c>
      <c r="DA81" s="811" t="str">
        <f t="shared" si="86"/>
        <v/>
      </c>
      <c r="DB81" s="811" t="str">
        <f t="shared" si="86"/>
        <v/>
      </c>
      <c r="DC81" s="811" t="str">
        <f t="shared" si="86"/>
        <v/>
      </c>
      <c r="DD81" s="811" t="str">
        <f t="shared" si="86"/>
        <v/>
      </c>
      <c r="DE81" s="811" t="str">
        <f t="shared" si="86"/>
        <v/>
      </c>
      <c r="DF81" s="811" t="str">
        <f t="shared" si="86"/>
        <v/>
      </c>
      <c r="DG81" s="811" t="str">
        <f t="shared" si="86"/>
        <v/>
      </c>
      <c r="DH81" s="811" t="str">
        <f t="shared" si="86"/>
        <v/>
      </c>
      <c r="DI81" s="811" t="str">
        <f t="shared" si="86"/>
        <v/>
      </c>
      <c r="DJ81" s="811" t="str">
        <f t="shared" si="86"/>
        <v/>
      </c>
      <c r="DK81" s="811" t="str">
        <f t="shared" si="86"/>
        <v/>
      </c>
    </row>
    <row r="82" spans="2:120" ht="20.100000000000001" customHeight="1" x14ac:dyDescent="0.2">
      <c r="B82" s="815" t="s">
        <v>765</v>
      </c>
      <c r="C82" s="816">
        <v>1</v>
      </c>
      <c r="D82" s="814">
        <v>25</v>
      </c>
      <c r="E82" s="776">
        <v>41974</v>
      </c>
      <c r="F82" s="817">
        <v>70</v>
      </c>
      <c r="G82" s="776"/>
      <c r="H82" s="817">
        <v>2</v>
      </c>
      <c r="J82" s="795">
        <f t="shared" si="87"/>
        <v>41974</v>
      </c>
      <c r="K82" s="795" t="str">
        <f t="shared" si="88"/>
        <v/>
      </c>
      <c r="L82" s="810" t="str">
        <f t="shared" si="90"/>
        <v/>
      </c>
      <c r="M82" s="809" t="str">
        <f t="shared" si="89"/>
        <v>Victorian Transmission System expansion (100%)</v>
      </c>
      <c r="N82" s="811" t="str">
        <f t="shared" si="77"/>
        <v/>
      </c>
      <c r="O82" s="811" t="str">
        <f t="shared" si="77"/>
        <v/>
      </c>
      <c r="P82" s="811" t="str">
        <f t="shared" si="77"/>
        <v/>
      </c>
      <c r="Q82" s="811" t="str">
        <f t="shared" si="77"/>
        <v/>
      </c>
      <c r="R82" s="811" t="str">
        <f t="shared" si="77"/>
        <v/>
      </c>
      <c r="S82" s="811" t="str">
        <f t="shared" si="77"/>
        <v/>
      </c>
      <c r="T82" s="811" t="str">
        <f t="shared" si="77"/>
        <v/>
      </c>
      <c r="U82" s="811" t="str">
        <f t="shared" si="77"/>
        <v/>
      </c>
      <c r="V82" s="811" t="str">
        <f t="shared" si="77"/>
        <v/>
      </c>
      <c r="W82" s="811" t="str">
        <f t="shared" si="77"/>
        <v/>
      </c>
      <c r="X82" s="811" t="str">
        <f t="shared" si="78"/>
        <v/>
      </c>
      <c r="Y82" s="811" t="str">
        <f t="shared" si="78"/>
        <v/>
      </c>
      <c r="Z82" s="811" t="str">
        <f t="shared" si="78"/>
        <v/>
      </c>
      <c r="AA82" s="811" t="str">
        <f t="shared" si="78"/>
        <v/>
      </c>
      <c r="AB82" s="811" t="str">
        <f t="shared" si="78"/>
        <v/>
      </c>
      <c r="AC82" s="811" t="str">
        <f t="shared" si="78"/>
        <v/>
      </c>
      <c r="AD82" s="811" t="str">
        <f t="shared" si="78"/>
        <v/>
      </c>
      <c r="AE82" s="811" t="str">
        <f t="shared" si="78"/>
        <v/>
      </c>
      <c r="AF82" s="811" t="str">
        <f t="shared" si="78"/>
        <v/>
      </c>
      <c r="AG82" s="811" t="str">
        <f t="shared" si="78"/>
        <v/>
      </c>
      <c r="AH82" s="811" t="str">
        <f t="shared" si="79"/>
        <v/>
      </c>
      <c r="AI82" s="811" t="str">
        <f t="shared" si="79"/>
        <v/>
      </c>
      <c r="AJ82" s="811" t="str">
        <f t="shared" si="79"/>
        <v/>
      </c>
      <c r="AK82" s="811" t="str">
        <f t="shared" si="79"/>
        <v/>
      </c>
      <c r="AL82" s="811" t="str">
        <f t="shared" si="79"/>
        <v/>
      </c>
      <c r="AM82" s="811" t="str">
        <f t="shared" si="79"/>
        <v/>
      </c>
      <c r="AN82" s="811" t="str">
        <f t="shared" si="79"/>
        <v/>
      </c>
      <c r="AO82" s="811" t="str">
        <f t="shared" si="79"/>
        <v/>
      </c>
      <c r="AP82" s="811" t="str">
        <f t="shared" si="79"/>
        <v/>
      </c>
      <c r="AQ82" s="811" t="str">
        <f t="shared" si="79"/>
        <v/>
      </c>
      <c r="AR82" s="811" t="str">
        <f t="shared" si="80"/>
        <v/>
      </c>
      <c r="AS82" s="811" t="str">
        <f t="shared" si="80"/>
        <v/>
      </c>
      <c r="AT82" s="811" t="str">
        <f t="shared" si="80"/>
        <v/>
      </c>
      <c r="AU82" s="811" t="str">
        <f t="shared" si="80"/>
        <v/>
      </c>
      <c r="AV82" s="811" t="str">
        <f t="shared" si="80"/>
        <v/>
      </c>
      <c r="AW82" s="811" t="str">
        <f t="shared" si="80"/>
        <v/>
      </c>
      <c r="AX82" s="811" t="str">
        <f t="shared" si="80"/>
        <v/>
      </c>
      <c r="AY82" s="811" t="str">
        <f t="shared" si="80"/>
        <v/>
      </c>
      <c r="AZ82" s="811" t="str">
        <f t="shared" si="80"/>
        <v/>
      </c>
      <c r="BA82" s="811" t="str">
        <f t="shared" si="80"/>
        <v/>
      </c>
      <c r="BB82" s="811" t="str">
        <f t="shared" si="81"/>
        <v/>
      </c>
      <c r="BC82" s="811" t="str">
        <f t="shared" si="81"/>
        <v/>
      </c>
      <c r="BD82" s="811" t="str">
        <f t="shared" si="81"/>
        <v/>
      </c>
      <c r="BE82" s="811" t="str">
        <f t="shared" si="81"/>
        <v/>
      </c>
      <c r="BF82" s="811" t="str">
        <f t="shared" si="81"/>
        <v/>
      </c>
      <c r="BG82" s="811">
        <f t="shared" si="81"/>
        <v>25</v>
      </c>
      <c r="BH82" s="811">
        <f t="shared" si="81"/>
        <v>24.642857142857146</v>
      </c>
      <c r="BI82" s="811">
        <f t="shared" si="81"/>
        <v>24.284735812133075</v>
      </c>
      <c r="BJ82" s="811">
        <f t="shared" si="81"/>
        <v>23.927592954990214</v>
      </c>
      <c r="BK82" s="811">
        <f t="shared" si="81"/>
        <v>23.57045009784736</v>
      </c>
      <c r="BL82" s="811">
        <f t="shared" si="82"/>
        <v>23.213307240704502</v>
      </c>
      <c r="BM82" s="811">
        <f t="shared" si="82"/>
        <v>22.855185909980431</v>
      </c>
      <c r="BN82" s="811">
        <f t="shared" si="82"/>
        <v>22.498043052837573</v>
      </c>
      <c r="BO82" s="811">
        <f t="shared" si="82"/>
        <v>22.140900195694716</v>
      </c>
      <c r="BP82" s="811">
        <f t="shared" si="82"/>
        <v>21.783757338551858</v>
      </c>
      <c r="BQ82" s="811">
        <f t="shared" si="82"/>
        <v>21.425636007827791</v>
      </c>
      <c r="BR82" s="811">
        <f t="shared" si="82"/>
        <v>21.06849315068493</v>
      </c>
      <c r="BS82" s="811">
        <f t="shared" si="82"/>
        <v>20.711350293542075</v>
      </c>
      <c r="BT82" s="811">
        <f t="shared" si="82"/>
        <v>20.354207436399218</v>
      </c>
      <c r="BU82" s="811">
        <f t="shared" si="82"/>
        <v>19.996086105675147</v>
      </c>
      <c r="BV82" s="811">
        <f t="shared" si="83"/>
        <v>19.638943248532289</v>
      </c>
      <c r="BW82" s="811">
        <f t="shared" si="83"/>
        <v>19.281800391389432</v>
      </c>
      <c r="BX82" s="811">
        <f t="shared" si="83"/>
        <v>18.924657534246574</v>
      </c>
      <c r="BY82" s="811">
        <f t="shared" si="83"/>
        <v>18.566536203522503</v>
      </c>
      <c r="BZ82" s="811">
        <f t="shared" si="83"/>
        <v>18.209393346379649</v>
      </c>
      <c r="CA82" s="811">
        <f t="shared" si="83"/>
        <v>17.852250489236791</v>
      </c>
      <c r="CB82" s="811">
        <f t="shared" si="83"/>
        <v>17.495107632093934</v>
      </c>
      <c r="CC82" s="811">
        <f t="shared" si="83"/>
        <v>17.136986301369863</v>
      </c>
      <c r="CD82" s="811">
        <f t="shared" si="83"/>
        <v>16.779843444227005</v>
      </c>
      <c r="CE82" s="811">
        <f t="shared" si="83"/>
        <v>16.422700587084151</v>
      </c>
      <c r="CF82" s="811">
        <f t="shared" si="84"/>
        <v>16.065557729941293</v>
      </c>
      <c r="CG82" s="811">
        <f t="shared" si="84"/>
        <v>15.707436399217222</v>
      </c>
      <c r="CH82" s="811">
        <f t="shared" si="84"/>
        <v>15.350293542074365</v>
      </c>
      <c r="CI82" s="811">
        <f t="shared" si="84"/>
        <v>14.993150684931505</v>
      </c>
      <c r="CJ82" s="811">
        <f t="shared" si="84"/>
        <v>14.636007827788649</v>
      </c>
      <c r="CK82" s="811">
        <f t="shared" si="84"/>
        <v>14.277886497064578</v>
      </c>
      <c r="CL82" s="811">
        <f t="shared" si="84"/>
        <v>13.920743639921723</v>
      </c>
      <c r="CM82" s="811">
        <f t="shared" si="84"/>
        <v>13.563600782778865</v>
      </c>
      <c r="CN82" s="811">
        <f t="shared" si="84"/>
        <v>13.206457925636006</v>
      </c>
      <c r="CO82" s="811">
        <f t="shared" si="84"/>
        <v>12.848336594911935</v>
      </c>
      <c r="CP82" s="811">
        <f t="shared" si="85"/>
        <v>12.49119373776908</v>
      </c>
      <c r="CQ82" s="811">
        <f t="shared" si="85"/>
        <v>12.134050880626223</v>
      </c>
      <c r="CR82" s="811">
        <f t="shared" si="85"/>
        <v>11.776908023483365</v>
      </c>
      <c r="CS82" s="811">
        <f t="shared" si="85"/>
        <v>11.418786692759294</v>
      </c>
      <c r="CT82" s="811">
        <f t="shared" si="85"/>
        <v>11.061643835616438</v>
      </c>
      <c r="CU82" s="811">
        <f t="shared" si="85"/>
        <v>10.704500978473581</v>
      </c>
      <c r="CV82" s="811">
        <f t="shared" si="85"/>
        <v>10.347358121330725</v>
      </c>
      <c r="CW82" s="811">
        <f t="shared" si="85"/>
        <v>9.9892367906066539</v>
      </c>
      <c r="CX82" s="811">
        <f t="shared" si="85"/>
        <v>9.6320939334637981</v>
      </c>
      <c r="CY82" s="811">
        <f t="shared" si="85"/>
        <v>9.2749510763209386</v>
      </c>
      <c r="CZ82" s="811">
        <f t="shared" si="86"/>
        <v>8.9178082191780828</v>
      </c>
      <c r="DA82" s="811">
        <f t="shared" si="86"/>
        <v>8.5596868884540136</v>
      </c>
      <c r="DB82" s="811">
        <f t="shared" si="86"/>
        <v>8.2025440313111542</v>
      </c>
      <c r="DC82" s="811">
        <f t="shared" si="86"/>
        <v>7.8454011741682983</v>
      </c>
      <c r="DD82" s="811">
        <f t="shared" si="86"/>
        <v>7.4882583170254398</v>
      </c>
      <c r="DE82" s="811">
        <f t="shared" si="86"/>
        <v>7.1301369863013688</v>
      </c>
      <c r="DF82" s="811">
        <f t="shared" si="86"/>
        <v>6.772994129158513</v>
      </c>
      <c r="DG82" s="811">
        <f t="shared" si="86"/>
        <v>6.4158512720156544</v>
      </c>
      <c r="DH82" s="811">
        <f t="shared" si="86"/>
        <v>6.0587084148727985</v>
      </c>
      <c r="DI82" s="811">
        <f t="shared" si="86"/>
        <v>5.7005870841487285</v>
      </c>
      <c r="DJ82" s="811">
        <f t="shared" si="86"/>
        <v>5.34344422700587</v>
      </c>
      <c r="DK82" s="811">
        <f t="shared" si="86"/>
        <v>4.9863013698630141</v>
      </c>
    </row>
    <row r="83" spans="2:120" ht="20.100000000000001" customHeight="1" x14ac:dyDescent="0.2">
      <c r="B83" s="815" t="s">
        <v>763</v>
      </c>
      <c r="C83" s="816">
        <v>1</v>
      </c>
      <c r="D83" s="814">
        <v>65</v>
      </c>
      <c r="E83" s="776">
        <v>42125</v>
      </c>
      <c r="F83" s="817">
        <v>70</v>
      </c>
      <c r="G83" s="776">
        <v>44315</v>
      </c>
      <c r="H83" s="817">
        <v>2</v>
      </c>
      <c r="J83" s="795">
        <f t="shared" si="87"/>
        <v>42339</v>
      </c>
      <c r="K83" s="795">
        <f t="shared" si="88"/>
        <v>44531</v>
      </c>
      <c r="L83" s="810">
        <f t="shared" si="90"/>
        <v>3.3287671232876712</v>
      </c>
      <c r="M83" s="809" t="str">
        <f t="shared" si="89"/>
        <v>Victorian Transmission System expansion2 (100%)</v>
      </c>
      <c r="N83" s="811" t="str">
        <f t="shared" si="77"/>
        <v/>
      </c>
      <c r="O83" s="811" t="str">
        <f t="shared" si="77"/>
        <v/>
      </c>
      <c r="P83" s="811" t="str">
        <f t="shared" si="77"/>
        <v/>
      </c>
      <c r="Q83" s="811" t="str">
        <f t="shared" si="77"/>
        <v/>
      </c>
      <c r="R83" s="811" t="str">
        <f t="shared" si="77"/>
        <v/>
      </c>
      <c r="S83" s="811" t="str">
        <f t="shared" si="77"/>
        <v/>
      </c>
      <c r="T83" s="811" t="str">
        <f t="shared" si="77"/>
        <v/>
      </c>
      <c r="U83" s="811" t="str">
        <f t="shared" si="77"/>
        <v/>
      </c>
      <c r="V83" s="811" t="str">
        <f t="shared" si="77"/>
        <v/>
      </c>
      <c r="W83" s="811" t="str">
        <f t="shared" si="77"/>
        <v/>
      </c>
      <c r="X83" s="811" t="str">
        <f t="shared" si="78"/>
        <v/>
      </c>
      <c r="Y83" s="811" t="str">
        <f t="shared" si="78"/>
        <v/>
      </c>
      <c r="Z83" s="811" t="str">
        <f t="shared" si="78"/>
        <v/>
      </c>
      <c r="AA83" s="811" t="str">
        <f t="shared" si="78"/>
        <v/>
      </c>
      <c r="AB83" s="811" t="str">
        <f t="shared" si="78"/>
        <v/>
      </c>
      <c r="AC83" s="811" t="str">
        <f t="shared" si="78"/>
        <v/>
      </c>
      <c r="AD83" s="811" t="str">
        <f t="shared" si="78"/>
        <v/>
      </c>
      <c r="AE83" s="811" t="str">
        <f t="shared" si="78"/>
        <v/>
      </c>
      <c r="AF83" s="811" t="str">
        <f t="shared" si="78"/>
        <v/>
      </c>
      <c r="AG83" s="811" t="str">
        <f t="shared" si="78"/>
        <v/>
      </c>
      <c r="AH83" s="811" t="str">
        <f t="shared" si="79"/>
        <v/>
      </c>
      <c r="AI83" s="811" t="str">
        <f t="shared" si="79"/>
        <v/>
      </c>
      <c r="AJ83" s="811" t="str">
        <f t="shared" si="79"/>
        <v/>
      </c>
      <c r="AK83" s="811" t="str">
        <f t="shared" si="79"/>
        <v/>
      </c>
      <c r="AL83" s="811" t="str">
        <f t="shared" si="79"/>
        <v/>
      </c>
      <c r="AM83" s="811" t="str">
        <f t="shared" si="79"/>
        <v/>
      </c>
      <c r="AN83" s="811" t="str">
        <f t="shared" si="79"/>
        <v/>
      </c>
      <c r="AO83" s="811" t="str">
        <f t="shared" si="79"/>
        <v/>
      </c>
      <c r="AP83" s="811" t="str">
        <f t="shared" si="79"/>
        <v/>
      </c>
      <c r="AQ83" s="811" t="str">
        <f t="shared" si="79"/>
        <v/>
      </c>
      <c r="AR83" s="811" t="str">
        <f t="shared" si="80"/>
        <v/>
      </c>
      <c r="AS83" s="811" t="str">
        <f t="shared" si="80"/>
        <v/>
      </c>
      <c r="AT83" s="811" t="str">
        <f t="shared" si="80"/>
        <v/>
      </c>
      <c r="AU83" s="811" t="str">
        <f t="shared" si="80"/>
        <v/>
      </c>
      <c r="AV83" s="811" t="str">
        <f t="shared" si="80"/>
        <v/>
      </c>
      <c r="AW83" s="811" t="str">
        <f t="shared" si="80"/>
        <v/>
      </c>
      <c r="AX83" s="811" t="str">
        <f t="shared" si="80"/>
        <v/>
      </c>
      <c r="AY83" s="811" t="str">
        <f t="shared" si="80"/>
        <v/>
      </c>
      <c r="AZ83" s="811" t="str">
        <f t="shared" si="80"/>
        <v/>
      </c>
      <c r="BA83" s="811" t="str">
        <f t="shared" si="80"/>
        <v/>
      </c>
      <c r="BB83" s="811" t="str">
        <f t="shared" si="81"/>
        <v/>
      </c>
      <c r="BC83" s="811" t="str">
        <f t="shared" si="81"/>
        <v/>
      </c>
      <c r="BD83" s="811" t="str">
        <f t="shared" si="81"/>
        <v/>
      </c>
      <c r="BE83" s="811" t="str">
        <f t="shared" si="81"/>
        <v/>
      </c>
      <c r="BF83" s="811" t="str">
        <f t="shared" si="81"/>
        <v/>
      </c>
      <c r="BG83" s="811" t="str">
        <f t="shared" si="81"/>
        <v/>
      </c>
      <c r="BH83" s="811">
        <f t="shared" si="81"/>
        <v>65</v>
      </c>
      <c r="BI83" s="811">
        <f t="shared" si="81"/>
        <v>64.068884540117423</v>
      </c>
      <c r="BJ83" s="811">
        <f t="shared" si="81"/>
        <v>63.140313111545993</v>
      </c>
      <c r="BK83" s="811">
        <f t="shared" si="81"/>
        <v>62.211741682974562</v>
      </c>
      <c r="BL83" s="811">
        <f t="shared" si="82"/>
        <v>61.283170254403132</v>
      </c>
      <c r="BM83" s="811">
        <f t="shared" si="82"/>
        <v>60.352054794520548</v>
      </c>
      <c r="BN83" s="811">
        <f t="shared" si="82"/>
        <v>59.423483365949117</v>
      </c>
      <c r="BO83" s="811">
        <f t="shared" si="82"/>
        <v>58.494911937377694</v>
      </c>
      <c r="BP83" s="811">
        <f t="shared" si="82"/>
        <v>57.566340508806263</v>
      </c>
      <c r="BQ83" s="811">
        <f t="shared" si="82"/>
        <v>56.635225048923679</v>
      </c>
      <c r="BR83" s="811">
        <f t="shared" si="82"/>
        <v>55.706653620352249</v>
      </c>
      <c r="BS83" s="811">
        <f t="shared" si="82"/>
        <v>54.778082191780818</v>
      </c>
      <c r="BT83" s="811">
        <f t="shared" si="82"/>
        <v>53.849510763209395</v>
      </c>
      <c r="BU83" s="811">
        <f t="shared" si="82"/>
        <v>52.918395303326811</v>
      </c>
      <c r="BV83" s="811">
        <f t="shared" si="83"/>
        <v>51.989823874755388</v>
      </c>
      <c r="BW83" s="811">
        <f t="shared" si="83"/>
        <v>51.06125244618395</v>
      </c>
      <c r="BX83" s="811">
        <f t="shared" si="83"/>
        <v>50.132681017612519</v>
      </c>
      <c r="BY83" s="811">
        <f t="shared" si="83"/>
        <v>49.201565557729936</v>
      </c>
      <c r="BZ83" s="811">
        <f t="shared" si="83"/>
        <v>48.272994129158512</v>
      </c>
      <c r="CA83" s="811">
        <f t="shared" si="83"/>
        <v>47.344422700587089</v>
      </c>
      <c r="CB83" s="811">
        <f t="shared" si="83"/>
        <v>46.415851272015651</v>
      </c>
      <c r="CC83" s="811">
        <f t="shared" si="83"/>
        <v>45.484735812133074</v>
      </c>
      <c r="CD83" s="811">
        <f t="shared" si="83"/>
        <v>44.556164383561644</v>
      </c>
      <c r="CE83" s="811">
        <f t="shared" si="83"/>
        <v>43.627592954990213</v>
      </c>
      <c r="CF83" s="811">
        <f t="shared" si="84"/>
        <v>42.69902152641879</v>
      </c>
      <c r="CG83" s="811">
        <f t="shared" si="84"/>
        <v>41.767906066536206</v>
      </c>
      <c r="CH83" s="811">
        <f t="shared" si="84"/>
        <v>40.839334637964782</v>
      </c>
      <c r="CI83" s="811">
        <f t="shared" si="84"/>
        <v>39.910763209393345</v>
      </c>
      <c r="CJ83" s="811">
        <f t="shared" si="84"/>
        <v>38.982191780821914</v>
      </c>
      <c r="CK83" s="811">
        <f t="shared" si="84"/>
        <v>38.05107632093933</v>
      </c>
      <c r="CL83" s="811">
        <f t="shared" si="84"/>
        <v>37.122504892367907</v>
      </c>
      <c r="CM83" s="811">
        <f t="shared" si="84"/>
        <v>36.193933463796483</v>
      </c>
      <c r="CN83" s="811">
        <f t="shared" si="84"/>
        <v>35.265362035225046</v>
      </c>
      <c r="CO83" s="811">
        <f t="shared" si="84"/>
        <v>34.334246575342462</v>
      </c>
      <c r="CP83" s="811">
        <f t="shared" si="85"/>
        <v>33.405675146771031</v>
      </c>
      <c r="CQ83" s="811">
        <f t="shared" si="85"/>
        <v>32.477103718199608</v>
      </c>
      <c r="CR83" s="811">
        <f t="shared" si="85"/>
        <v>31.548532289628181</v>
      </c>
      <c r="CS83" s="811">
        <f t="shared" si="85"/>
        <v>30.617416829745597</v>
      </c>
      <c r="CT83" s="811">
        <f t="shared" si="85"/>
        <v>29.688845401174166</v>
      </c>
      <c r="CU83" s="811">
        <f t="shared" si="85"/>
        <v>28.760273972602739</v>
      </c>
      <c r="CV83" s="811">
        <f t="shared" si="85"/>
        <v>27.831702544031309</v>
      </c>
      <c r="CW83" s="811">
        <f t="shared" si="85"/>
        <v>26.900587084148725</v>
      </c>
      <c r="CX83" s="811">
        <f t="shared" si="85"/>
        <v>25.972015655577298</v>
      </c>
      <c r="CY83" s="811">
        <f t="shared" si="85"/>
        <v>25.043444227005875</v>
      </c>
      <c r="CZ83" s="811">
        <f t="shared" si="86"/>
        <v>24.11487279843444</v>
      </c>
      <c r="DA83" s="811">
        <f t="shared" si="86"/>
        <v>23.18375733855186</v>
      </c>
      <c r="DB83" s="811">
        <f t="shared" si="86"/>
        <v>22.255185909980433</v>
      </c>
      <c r="DC83" s="811">
        <f t="shared" si="86"/>
        <v>21.326614481409003</v>
      </c>
      <c r="DD83" s="811">
        <f t="shared" si="86"/>
        <v>20.398043052837576</v>
      </c>
      <c r="DE83" s="811">
        <f t="shared" si="86"/>
        <v>19.466927592954992</v>
      </c>
      <c r="DF83" s="811">
        <f t="shared" si="86"/>
        <v>18.538356164383561</v>
      </c>
      <c r="DG83" s="811">
        <f t="shared" si="86"/>
        <v>17.609784735812134</v>
      </c>
      <c r="DH83" s="811">
        <f t="shared" si="86"/>
        <v>16.681213307240704</v>
      </c>
      <c r="DI83" s="811">
        <f t="shared" si="86"/>
        <v>15.750097847358118</v>
      </c>
      <c r="DJ83" s="811">
        <f t="shared" si="86"/>
        <v>14.821526418786693</v>
      </c>
      <c r="DK83" s="811">
        <f t="shared" si="86"/>
        <v>13.89295499021526</v>
      </c>
    </row>
    <row r="84" spans="2:120" ht="20.100000000000001" customHeight="1" x14ac:dyDescent="0.2">
      <c r="B84" s="815" t="s">
        <v>759</v>
      </c>
      <c r="C84" s="816">
        <v>1</v>
      </c>
      <c r="D84" s="814">
        <v>85</v>
      </c>
      <c r="E84" s="776">
        <v>42522</v>
      </c>
      <c r="F84" s="817">
        <v>70</v>
      </c>
      <c r="G84" s="776"/>
      <c r="H84" s="817">
        <v>2</v>
      </c>
      <c r="J84" s="795">
        <f t="shared" si="87"/>
        <v>42705</v>
      </c>
      <c r="K84" s="795" t="str">
        <f t="shared" si="88"/>
        <v/>
      </c>
      <c r="L84" s="810" t="str">
        <f t="shared" si="90"/>
        <v/>
      </c>
      <c r="M84" s="809" t="str">
        <f t="shared" si="89"/>
        <v>Victorian Transmission System expansion3 (100%)</v>
      </c>
      <c r="N84" s="811" t="str">
        <f t="shared" si="77"/>
        <v/>
      </c>
      <c r="O84" s="811" t="str">
        <f t="shared" si="77"/>
        <v/>
      </c>
      <c r="P84" s="811" t="str">
        <f t="shared" si="77"/>
        <v/>
      </c>
      <c r="Q84" s="811" t="str">
        <f t="shared" si="77"/>
        <v/>
      </c>
      <c r="R84" s="811" t="str">
        <f t="shared" si="77"/>
        <v/>
      </c>
      <c r="S84" s="811" t="str">
        <f t="shared" si="77"/>
        <v/>
      </c>
      <c r="T84" s="811" t="str">
        <f t="shared" si="77"/>
        <v/>
      </c>
      <c r="U84" s="811" t="str">
        <f t="shared" si="77"/>
        <v/>
      </c>
      <c r="V84" s="811" t="str">
        <f t="shared" si="77"/>
        <v/>
      </c>
      <c r="W84" s="811" t="str">
        <f t="shared" si="77"/>
        <v/>
      </c>
      <c r="X84" s="811" t="str">
        <f t="shared" si="78"/>
        <v/>
      </c>
      <c r="Y84" s="811" t="str">
        <f t="shared" si="78"/>
        <v/>
      </c>
      <c r="Z84" s="811" t="str">
        <f t="shared" si="78"/>
        <v/>
      </c>
      <c r="AA84" s="811" t="str">
        <f t="shared" si="78"/>
        <v/>
      </c>
      <c r="AB84" s="811" t="str">
        <f t="shared" si="78"/>
        <v/>
      </c>
      <c r="AC84" s="811" t="str">
        <f t="shared" si="78"/>
        <v/>
      </c>
      <c r="AD84" s="811" t="str">
        <f t="shared" si="78"/>
        <v/>
      </c>
      <c r="AE84" s="811" t="str">
        <f t="shared" si="78"/>
        <v/>
      </c>
      <c r="AF84" s="811" t="str">
        <f t="shared" si="78"/>
        <v/>
      </c>
      <c r="AG84" s="811" t="str">
        <f t="shared" si="78"/>
        <v/>
      </c>
      <c r="AH84" s="811" t="str">
        <f t="shared" si="79"/>
        <v/>
      </c>
      <c r="AI84" s="811" t="str">
        <f t="shared" si="79"/>
        <v/>
      </c>
      <c r="AJ84" s="811" t="str">
        <f t="shared" si="79"/>
        <v/>
      </c>
      <c r="AK84" s="811" t="str">
        <f t="shared" si="79"/>
        <v/>
      </c>
      <c r="AL84" s="811" t="str">
        <f t="shared" si="79"/>
        <v/>
      </c>
      <c r="AM84" s="811" t="str">
        <f t="shared" si="79"/>
        <v/>
      </c>
      <c r="AN84" s="811" t="str">
        <f t="shared" si="79"/>
        <v/>
      </c>
      <c r="AO84" s="811" t="str">
        <f t="shared" si="79"/>
        <v/>
      </c>
      <c r="AP84" s="811" t="str">
        <f t="shared" si="79"/>
        <v/>
      </c>
      <c r="AQ84" s="811" t="str">
        <f t="shared" si="79"/>
        <v/>
      </c>
      <c r="AR84" s="811" t="str">
        <f t="shared" si="80"/>
        <v/>
      </c>
      <c r="AS84" s="811" t="str">
        <f t="shared" si="80"/>
        <v/>
      </c>
      <c r="AT84" s="811" t="str">
        <f t="shared" si="80"/>
        <v/>
      </c>
      <c r="AU84" s="811" t="str">
        <f t="shared" si="80"/>
        <v/>
      </c>
      <c r="AV84" s="811" t="str">
        <f t="shared" si="80"/>
        <v/>
      </c>
      <c r="AW84" s="811" t="str">
        <f t="shared" si="80"/>
        <v/>
      </c>
      <c r="AX84" s="811" t="str">
        <f t="shared" si="80"/>
        <v/>
      </c>
      <c r="AY84" s="811" t="str">
        <f t="shared" si="80"/>
        <v/>
      </c>
      <c r="AZ84" s="811" t="str">
        <f t="shared" si="80"/>
        <v/>
      </c>
      <c r="BA84" s="811" t="str">
        <f t="shared" si="80"/>
        <v/>
      </c>
      <c r="BB84" s="811" t="str">
        <f t="shared" si="81"/>
        <v/>
      </c>
      <c r="BC84" s="811" t="str">
        <f t="shared" si="81"/>
        <v/>
      </c>
      <c r="BD84" s="811" t="str">
        <f t="shared" si="81"/>
        <v/>
      </c>
      <c r="BE84" s="811" t="str">
        <f t="shared" si="81"/>
        <v/>
      </c>
      <c r="BF84" s="811" t="str">
        <f t="shared" si="81"/>
        <v/>
      </c>
      <c r="BG84" s="811" t="str">
        <f t="shared" si="81"/>
        <v/>
      </c>
      <c r="BH84" s="811" t="str">
        <f t="shared" si="81"/>
        <v/>
      </c>
      <c r="BI84" s="811">
        <f t="shared" si="81"/>
        <v>85</v>
      </c>
      <c r="BJ84" s="811">
        <f t="shared" si="81"/>
        <v>83.785714285714292</v>
      </c>
      <c r="BK84" s="811">
        <f t="shared" si="81"/>
        <v>82.571428571428569</v>
      </c>
      <c r="BL84" s="811">
        <f t="shared" si="82"/>
        <v>81.357142857142861</v>
      </c>
      <c r="BM84" s="811">
        <f t="shared" si="82"/>
        <v>80.139530332681019</v>
      </c>
      <c r="BN84" s="811">
        <f t="shared" si="82"/>
        <v>78.925244618395297</v>
      </c>
      <c r="BO84" s="811">
        <f t="shared" si="82"/>
        <v>77.710958904109589</v>
      </c>
      <c r="BP84" s="811">
        <f t="shared" si="82"/>
        <v>76.496673189823866</v>
      </c>
      <c r="BQ84" s="811">
        <f t="shared" si="82"/>
        <v>75.279060665362039</v>
      </c>
      <c r="BR84" s="811">
        <f t="shared" si="82"/>
        <v>74.064774951076316</v>
      </c>
      <c r="BS84" s="811">
        <f t="shared" si="82"/>
        <v>72.850489236790608</v>
      </c>
      <c r="BT84" s="811">
        <f t="shared" si="82"/>
        <v>71.6362035225049</v>
      </c>
      <c r="BU84" s="811">
        <f t="shared" si="82"/>
        <v>70.418590998043058</v>
      </c>
      <c r="BV84" s="811">
        <f t="shared" si="83"/>
        <v>69.20430528375735</v>
      </c>
      <c r="BW84" s="811">
        <f t="shared" si="83"/>
        <v>67.990019569471627</v>
      </c>
      <c r="BX84" s="811">
        <f t="shared" si="83"/>
        <v>66.775733855185905</v>
      </c>
      <c r="BY84" s="811">
        <f t="shared" si="83"/>
        <v>65.558121330724063</v>
      </c>
      <c r="BZ84" s="811">
        <f t="shared" si="83"/>
        <v>64.343835616438355</v>
      </c>
      <c r="CA84" s="811">
        <f t="shared" si="83"/>
        <v>63.129549902152647</v>
      </c>
      <c r="CB84" s="811">
        <f t="shared" si="83"/>
        <v>61.915264187866924</v>
      </c>
      <c r="CC84" s="811">
        <f t="shared" si="83"/>
        <v>60.69765166340509</v>
      </c>
      <c r="CD84" s="811">
        <f t="shared" si="83"/>
        <v>59.483365949119374</v>
      </c>
      <c r="CE84" s="811">
        <f t="shared" si="83"/>
        <v>58.269080234833659</v>
      </c>
      <c r="CF84" s="811">
        <f t="shared" si="84"/>
        <v>57.054794520547944</v>
      </c>
      <c r="CG84" s="811">
        <f t="shared" si="84"/>
        <v>55.837181996086109</v>
      </c>
      <c r="CH84" s="811">
        <f t="shared" si="84"/>
        <v>54.622896281800394</v>
      </c>
      <c r="CI84" s="811">
        <f t="shared" si="84"/>
        <v>53.408610567514678</v>
      </c>
      <c r="CJ84" s="811">
        <f t="shared" si="84"/>
        <v>52.194324853228956</v>
      </c>
      <c r="CK84" s="811">
        <f t="shared" si="84"/>
        <v>50.976712328767121</v>
      </c>
      <c r="CL84" s="811">
        <f t="shared" si="84"/>
        <v>49.762426614481406</v>
      </c>
      <c r="CM84" s="811">
        <f t="shared" si="84"/>
        <v>48.548140900195698</v>
      </c>
      <c r="CN84" s="811">
        <f t="shared" si="84"/>
        <v>47.333855185909982</v>
      </c>
      <c r="CO84" s="811">
        <f t="shared" si="84"/>
        <v>46.11624266144814</v>
      </c>
      <c r="CP84" s="811">
        <f t="shared" si="85"/>
        <v>44.901956947162418</v>
      </c>
      <c r="CQ84" s="811">
        <f t="shared" si="85"/>
        <v>43.68767123287671</v>
      </c>
      <c r="CR84" s="811">
        <f t="shared" si="85"/>
        <v>42.473385518591002</v>
      </c>
      <c r="CS84" s="811">
        <f t="shared" si="85"/>
        <v>41.25577299412916</v>
      </c>
      <c r="CT84" s="811">
        <f t="shared" si="85"/>
        <v>40.041487279843444</v>
      </c>
      <c r="CU84" s="811">
        <f t="shared" si="85"/>
        <v>38.827201565557729</v>
      </c>
      <c r="CV84" s="811">
        <f t="shared" si="85"/>
        <v>37.612915851272014</v>
      </c>
      <c r="CW84" s="811">
        <f t="shared" si="85"/>
        <v>36.395303326810172</v>
      </c>
      <c r="CX84" s="811">
        <f t="shared" si="85"/>
        <v>35.181017612524464</v>
      </c>
      <c r="CY84" s="811">
        <f t="shared" si="85"/>
        <v>33.966731898238756</v>
      </c>
      <c r="CZ84" s="811">
        <f t="shared" si="86"/>
        <v>32.752446183953033</v>
      </c>
      <c r="DA84" s="811">
        <f t="shared" si="86"/>
        <v>31.534833659491195</v>
      </c>
      <c r="DB84" s="811">
        <f t="shared" si="86"/>
        <v>30.320547945205483</v>
      </c>
      <c r="DC84" s="811">
        <f t="shared" si="86"/>
        <v>29.106262230919764</v>
      </c>
      <c r="DD84" s="811">
        <f t="shared" si="86"/>
        <v>27.891976516634053</v>
      </c>
      <c r="DE84" s="811">
        <f t="shared" si="86"/>
        <v>26.674363992172214</v>
      </c>
      <c r="DF84" s="811">
        <f t="shared" si="86"/>
        <v>25.460078277886495</v>
      </c>
      <c r="DG84" s="811">
        <f t="shared" si="86"/>
        <v>24.245792563600784</v>
      </c>
      <c r="DH84" s="811">
        <f t="shared" si="86"/>
        <v>23.031506849315065</v>
      </c>
      <c r="DI84" s="811">
        <f t="shared" si="86"/>
        <v>21.813894324853226</v>
      </c>
      <c r="DJ84" s="811">
        <f t="shared" si="86"/>
        <v>20.599608610567515</v>
      </c>
      <c r="DK84" s="811">
        <f t="shared" si="86"/>
        <v>19.385322896281796</v>
      </c>
    </row>
    <row r="85" spans="2:120" ht="20.100000000000001" customHeight="1" x14ac:dyDescent="0.2">
      <c r="B85" s="806"/>
      <c r="C85" s="806"/>
      <c r="D85" s="806"/>
      <c r="E85" s="806"/>
      <c r="F85" s="806"/>
      <c r="G85" s="806"/>
      <c r="H85" s="806"/>
      <c r="J85" s="795" t="str">
        <f t="shared" si="87"/>
        <v/>
      </c>
      <c r="K85" s="795" t="str">
        <f t="shared" si="88"/>
        <v/>
      </c>
      <c r="L85" s="810" t="str">
        <f t="shared" si="90"/>
        <v/>
      </c>
      <c r="M85" s="809" t="str">
        <f t="shared" si="89"/>
        <v/>
      </c>
      <c r="N85" s="811" t="str">
        <f t="shared" si="77"/>
        <v/>
      </c>
      <c r="O85" s="811" t="str">
        <f t="shared" si="77"/>
        <v/>
      </c>
      <c r="P85" s="811" t="str">
        <f t="shared" si="77"/>
        <v/>
      </c>
      <c r="Q85" s="811" t="str">
        <f t="shared" si="77"/>
        <v/>
      </c>
      <c r="R85" s="811" t="str">
        <f t="shared" si="77"/>
        <v/>
      </c>
      <c r="S85" s="811" t="str">
        <f t="shared" si="77"/>
        <v/>
      </c>
      <c r="T85" s="811" t="str">
        <f t="shared" si="77"/>
        <v/>
      </c>
      <c r="U85" s="811" t="str">
        <f t="shared" si="77"/>
        <v/>
      </c>
      <c r="V85" s="811" t="str">
        <f t="shared" si="77"/>
        <v/>
      </c>
      <c r="W85" s="811" t="str">
        <f t="shared" si="77"/>
        <v/>
      </c>
      <c r="X85" s="811" t="str">
        <f t="shared" si="78"/>
        <v/>
      </c>
      <c r="Y85" s="811" t="str">
        <f t="shared" si="78"/>
        <v/>
      </c>
      <c r="Z85" s="811" t="str">
        <f t="shared" si="78"/>
        <v/>
      </c>
      <c r="AA85" s="811" t="str">
        <f t="shared" si="78"/>
        <v/>
      </c>
      <c r="AB85" s="811" t="str">
        <f t="shared" si="78"/>
        <v/>
      </c>
      <c r="AC85" s="811" t="str">
        <f t="shared" si="78"/>
        <v/>
      </c>
      <c r="AD85" s="811" t="str">
        <f t="shared" si="78"/>
        <v/>
      </c>
      <c r="AE85" s="811" t="str">
        <f t="shared" si="78"/>
        <v/>
      </c>
      <c r="AF85" s="811" t="str">
        <f t="shared" si="78"/>
        <v/>
      </c>
      <c r="AG85" s="811" t="str">
        <f t="shared" si="78"/>
        <v/>
      </c>
      <c r="AH85" s="811" t="str">
        <f t="shared" si="79"/>
        <v/>
      </c>
      <c r="AI85" s="811" t="str">
        <f t="shared" si="79"/>
        <v/>
      </c>
      <c r="AJ85" s="811" t="str">
        <f t="shared" si="79"/>
        <v/>
      </c>
      <c r="AK85" s="811" t="str">
        <f t="shared" si="79"/>
        <v/>
      </c>
      <c r="AL85" s="811" t="str">
        <f t="shared" si="79"/>
        <v/>
      </c>
      <c r="AM85" s="811" t="str">
        <f t="shared" si="79"/>
        <v/>
      </c>
      <c r="AN85" s="811" t="str">
        <f t="shared" si="79"/>
        <v/>
      </c>
      <c r="AO85" s="811" t="str">
        <f t="shared" si="79"/>
        <v/>
      </c>
      <c r="AP85" s="811" t="str">
        <f t="shared" si="79"/>
        <v/>
      </c>
      <c r="AQ85" s="811" t="str">
        <f t="shared" si="79"/>
        <v/>
      </c>
      <c r="AR85" s="811" t="str">
        <f t="shared" si="80"/>
        <v/>
      </c>
      <c r="AS85" s="811" t="str">
        <f t="shared" si="80"/>
        <v/>
      </c>
      <c r="AT85" s="811" t="str">
        <f t="shared" si="80"/>
        <v/>
      </c>
      <c r="AU85" s="811" t="str">
        <f t="shared" si="80"/>
        <v/>
      </c>
      <c r="AV85" s="811" t="str">
        <f t="shared" si="80"/>
        <v/>
      </c>
      <c r="AW85" s="811" t="str">
        <f t="shared" si="80"/>
        <v/>
      </c>
      <c r="AX85" s="811" t="str">
        <f t="shared" si="80"/>
        <v/>
      </c>
      <c r="AY85" s="811" t="str">
        <f t="shared" si="80"/>
        <v/>
      </c>
      <c r="AZ85" s="811" t="str">
        <f t="shared" si="80"/>
        <v/>
      </c>
      <c r="BA85" s="811" t="str">
        <f t="shared" si="80"/>
        <v/>
      </c>
      <c r="BB85" s="811" t="str">
        <f t="shared" si="81"/>
        <v/>
      </c>
      <c r="BC85" s="811" t="str">
        <f t="shared" si="81"/>
        <v/>
      </c>
      <c r="BD85" s="811" t="str">
        <f t="shared" si="81"/>
        <v/>
      </c>
      <c r="BE85" s="811" t="str">
        <f t="shared" si="81"/>
        <v/>
      </c>
      <c r="BF85" s="811" t="str">
        <f t="shared" si="81"/>
        <v/>
      </c>
      <c r="BG85" s="811" t="str">
        <f t="shared" si="81"/>
        <v/>
      </c>
      <c r="BH85" s="811" t="str">
        <f t="shared" si="81"/>
        <v/>
      </c>
      <c r="BI85" s="811" t="str">
        <f t="shared" si="81"/>
        <v/>
      </c>
      <c r="BJ85" s="811" t="str">
        <f t="shared" si="81"/>
        <v/>
      </c>
      <c r="BK85" s="811" t="str">
        <f t="shared" si="81"/>
        <v/>
      </c>
      <c r="BL85" s="811" t="str">
        <f t="shared" si="82"/>
        <v/>
      </c>
      <c r="BM85" s="811" t="str">
        <f t="shared" si="82"/>
        <v/>
      </c>
      <c r="BN85" s="811" t="str">
        <f t="shared" si="82"/>
        <v/>
      </c>
      <c r="BO85" s="811" t="str">
        <f t="shared" si="82"/>
        <v/>
      </c>
      <c r="BP85" s="811" t="str">
        <f t="shared" si="82"/>
        <v/>
      </c>
      <c r="BQ85" s="811" t="str">
        <f t="shared" si="82"/>
        <v/>
      </c>
      <c r="BR85" s="811" t="str">
        <f t="shared" si="82"/>
        <v/>
      </c>
      <c r="BS85" s="811" t="str">
        <f t="shared" si="82"/>
        <v/>
      </c>
      <c r="BT85" s="811" t="str">
        <f t="shared" si="82"/>
        <v/>
      </c>
      <c r="BU85" s="811" t="str">
        <f t="shared" si="82"/>
        <v/>
      </c>
      <c r="BV85" s="811" t="str">
        <f t="shared" si="83"/>
        <v/>
      </c>
      <c r="BW85" s="811" t="str">
        <f t="shared" si="83"/>
        <v/>
      </c>
      <c r="BX85" s="811" t="str">
        <f t="shared" si="83"/>
        <v/>
      </c>
      <c r="BY85" s="811" t="str">
        <f t="shared" si="83"/>
        <v/>
      </c>
      <c r="BZ85" s="811" t="str">
        <f t="shared" si="83"/>
        <v/>
      </c>
      <c r="CA85" s="811" t="str">
        <f t="shared" si="83"/>
        <v/>
      </c>
      <c r="CB85" s="811" t="str">
        <f t="shared" si="83"/>
        <v/>
      </c>
      <c r="CC85" s="811" t="str">
        <f t="shared" si="83"/>
        <v/>
      </c>
      <c r="CD85" s="811" t="str">
        <f t="shared" si="83"/>
        <v/>
      </c>
      <c r="CE85" s="811" t="str">
        <f t="shared" si="83"/>
        <v/>
      </c>
      <c r="CF85" s="811" t="str">
        <f t="shared" si="84"/>
        <v/>
      </c>
      <c r="CG85" s="811" t="str">
        <f t="shared" si="84"/>
        <v/>
      </c>
      <c r="CH85" s="811" t="str">
        <f t="shared" si="84"/>
        <v/>
      </c>
      <c r="CI85" s="811" t="str">
        <f t="shared" si="84"/>
        <v/>
      </c>
      <c r="CJ85" s="811" t="str">
        <f t="shared" si="84"/>
        <v/>
      </c>
      <c r="CK85" s="811" t="str">
        <f t="shared" si="84"/>
        <v/>
      </c>
      <c r="CL85" s="811" t="str">
        <f t="shared" si="84"/>
        <v/>
      </c>
      <c r="CM85" s="811" t="str">
        <f t="shared" si="84"/>
        <v/>
      </c>
      <c r="CN85" s="811" t="str">
        <f t="shared" si="84"/>
        <v/>
      </c>
      <c r="CO85" s="811" t="str">
        <f t="shared" si="84"/>
        <v/>
      </c>
      <c r="CP85" s="811" t="str">
        <f t="shared" si="85"/>
        <v/>
      </c>
      <c r="CQ85" s="811" t="str">
        <f t="shared" si="85"/>
        <v/>
      </c>
      <c r="CR85" s="811" t="str">
        <f t="shared" si="85"/>
        <v/>
      </c>
      <c r="CS85" s="811" t="str">
        <f t="shared" si="85"/>
        <v/>
      </c>
      <c r="CT85" s="811" t="str">
        <f t="shared" si="85"/>
        <v/>
      </c>
      <c r="CU85" s="811" t="str">
        <f t="shared" si="85"/>
        <v/>
      </c>
      <c r="CV85" s="811" t="str">
        <f t="shared" si="85"/>
        <v/>
      </c>
      <c r="CW85" s="811" t="str">
        <f t="shared" si="85"/>
        <v/>
      </c>
      <c r="CX85" s="811" t="str">
        <f t="shared" si="85"/>
        <v/>
      </c>
      <c r="CY85" s="811" t="str">
        <f t="shared" si="85"/>
        <v/>
      </c>
      <c r="CZ85" s="811" t="str">
        <f t="shared" si="86"/>
        <v/>
      </c>
      <c r="DA85" s="811" t="str">
        <f t="shared" si="86"/>
        <v/>
      </c>
      <c r="DB85" s="811" t="str">
        <f t="shared" si="86"/>
        <v/>
      </c>
      <c r="DC85" s="811" t="str">
        <f t="shared" si="86"/>
        <v/>
      </c>
      <c r="DD85" s="811" t="str">
        <f t="shared" si="86"/>
        <v/>
      </c>
      <c r="DE85" s="811" t="str">
        <f t="shared" si="86"/>
        <v/>
      </c>
      <c r="DF85" s="811" t="str">
        <f t="shared" si="86"/>
        <v/>
      </c>
      <c r="DG85" s="811" t="str">
        <f t="shared" si="86"/>
        <v/>
      </c>
      <c r="DH85" s="811" t="str">
        <f t="shared" si="86"/>
        <v/>
      </c>
      <c r="DI85" s="811" t="str">
        <f t="shared" si="86"/>
        <v/>
      </c>
      <c r="DJ85" s="811" t="str">
        <f t="shared" si="86"/>
        <v/>
      </c>
      <c r="DK85" s="811" t="str">
        <f t="shared" si="86"/>
        <v/>
      </c>
    </row>
    <row r="86" spans="2:120" ht="20.100000000000001" customHeight="1" x14ac:dyDescent="0.2">
      <c r="B86" s="806"/>
      <c r="C86" s="806"/>
      <c r="D86" s="806"/>
      <c r="E86" s="806"/>
      <c r="F86" s="806"/>
      <c r="G86" s="806"/>
      <c r="H86" s="806"/>
      <c r="L86" s="810" t="str">
        <f t="shared" si="90"/>
        <v/>
      </c>
      <c r="M86" s="786"/>
      <c r="N86" s="875"/>
      <c r="O86" s="875"/>
      <c r="P86" s="875"/>
      <c r="Q86" s="875"/>
      <c r="R86" s="875"/>
      <c r="S86" s="875"/>
      <c r="T86" s="875"/>
      <c r="U86" s="875"/>
      <c r="V86" s="875"/>
      <c r="W86" s="875"/>
      <c r="X86" s="875"/>
      <c r="Y86" s="875"/>
      <c r="Z86" s="875"/>
      <c r="AA86" s="875"/>
      <c r="AB86" s="875"/>
      <c r="AC86" s="875"/>
      <c r="AD86" s="875"/>
      <c r="AE86" s="875"/>
      <c r="AF86" s="875"/>
      <c r="AG86" s="875"/>
      <c r="AH86" s="875"/>
      <c r="AI86" s="875"/>
      <c r="AJ86" s="875"/>
      <c r="AK86" s="875"/>
      <c r="AL86" s="875"/>
      <c r="AM86" s="875"/>
      <c r="AN86" s="875"/>
      <c r="AO86" s="875"/>
      <c r="AP86" s="875"/>
      <c r="AQ86" s="875"/>
      <c r="AR86" s="875"/>
      <c r="AS86" s="875"/>
      <c r="AT86" s="875"/>
      <c r="AU86" s="875"/>
      <c r="AV86" s="875"/>
      <c r="AW86" s="875"/>
      <c r="AX86" s="875"/>
      <c r="AY86" s="875"/>
      <c r="AZ86" s="875"/>
      <c r="BA86" s="875"/>
      <c r="BB86" s="875"/>
      <c r="BC86" s="875"/>
      <c r="BD86" s="875"/>
      <c r="BE86" s="875"/>
      <c r="BF86" s="875"/>
      <c r="BG86" s="875"/>
      <c r="BH86" s="875"/>
      <c r="BI86" s="875"/>
      <c r="BJ86" s="875"/>
      <c r="BK86" s="876"/>
      <c r="BL86" s="876"/>
      <c r="BM86" s="876"/>
      <c r="BN86" s="876"/>
      <c r="BO86" s="876"/>
      <c r="BP86" s="876"/>
      <c r="BQ86" s="876"/>
      <c r="BR86" s="876"/>
      <c r="BS86" s="876"/>
      <c r="BT86" s="876"/>
      <c r="BU86" s="876"/>
      <c r="BV86" s="876"/>
      <c r="BW86" s="876"/>
      <c r="BX86" s="876"/>
      <c r="BY86" s="876"/>
      <c r="BZ86" s="876"/>
      <c r="CA86" s="876"/>
      <c r="CB86" s="876"/>
      <c r="CC86" s="876"/>
      <c r="CD86" s="876"/>
      <c r="CE86" s="876"/>
      <c r="CF86" s="876"/>
      <c r="CG86" s="876"/>
      <c r="CH86" s="876"/>
      <c r="CI86" s="876"/>
      <c r="CJ86" s="876"/>
      <c r="CK86" s="876"/>
      <c r="CL86" s="876"/>
      <c r="CM86" s="876"/>
      <c r="CN86" s="876"/>
      <c r="CO86" s="876"/>
      <c r="CP86" s="876"/>
      <c r="CQ86" s="876"/>
      <c r="CR86" s="876"/>
      <c r="CS86" s="876"/>
      <c r="CT86" s="876"/>
      <c r="CU86" s="876"/>
      <c r="CV86" s="876"/>
      <c r="CW86" s="876"/>
      <c r="CX86" s="876"/>
      <c r="CY86" s="876"/>
      <c r="CZ86" s="876"/>
      <c r="DA86" s="876"/>
      <c r="DB86" s="876"/>
      <c r="DC86" s="876"/>
      <c r="DD86" s="876"/>
      <c r="DE86" s="876"/>
      <c r="DF86" s="876"/>
      <c r="DG86" s="876"/>
      <c r="DH86" s="876"/>
      <c r="DI86" s="876"/>
      <c r="DJ86" s="876"/>
      <c r="DK86" s="876"/>
      <c r="DL86" s="876"/>
      <c r="DM86" s="876"/>
      <c r="DN86" s="876"/>
      <c r="DO86" s="876"/>
      <c r="DP86" s="876"/>
    </row>
    <row r="87" spans="2:120" ht="20.100000000000001" customHeight="1" x14ac:dyDescent="0.2">
      <c r="B87" s="806"/>
      <c r="C87" s="806"/>
      <c r="D87" s="806"/>
      <c r="E87" s="806"/>
      <c r="F87" s="806"/>
      <c r="G87" s="806"/>
      <c r="H87" s="806"/>
      <c r="L87" s="810" t="str">
        <f t="shared" si="90"/>
        <v/>
      </c>
      <c r="N87" s="811"/>
      <c r="O87" s="811"/>
      <c r="P87" s="811"/>
      <c r="Q87" s="811"/>
      <c r="R87" s="811"/>
      <c r="S87" s="811"/>
      <c r="T87" s="811"/>
      <c r="U87" s="811"/>
      <c r="V87" s="811"/>
      <c r="W87" s="811"/>
      <c r="X87" s="811"/>
      <c r="Y87" s="811"/>
      <c r="Z87" s="811"/>
      <c r="AA87" s="811"/>
      <c r="AB87" s="811"/>
      <c r="AC87" s="811"/>
      <c r="AD87" s="811"/>
      <c r="AE87" s="811"/>
      <c r="AF87" s="811"/>
      <c r="AG87" s="811"/>
      <c r="AH87" s="811"/>
      <c r="AI87" s="811"/>
      <c r="AJ87" s="811"/>
      <c r="AK87" s="811"/>
      <c r="AL87" s="811"/>
      <c r="AM87" s="811"/>
      <c r="AN87" s="811"/>
      <c r="AO87" s="811"/>
      <c r="AP87" s="811"/>
      <c r="AQ87" s="811"/>
      <c r="AR87" s="811"/>
      <c r="AS87" s="811"/>
      <c r="AT87" s="811"/>
      <c r="AU87" s="811"/>
      <c r="AV87" s="811"/>
      <c r="AW87" s="811"/>
      <c r="AX87" s="811"/>
      <c r="AY87" s="811"/>
      <c r="AZ87" s="811"/>
      <c r="BA87" s="811"/>
      <c r="BB87" s="811"/>
      <c r="BC87" s="811"/>
      <c r="BD87" s="811"/>
      <c r="BE87" s="811"/>
      <c r="BF87" s="811"/>
      <c r="BG87" s="811"/>
      <c r="BH87" s="811"/>
      <c r="BI87" s="811"/>
      <c r="BJ87" s="811"/>
      <c r="BK87" s="811"/>
      <c r="BL87" s="811"/>
      <c r="BM87" s="811"/>
      <c r="BN87" s="811"/>
      <c r="BO87" s="811"/>
      <c r="BP87" s="811"/>
      <c r="BQ87" s="811" t="str">
        <f t="shared" ref="BQ87:BZ96" si="91">IF(ISNUMBER($J87),IF(BQ$12&lt;$J87,"",IF(BQ$12=$J87,$D87*$C87,IF(AND(BQ$12&gt;$J87,BQ$12&lt;$J87+$F87*365),$D87*(1-(BQ$12-$J87)/($F87*365))*$C87,""))),"")</f>
        <v/>
      </c>
      <c r="BR87" s="811" t="str">
        <f t="shared" si="91"/>
        <v/>
      </c>
      <c r="BS87" s="811" t="str">
        <f t="shared" si="91"/>
        <v/>
      </c>
      <c r="BT87" s="811" t="str">
        <f t="shared" si="91"/>
        <v/>
      </c>
      <c r="BU87" s="811" t="str">
        <f t="shared" si="91"/>
        <v/>
      </c>
      <c r="BV87" s="811" t="str">
        <f t="shared" si="91"/>
        <v/>
      </c>
      <c r="BW87" s="811" t="str">
        <f t="shared" si="91"/>
        <v/>
      </c>
      <c r="BX87" s="811" t="str">
        <f t="shared" si="91"/>
        <v/>
      </c>
      <c r="BY87" s="811" t="str">
        <f t="shared" si="91"/>
        <v/>
      </c>
      <c r="BZ87" s="811" t="str">
        <f t="shared" si="91"/>
        <v/>
      </c>
      <c r="CA87" s="811" t="str">
        <f t="shared" ref="CA87:CJ96" si="92">IF(ISNUMBER($J87),IF(CA$12&lt;$J87,"",IF(CA$12=$J87,$D87*$C87,IF(AND(CA$12&gt;$J87,CA$12&lt;$J87+$F87*365),$D87*(1-(CA$12-$J87)/($F87*365))*$C87,""))),"")</f>
        <v/>
      </c>
      <c r="CB87" s="811" t="str">
        <f t="shared" si="92"/>
        <v/>
      </c>
      <c r="CC87" s="811" t="str">
        <f t="shared" si="92"/>
        <v/>
      </c>
      <c r="CD87" s="811" t="str">
        <f t="shared" si="92"/>
        <v/>
      </c>
      <c r="CE87" s="811" t="str">
        <f t="shared" si="92"/>
        <v/>
      </c>
      <c r="CF87" s="811" t="str">
        <f t="shared" si="92"/>
        <v/>
      </c>
      <c r="CG87" s="811" t="str">
        <f t="shared" si="92"/>
        <v/>
      </c>
      <c r="CH87" s="811" t="str">
        <f t="shared" si="92"/>
        <v/>
      </c>
      <c r="CI87" s="811" t="str">
        <f t="shared" si="92"/>
        <v/>
      </c>
      <c r="CJ87" s="811" t="str">
        <f t="shared" si="92"/>
        <v/>
      </c>
      <c r="CK87" s="811" t="str">
        <f t="shared" ref="CK87:CT96" si="93">IF(ISNUMBER($J87),IF(CK$12&lt;$J87,"",IF(CK$12=$J87,$D87*$C87,IF(AND(CK$12&gt;$J87,CK$12&lt;$J87+$F87*365),$D87*(1-(CK$12-$J87)/($F87*365))*$C87,""))),"")</f>
        <v/>
      </c>
      <c r="CL87" s="811" t="str">
        <f t="shared" si="93"/>
        <v/>
      </c>
      <c r="CM87" s="811" t="str">
        <f t="shared" si="93"/>
        <v/>
      </c>
      <c r="CN87" s="811" t="str">
        <f t="shared" si="93"/>
        <v/>
      </c>
      <c r="CO87" s="811" t="str">
        <f t="shared" si="93"/>
        <v/>
      </c>
      <c r="CP87" s="811" t="str">
        <f t="shared" si="93"/>
        <v/>
      </c>
      <c r="CQ87" s="811" t="str">
        <f t="shared" si="93"/>
        <v/>
      </c>
      <c r="CR87" s="811" t="str">
        <f t="shared" si="93"/>
        <v/>
      </c>
      <c r="CS87" s="811" t="str">
        <f t="shared" si="93"/>
        <v/>
      </c>
      <c r="CT87" s="811" t="str">
        <f t="shared" si="93"/>
        <v/>
      </c>
      <c r="CU87" s="811" t="str">
        <f t="shared" ref="CU87:DD96" si="94">IF(ISNUMBER($J87),IF(CU$12&lt;$J87,"",IF(CU$12=$J87,$D87*$C87,IF(AND(CU$12&gt;$J87,CU$12&lt;$J87+$F87*365),$D87*(1-(CU$12-$J87)/($F87*365))*$C87,""))),"")</f>
        <v/>
      </c>
      <c r="CV87" s="811" t="str">
        <f t="shared" si="94"/>
        <v/>
      </c>
      <c r="CW87" s="811" t="str">
        <f t="shared" si="94"/>
        <v/>
      </c>
      <c r="CX87" s="811" t="str">
        <f t="shared" si="94"/>
        <v/>
      </c>
      <c r="CY87" s="811" t="str">
        <f t="shared" si="94"/>
        <v/>
      </c>
      <c r="CZ87" s="811" t="str">
        <f t="shared" si="94"/>
        <v/>
      </c>
      <c r="DA87" s="811" t="str">
        <f t="shared" si="94"/>
        <v/>
      </c>
      <c r="DB87" s="811" t="str">
        <f t="shared" si="94"/>
        <v/>
      </c>
      <c r="DC87" s="811" t="str">
        <f t="shared" si="94"/>
        <v/>
      </c>
      <c r="DD87" s="811" t="str">
        <f t="shared" si="94"/>
        <v/>
      </c>
      <c r="DE87" s="811" t="str">
        <f t="shared" ref="DE87:DK96" si="95">IF(ISNUMBER($J87),IF(DE$12&lt;$J87,"",IF(DE$12=$J87,$D87*$C87,IF(AND(DE$12&gt;$J87,DE$12&lt;$J87+$F87*365),$D87*(1-(DE$12-$J87)/($F87*365))*$C87,""))),"")</f>
        <v/>
      </c>
      <c r="DF87" s="811" t="str">
        <f t="shared" si="95"/>
        <v/>
      </c>
      <c r="DG87" s="811" t="str">
        <f t="shared" si="95"/>
        <v/>
      </c>
      <c r="DH87" s="811" t="str">
        <f t="shared" si="95"/>
        <v/>
      </c>
      <c r="DI87" s="811" t="str">
        <f t="shared" si="95"/>
        <v/>
      </c>
      <c r="DJ87" s="811" t="str">
        <f t="shared" si="95"/>
        <v/>
      </c>
      <c r="DK87" s="811" t="str">
        <f t="shared" si="95"/>
        <v/>
      </c>
    </row>
    <row r="88" spans="2:120" ht="20.100000000000001" customHeight="1" x14ac:dyDescent="0.2">
      <c r="B88" s="806"/>
      <c r="C88" s="806"/>
      <c r="D88" s="806"/>
      <c r="E88" s="806"/>
      <c r="F88" s="806"/>
      <c r="G88" s="806"/>
      <c r="H88" s="806"/>
      <c r="L88" s="810" t="str">
        <f t="shared" si="90"/>
        <v/>
      </c>
      <c r="N88" s="811"/>
      <c r="O88" s="811"/>
      <c r="P88" s="811"/>
      <c r="Q88" s="811"/>
      <c r="R88" s="811"/>
      <c r="S88" s="811"/>
      <c r="T88" s="811"/>
      <c r="U88" s="811"/>
      <c r="V88" s="811"/>
      <c r="W88" s="811"/>
      <c r="X88" s="811"/>
      <c r="Y88" s="811"/>
      <c r="Z88" s="811"/>
      <c r="AA88" s="811"/>
      <c r="AB88" s="811"/>
      <c r="AC88" s="811"/>
      <c r="AD88" s="811"/>
      <c r="AE88" s="811"/>
      <c r="AF88" s="811"/>
      <c r="AG88" s="811"/>
      <c r="AH88" s="811"/>
      <c r="AI88" s="811"/>
      <c r="AJ88" s="811"/>
      <c r="AK88" s="811"/>
      <c r="AL88" s="811"/>
      <c r="AM88" s="811"/>
      <c r="AN88" s="811"/>
      <c r="AO88" s="811"/>
      <c r="AP88" s="811"/>
      <c r="AQ88" s="811"/>
      <c r="AR88" s="811"/>
      <c r="AS88" s="811"/>
      <c r="AT88" s="811"/>
      <c r="AU88" s="811"/>
      <c r="AV88" s="811"/>
      <c r="AW88" s="811"/>
      <c r="AX88" s="811"/>
      <c r="AY88" s="811"/>
      <c r="AZ88" s="811"/>
      <c r="BA88" s="811"/>
      <c r="BB88" s="811"/>
      <c r="BC88" s="811"/>
      <c r="BD88" s="811"/>
      <c r="BE88" s="811"/>
      <c r="BF88" s="811"/>
      <c r="BG88" s="811"/>
      <c r="BH88" s="811"/>
      <c r="BI88" s="811"/>
      <c r="BJ88" s="811"/>
      <c r="BK88" s="811"/>
      <c r="BL88" s="811"/>
      <c r="BM88" s="811"/>
      <c r="BN88" s="811"/>
      <c r="BO88" s="811"/>
      <c r="BP88" s="811"/>
      <c r="BQ88" s="811" t="str">
        <f t="shared" si="91"/>
        <v/>
      </c>
      <c r="BR88" s="811" t="str">
        <f t="shared" si="91"/>
        <v/>
      </c>
      <c r="BS88" s="811" t="str">
        <f t="shared" si="91"/>
        <v/>
      </c>
      <c r="BT88" s="811" t="str">
        <f t="shared" si="91"/>
        <v/>
      </c>
      <c r="BU88" s="811" t="str">
        <f t="shared" si="91"/>
        <v/>
      </c>
      <c r="BV88" s="811" t="str">
        <f t="shared" si="91"/>
        <v/>
      </c>
      <c r="BW88" s="811" t="str">
        <f t="shared" si="91"/>
        <v/>
      </c>
      <c r="BX88" s="811" t="str">
        <f t="shared" si="91"/>
        <v/>
      </c>
      <c r="BY88" s="811" t="str">
        <f t="shared" si="91"/>
        <v/>
      </c>
      <c r="BZ88" s="811" t="str">
        <f t="shared" si="91"/>
        <v/>
      </c>
      <c r="CA88" s="811" t="str">
        <f t="shared" si="92"/>
        <v/>
      </c>
      <c r="CB88" s="811" t="str">
        <f t="shared" si="92"/>
        <v/>
      </c>
      <c r="CC88" s="811" t="str">
        <f t="shared" si="92"/>
        <v/>
      </c>
      <c r="CD88" s="811" t="str">
        <f t="shared" si="92"/>
        <v/>
      </c>
      <c r="CE88" s="811" t="str">
        <f t="shared" si="92"/>
        <v/>
      </c>
      <c r="CF88" s="811" t="str">
        <f t="shared" si="92"/>
        <v/>
      </c>
      <c r="CG88" s="811" t="str">
        <f t="shared" si="92"/>
        <v/>
      </c>
      <c r="CH88" s="811" t="str">
        <f t="shared" si="92"/>
        <v/>
      </c>
      <c r="CI88" s="811" t="str">
        <f t="shared" si="92"/>
        <v/>
      </c>
      <c r="CJ88" s="811" t="str">
        <f t="shared" si="92"/>
        <v/>
      </c>
      <c r="CK88" s="811" t="str">
        <f t="shared" si="93"/>
        <v/>
      </c>
      <c r="CL88" s="811" t="str">
        <f t="shared" si="93"/>
        <v/>
      </c>
      <c r="CM88" s="811" t="str">
        <f t="shared" si="93"/>
        <v/>
      </c>
      <c r="CN88" s="811" t="str">
        <f t="shared" si="93"/>
        <v/>
      </c>
      <c r="CO88" s="811" t="str">
        <f t="shared" si="93"/>
        <v/>
      </c>
      <c r="CP88" s="811" t="str">
        <f t="shared" si="93"/>
        <v/>
      </c>
      <c r="CQ88" s="811" t="str">
        <f t="shared" si="93"/>
        <v/>
      </c>
      <c r="CR88" s="811" t="str">
        <f t="shared" si="93"/>
        <v/>
      </c>
      <c r="CS88" s="811" t="str">
        <f t="shared" si="93"/>
        <v/>
      </c>
      <c r="CT88" s="811" t="str">
        <f t="shared" si="93"/>
        <v/>
      </c>
      <c r="CU88" s="811" t="str">
        <f t="shared" si="94"/>
        <v/>
      </c>
      <c r="CV88" s="811" t="str">
        <f t="shared" si="94"/>
        <v/>
      </c>
      <c r="CW88" s="811" t="str">
        <f t="shared" si="94"/>
        <v/>
      </c>
      <c r="CX88" s="811" t="str">
        <f t="shared" si="94"/>
        <v/>
      </c>
      <c r="CY88" s="811" t="str">
        <f t="shared" si="94"/>
        <v/>
      </c>
      <c r="CZ88" s="811" t="str">
        <f t="shared" si="94"/>
        <v/>
      </c>
      <c r="DA88" s="811" t="str">
        <f t="shared" si="94"/>
        <v/>
      </c>
      <c r="DB88" s="811" t="str">
        <f t="shared" si="94"/>
        <v/>
      </c>
      <c r="DC88" s="811" t="str">
        <f t="shared" si="94"/>
        <v/>
      </c>
      <c r="DD88" s="811" t="str">
        <f t="shared" si="94"/>
        <v/>
      </c>
      <c r="DE88" s="811" t="str">
        <f t="shared" si="95"/>
        <v/>
      </c>
      <c r="DF88" s="811" t="str">
        <f t="shared" si="95"/>
        <v/>
      </c>
      <c r="DG88" s="811" t="str">
        <f t="shared" si="95"/>
        <v/>
      </c>
      <c r="DH88" s="811" t="str">
        <f t="shared" si="95"/>
        <v/>
      </c>
      <c r="DI88" s="811" t="str">
        <f t="shared" si="95"/>
        <v/>
      </c>
      <c r="DJ88" s="811" t="str">
        <f t="shared" si="95"/>
        <v/>
      </c>
      <c r="DK88" s="811" t="str">
        <f t="shared" si="95"/>
        <v/>
      </c>
    </row>
    <row r="89" spans="2:120" ht="20.100000000000001" customHeight="1" x14ac:dyDescent="0.2">
      <c r="B89" s="806"/>
      <c r="C89" s="806"/>
      <c r="D89" s="806"/>
      <c r="E89" s="806"/>
      <c r="F89" s="806"/>
      <c r="G89" s="806"/>
      <c r="H89" s="806"/>
      <c r="L89" s="810" t="str">
        <f t="shared" si="90"/>
        <v/>
      </c>
      <c r="N89" s="811" t="str">
        <f t="shared" ref="N89:W98" si="96">IF(ISNUMBER($J89),IF(N$12&lt;$J89,"",IF(N$12=$J89,$D89*$C89,IF(AND(N$12&gt;$J89,N$12&lt;$J89+$F89*365),$D89*(1-(N$12-$J89)/($F89*365))*$C89,""))),"")</f>
        <v/>
      </c>
      <c r="O89" s="811" t="str">
        <f t="shared" si="96"/>
        <v/>
      </c>
      <c r="P89" s="811" t="str">
        <f t="shared" si="96"/>
        <v/>
      </c>
      <c r="Q89" s="811" t="str">
        <f t="shared" si="96"/>
        <v/>
      </c>
      <c r="R89" s="811" t="str">
        <f t="shared" si="96"/>
        <v/>
      </c>
      <c r="S89" s="811" t="str">
        <f t="shared" si="96"/>
        <v/>
      </c>
      <c r="T89" s="811" t="str">
        <f t="shared" si="96"/>
        <v/>
      </c>
      <c r="U89" s="811" t="str">
        <f t="shared" si="96"/>
        <v/>
      </c>
      <c r="V89" s="811" t="str">
        <f t="shared" si="96"/>
        <v/>
      </c>
      <c r="W89" s="811" t="str">
        <f t="shared" si="96"/>
        <v/>
      </c>
      <c r="X89" s="811" t="str">
        <f t="shared" ref="X89:AG98" si="97">IF(ISNUMBER($J89),IF(X$12&lt;$J89,"",IF(X$12=$J89,$D89*$C89,IF(AND(X$12&gt;$J89,X$12&lt;$J89+$F89*365),$D89*(1-(X$12-$J89)/($F89*365))*$C89,""))),"")</f>
        <v/>
      </c>
      <c r="Y89" s="811" t="str">
        <f t="shared" si="97"/>
        <v/>
      </c>
      <c r="Z89" s="811" t="str">
        <f t="shared" si="97"/>
        <v/>
      </c>
      <c r="AA89" s="811" t="str">
        <f t="shared" si="97"/>
        <v/>
      </c>
      <c r="AB89" s="811" t="str">
        <f t="shared" si="97"/>
        <v/>
      </c>
      <c r="AC89" s="811" t="str">
        <f t="shared" si="97"/>
        <v/>
      </c>
      <c r="AD89" s="811" t="str">
        <f t="shared" si="97"/>
        <v/>
      </c>
      <c r="AE89" s="811" t="str">
        <f t="shared" si="97"/>
        <v/>
      </c>
      <c r="AF89" s="811" t="str">
        <f t="shared" si="97"/>
        <v/>
      </c>
      <c r="AG89" s="811" t="str">
        <f t="shared" si="97"/>
        <v/>
      </c>
      <c r="AH89" s="811" t="str">
        <f t="shared" ref="AH89:AQ98" si="98">IF(ISNUMBER($J89),IF(AH$12&lt;$J89,"",IF(AH$12=$J89,$D89*$C89,IF(AND(AH$12&gt;$J89,AH$12&lt;$J89+$F89*365),$D89*(1-(AH$12-$J89)/($F89*365))*$C89,""))),"")</f>
        <v/>
      </c>
      <c r="AI89" s="811" t="str">
        <f t="shared" si="98"/>
        <v/>
      </c>
      <c r="AJ89" s="811" t="str">
        <f t="shared" si="98"/>
        <v/>
      </c>
      <c r="AK89" s="811" t="str">
        <f t="shared" si="98"/>
        <v/>
      </c>
      <c r="AL89" s="811" t="str">
        <f t="shared" si="98"/>
        <v/>
      </c>
      <c r="AM89" s="811" t="str">
        <f t="shared" si="98"/>
        <v/>
      </c>
      <c r="AN89" s="811" t="str">
        <f t="shared" si="98"/>
        <v/>
      </c>
      <c r="AO89" s="811" t="str">
        <f t="shared" si="98"/>
        <v/>
      </c>
      <c r="AP89" s="811" t="str">
        <f t="shared" si="98"/>
        <v/>
      </c>
      <c r="AQ89" s="811" t="str">
        <f t="shared" si="98"/>
        <v/>
      </c>
      <c r="AR89" s="811" t="str">
        <f t="shared" ref="AR89:BA98" si="99">IF(ISNUMBER($J89),IF(AR$12&lt;$J89,"",IF(AR$12=$J89,$D89*$C89,IF(AND(AR$12&gt;$J89,AR$12&lt;$J89+$F89*365),$D89*(1-(AR$12-$J89)/($F89*365))*$C89,""))),"")</f>
        <v/>
      </c>
      <c r="AS89" s="811" t="str">
        <f t="shared" si="99"/>
        <v/>
      </c>
      <c r="AT89" s="811" t="str">
        <f t="shared" si="99"/>
        <v/>
      </c>
      <c r="AU89" s="811" t="str">
        <f t="shared" si="99"/>
        <v/>
      </c>
      <c r="AV89" s="811" t="str">
        <f t="shared" si="99"/>
        <v/>
      </c>
      <c r="AW89" s="811" t="str">
        <f t="shared" si="99"/>
        <v/>
      </c>
      <c r="AX89" s="811" t="str">
        <f t="shared" si="99"/>
        <v/>
      </c>
      <c r="AY89" s="811" t="str">
        <f t="shared" si="99"/>
        <v/>
      </c>
      <c r="AZ89" s="811" t="str">
        <f t="shared" si="99"/>
        <v/>
      </c>
      <c r="BA89" s="811" t="str">
        <f t="shared" si="99"/>
        <v/>
      </c>
      <c r="BB89" s="811" t="str">
        <f t="shared" ref="BB89:BP98" si="100">IF(ISNUMBER($J89),IF(BB$12&lt;$J89,"",IF(BB$12=$J89,$D89*$C89,IF(AND(BB$12&gt;$J89,BB$12&lt;$J89+$F89*365),$D89*(1-(BB$12-$J89)/($F89*365))*$C89,""))),"")</f>
        <v/>
      </c>
      <c r="BC89" s="811" t="str">
        <f t="shared" si="100"/>
        <v/>
      </c>
      <c r="BD89" s="811" t="str">
        <f t="shared" si="100"/>
        <v/>
      </c>
      <c r="BE89" s="811" t="str">
        <f t="shared" si="100"/>
        <v/>
      </c>
      <c r="BF89" s="811" t="str">
        <f t="shared" si="100"/>
        <v/>
      </c>
      <c r="BG89" s="811" t="str">
        <f t="shared" si="100"/>
        <v/>
      </c>
      <c r="BH89" s="811" t="str">
        <f t="shared" si="100"/>
        <v/>
      </c>
      <c r="BI89" s="811" t="str">
        <f t="shared" si="100"/>
        <v/>
      </c>
      <c r="BJ89" s="811" t="str">
        <f t="shared" si="100"/>
        <v/>
      </c>
      <c r="BK89" s="811" t="str">
        <f t="shared" si="100"/>
        <v/>
      </c>
      <c r="BL89" s="811" t="str">
        <f t="shared" si="100"/>
        <v/>
      </c>
      <c r="BM89" s="811" t="str">
        <f t="shared" si="100"/>
        <v/>
      </c>
      <c r="BN89" s="811" t="str">
        <f t="shared" si="100"/>
        <v/>
      </c>
      <c r="BO89" s="811" t="str">
        <f t="shared" si="100"/>
        <v/>
      </c>
      <c r="BP89" s="811" t="str">
        <f t="shared" si="100"/>
        <v/>
      </c>
      <c r="BQ89" s="811" t="str">
        <f t="shared" si="91"/>
        <v/>
      </c>
      <c r="BR89" s="811" t="str">
        <f t="shared" si="91"/>
        <v/>
      </c>
      <c r="BS89" s="811" t="str">
        <f t="shared" si="91"/>
        <v/>
      </c>
      <c r="BT89" s="811" t="str">
        <f t="shared" si="91"/>
        <v/>
      </c>
      <c r="BU89" s="811" t="str">
        <f t="shared" si="91"/>
        <v/>
      </c>
      <c r="BV89" s="811" t="str">
        <f t="shared" si="91"/>
        <v/>
      </c>
      <c r="BW89" s="811" t="str">
        <f t="shared" si="91"/>
        <v/>
      </c>
      <c r="BX89" s="811" t="str">
        <f t="shared" si="91"/>
        <v/>
      </c>
      <c r="BY89" s="811" t="str">
        <f t="shared" si="91"/>
        <v/>
      </c>
      <c r="BZ89" s="811" t="str">
        <f t="shared" si="91"/>
        <v/>
      </c>
      <c r="CA89" s="811" t="str">
        <f t="shared" si="92"/>
        <v/>
      </c>
      <c r="CB89" s="811" t="str">
        <f t="shared" si="92"/>
        <v/>
      </c>
      <c r="CC89" s="811" t="str">
        <f t="shared" si="92"/>
        <v/>
      </c>
      <c r="CD89" s="811" t="str">
        <f t="shared" si="92"/>
        <v/>
      </c>
      <c r="CE89" s="811" t="str">
        <f t="shared" si="92"/>
        <v/>
      </c>
      <c r="CF89" s="811" t="str">
        <f t="shared" si="92"/>
        <v/>
      </c>
      <c r="CG89" s="811" t="str">
        <f t="shared" si="92"/>
        <v/>
      </c>
      <c r="CH89" s="811" t="str">
        <f t="shared" si="92"/>
        <v/>
      </c>
      <c r="CI89" s="811" t="str">
        <f t="shared" si="92"/>
        <v/>
      </c>
      <c r="CJ89" s="811" t="str">
        <f t="shared" si="92"/>
        <v/>
      </c>
      <c r="CK89" s="811" t="str">
        <f t="shared" si="93"/>
        <v/>
      </c>
      <c r="CL89" s="811" t="str">
        <f t="shared" si="93"/>
        <v/>
      </c>
      <c r="CM89" s="811" t="str">
        <f t="shared" si="93"/>
        <v/>
      </c>
      <c r="CN89" s="811" t="str">
        <f t="shared" si="93"/>
        <v/>
      </c>
      <c r="CO89" s="811" t="str">
        <f t="shared" si="93"/>
        <v/>
      </c>
      <c r="CP89" s="811" t="str">
        <f t="shared" si="93"/>
        <v/>
      </c>
      <c r="CQ89" s="811" t="str">
        <f t="shared" si="93"/>
        <v/>
      </c>
      <c r="CR89" s="811" t="str">
        <f t="shared" si="93"/>
        <v/>
      </c>
      <c r="CS89" s="811" t="str">
        <f t="shared" si="93"/>
        <v/>
      </c>
      <c r="CT89" s="811" t="str">
        <f t="shared" si="93"/>
        <v/>
      </c>
      <c r="CU89" s="811" t="str">
        <f t="shared" si="94"/>
        <v/>
      </c>
      <c r="CV89" s="811" t="str">
        <f t="shared" si="94"/>
        <v/>
      </c>
      <c r="CW89" s="811" t="str">
        <f t="shared" si="94"/>
        <v/>
      </c>
      <c r="CX89" s="811" t="str">
        <f t="shared" si="94"/>
        <v/>
      </c>
      <c r="CY89" s="811" t="str">
        <f t="shared" si="94"/>
        <v/>
      </c>
      <c r="CZ89" s="811" t="str">
        <f t="shared" si="94"/>
        <v/>
      </c>
      <c r="DA89" s="811" t="str">
        <f t="shared" si="94"/>
        <v/>
      </c>
      <c r="DB89" s="811" t="str">
        <f t="shared" si="94"/>
        <v/>
      </c>
      <c r="DC89" s="811" t="str">
        <f t="shared" si="94"/>
        <v/>
      </c>
      <c r="DD89" s="811" t="str">
        <f t="shared" si="94"/>
        <v/>
      </c>
      <c r="DE89" s="811" t="str">
        <f t="shared" si="95"/>
        <v/>
      </c>
      <c r="DF89" s="811" t="str">
        <f t="shared" si="95"/>
        <v/>
      </c>
      <c r="DG89" s="811" t="str">
        <f t="shared" si="95"/>
        <v/>
      </c>
      <c r="DH89" s="811" t="str">
        <f t="shared" si="95"/>
        <v/>
      </c>
      <c r="DI89" s="811" t="str">
        <f t="shared" si="95"/>
        <v/>
      </c>
      <c r="DJ89" s="811" t="str">
        <f t="shared" si="95"/>
        <v/>
      </c>
      <c r="DK89" s="811" t="str">
        <f t="shared" si="95"/>
        <v/>
      </c>
    </row>
    <row r="90" spans="2:120" ht="20.100000000000001" customHeight="1" x14ac:dyDescent="0.2">
      <c r="B90" s="806"/>
      <c r="C90" s="806"/>
      <c r="D90" s="806"/>
      <c r="E90" s="806"/>
      <c r="F90" s="806"/>
      <c r="G90" s="806"/>
      <c r="H90" s="806"/>
      <c r="L90" s="810" t="str">
        <f t="shared" si="90"/>
        <v/>
      </c>
      <c r="N90" s="811" t="str">
        <f t="shared" si="96"/>
        <v/>
      </c>
      <c r="O90" s="811" t="str">
        <f t="shared" si="96"/>
        <v/>
      </c>
      <c r="P90" s="811" t="str">
        <f t="shared" si="96"/>
        <v/>
      </c>
      <c r="Q90" s="811" t="str">
        <f t="shared" si="96"/>
        <v/>
      </c>
      <c r="R90" s="811" t="str">
        <f t="shared" si="96"/>
        <v/>
      </c>
      <c r="S90" s="811" t="str">
        <f t="shared" si="96"/>
        <v/>
      </c>
      <c r="T90" s="811" t="str">
        <f t="shared" si="96"/>
        <v/>
      </c>
      <c r="U90" s="811" t="str">
        <f t="shared" si="96"/>
        <v/>
      </c>
      <c r="V90" s="811" t="str">
        <f t="shared" si="96"/>
        <v/>
      </c>
      <c r="W90" s="811" t="str">
        <f t="shared" si="96"/>
        <v/>
      </c>
      <c r="X90" s="811" t="str">
        <f t="shared" si="97"/>
        <v/>
      </c>
      <c r="Y90" s="811" t="str">
        <f t="shared" si="97"/>
        <v/>
      </c>
      <c r="Z90" s="811" t="str">
        <f t="shared" si="97"/>
        <v/>
      </c>
      <c r="AA90" s="811" t="str">
        <f t="shared" si="97"/>
        <v/>
      </c>
      <c r="AB90" s="811" t="str">
        <f t="shared" si="97"/>
        <v/>
      </c>
      <c r="AC90" s="811" t="str">
        <f t="shared" si="97"/>
        <v/>
      </c>
      <c r="AD90" s="811" t="str">
        <f t="shared" si="97"/>
        <v/>
      </c>
      <c r="AE90" s="811" t="str">
        <f t="shared" si="97"/>
        <v/>
      </c>
      <c r="AF90" s="811" t="str">
        <f t="shared" si="97"/>
        <v/>
      </c>
      <c r="AG90" s="811" t="str">
        <f t="shared" si="97"/>
        <v/>
      </c>
      <c r="AH90" s="811" t="str">
        <f t="shared" si="98"/>
        <v/>
      </c>
      <c r="AI90" s="811" t="str">
        <f t="shared" si="98"/>
        <v/>
      </c>
      <c r="AJ90" s="811" t="str">
        <f t="shared" si="98"/>
        <v/>
      </c>
      <c r="AK90" s="811" t="str">
        <f t="shared" si="98"/>
        <v/>
      </c>
      <c r="AL90" s="811" t="str">
        <f t="shared" si="98"/>
        <v/>
      </c>
      <c r="AM90" s="811" t="str">
        <f t="shared" si="98"/>
        <v/>
      </c>
      <c r="AN90" s="811" t="str">
        <f t="shared" si="98"/>
        <v/>
      </c>
      <c r="AO90" s="811" t="str">
        <f t="shared" si="98"/>
        <v/>
      </c>
      <c r="AP90" s="811" t="str">
        <f t="shared" si="98"/>
        <v/>
      </c>
      <c r="AQ90" s="811" t="str">
        <f t="shared" si="98"/>
        <v/>
      </c>
      <c r="AR90" s="811" t="str">
        <f t="shared" si="99"/>
        <v/>
      </c>
      <c r="AS90" s="811" t="str">
        <f t="shared" si="99"/>
        <v/>
      </c>
      <c r="AT90" s="811" t="str">
        <f t="shared" si="99"/>
        <v/>
      </c>
      <c r="AU90" s="811" t="str">
        <f t="shared" si="99"/>
        <v/>
      </c>
      <c r="AV90" s="811" t="str">
        <f t="shared" si="99"/>
        <v/>
      </c>
      <c r="AW90" s="811" t="str">
        <f t="shared" si="99"/>
        <v/>
      </c>
      <c r="AX90" s="811" t="str">
        <f t="shared" si="99"/>
        <v/>
      </c>
      <c r="AY90" s="811" t="str">
        <f t="shared" si="99"/>
        <v/>
      </c>
      <c r="AZ90" s="811" t="str">
        <f t="shared" si="99"/>
        <v/>
      </c>
      <c r="BA90" s="811" t="str">
        <f t="shared" si="99"/>
        <v/>
      </c>
      <c r="BB90" s="811" t="str">
        <f t="shared" si="100"/>
        <v/>
      </c>
      <c r="BC90" s="811" t="str">
        <f t="shared" si="100"/>
        <v/>
      </c>
      <c r="BD90" s="811" t="str">
        <f t="shared" si="100"/>
        <v/>
      </c>
      <c r="BE90" s="811" t="str">
        <f t="shared" si="100"/>
        <v/>
      </c>
      <c r="BF90" s="811" t="str">
        <f t="shared" si="100"/>
        <v/>
      </c>
      <c r="BG90" s="811" t="str">
        <f t="shared" si="100"/>
        <v/>
      </c>
      <c r="BH90" s="811" t="str">
        <f t="shared" si="100"/>
        <v/>
      </c>
      <c r="BI90" s="811" t="str">
        <f t="shared" si="100"/>
        <v/>
      </c>
      <c r="BJ90" s="811" t="str">
        <f t="shared" si="100"/>
        <v/>
      </c>
      <c r="BK90" s="811" t="str">
        <f t="shared" si="100"/>
        <v/>
      </c>
      <c r="BL90" s="811" t="str">
        <f t="shared" si="100"/>
        <v/>
      </c>
      <c r="BM90" s="811" t="str">
        <f t="shared" si="100"/>
        <v/>
      </c>
      <c r="BN90" s="811" t="str">
        <f t="shared" si="100"/>
        <v/>
      </c>
      <c r="BO90" s="811" t="str">
        <f t="shared" si="100"/>
        <v/>
      </c>
      <c r="BP90" s="811" t="str">
        <f t="shared" si="100"/>
        <v/>
      </c>
      <c r="BQ90" s="811" t="str">
        <f t="shared" si="91"/>
        <v/>
      </c>
      <c r="BR90" s="811" t="str">
        <f t="shared" si="91"/>
        <v/>
      </c>
      <c r="BS90" s="811" t="str">
        <f t="shared" si="91"/>
        <v/>
      </c>
      <c r="BT90" s="811" t="str">
        <f t="shared" si="91"/>
        <v/>
      </c>
      <c r="BU90" s="811" t="str">
        <f t="shared" si="91"/>
        <v/>
      </c>
      <c r="BV90" s="811" t="str">
        <f t="shared" si="91"/>
        <v/>
      </c>
      <c r="BW90" s="811" t="str">
        <f t="shared" si="91"/>
        <v/>
      </c>
      <c r="BX90" s="811" t="str">
        <f t="shared" si="91"/>
        <v/>
      </c>
      <c r="BY90" s="811" t="str">
        <f t="shared" si="91"/>
        <v/>
      </c>
      <c r="BZ90" s="811" t="str">
        <f t="shared" si="91"/>
        <v/>
      </c>
      <c r="CA90" s="811" t="str">
        <f t="shared" si="92"/>
        <v/>
      </c>
      <c r="CB90" s="811" t="str">
        <f t="shared" si="92"/>
        <v/>
      </c>
      <c r="CC90" s="811" t="str">
        <f t="shared" si="92"/>
        <v/>
      </c>
      <c r="CD90" s="811" t="str">
        <f t="shared" si="92"/>
        <v/>
      </c>
      <c r="CE90" s="811" t="str">
        <f t="shared" si="92"/>
        <v/>
      </c>
      <c r="CF90" s="811" t="str">
        <f t="shared" si="92"/>
        <v/>
      </c>
      <c r="CG90" s="811" t="str">
        <f t="shared" si="92"/>
        <v/>
      </c>
      <c r="CH90" s="811" t="str">
        <f t="shared" si="92"/>
        <v/>
      </c>
      <c r="CI90" s="811" t="str">
        <f t="shared" si="92"/>
        <v/>
      </c>
      <c r="CJ90" s="811" t="str">
        <f t="shared" si="92"/>
        <v/>
      </c>
      <c r="CK90" s="811" t="str">
        <f t="shared" si="93"/>
        <v/>
      </c>
      <c r="CL90" s="811" t="str">
        <f t="shared" si="93"/>
        <v/>
      </c>
      <c r="CM90" s="811" t="str">
        <f t="shared" si="93"/>
        <v/>
      </c>
      <c r="CN90" s="811" t="str">
        <f t="shared" si="93"/>
        <v/>
      </c>
      <c r="CO90" s="811" t="str">
        <f t="shared" si="93"/>
        <v/>
      </c>
      <c r="CP90" s="811" t="str">
        <f t="shared" si="93"/>
        <v/>
      </c>
      <c r="CQ90" s="811" t="str">
        <f t="shared" si="93"/>
        <v/>
      </c>
      <c r="CR90" s="811" t="str">
        <f t="shared" si="93"/>
        <v/>
      </c>
      <c r="CS90" s="811" t="str">
        <f t="shared" si="93"/>
        <v/>
      </c>
      <c r="CT90" s="811" t="str">
        <f t="shared" si="93"/>
        <v/>
      </c>
      <c r="CU90" s="811" t="str">
        <f t="shared" si="94"/>
        <v/>
      </c>
      <c r="CV90" s="811" t="str">
        <f t="shared" si="94"/>
        <v/>
      </c>
      <c r="CW90" s="811" t="str">
        <f t="shared" si="94"/>
        <v/>
      </c>
      <c r="CX90" s="811" t="str">
        <f t="shared" si="94"/>
        <v/>
      </c>
      <c r="CY90" s="811" t="str">
        <f t="shared" si="94"/>
        <v/>
      </c>
      <c r="CZ90" s="811" t="str">
        <f t="shared" si="94"/>
        <v/>
      </c>
      <c r="DA90" s="811" t="str">
        <f t="shared" si="94"/>
        <v/>
      </c>
      <c r="DB90" s="811" t="str">
        <f t="shared" si="94"/>
        <v/>
      </c>
      <c r="DC90" s="811" t="str">
        <f t="shared" si="94"/>
        <v/>
      </c>
      <c r="DD90" s="811" t="str">
        <f t="shared" si="94"/>
        <v/>
      </c>
      <c r="DE90" s="811" t="str">
        <f t="shared" si="95"/>
        <v/>
      </c>
      <c r="DF90" s="811" t="str">
        <f t="shared" si="95"/>
        <v/>
      </c>
      <c r="DG90" s="811" t="str">
        <f t="shared" si="95"/>
        <v/>
      </c>
      <c r="DH90" s="811" t="str">
        <f t="shared" si="95"/>
        <v/>
      </c>
      <c r="DI90" s="811" t="str">
        <f t="shared" si="95"/>
        <v/>
      </c>
      <c r="DJ90" s="811" t="str">
        <f t="shared" si="95"/>
        <v/>
      </c>
      <c r="DK90" s="811" t="str">
        <f t="shared" si="95"/>
        <v/>
      </c>
    </row>
    <row r="91" spans="2:120" ht="20.100000000000001" customHeight="1" x14ac:dyDescent="0.2">
      <c r="B91" s="806"/>
      <c r="C91" s="806"/>
      <c r="D91" s="806"/>
      <c r="E91" s="806"/>
      <c r="F91" s="806"/>
      <c r="G91" s="806"/>
      <c r="H91" s="806"/>
      <c r="L91" s="810" t="str">
        <f t="shared" si="90"/>
        <v/>
      </c>
      <c r="N91" s="811" t="str">
        <f t="shared" si="96"/>
        <v/>
      </c>
      <c r="O91" s="811" t="str">
        <f t="shared" si="96"/>
        <v/>
      </c>
      <c r="P91" s="811" t="str">
        <f t="shared" si="96"/>
        <v/>
      </c>
      <c r="Q91" s="811" t="str">
        <f t="shared" si="96"/>
        <v/>
      </c>
      <c r="R91" s="811" t="str">
        <f t="shared" si="96"/>
        <v/>
      </c>
      <c r="S91" s="811" t="str">
        <f t="shared" si="96"/>
        <v/>
      </c>
      <c r="T91" s="811" t="str">
        <f t="shared" si="96"/>
        <v/>
      </c>
      <c r="U91" s="811" t="str">
        <f t="shared" si="96"/>
        <v/>
      </c>
      <c r="V91" s="811" t="str">
        <f t="shared" si="96"/>
        <v/>
      </c>
      <c r="W91" s="811" t="str">
        <f t="shared" si="96"/>
        <v/>
      </c>
      <c r="X91" s="811" t="str">
        <f t="shared" si="97"/>
        <v/>
      </c>
      <c r="Y91" s="811" t="str">
        <f t="shared" si="97"/>
        <v/>
      </c>
      <c r="Z91" s="811" t="str">
        <f t="shared" si="97"/>
        <v/>
      </c>
      <c r="AA91" s="811" t="str">
        <f t="shared" si="97"/>
        <v/>
      </c>
      <c r="AB91" s="811" t="str">
        <f t="shared" si="97"/>
        <v/>
      </c>
      <c r="AC91" s="811" t="str">
        <f t="shared" si="97"/>
        <v/>
      </c>
      <c r="AD91" s="811" t="str">
        <f t="shared" si="97"/>
        <v/>
      </c>
      <c r="AE91" s="811" t="str">
        <f t="shared" si="97"/>
        <v/>
      </c>
      <c r="AF91" s="811" t="str">
        <f t="shared" si="97"/>
        <v/>
      </c>
      <c r="AG91" s="811" t="str">
        <f t="shared" si="97"/>
        <v/>
      </c>
      <c r="AH91" s="811" t="str">
        <f t="shared" si="98"/>
        <v/>
      </c>
      <c r="AI91" s="811" t="str">
        <f t="shared" si="98"/>
        <v/>
      </c>
      <c r="AJ91" s="811" t="str">
        <f t="shared" si="98"/>
        <v/>
      </c>
      <c r="AK91" s="811" t="str">
        <f t="shared" si="98"/>
        <v/>
      </c>
      <c r="AL91" s="811" t="str">
        <f t="shared" si="98"/>
        <v/>
      </c>
      <c r="AM91" s="811" t="str">
        <f t="shared" si="98"/>
        <v/>
      </c>
      <c r="AN91" s="811" t="str">
        <f t="shared" si="98"/>
        <v/>
      </c>
      <c r="AO91" s="811" t="str">
        <f t="shared" si="98"/>
        <v/>
      </c>
      <c r="AP91" s="811" t="str">
        <f t="shared" si="98"/>
        <v/>
      </c>
      <c r="AQ91" s="811" t="str">
        <f t="shared" si="98"/>
        <v/>
      </c>
      <c r="AR91" s="811" t="str">
        <f t="shared" si="99"/>
        <v/>
      </c>
      <c r="AS91" s="811" t="str">
        <f t="shared" si="99"/>
        <v/>
      </c>
      <c r="AT91" s="811" t="str">
        <f t="shared" si="99"/>
        <v/>
      </c>
      <c r="AU91" s="811" t="str">
        <f t="shared" si="99"/>
        <v/>
      </c>
      <c r="AV91" s="811" t="str">
        <f t="shared" si="99"/>
        <v/>
      </c>
      <c r="AW91" s="811" t="str">
        <f t="shared" si="99"/>
        <v/>
      </c>
      <c r="AX91" s="811" t="str">
        <f t="shared" si="99"/>
        <v/>
      </c>
      <c r="AY91" s="811" t="str">
        <f t="shared" si="99"/>
        <v/>
      </c>
      <c r="AZ91" s="811" t="str">
        <f t="shared" si="99"/>
        <v/>
      </c>
      <c r="BA91" s="811" t="str">
        <f t="shared" si="99"/>
        <v/>
      </c>
      <c r="BB91" s="811" t="str">
        <f t="shared" si="100"/>
        <v/>
      </c>
      <c r="BC91" s="811" t="str">
        <f t="shared" si="100"/>
        <v/>
      </c>
      <c r="BD91" s="811" t="str">
        <f t="shared" si="100"/>
        <v/>
      </c>
      <c r="BE91" s="811" t="str">
        <f t="shared" si="100"/>
        <v/>
      </c>
      <c r="BF91" s="811" t="str">
        <f t="shared" si="100"/>
        <v/>
      </c>
      <c r="BG91" s="811" t="str">
        <f t="shared" si="100"/>
        <v/>
      </c>
      <c r="BH91" s="811" t="str">
        <f t="shared" si="100"/>
        <v/>
      </c>
      <c r="BI91" s="811" t="str">
        <f t="shared" si="100"/>
        <v/>
      </c>
      <c r="BJ91" s="811" t="str">
        <f t="shared" si="100"/>
        <v/>
      </c>
      <c r="BK91" s="811" t="str">
        <f t="shared" si="100"/>
        <v/>
      </c>
      <c r="BL91" s="811" t="str">
        <f t="shared" si="100"/>
        <v/>
      </c>
      <c r="BM91" s="811" t="str">
        <f t="shared" si="100"/>
        <v/>
      </c>
      <c r="BN91" s="811" t="str">
        <f t="shared" si="100"/>
        <v/>
      </c>
      <c r="BO91" s="811" t="str">
        <f t="shared" si="100"/>
        <v/>
      </c>
      <c r="BP91" s="811" t="str">
        <f t="shared" si="100"/>
        <v/>
      </c>
      <c r="BQ91" s="811" t="str">
        <f t="shared" si="91"/>
        <v/>
      </c>
      <c r="BR91" s="811" t="str">
        <f t="shared" si="91"/>
        <v/>
      </c>
      <c r="BS91" s="811" t="str">
        <f t="shared" si="91"/>
        <v/>
      </c>
      <c r="BT91" s="811" t="str">
        <f t="shared" si="91"/>
        <v/>
      </c>
      <c r="BU91" s="811" t="str">
        <f t="shared" si="91"/>
        <v/>
      </c>
      <c r="BV91" s="811" t="str">
        <f t="shared" si="91"/>
        <v/>
      </c>
      <c r="BW91" s="811" t="str">
        <f t="shared" si="91"/>
        <v/>
      </c>
      <c r="BX91" s="811" t="str">
        <f t="shared" si="91"/>
        <v/>
      </c>
      <c r="BY91" s="811" t="str">
        <f t="shared" si="91"/>
        <v/>
      </c>
      <c r="BZ91" s="811" t="str">
        <f t="shared" si="91"/>
        <v/>
      </c>
      <c r="CA91" s="811" t="str">
        <f t="shared" si="92"/>
        <v/>
      </c>
      <c r="CB91" s="811" t="str">
        <f t="shared" si="92"/>
        <v/>
      </c>
      <c r="CC91" s="811" t="str">
        <f t="shared" si="92"/>
        <v/>
      </c>
      <c r="CD91" s="811" t="str">
        <f t="shared" si="92"/>
        <v/>
      </c>
      <c r="CE91" s="811" t="str">
        <f t="shared" si="92"/>
        <v/>
      </c>
      <c r="CF91" s="811" t="str">
        <f t="shared" si="92"/>
        <v/>
      </c>
      <c r="CG91" s="811" t="str">
        <f t="shared" si="92"/>
        <v/>
      </c>
      <c r="CH91" s="811" t="str">
        <f t="shared" si="92"/>
        <v/>
      </c>
      <c r="CI91" s="811" t="str">
        <f t="shared" si="92"/>
        <v/>
      </c>
      <c r="CJ91" s="811" t="str">
        <f t="shared" si="92"/>
        <v/>
      </c>
      <c r="CK91" s="811" t="str">
        <f t="shared" si="93"/>
        <v/>
      </c>
      <c r="CL91" s="811" t="str">
        <f t="shared" si="93"/>
        <v/>
      </c>
      <c r="CM91" s="811" t="str">
        <f t="shared" si="93"/>
        <v/>
      </c>
      <c r="CN91" s="811" t="str">
        <f t="shared" si="93"/>
        <v/>
      </c>
      <c r="CO91" s="811" t="str">
        <f t="shared" si="93"/>
        <v/>
      </c>
      <c r="CP91" s="811" t="str">
        <f t="shared" si="93"/>
        <v/>
      </c>
      <c r="CQ91" s="811" t="str">
        <f t="shared" si="93"/>
        <v/>
      </c>
      <c r="CR91" s="811" t="str">
        <f t="shared" si="93"/>
        <v/>
      </c>
      <c r="CS91" s="811" t="str">
        <f t="shared" si="93"/>
        <v/>
      </c>
      <c r="CT91" s="811" t="str">
        <f t="shared" si="93"/>
        <v/>
      </c>
      <c r="CU91" s="811" t="str">
        <f t="shared" si="94"/>
        <v/>
      </c>
      <c r="CV91" s="811" t="str">
        <f t="shared" si="94"/>
        <v/>
      </c>
      <c r="CW91" s="811" t="str">
        <f t="shared" si="94"/>
        <v/>
      </c>
      <c r="CX91" s="811" t="str">
        <f t="shared" si="94"/>
        <v/>
      </c>
      <c r="CY91" s="811" t="str">
        <f t="shared" si="94"/>
        <v/>
      </c>
      <c r="CZ91" s="811" t="str">
        <f t="shared" si="94"/>
        <v/>
      </c>
      <c r="DA91" s="811" t="str">
        <f t="shared" si="94"/>
        <v/>
      </c>
      <c r="DB91" s="811" t="str">
        <f t="shared" si="94"/>
        <v/>
      </c>
      <c r="DC91" s="811" t="str">
        <f t="shared" si="94"/>
        <v/>
      </c>
      <c r="DD91" s="811" t="str">
        <f t="shared" si="94"/>
        <v/>
      </c>
      <c r="DE91" s="811" t="str">
        <f t="shared" si="95"/>
        <v/>
      </c>
      <c r="DF91" s="811" t="str">
        <f t="shared" si="95"/>
        <v/>
      </c>
      <c r="DG91" s="811" t="str">
        <f t="shared" si="95"/>
        <v/>
      </c>
      <c r="DH91" s="811" t="str">
        <f t="shared" si="95"/>
        <v/>
      </c>
      <c r="DI91" s="811" t="str">
        <f t="shared" si="95"/>
        <v/>
      </c>
      <c r="DJ91" s="811" t="str">
        <f t="shared" si="95"/>
        <v/>
      </c>
      <c r="DK91" s="811" t="str">
        <f t="shared" si="95"/>
        <v/>
      </c>
    </row>
    <row r="92" spans="2:120" ht="20.100000000000001" customHeight="1" x14ac:dyDescent="0.2">
      <c r="B92" s="806"/>
      <c r="C92" s="806"/>
      <c r="D92" s="806"/>
      <c r="E92" s="806"/>
      <c r="F92" s="806"/>
      <c r="G92" s="806"/>
      <c r="H92" s="806"/>
      <c r="L92" s="810" t="str">
        <f t="shared" si="90"/>
        <v/>
      </c>
      <c r="N92" s="811" t="str">
        <f t="shared" si="96"/>
        <v/>
      </c>
      <c r="O92" s="811" t="str">
        <f t="shared" si="96"/>
        <v/>
      </c>
      <c r="P92" s="811" t="str">
        <f t="shared" si="96"/>
        <v/>
      </c>
      <c r="Q92" s="811" t="str">
        <f t="shared" si="96"/>
        <v/>
      </c>
      <c r="R92" s="811" t="str">
        <f t="shared" si="96"/>
        <v/>
      </c>
      <c r="S92" s="811" t="str">
        <f t="shared" si="96"/>
        <v/>
      </c>
      <c r="T92" s="811" t="str">
        <f t="shared" si="96"/>
        <v/>
      </c>
      <c r="U92" s="811" t="str">
        <f t="shared" si="96"/>
        <v/>
      </c>
      <c r="V92" s="811" t="str">
        <f t="shared" si="96"/>
        <v/>
      </c>
      <c r="W92" s="811" t="str">
        <f t="shared" si="96"/>
        <v/>
      </c>
      <c r="X92" s="811" t="str">
        <f t="shared" si="97"/>
        <v/>
      </c>
      <c r="Y92" s="811" t="str">
        <f t="shared" si="97"/>
        <v/>
      </c>
      <c r="Z92" s="811" t="str">
        <f t="shared" si="97"/>
        <v/>
      </c>
      <c r="AA92" s="811" t="str">
        <f t="shared" si="97"/>
        <v/>
      </c>
      <c r="AB92" s="811" t="str">
        <f t="shared" si="97"/>
        <v/>
      </c>
      <c r="AC92" s="811" t="str">
        <f t="shared" si="97"/>
        <v/>
      </c>
      <c r="AD92" s="811" t="str">
        <f t="shared" si="97"/>
        <v/>
      </c>
      <c r="AE92" s="811" t="str">
        <f t="shared" si="97"/>
        <v/>
      </c>
      <c r="AF92" s="811" t="str">
        <f t="shared" si="97"/>
        <v/>
      </c>
      <c r="AG92" s="811" t="str">
        <f t="shared" si="97"/>
        <v/>
      </c>
      <c r="AH92" s="811" t="str">
        <f t="shared" si="98"/>
        <v/>
      </c>
      <c r="AI92" s="811" t="str">
        <f t="shared" si="98"/>
        <v/>
      </c>
      <c r="AJ92" s="811" t="str">
        <f t="shared" si="98"/>
        <v/>
      </c>
      <c r="AK92" s="811" t="str">
        <f t="shared" si="98"/>
        <v/>
      </c>
      <c r="AL92" s="811" t="str">
        <f t="shared" si="98"/>
        <v/>
      </c>
      <c r="AM92" s="811" t="str">
        <f t="shared" si="98"/>
        <v/>
      </c>
      <c r="AN92" s="811" t="str">
        <f t="shared" si="98"/>
        <v/>
      </c>
      <c r="AO92" s="811" t="str">
        <f t="shared" si="98"/>
        <v/>
      </c>
      <c r="AP92" s="811" t="str">
        <f t="shared" si="98"/>
        <v/>
      </c>
      <c r="AQ92" s="811" t="str">
        <f t="shared" si="98"/>
        <v/>
      </c>
      <c r="AR92" s="811" t="str">
        <f t="shared" si="99"/>
        <v/>
      </c>
      <c r="AS92" s="811" t="str">
        <f t="shared" si="99"/>
        <v/>
      </c>
      <c r="AT92" s="811" t="str">
        <f t="shared" si="99"/>
        <v/>
      </c>
      <c r="AU92" s="811" t="str">
        <f t="shared" si="99"/>
        <v/>
      </c>
      <c r="AV92" s="811" t="str">
        <f t="shared" si="99"/>
        <v/>
      </c>
      <c r="AW92" s="811" t="str">
        <f t="shared" si="99"/>
        <v/>
      </c>
      <c r="AX92" s="811" t="str">
        <f t="shared" si="99"/>
        <v/>
      </c>
      <c r="AY92" s="811" t="str">
        <f t="shared" si="99"/>
        <v/>
      </c>
      <c r="AZ92" s="811" t="str">
        <f t="shared" si="99"/>
        <v/>
      </c>
      <c r="BA92" s="811" t="str">
        <f t="shared" si="99"/>
        <v/>
      </c>
      <c r="BB92" s="811" t="str">
        <f t="shared" si="100"/>
        <v/>
      </c>
      <c r="BC92" s="811" t="str">
        <f t="shared" si="100"/>
        <v/>
      </c>
      <c r="BD92" s="811" t="str">
        <f t="shared" si="100"/>
        <v/>
      </c>
      <c r="BE92" s="811" t="str">
        <f t="shared" si="100"/>
        <v/>
      </c>
      <c r="BF92" s="811" t="str">
        <f t="shared" si="100"/>
        <v/>
      </c>
      <c r="BG92" s="811" t="str">
        <f t="shared" si="100"/>
        <v/>
      </c>
      <c r="BH92" s="811" t="str">
        <f t="shared" si="100"/>
        <v/>
      </c>
      <c r="BI92" s="811" t="str">
        <f t="shared" si="100"/>
        <v/>
      </c>
      <c r="BJ92" s="811" t="str">
        <f t="shared" si="100"/>
        <v/>
      </c>
      <c r="BK92" s="811" t="str">
        <f t="shared" si="100"/>
        <v/>
      </c>
      <c r="BL92" s="811" t="str">
        <f t="shared" si="100"/>
        <v/>
      </c>
      <c r="BM92" s="811" t="str">
        <f t="shared" si="100"/>
        <v/>
      </c>
      <c r="BN92" s="811" t="str">
        <f t="shared" si="100"/>
        <v/>
      </c>
      <c r="BO92" s="811" t="str">
        <f t="shared" si="100"/>
        <v/>
      </c>
      <c r="BP92" s="811" t="str">
        <f t="shared" si="100"/>
        <v/>
      </c>
      <c r="BQ92" s="811" t="str">
        <f t="shared" si="91"/>
        <v/>
      </c>
      <c r="BR92" s="811" t="str">
        <f t="shared" si="91"/>
        <v/>
      </c>
      <c r="BS92" s="811" t="str">
        <f t="shared" si="91"/>
        <v/>
      </c>
      <c r="BT92" s="811" t="str">
        <f t="shared" si="91"/>
        <v/>
      </c>
      <c r="BU92" s="811" t="str">
        <f t="shared" si="91"/>
        <v/>
      </c>
      <c r="BV92" s="811" t="str">
        <f t="shared" si="91"/>
        <v/>
      </c>
      <c r="BW92" s="811" t="str">
        <f t="shared" si="91"/>
        <v/>
      </c>
      <c r="BX92" s="811" t="str">
        <f t="shared" si="91"/>
        <v/>
      </c>
      <c r="BY92" s="811" t="str">
        <f t="shared" si="91"/>
        <v/>
      </c>
      <c r="BZ92" s="811" t="str">
        <f t="shared" si="91"/>
        <v/>
      </c>
      <c r="CA92" s="811" t="str">
        <f t="shared" si="92"/>
        <v/>
      </c>
      <c r="CB92" s="811" t="str">
        <f t="shared" si="92"/>
        <v/>
      </c>
      <c r="CC92" s="811" t="str">
        <f t="shared" si="92"/>
        <v/>
      </c>
      <c r="CD92" s="811" t="str">
        <f t="shared" si="92"/>
        <v/>
      </c>
      <c r="CE92" s="811" t="str">
        <f t="shared" si="92"/>
        <v/>
      </c>
      <c r="CF92" s="811" t="str">
        <f t="shared" si="92"/>
        <v/>
      </c>
      <c r="CG92" s="811" t="str">
        <f t="shared" si="92"/>
        <v/>
      </c>
      <c r="CH92" s="811" t="str">
        <f t="shared" si="92"/>
        <v/>
      </c>
      <c r="CI92" s="811" t="str">
        <f t="shared" si="92"/>
        <v/>
      </c>
      <c r="CJ92" s="811" t="str">
        <f t="shared" si="92"/>
        <v/>
      </c>
      <c r="CK92" s="811" t="str">
        <f t="shared" si="93"/>
        <v/>
      </c>
      <c r="CL92" s="811" t="str">
        <f t="shared" si="93"/>
        <v/>
      </c>
      <c r="CM92" s="811" t="str">
        <f t="shared" si="93"/>
        <v/>
      </c>
      <c r="CN92" s="811" t="str">
        <f t="shared" si="93"/>
        <v/>
      </c>
      <c r="CO92" s="811" t="str">
        <f t="shared" si="93"/>
        <v/>
      </c>
      <c r="CP92" s="811" t="str">
        <f t="shared" si="93"/>
        <v/>
      </c>
      <c r="CQ92" s="811" t="str">
        <f t="shared" si="93"/>
        <v/>
      </c>
      <c r="CR92" s="811" t="str">
        <f t="shared" si="93"/>
        <v/>
      </c>
      <c r="CS92" s="811" t="str">
        <f t="shared" si="93"/>
        <v/>
      </c>
      <c r="CT92" s="811" t="str">
        <f t="shared" si="93"/>
        <v/>
      </c>
      <c r="CU92" s="811" t="str">
        <f t="shared" si="94"/>
        <v/>
      </c>
      <c r="CV92" s="811" t="str">
        <f t="shared" si="94"/>
        <v/>
      </c>
      <c r="CW92" s="811" t="str">
        <f t="shared" si="94"/>
        <v/>
      </c>
      <c r="CX92" s="811" t="str">
        <f t="shared" si="94"/>
        <v/>
      </c>
      <c r="CY92" s="811" t="str">
        <f t="shared" si="94"/>
        <v/>
      </c>
      <c r="CZ92" s="811" t="str">
        <f t="shared" si="94"/>
        <v/>
      </c>
      <c r="DA92" s="811" t="str">
        <f t="shared" si="94"/>
        <v/>
      </c>
      <c r="DB92" s="811" t="str">
        <f t="shared" si="94"/>
        <v/>
      </c>
      <c r="DC92" s="811" t="str">
        <f t="shared" si="94"/>
        <v/>
      </c>
      <c r="DD92" s="811" t="str">
        <f t="shared" si="94"/>
        <v/>
      </c>
      <c r="DE92" s="811" t="str">
        <f t="shared" si="95"/>
        <v/>
      </c>
      <c r="DF92" s="811" t="str">
        <f t="shared" si="95"/>
        <v/>
      </c>
      <c r="DG92" s="811" t="str">
        <f t="shared" si="95"/>
        <v/>
      </c>
      <c r="DH92" s="811" t="str">
        <f t="shared" si="95"/>
        <v/>
      </c>
      <c r="DI92" s="811" t="str">
        <f t="shared" si="95"/>
        <v/>
      </c>
      <c r="DJ92" s="811" t="str">
        <f t="shared" si="95"/>
        <v/>
      </c>
      <c r="DK92" s="811" t="str">
        <f t="shared" si="95"/>
        <v/>
      </c>
    </row>
    <row r="93" spans="2:120" ht="20.100000000000001" customHeight="1" x14ac:dyDescent="0.2">
      <c r="B93" s="806"/>
      <c r="C93" s="806"/>
      <c r="D93" s="806"/>
      <c r="E93" s="806"/>
      <c r="F93" s="806"/>
      <c r="G93" s="806"/>
      <c r="H93" s="806"/>
      <c r="L93" s="810" t="str">
        <f t="shared" si="90"/>
        <v/>
      </c>
      <c r="N93" s="811" t="str">
        <f t="shared" si="96"/>
        <v/>
      </c>
      <c r="O93" s="811" t="str">
        <f t="shared" si="96"/>
        <v/>
      </c>
      <c r="P93" s="811" t="str">
        <f t="shared" si="96"/>
        <v/>
      </c>
      <c r="Q93" s="811" t="str">
        <f t="shared" si="96"/>
        <v/>
      </c>
      <c r="R93" s="811" t="str">
        <f t="shared" si="96"/>
        <v/>
      </c>
      <c r="S93" s="811" t="str">
        <f t="shared" si="96"/>
        <v/>
      </c>
      <c r="T93" s="811" t="str">
        <f t="shared" si="96"/>
        <v/>
      </c>
      <c r="U93" s="811" t="str">
        <f t="shared" si="96"/>
        <v/>
      </c>
      <c r="V93" s="811" t="str">
        <f t="shared" si="96"/>
        <v/>
      </c>
      <c r="W93" s="811" t="str">
        <f t="shared" si="96"/>
        <v/>
      </c>
      <c r="X93" s="811" t="str">
        <f t="shared" si="97"/>
        <v/>
      </c>
      <c r="Y93" s="811" t="str">
        <f t="shared" si="97"/>
        <v/>
      </c>
      <c r="Z93" s="811" t="str">
        <f t="shared" si="97"/>
        <v/>
      </c>
      <c r="AA93" s="811" t="str">
        <f t="shared" si="97"/>
        <v/>
      </c>
      <c r="AB93" s="811" t="str">
        <f t="shared" si="97"/>
        <v/>
      </c>
      <c r="AC93" s="811" t="str">
        <f t="shared" si="97"/>
        <v/>
      </c>
      <c r="AD93" s="811" t="str">
        <f t="shared" si="97"/>
        <v/>
      </c>
      <c r="AE93" s="811" t="str">
        <f t="shared" si="97"/>
        <v/>
      </c>
      <c r="AF93" s="811" t="str">
        <f t="shared" si="97"/>
        <v/>
      </c>
      <c r="AG93" s="811" t="str">
        <f t="shared" si="97"/>
        <v/>
      </c>
      <c r="AH93" s="811" t="str">
        <f t="shared" si="98"/>
        <v/>
      </c>
      <c r="AI93" s="811" t="str">
        <f t="shared" si="98"/>
        <v/>
      </c>
      <c r="AJ93" s="811" t="str">
        <f t="shared" si="98"/>
        <v/>
      </c>
      <c r="AK93" s="811" t="str">
        <f t="shared" si="98"/>
        <v/>
      </c>
      <c r="AL93" s="811" t="str">
        <f t="shared" si="98"/>
        <v/>
      </c>
      <c r="AM93" s="811" t="str">
        <f t="shared" si="98"/>
        <v/>
      </c>
      <c r="AN93" s="811" t="str">
        <f t="shared" si="98"/>
        <v/>
      </c>
      <c r="AO93" s="811" t="str">
        <f t="shared" si="98"/>
        <v/>
      </c>
      <c r="AP93" s="811" t="str">
        <f t="shared" si="98"/>
        <v/>
      </c>
      <c r="AQ93" s="811" t="str">
        <f t="shared" si="98"/>
        <v/>
      </c>
      <c r="AR93" s="811" t="str">
        <f t="shared" si="99"/>
        <v/>
      </c>
      <c r="AS93" s="811" t="str">
        <f t="shared" si="99"/>
        <v/>
      </c>
      <c r="AT93" s="811" t="str">
        <f t="shared" si="99"/>
        <v/>
      </c>
      <c r="AU93" s="811" t="str">
        <f t="shared" si="99"/>
        <v/>
      </c>
      <c r="AV93" s="811" t="str">
        <f t="shared" si="99"/>
        <v/>
      </c>
      <c r="AW93" s="811" t="str">
        <f t="shared" si="99"/>
        <v/>
      </c>
      <c r="AX93" s="811" t="str">
        <f t="shared" si="99"/>
        <v/>
      </c>
      <c r="AY93" s="811" t="str">
        <f t="shared" si="99"/>
        <v/>
      </c>
      <c r="AZ93" s="811" t="str">
        <f t="shared" si="99"/>
        <v/>
      </c>
      <c r="BA93" s="811" t="str">
        <f t="shared" si="99"/>
        <v/>
      </c>
      <c r="BB93" s="811" t="str">
        <f t="shared" si="100"/>
        <v/>
      </c>
      <c r="BC93" s="811" t="str">
        <f t="shared" si="100"/>
        <v/>
      </c>
      <c r="BD93" s="811" t="str">
        <f t="shared" si="100"/>
        <v/>
      </c>
      <c r="BE93" s="811" t="str">
        <f t="shared" si="100"/>
        <v/>
      </c>
      <c r="BF93" s="811" t="str">
        <f t="shared" si="100"/>
        <v/>
      </c>
      <c r="BG93" s="811" t="str">
        <f t="shared" si="100"/>
        <v/>
      </c>
      <c r="BH93" s="811" t="str">
        <f t="shared" si="100"/>
        <v/>
      </c>
      <c r="BI93" s="811" t="str">
        <f t="shared" si="100"/>
        <v/>
      </c>
      <c r="BJ93" s="811" t="str">
        <f t="shared" si="100"/>
        <v/>
      </c>
      <c r="BK93" s="811" t="str">
        <f t="shared" si="100"/>
        <v/>
      </c>
      <c r="BL93" s="811" t="str">
        <f t="shared" si="100"/>
        <v/>
      </c>
      <c r="BM93" s="811" t="str">
        <f t="shared" si="100"/>
        <v/>
      </c>
      <c r="BN93" s="811" t="str">
        <f t="shared" si="100"/>
        <v/>
      </c>
      <c r="BO93" s="811" t="str">
        <f t="shared" si="100"/>
        <v/>
      </c>
      <c r="BP93" s="811" t="str">
        <f t="shared" si="100"/>
        <v/>
      </c>
      <c r="BQ93" s="811" t="str">
        <f t="shared" si="91"/>
        <v/>
      </c>
      <c r="BR93" s="811" t="str">
        <f t="shared" si="91"/>
        <v/>
      </c>
      <c r="BS93" s="811" t="str">
        <f t="shared" si="91"/>
        <v/>
      </c>
      <c r="BT93" s="811" t="str">
        <f t="shared" si="91"/>
        <v/>
      </c>
      <c r="BU93" s="811" t="str">
        <f t="shared" si="91"/>
        <v/>
      </c>
      <c r="BV93" s="811" t="str">
        <f t="shared" si="91"/>
        <v/>
      </c>
      <c r="BW93" s="811" t="str">
        <f t="shared" si="91"/>
        <v/>
      </c>
      <c r="BX93" s="811" t="str">
        <f t="shared" si="91"/>
        <v/>
      </c>
      <c r="BY93" s="811" t="str">
        <f t="shared" si="91"/>
        <v/>
      </c>
      <c r="BZ93" s="811" t="str">
        <f t="shared" si="91"/>
        <v/>
      </c>
      <c r="CA93" s="811" t="str">
        <f t="shared" si="92"/>
        <v/>
      </c>
      <c r="CB93" s="811" t="str">
        <f t="shared" si="92"/>
        <v/>
      </c>
      <c r="CC93" s="811" t="str">
        <f t="shared" si="92"/>
        <v/>
      </c>
      <c r="CD93" s="811" t="str">
        <f t="shared" si="92"/>
        <v/>
      </c>
      <c r="CE93" s="811" t="str">
        <f t="shared" si="92"/>
        <v/>
      </c>
      <c r="CF93" s="811" t="str">
        <f t="shared" si="92"/>
        <v/>
      </c>
      <c r="CG93" s="811" t="str">
        <f t="shared" si="92"/>
        <v/>
      </c>
      <c r="CH93" s="811" t="str">
        <f t="shared" si="92"/>
        <v/>
      </c>
      <c r="CI93" s="811" t="str">
        <f t="shared" si="92"/>
        <v/>
      </c>
      <c r="CJ93" s="811" t="str">
        <f t="shared" si="92"/>
        <v/>
      </c>
      <c r="CK93" s="811" t="str">
        <f t="shared" si="93"/>
        <v/>
      </c>
      <c r="CL93" s="811" t="str">
        <f t="shared" si="93"/>
        <v/>
      </c>
      <c r="CM93" s="811" t="str">
        <f t="shared" si="93"/>
        <v/>
      </c>
      <c r="CN93" s="811" t="str">
        <f t="shared" si="93"/>
        <v/>
      </c>
      <c r="CO93" s="811" t="str">
        <f t="shared" si="93"/>
        <v/>
      </c>
      <c r="CP93" s="811" t="str">
        <f t="shared" si="93"/>
        <v/>
      </c>
      <c r="CQ93" s="811" t="str">
        <f t="shared" si="93"/>
        <v/>
      </c>
      <c r="CR93" s="811" t="str">
        <f t="shared" si="93"/>
        <v/>
      </c>
      <c r="CS93" s="811" t="str">
        <f t="shared" si="93"/>
        <v/>
      </c>
      <c r="CT93" s="811" t="str">
        <f t="shared" si="93"/>
        <v/>
      </c>
      <c r="CU93" s="811" t="str">
        <f t="shared" si="94"/>
        <v/>
      </c>
      <c r="CV93" s="811" t="str">
        <f t="shared" si="94"/>
        <v/>
      </c>
      <c r="CW93" s="811" t="str">
        <f t="shared" si="94"/>
        <v/>
      </c>
      <c r="CX93" s="811" t="str">
        <f t="shared" si="94"/>
        <v/>
      </c>
      <c r="CY93" s="811" t="str">
        <f t="shared" si="94"/>
        <v/>
      </c>
      <c r="CZ93" s="811" t="str">
        <f t="shared" si="94"/>
        <v/>
      </c>
      <c r="DA93" s="811" t="str">
        <f t="shared" si="94"/>
        <v/>
      </c>
      <c r="DB93" s="811" t="str">
        <f t="shared" si="94"/>
        <v/>
      </c>
      <c r="DC93" s="811" t="str">
        <f t="shared" si="94"/>
        <v/>
      </c>
      <c r="DD93" s="811" t="str">
        <f t="shared" si="94"/>
        <v/>
      </c>
      <c r="DE93" s="811" t="str">
        <f t="shared" si="95"/>
        <v/>
      </c>
      <c r="DF93" s="811" t="str">
        <f t="shared" si="95"/>
        <v/>
      </c>
      <c r="DG93" s="811" t="str">
        <f t="shared" si="95"/>
        <v/>
      </c>
      <c r="DH93" s="811" t="str">
        <f t="shared" si="95"/>
        <v/>
      </c>
      <c r="DI93" s="811" t="str">
        <f t="shared" si="95"/>
        <v/>
      </c>
      <c r="DJ93" s="811" t="str">
        <f t="shared" si="95"/>
        <v/>
      </c>
      <c r="DK93" s="811" t="str">
        <f t="shared" si="95"/>
        <v/>
      </c>
    </row>
    <row r="94" spans="2:120" ht="20.100000000000001" customHeight="1" x14ac:dyDescent="0.2">
      <c r="B94" s="806"/>
      <c r="C94" s="806"/>
      <c r="D94" s="806"/>
      <c r="E94" s="806"/>
      <c r="F94" s="806"/>
      <c r="G94" s="806"/>
      <c r="H94" s="806"/>
      <c r="L94" s="810" t="str">
        <f t="shared" si="90"/>
        <v/>
      </c>
      <c r="N94" s="811" t="str">
        <f t="shared" si="96"/>
        <v/>
      </c>
      <c r="O94" s="811" t="str">
        <f t="shared" si="96"/>
        <v/>
      </c>
      <c r="P94" s="811" t="str">
        <f t="shared" si="96"/>
        <v/>
      </c>
      <c r="Q94" s="811" t="str">
        <f t="shared" si="96"/>
        <v/>
      </c>
      <c r="R94" s="811" t="str">
        <f t="shared" si="96"/>
        <v/>
      </c>
      <c r="S94" s="811" t="str">
        <f t="shared" si="96"/>
        <v/>
      </c>
      <c r="T94" s="811" t="str">
        <f t="shared" si="96"/>
        <v/>
      </c>
      <c r="U94" s="811" t="str">
        <f t="shared" si="96"/>
        <v/>
      </c>
      <c r="V94" s="811" t="str">
        <f t="shared" si="96"/>
        <v/>
      </c>
      <c r="W94" s="811" t="str">
        <f t="shared" si="96"/>
        <v/>
      </c>
      <c r="X94" s="811" t="str">
        <f t="shared" si="97"/>
        <v/>
      </c>
      <c r="Y94" s="811" t="str">
        <f t="shared" si="97"/>
        <v/>
      </c>
      <c r="Z94" s="811" t="str">
        <f t="shared" si="97"/>
        <v/>
      </c>
      <c r="AA94" s="811" t="str">
        <f t="shared" si="97"/>
        <v/>
      </c>
      <c r="AB94" s="811" t="str">
        <f t="shared" si="97"/>
        <v/>
      </c>
      <c r="AC94" s="811" t="str">
        <f t="shared" si="97"/>
        <v/>
      </c>
      <c r="AD94" s="811" t="str">
        <f t="shared" si="97"/>
        <v/>
      </c>
      <c r="AE94" s="811" t="str">
        <f t="shared" si="97"/>
        <v/>
      </c>
      <c r="AF94" s="811" t="str">
        <f t="shared" si="97"/>
        <v/>
      </c>
      <c r="AG94" s="811" t="str">
        <f t="shared" si="97"/>
        <v/>
      </c>
      <c r="AH94" s="811" t="str">
        <f t="shared" si="98"/>
        <v/>
      </c>
      <c r="AI94" s="811" t="str">
        <f t="shared" si="98"/>
        <v/>
      </c>
      <c r="AJ94" s="811" t="str">
        <f t="shared" si="98"/>
        <v/>
      </c>
      <c r="AK94" s="811" t="str">
        <f t="shared" si="98"/>
        <v/>
      </c>
      <c r="AL94" s="811" t="str">
        <f t="shared" si="98"/>
        <v/>
      </c>
      <c r="AM94" s="811" t="str">
        <f t="shared" si="98"/>
        <v/>
      </c>
      <c r="AN94" s="811" t="str">
        <f t="shared" si="98"/>
        <v/>
      </c>
      <c r="AO94" s="811" t="str">
        <f t="shared" si="98"/>
        <v/>
      </c>
      <c r="AP94" s="811" t="str">
        <f t="shared" si="98"/>
        <v/>
      </c>
      <c r="AQ94" s="811" t="str">
        <f t="shared" si="98"/>
        <v/>
      </c>
      <c r="AR94" s="811" t="str">
        <f t="shared" si="99"/>
        <v/>
      </c>
      <c r="AS94" s="811" t="str">
        <f t="shared" si="99"/>
        <v/>
      </c>
      <c r="AT94" s="811" t="str">
        <f t="shared" si="99"/>
        <v/>
      </c>
      <c r="AU94" s="811" t="str">
        <f t="shared" si="99"/>
        <v/>
      </c>
      <c r="AV94" s="811" t="str">
        <f t="shared" si="99"/>
        <v/>
      </c>
      <c r="AW94" s="811" t="str">
        <f t="shared" si="99"/>
        <v/>
      </c>
      <c r="AX94" s="811" t="str">
        <f t="shared" si="99"/>
        <v/>
      </c>
      <c r="AY94" s="811" t="str">
        <f t="shared" si="99"/>
        <v/>
      </c>
      <c r="AZ94" s="811" t="str">
        <f t="shared" si="99"/>
        <v/>
      </c>
      <c r="BA94" s="811" t="str">
        <f t="shared" si="99"/>
        <v/>
      </c>
      <c r="BB94" s="811" t="str">
        <f t="shared" si="100"/>
        <v/>
      </c>
      <c r="BC94" s="811" t="str">
        <f t="shared" si="100"/>
        <v/>
      </c>
      <c r="BD94" s="811" t="str">
        <f t="shared" si="100"/>
        <v/>
      </c>
      <c r="BE94" s="811" t="str">
        <f t="shared" si="100"/>
        <v/>
      </c>
      <c r="BF94" s="811" t="str">
        <f t="shared" si="100"/>
        <v/>
      </c>
      <c r="BG94" s="811" t="str">
        <f t="shared" si="100"/>
        <v/>
      </c>
      <c r="BH94" s="811" t="str">
        <f t="shared" si="100"/>
        <v/>
      </c>
      <c r="BI94" s="811" t="str">
        <f t="shared" si="100"/>
        <v/>
      </c>
      <c r="BJ94" s="811" t="str">
        <f t="shared" si="100"/>
        <v/>
      </c>
      <c r="BK94" s="811" t="str">
        <f t="shared" si="100"/>
        <v/>
      </c>
      <c r="BL94" s="811" t="str">
        <f t="shared" si="100"/>
        <v/>
      </c>
      <c r="BM94" s="811" t="str">
        <f t="shared" si="100"/>
        <v/>
      </c>
      <c r="BN94" s="811" t="str">
        <f t="shared" si="100"/>
        <v/>
      </c>
      <c r="BO94" s="811" t="str">
        <f t="shared" si="100"/>
        <v/>
      </c>
      <c r="BP94" s="811" t="str">
        <f t="shared" si="100"/>
        <v/>
      </c>
      <c r="BQ94" s="811" t="str">
        <f t="shared" si="91"/>
        <v/>
      </c>
      <c r="BR94" s="811" t="str">
        <f t="shared" si="91"/>
        <v/>
      </c>
      <c r="BS94" s="811" t="str">
        <f t="shared" si="91"/>
        <v/>
      </c>
      <c r="BT94" s="811" t="str">
        <f t="shared" si="91"/>
        <v/>
      </c>
      <c r="BU94" s="811" t="str">
        <f t="shared" si="91"/>
        <v/>
      </c>
      <c r="BV94" s="811" t="str">
        <f t="shared" si="91"/>
        <v/>
      </c>
      <c r="BW94" s="811" t="str">
        <f t="shared" si="91"/>
        <v/>
      </c>
      <c r="BX94" s="811" t="str">
        <f t="shared" si="91"/>
        <v/>
      </c>
      <c r="BY94" s="811" t="str">
        <f t="shared" si="91"/>
        <v/>
      </c>
      <c r="BZ94" s="811" t="str">
        <f t="shared" si="91"/>
        <v/>
      </c>
      <c r="CA94" s="811" t="str">
        <f t="shared" si="92"/>
        <v/>
      </c>
      <c r="CB94" s="811" t="str">
        <f t="shared" si="92"/>
        <v/>
      </c>
      <c r="CC94" s="811" t="str">
        <f t="shared" si="92"/>
        <v/>
      </c>
      <c r="CD94" s="811" t="str">
        <f t="shared" si="92"/>
        <v/>
      </c>
      <c r="CE94" s="811" t="str">
        <f t="shared" si="92"/>
        <v/>
      </c>
      <c r="CF94" s="811" t="str">
        <f t="shared" si="92"/>
        <v/>
      </c>
      <c r="CG94" s="811" t="str">
        <f t="shared" si="92"/>
        <v/>
      </c>
      <c r="CH94" s="811" t="str">
        <f t="shared" si="92"/>
        <v/>
      </c>
      <c r="CI94" s="811" t="str">
        <f t="shared" si="92"/>
        <v/>
      </c>
      <c r="CJ94" s="811" t="str">
        <f t="shared" si="92"/>
        <v/>
      </c>
      <c r="CK94" s="811" t="str">
        <f t="shared" si="93"/>
        <v/>
      </c>
      <c r="CL94" s="811" t="str">
        <f t="shared" si="93"/>
        <v/>
      </c>
      <c r="CM94" s="811" t="str">
        <f t="shared" si="93"/>
        <v/>
      </c>
      <c r="CN94" s="811" t="str">
        <f t="shared" si="93"/>
        <v/>
      </c>
      <c r="CO94" s="811" t="str">
        <f t="shared" si="93"/>
        <v/>
      </c>
      <c r="CP94" s="811" t="str">
        <f t="shared" si="93"/>
        <v/>
      </c>
      <c r="CQ94" s="811" t="str">
        <f t="shared" si="93"/>
        <v/>
      </c>
      <c r="CR94" s="811" t="str">
        <f t="shared" si="93"/>
        <v/>
      </c>
      <c r="CS94" s="811" t="str">
        <f t="shared" si="93"/>
        <v/>
      </c>
      <c r="CT94" s="811" t="str">
        <f t="shared" si="93"/>
        <v/>
      </c>
      <c r="CU94" s="811" t="str">
        <f t="shared" si="94"/>
        <v/>
      </c>
      <c r="CV94" s="811" t="str">
        <f t="shared" si="94"/>
        <v/>
      </c>
      <c r="CW94" s="811" t="str">
        <f t="shared" si="94"/>
        <v/>
      </c>
      <c r="CX94" s="811" t="str">
        <f t="shared" si="94"/>
        <v/>
      </c>
      <c r="CY94" s="811" t="str">
        <f t="shared" si="94"/>
        <v/>
      </c>
      <c r="CZ94" s="811" t="str">
        <f t="shared" si="94"/>
        <v/>
      </c>
      <c r="DA94" s="811" t="str">
        <f t="shared" si="94"/>
        <v/>
      </c>
      <c r="DB94" s="811" t="str">
        <f t="shared" si="94"/>
        <v/>
      </c>
      <c r="DC94" s="811" t="str">
        <f t="shared" si="94"/>
        <v/>
      </c>
      <c r="DD94" s="811" t="str">
        <f t="shared" si="94"/>
        <v/>
      </c>
      <c r="DE94" s="811" t="str">
        <f t="shared" si="95"/>
        <v/>
      </c>
      <c r="DF94" s="811" t="str">
        <f t="shared" si="95"/>
        <v/>
      </c>
      <c r="DG94" s="811" t="str">
        <f t="shared" si="95"/>
        <v/>
      </c>
      <c r="DH94" s="811" t="str">
        <f t="shared" si="95"/>
        <v/>
      </c>
      <c r="DI94" s="811" t="str">
        <f t="shared" si="95"/>
        <v/>
      </c>
      <c r="DJ94" s="811" t="str">
        <f t="shared" si="95"/>
        <v/>
      </c>
      <c r="DK94" s="811" t="str">
        <f t="shared" si="95"/>
        <v/>
      </c>
    </row>
    <row r="95" spans="2:120" ht="20.100000000000001" customHeight="1" x14ac:dyDescent="0.2">
      <c r="B95" s="806"/>
      <c r="C95" s="806"/>
      <c r="D95" s="806"/>
      <c r="E95" s="806"/>
      <c r="F95" s="806"/>
      <c r="G95" s="806"/>
      <c r="H95" s="806"/>
      <c r="L95" s="810" t="str">
        <f t="shared" si="90"/>
        <v/>
      </c>
      <c r="N95" s="811" t="str">
        <f t="shared" si="96"/>
        <v/>
      </c>
      <c r="O95" s="811" t="str">
        <f t="shared" si="96"/>
        <v/>
      </c>
      <c r="P95" s="811" t="str">
        <f t="shared" si="96"/>
        <v/>
      </c>
      <c r="Q95" s="811" t="str">
        <f t="shared" si="96"/>
        <v/>
      </c>
      <c r="R95" s="811" t="str">
        <f t="shared" si="96"/>
        <v/>
      </c>
      <c r="S95" s="811" t="str">
        <f t="shared" si="96"/>
        <v/>
      </c>
      <c r="T95" s="811" t="str">
        <f t="shared" si="96"/>
        <v/>
      </c>
      <c r="U95" s="811" t="str">
        <f t="shared" si="96"/>
        <v/>
      </c>
      <c r="V95" s="811" t="str">
        <f t="shared" si="96"/>
        <v/>
      </c>
      <c r="W95" s="811" t="str">
        <f t="shared" si="96"/>
        <v/>
      </c>
      <c r="X95" s="811" t="str">
        <f t="shared" si="97"/>
        <v/>
      </c>
      <c r="Y95" s="811" t="str">
        <f t="shared" si="97"/>
        <v/>
      </c>
      <c r="Z95" s="811" t="str">
        <f t="shared" si="97"/>
        <v/>
      </c>
      <c r="AA95" s="811" t="str">
        <f t="shared" si="97"/>
        <v/>
      </c>
      <c r="AB95" s="811" t="str">
        <f t="shared" si="97"/>
        <v/>
      </c>
      <c r="AC95" s="811" t="str">
        <f t="shared" si="97"/>
        <v/>
      </c>
      <c r="AD95" s="811" t="str">
        <f t="shared" si="97"/>
        <v/>
      </c>
      <c r="AE95" s="811" t="str">
        <f t="shared" si="97"/>
        <v/>
      </c>
      <c r="AF95" s="811" t="str">
        <f t="shared" si="97"/>
        <v/>
      </c>
      <c r="AG95" s="811" t="str">
        <f t="shared" si="97"/>
        <v/>
      </c>
      <c r="AH95" s="811" t="str">
        <f t="shared" si="98"/>
        <v/>
      </c>
      <c r="AI95" s="811" t="str">
        <f t="shared" si="98"/>
        <v/>
      </c>
      <c r="AJ95" s="811" t="str">
        <f t="shared" si="98"/>
        <v/>
      </c>
      <c r="AK95" s="811" t="str">
        <f t="shared" si="98"/>
        <v/>
      </c>
      <c r="AL95" s="811" t="str">
        <f t="shared" si="98"/>
        <v/>
      </c>
      <c r="AM95" s="811" t="str">
        <f t="shared" si="98"/>
        <v/>
      </c>
      <c r="AN95" s="811" t="str">
        <f t="shared" si="98"/>
        <v/>
      </c>
      <c r="AO95" s="811" t="str">
        <f t="shared" si="98"/>
        <v/>
      </c>
      <c r="AP95" s="811" t="str">
        <f t="shared" si="98"/>
        <v/>
      </c>
      <c r="AQ95" s="811" t="str">
        <f t="shared" si="98"/>
        <v/>
      </c>
      <c r="AR95" s="811" t="str">
        <f t="shared" si="99"/>
        <v/>
      </c>
      <c r="AS95" s="811" t="str">
        <f t="shared" si="99"/>
        <v/>
      </c>
      <c r="AT95" s="811" t="str">
        <f t="shared" si="99"/>
        <v/>
      </c>
      <c r="AU95" s="811" t="str">
        <f t="shared" si="99"/>
        <v/>
      </c>
      <c r="AV95" s="811" t="str">
        <f t="shared" si="99"/>
        <v/>
      </c>
      <c r="AW95" s="811" t="str">
        <f t="shared" si="99"/>
        <v/>
      </c>
      <c r="AX95" s="811" t="str">
        <f t="shared" si="99"/>
        <v/>
      </c>
      <c r="AY95" s="811" t="str">
        <f t="shared" si="99"/>
        <v/>
      </c>
      <c r="AZ95" s="811" t="str">
        <f t="shared" si="99"/>
        <v/>
      </c>
      <c r="BA95" s="811" t="str">
        <f t="shared" si="99"/>
        <v/>
      </c>
      <c r="BB95" s="811" t="str">
        <f t="shared" si="100"/>
        <v/>
      </c>
      <c r="BC95" s="811" t="str">
        <f t="shared" si="100"/>
        <v/>
      </c>
      <c r="BD95" s="811" t="str">
        <f t="shared" si="100"/>
        <v/>
      </c>
      <c r="BE95" s="811" t="str">
        <f t="shared" si="100"/>
        <v/>
      </c>
      <c r="BF95" s="811" t="str">
        <f t="shared" si="100"/>
        <v/>
      </c>
      <c r="BG95" s="811" t="str">
        <f t="shared" si="100"/>
        <v/>
      </c>
      <c r="BH95" s="811" t="str">
        <f t="shared" si="100"/>
        <v/>
      </c>
      <c r="BI95" s="811" t="str">
        <f t="shared" si="100"/>
        <v/>
      </c>
      <c r="BJ95" s="811" t="str">
        <f t="shared" si="100"/>
        <v/>
      </c>
      <c r="BK95" s="811" t="str">
        <f t="shared" si="100"/>
        <v/>
      </c>
      <c r="BL95" s="811" t="str">
        <f t="shared" si="100"/>
        <v/>
      </c>
      <c r="BM95" s="811" t="str">
        <f t="shared" si="100"/>
        <v/>
      </c>
      <c r="BN95" s="811" t="str">
        <f t="shared" si="100"/>
        <v/>
      </c>
      <c r="BO95" s="811" t="str">
        <f t="shared" si="100"/>
        <v/>
      </c>
      <c r="BP95" s="811" t="str">
        <f t="shared" si="100"/>
        <v/>
      </c>
      <c r="BQ95" s="811" t="str">
        <f t="shared" si="91"/>
        <v/>
      </c>
      <c r="BR95" s="811" t="str">
        <f t="shared" si="91"/>
        <v/>
      </c>
      <c r="BS95" s="811" t="str">
        <f t="shared" si="91"/>
        <v/>
      </c>
      <c r="BT95" s="811" t="str">
        <f t="shared" si="91"/>
        <v/>
      </c>
      <c r="BU95" s="811" t="str">
        <f t="shared" si="91"/>
        <v/>
      </c>
      <c r="BV95" s="811" t="str">
        <f t="shared" si="91"/>
        <v/>
      </c>
      <c r="BW95" s="811" t="str">
        <f t="shared" si="91"/>
        <v/>
      </c>
      <c r="BX95" s="811" t="str">
        <f t="shared" si="91"/>
        <v/>
      </c>
      <c r="BY95" s="811" t="str">
        <f t="shared" si="91"/>
        <v/>
      </c>
      <c r="BZ95" s="811" t="str">
        <f t="shared" si="91"/>
        <v/>
      </c>
      <c r="CA95" s="811" t="str">
        <f t="shared" si="92"/>
        <v/>
      </c>
      <c r="CB95" s="811" t="str">
        <f t="shared" si="92"/>
        <v/>
      </c>
      <c r="CC95" s="811" t="str">
        <f t="shared" si="92"/>
        <v/>
      </c>
      <c r="CD95" s="811" t="str">
        <f t="shared" si="92"/>
        <v/>
      </c>
      <c r="CE95" s="811" t="str">
        <f t="shared" si="92"/>
        <v/>
      </c>
      <c r="CF95" s="811" t="str">
        <f t="shared" si="92"/>
        <v/>
      </c>
      <c r="CG95" s="811" t="str">
        <f t="shared" si="92"/>
        <v/>
      </c>
      <c r="CH95" s="811" t="str">
        <f t="shared" si="92"/>
        <v/>
      </c>
      <c r="CI95" s="811" t="str">
        <f t="shared" si="92"/>
        <v/>
      </c>
      <c r="CJ95" s="811" t="str">
        <f t="shared" si="92"/>
        <v/>
      </c>
      <c r="CK95" s="811" t="str">
        <f t="shared" si="93"/>
        <v/>
      </c>
      <c r="CL95" s="811" t="str">
        <f t="shared" si="93"/>
        <v/>
      </c>
      <c r="CM95" s="811" t="str">
        <f t="shared" si="93"/>
        <v/>
      </c>
      <c r="CN95" s="811" t="str">
        <f t="shared" si="93"/>
        <v/>
      </c>
      <c r="CO95" s="811" t="str">
        <f t="shared" si="93"/>
        <v/>
      </c>
      <c r="CP95" s="811" t="str">
        <f t="shared" si="93"/>
        <v/>
      </c>
      <c r="CQ95" s="811" t="str">
        <f t="shared" si="93"/>
        <v/>
      </c>
      <c r="CR95" s="811" t="str">
        <f t="shared" si="93"/>
        <v/>
      </c>
      <c r="CS95" s="811" t="str">
        <f t="shared" si="93"/>
        <v/>
      </c>
      <c r="CT95" s="811" t="str">
        <f t="shared" si="93"/>
        <v/>
      </c>
      <c r="CU95" s="811" t="str">
        <f t="shared" si="94"/>
        <v/>
      </c>
      <c r="CV95" s="811" t="str">
        <f t="shared" si="94"/>
        <v/>
      </c>
      <c r="CW95" s="811" t="str">
        <f t="shared" si="94"/>
        <v/>
      </c>
      <c r="CX95" s="811" t="str">
        <f t="shared" si="94"/>
        <v/>
      </c>
      <c r="CY95" s="811" t="str">
        <f t="shared" si="94"/>
        <v/>
      </c>
      <c r="CZ95" s="811" t="str">
        <f t="shared" si="94"/>
        <v/>
      </c>
      <c r="DA95" s="811" t="str">
        <f t="shared" si="94"/>
        <v/>
      </c>
      <c r="DB95" s="811" t="str">
        <f t="shared" si="94"/>
        <v/>
      </c>
      <c r="DC95" s="811" t="str">
        <f t="shared" si="94"/>
        <v/>
      </c>
      <c r="DD95" s="811" t="str">
        <f t="shared" si="94"/>
        <v/>
      </c>
      <c r="DE95" s="811" t="str">
        <f t="shared" si="95"/>
        <v/>
      </c>
      <c r="DF95" s="811" t="str">
        <f t="shared" si="95"/>
        <v/>
      </c>
      <c r="DG95" s="811" t="str">
        <f t="shared" si="95"/>
        <v/>
      </c>
      <c r="DH95" s="811" t="str">
        <f t="shared" si="95"/>
        <v/>
      </c>
      <c r="DI95" s="811" t="str">
        <f t="shared" si="95"/>
        <v/>
      </c>
      <c r="DJ95" s="811" t="str">
        <f t="shared" si="95"/>
        <v/>
      </c>
      <c r="DK95" s="811" t="str">
        <f t="shared" si="95"/>
        <v/>
      </c>
    </row>
    <row r="96" spans="2:120" ht="20.100000000000001" customHeight="1" x14ac:dyDescent="0.2">
      <c r="B96" s="806"/>
      <c r="C96" s="806"/>
      <c r="D96" s="806"/>
      <c r="E96" s="806"/>
      <c r="F96" s="806"/>
      <c r="G96" s="806"/>
      <c r="H96" s="806"/>
      <c r="L96" s="810" t="str">
        <f t="shared" si="90"/>
        <v/>
      </c>
      <c r="N96" s="811" t="str">
        <f t="shared" si="96"/>
        <v/>
      </c>
      <c r="O96" s="811" t="str">
        <f t="shared" si="96"/>
        <v/>
      </c>
      <c r="P96" s="811" t="str">
        <f t="shared" si="96"/>
        <v/>
      </c>
      <c r="Q96" s="811" t="str">
        <f t="shared" si="96"/>
        <v/>
      </c>
      <c r="R96" s="811" t="str">
        <f t="shared" si="96"/>
        <v/>
      </c>
      <c r="S96" s="811" t="str">
        <f t="shared" si="96"/>
        <v/>
      </c>
      <c r="T96" s="811" t="str">
        <f t="shared" si="96"/>
        <v/>
      </c>
      <c r="U96" s="811" t="str">
        <f t="shared" si="96"/>
        <v/>
      </c>
      <c r="V96" s="811" t="str">
        <f t="shared" si="96"/>
        <v/>
      </c>
      <c r="W96" s="811" t="str">
        <f t="shared" si="96"/>
        <v/>
      </c>
      <c r="X96" s="811" t="str">
        <f t="shared" si="97"/>
        <v/>
      </c>
      <c r="Y96" s="811" t="str">
        <f t="shared" si="97"/>
        <v/>
      </c>
      <c r="Z96" s="811" t="str">
        <f t="shared" si="97"/>
        <v/>
      </c>
      <c r="AA96" s="811" t="str">
        <f t="shared" si="97"/>
        <v/>
      </c>
      <c r="AB96" s="811" t="str">
        <f t="shared" si="97"/>
        <v/>
      </c>
      <c r="AC96" s="811" t="str">
        <f t="shared" si="97"/>
        <v/>
      </c>
      <c r="AD96" s="811" t="str">
        <f t="shared" si="97"/>
        <v/>
      </c>
      <c r="AE96" s="811" t="str">
        <f t="shared" si="97"/>
        <v/>
      </c>
      <c r="AF96" s="811" t="str">
        <f t="shared" si="97"/>
        <v/>
      </c>
      <c r="AG96" s="811" t="str">
        <f t="shared" si="97"/>
        <v/>
      </c>
      <c r="AH96" s="811" t="str">
        <f t="shared" si="98"/>
        <v/>
      </c>
      <c r="AI96" s="811" t="str">
        <f t="shared" si="98"/>
        <v/>
      </c>
      <c r="AJ96" s="811" t="str">
        <f t="shared" si="98"/>
        <v/>
      </c>
      <c r="AK96" s="811" t="str">
        <f t="shared" si="98"/>
        <v/>
      </c>
      <c r="AL96" s="811" t="str">
        <f t="shared" si="98"/>
        <v/>
      </c>
      <c r="AM96" s="811" t="str">
        <f t="shared" si="98"/>
        <v/>
      </c>
      <c r="AN96" s="811" t="str">
        <f t="shared" si="98"/>
        <v/>
      </c>
      <c r="AO96" s="811" t="str">
        <f t="shared" si="98"/>
        <v/>
      </c>
      <c r="AP96" s="811" t="str">
        <f t="shared" si="98"/>
        <v/>
      </c>
      <c r="AQ96" s="811" t="str">
        <f t="shared" si="98"/>
        <v/>
      </c>
      <c r="AR96" s="811" t="str">
        <f t="shared" si="99"/>
        <v/>
      </c>
      <c r="AS96" s="811" t="str">
        <f t="shared" si="99"/>
        <v/>
      </c>
      <c r="AT96" s="811" t="str">
        <f t="shared" si="99"/>
        <v/>
      </c>
      <c r="AU96" s="811" t="str">
        <f t="shared" si="99"/>
        <v/>
      </c>
      <c r="AV96" s="811" t="str">
        <f t="shared" si="99"/>
        <v/>
      </c>
      <c r="AW96" s="811" t="str">
        <f t="shared" si="99"/>
        <v/>
      </c>
      <c r="AX96" s="811" t="str">
        <f t="shared" si="99"/>
        <v/>
      </c>
      <c r="AY96" s="811" t="str">
        <f t="shared" si="99"/>
        <v/>
      </c>
      <c r="AZ96" s="811" t="str">
        <f t="shared" si="99"/>
        <v/>
      </c>
      <c r="BA96" s="811" t="str">
        <f t="shared" si="99"/>
        <v/>
      </c>
      <c r="BB96" s="811" t="str">
        <f t="shared" si="100"/>
        <v/>
      </c>
      <c r="BC96" s="811" t="str">
        <f t="shared" si="100"/>
        <v/>
      </c>
      <c r="BD96" s="811" t="str">
        <f t="shared" si="100"/>
        <v/>
      </c>
      <c r="BE96" s="811" t="str">
        <f t="shared" si="100"/>
        <v/>
      </c>
      <c r="BF96" s="811" t="str">
        <f t="shared" si="100"/>
        <v/>
      </c>
      <c r="BG96" s="811" t="str">
        <f t="shared" si="100"/>
        <v/>
      </c>
      <c r="BH96" s="811" t="str">
        <f t="shared" si="100"/>
        <v/>
      </c>
      <c r="BI96" s="811" t="str">
        <f t="shared" si="100"/>
        <v/>
      </c>
      <c r="BJ96" s="811" t="str">
        <f t="shared" si="100"/>
        <v/>
      </c>
      <c r="BK96" s="811" t="str">
        <f t="shared" si="100"/>
        <v/>
      </c>
      <c r="BL96" s="811" t="str">
        <f t="shared" si="100"/>
        <v/>
      </c>
      <c r="BM96" s="811" t="str">
        <f t="shared" si="100"/>
        <v/>
      </c>
      <c r="BN96" s="811" t="str">
        <f t="shared" si="100"/>
        <v/>
      </c>
      <c r="BO96" s="811" t="str">
        <f t="shared" si="100"/>
        <v/>
      </c>
      <c r="BP96" s="811" t="str">
        <f t="shared" si="100"/>
        <v/>
      </c>
      <c r="BQ96" s="811" t="str">
        <f t="shared" si="91"/>
        <v/>
      </c>
      <c r="BR96" s="811" t="str">
        <f t="shared" si="91"/>
        <v/>
      </c>
      <c r="BS96" s="811" t="str">
        <f t="shared" si="91"/>
        <v/>
      </c>
      <c r="BT96" s="811" t="str">
        <f t="shared" si="91"/>
        <v/>
      </c>
      <c r="BU96" s="811" t="str">
        <f t="shared" si="91"/>
        <v/>
      </c>
      <c r="BV96" s="811" t="str">
        <f t="shared" si="91"/>
        <v/>
      </c>
      <c r="BW96" s="811" t="str">
        <f t="shared" si="91"/>
        <v/>
      </c>
      <c r="BX96" s="811" t="str">
        <f t="shared" si="91"/>
        <v/>
      </c>
      <c r="BY96" s="811" t="str">
        <f t="shared" si="91"/>
        <v/>
      </c>
      <c r="BZ96" s="811" t="str">
        <f t="shared" si="91"/>
        <v/>
      </c>
      <c r="CA96" s="811" t="str">
        <f t="shared" si="92"/>
        <v/>
      </c>
      <c r="CB96" s="811" t="str">
        <f t="shared" si="92"/>
        <v/>
      </c>
      <c r="CC96" s="811" t="str">
        <f t="shared" si="92"/>
        <v/>
      </c>
      <c r="CD96" s="811" t="str">
        <f t="shared" si="92"/>
        <v/>
      </c>
      <c r="CE96" s="811" t="str">
        <f t="shared" si="92"/>
        <v/>
      </c>
      <c r="CF96" s="811" t="str">
        <f t="shared" si="92"/>
        <v/>
      </c>
      <c r="CG96" s="811" t="str">
        <f t="shared" si="92"/>
        <v/>
      </c>
      <c r="CH96" s="811" t="str">
        <f t="shared" si="92"/>
        <v/>
      </c>
      <c r="CI96" s="811" t="str">
        <f t="shared" si="92"/>
        <v/>
      </c>
      <c r="CJ96" s="811" t="str">
        <f t="shared" si="92"/>
        <v/>
      </c>
      <c r="CK96" s="811" t="str">
        <f t="shared" si="93"/>
        <v/>
      </c>
      <c r="CL96" s="811" t="str">
        <f t="shared" si="93"/>
        <v/>
      </c>
      <c r="CM96" s="811" t="str">
        <f t="shared" si="93"/>
        <v/>
      </c>
      <c r="CN96" s="811" t="str">
        <f t="shared" si="93"/>
        <v/>
      </c>
      <c r="CO96" s="811" t="str">
        <f t="shared" si="93"/>
        <v/>
      </c>
      <c r="CP96" s="811" t="str">
        <f t="shared" si="93"/>
        <v/>
      </c>
      <c r="CQ96" s="811" t="str">
        <f t="shared" si="93"/>
        <v/>
      </c>
      <c r="CR96" s="811" t="str">
        <f t="shared" si="93"/>
        <v/>
      </c>
      <c r="CS96" s="811" t="str">
        <f t="shared" si="93"/>
        <v/>
      </c>
      <c r="CT96" s="811" t="str">
        <f t="shared" si="93"/>
        <v/>
      </c>
      <c r="CU96" s="811" t="str">
        <f t="shared" si="94"/>
        <v/>
      </c>
      <c r="CV96" s="811" t="str">
        <f t="shared" si="94"/>
        <v/>
      </c>
      <c r="CW96" s="811" t="str">
        <f t="shared" si="94"/>
        <v/>
      </c>
      <c r="CX96" s="811" t="str">
        <f t="shared" si="94"/>
        <v/>
      </c>
      <c r="CY96" s="811" t="str">
        <f t="shared" si="94"/>
        <v/>
      </c>
      <c r="CZ96" s="811" t="str">
        <f t="shared" si="94"/>
        <v/>
      </c>
      <c r="DA96" s="811" t="str">
        <f t="shared" si="94"/>
        <v/>
      </c>
      <c r="DB96" s="811" t="str">
        <f t="shared" si="94"/>
        <v/>
      </c>
      <c r="DC96" s="811" t="str">
        <f t="shared" si="94"/>
        <v/>
      </c>
      <c r="DD96" s="811" t="str">
        <f t="shared" si="94"/>
        <v/>
      </c>
      <c r="DE96" s="811" t="str">
        <f t="shared" si="95"/>
        <v/>
      </c>
      <c r="DF96" s="811" t="str">
        <f t="shared" si="95"/>
        <v/>
      </c>
      <c r="DG96" s="811" t="str">
        <f t="shared" si="95"/>
        <v/>
      </c>
      <c r="DH96" s="811" t="str">
        <f t="shared" si="95"/>
        <v/>
      </c>
      <c r="DI96" s="811" t="str">
        <f t="shared" si="95"/>
        <v/>
      </c>
      <c r="DJ96" s="811" t="str">
        <f t="shared" si="95"/>
        <v/>
      </c>
      <c r="DK96" s="811" t="str">
        <f t="shared" si="95"/>
        <v/>
      </c>
    </row>
    <row r="97" spans="2:115" ht="20.100000000000001" customHeight="1" x14ac:dyDescent="0.2">
      <c r="B97" s="806"/>
      <c r="C97" s="806"/>
      <c r="D97" s="806"/>
      <c r="E97" s="806"/>
      <c r="F97" s="806"/>
      <c r="G97" s="806"/>
      <c r="H97" s="806"/>
      <c r="L97" s="810" t="str">
        <f t="shared" si="90"/>
        <v/>
      </c>
      <c r="N97" s="811" t="str">
        <f t="shared" si="96"/>
        <v/>
      </c>
      <c r="O97" s="811" t="str">
        <f t="shared" si="96"/>
        <v/>
      </c>
      <c r="P97" s="811" t="str">
        <f t="shared" si="96"/>
        <v/>
      </c>
      <c r="Q97" s="811" t="str">
        <f t="shared" si="96"/>
        <v/>
      </c>
      <c r="R97" s="811" t="str">
        <f t="shared" si="96"/>
        <v/>
      </c>
      <c r="S97" s="811" t="str">
        <f t="shared" si="96"/>
        <v/>
      </c>
      <c r="T97" s="811" t="str">
        <f t="shared" si="96"/>
        <v/>
      </c>
      <c r="U97" s="811" t="str">
        <f t="shared" si="96"/>
        <v/>
      </c>
      <c r="V97" s="811" t="str">
        <f t="shared" si="96"/>
        <v/>
      </c>
      <c r="W97" s="811" t="str">
        <f t="shared" si="96"/>
        <v/>
      </c>
      <c r="X97" s="811" t="str">
        <f t="shared" si="97"/>
        <v/>
      </c>
      <c r="Y97" s="811" t="str">
        <f t="shared" si="97"/>
        <v/>
      </c>
      <c r="Z97" s="811" t="str">
        <f t="shared" si="97"/>
        <v/>
      </c>
      <c r="AA97" s="811" t="str">
        <f t="shared" si="97"/>
        <v/>
      </c>
      <c r="AB97" s="811" t="str">
        <f t="shared" si="97"/>
        <v/>
      </c>
      <c r="AC97" s="811" t="str">
        <f t="shared" si="97"/>
        <v/>
      </c>
      <c r="AD97" s="811" t="str">
        <f t="shared" si="97"/>
        <v/>
      </c>
      <c r="AE97" s="811" t="str">
        <f t="shared" si="97"/>
        <v/>
      </c>
      <c r="AF97" s="811" t="str">
        <f t="shared" si="97"/>
        <v/>
      </c>
      <c r="AG97" s="811" t="str">
        <f t="shared" si="97"/>
        <v/>
      </c>
      <c r="AH97" s="811" t="str">
        <f t="shared" si="98"/>
        <v/>
      </c>
      <c r="AI97" s="811" t="str">
        <f t="shared" si="98"/>
        <v/>
      </c>
      <c r="AJ97" s="811" t="str">
        <f t="shared" si="98"/>
        <v/>
      </c>
      <c r="AK97" s="811" t="str">
        <f t="shared" si="98"/>
        <v/>
      </c>
      <c r="AL97" s="811" t="str">
        <f t="shared" si="98"/>
        <v/>
      </c>
      <c r="AM97" s="811" t="str">
        <f t="shared" si="98"/>
        <v/>
      </c>
      <c r="AN97" s="811" t="str">
        <f t="shared" si="98"/>
        <v/>
      </c>
      <c r="AO97" s="811" t="str">
        <f t="shared" si="98"/>
        <v/>
      </c>
      <c r="AP97" s="811" t="str">
        <f t="shared" si="98"/>
        <v/>
      </c>
      <c r="AQ97" s="811" t="str">
        <f t="shared" si="98"/>
        <v/>
      </c>
      <c r="AR97" s="811" t="str">
        <f t="shared" si="99"/>
        <v/>
      </c>
      <c r="AS97" s="811" t="str">
        <f t="shared" si="99"/>
        <v/>
      </c>
      <c r="AT97" s="811" t="str">
        <f t="shared" si="99"/>
        <v/>
      </c>
      <c r="AU97" s="811" t="str">
        <f t="shared" si="99"/>
        <v/>
      </c>
      <c r="AV97" s="811" t="str">
        <f t="shared" si="99"/>
        <v/>
      </c>
      <c r="AW97" s="811" t="str">
        <f t="shared" si="99"/>
        <v/>
      </c>
      <c r="AX97" s="811" t="str">
        <f t="shared" si="99"/>
        <v/>
      </c>
      <c r="AY97" s="811" t="str">
        <f t="shared" si="99"/>
        <v/>
      </c>
      <c r="AZ97" s="811" t="str">
        <f t="shared" si="99"/>
        <v/>
      </c>
      <c r="BA97" s="811" t="str">
        <f t="shared" si="99"/>
        <v/>
      </c>
      <c r="BB97" s="811" t="str">
        <f t="shared" si="100"/>
        <v/>
      </c>
      <c r="BC97" s="811" t="str">
        <f t="shared" si="100"/>
        <v/>
      </c>
      <c r="BD97" s="811" t="str">
        <f t="shared" si="100"/>
        <v/>
      </c>
      <c r="BE97" s="811" t="str">
        <f t="shared" si="100"/>
        <v/>
      </c>
      <c r="BF97" s="811" t="str">
        <f t="shared" si="100"/>
        <v/>
      </c>
      <c r="BG97" s="811" t="str">
        <f t="shared" si="100"/>
        <v/>
      </c>
      <c r="BH97" s="811" t="str">
        <f t="shared" si="100"/>
        <v/>
      </c>
      <c r="BI97" s="811" t="str">
        <f t="shared" si="100"/>
        <v/>
      </c>
      <c r="BJ97" s="811" t="str">
        <f t="shared" si="100"/>
        <v/>
      </c>
      <c r="BK97" s="811" t="str">
        <f t="shared" si="100"/>
        <v/>
      </c>
      <c r="BL97" s="811" t="str">
        <f t="shared" si="100"/>
        <v/>
      </c>
      <c r="BM97" s="811" t="str">
        <f t="shared" si="100"/>
        <v/>
      </c>
      <c r="BN97" s="811" t="str">
        <f t="shared" si="100"/>
        <v/>
      </c>
      <c r="BO97" s="811" t="str">
        <f t="shared" si="100"/>
        <v/>
      </c>
      <c r="BP97" s="811" t="str">
        <f t="shared" si="100"/>
        <v/>
      </c>
      <c r="BQ97" s="811" t="str">
        <f t="shared" ref="BQ97:BZ106" si="101">IF(ISNUMBER($J97),IF(BQ$12&lt;$J97,"",IF(BQ$12=$J97,$D97*$C97,IF(AND(BQ$12&gt;$J97,BQ$12&lt;$J97+$F97*365),$D97*(1-(BQ$12-$J97)/($F97*365))*$C97,""))),"")</f>
        <v/>
      </c>
      <c r="BR97" s="811" t="str">
        <f t="shared" si="101"/>
        <v/>
      </c>
      <c r="BS97" s="811" t="str">
        <f t="shared" si="101"/>
        <v/>
      </c>
      <c r="BT97" s="811" t="str">
        <f t="shared" si="101"/>
        <v/>
      </c>
      <c r="BU97" s="811" t="str">
        <f t="shared" si="101"/>
        <v/>
      </c>
      <c r="BV97" s="811" t="str">
        <f t="shared" si="101"/>
        <v/>
      </c>
      <c r="BW97" s="811" t="str">
        <f t="shared" si="101"/>
        <v/>
      </c>
      <c r="BX97" s="811" t="str">
        <f t="shared" si="101"/>
        <v/>
      </c>
      <c r="BY97" s="811" t="str">
        <f t="shared" si="101"/>
        <v/>
      </c>
      <c r="BZ97" s="811" t="str">
        <f t="shared" si="101"/>
        <v/>
      </c>
      <c r="CA97" s="811" t="str">
        <f t="shared" ref="CA97:CJ106" si="102">IF(ISNUMBER($J97),IF(CA$12&lt;$J97,"",IF(CA$12=$J97,$D97*$C97,IF(AND(CA$12&gt;$J97,CA$12&lt;$J97+$F97*365),$D97*(1-(CA$12-$J97)/($F97*365))*$C97,""))),"")</f>
        <v/>
      </c>
      <c r="CB97" s="811" t="str">
        <f t="shared" si="102"/>
        <v/>
      </c>
      <c r="CC97" s="811" t="str">
        <f t="shared" si="102"/>
        <v/>
      </c>
      <c r="CD97" s="811" t="str">
        <f t="shared" si="102"/>
        <v/>
      </c>
      <c r="CE97" s="811" t="str">
        <f t="shared" si="102"/>
        <v/>
      </c>
      <c r="CF97" s="811" t="str">
        <f t="shared" si="102"/>
        <v/>
      </c>
      <c r="CG97" s="811" t="str">
        <f t="shared" si="102"/>
        <v/>
      </c>
      <c r="CH97" s="811" t="str">
        <f t="shared" si="102"/>
        <v/>
      </c>
      <c r="CI97" s="811" t="str">
        <f t="shared" si="102"/>
        <v/>
      </c>
      <c r="CJ97" s="811" t="str">
        <f t="shared" si="102"/>
        <v/>
      </c>
      <c r="CK97" s="811" t="str">
        <f t="shared" ref="CK97:CT106" si="103">IF(ISNUMBER($J97),IF(CK$12&lt;$J97,"",IF(CK$12=$J97,$D97*$C97,IF(AND(CK$12&gt;$J97,CK$12&lt;$J97+$F97*365),$D97*(1-(CK$12-$J97)/($F97*365))*$C97,""))),"")</f>
        <v/>
      </c>
      <c r="CL97" s="811" t="str">
        <f t="shared" si="103"/>
        <v/>
      </c>
      <c r="CM97" s="811" t="str">
        <f t="shared" si="103"/>
        <v/>
      </c>
      <c r="CN97" s="811" t="str">
        <f t="shared" si="103"/>
        <v/>
      </c>
      <c r="CO97" s="811" t="str">
        <f t="shared" si="103"/>
        <v/>
      </c>
      <c r="CP97" s="811" t="str">
        <f t="shared" si="103"/>
        <v/>
      </c>
      <c r="CQ97" s="811" t="str">
        <f t="shared" si="103"/>
        <v/>
      </c>
      <c r="CR97" s="811" t="str">
        <f t="shared" si="103"/>
        <v/>
      </c>
      <c r="CS97" s="811" t="str">
        <f t="shared" si="103"/>
        <v/>
      </c>
      <c r="CT97" s="811" t="str">
        <f t="shared" si="103"/>
        <v/>
      </c>
      <c r="CU97" s="811" t="str">
        <f t="shared" ref="CU97:DD106" si="104">IF(ISNUMBER($J97),IF(CU$12&lt;$J97,"",IF(CU$12=$J97,$D97*$C97,IF(AND(CU$12&gt;$J97,CU$12&lt;$J97+$F97*365),$D97*(1-(CU$12-$J97)/($F97*365))*$C97,""))),"")</f>
        <v/>
      </c>
      <c r="CV97" s="811" t="str">
        <f t="shared" si="104"/>
        <v/>
      </c>
      <c r="CW97" s="811" t="str">
        <f t="shared" si="104"/>
        <v/>
      </c>
      <c r="CX97" s="811" t="str">
        <f t="shared" si="104"/>
        <v/>
      </c>
      <c r="CY97" s="811" t="str">
        <f t="shared" si="104"/>
        <v/>
      </c>
      <c r="CZ97" s="811" t="str">
        <f t="shared" si="104"/>
        <v/>
      </c>
      <c r="DA97" s="811" t="str">
        <f t="shared" si="104"/>
        <v/>
      </c>
      <c r="DB97" s="811" t="str">
        <f t="shared" si="104"/>
        <v/>
      </c>
      <c r="DC97" s="811" t="str">
        <f t="shared" si="104"/>
        <v/>
      </c>
      <c r="DD97" s="811" t="str">
        <f t="shared" si="104"/>
        <v/>
      </c>
      <c r="DE97" s="811" t="str">
        <f t="shared" ref="DE97:DK106" si="105">IF(ISNUMBER($J97),IF(DE$12&lt;$J97,"",IF(DE$12=$J97,$D97*$C97,IF(AND(DE$12&gt;$J97,DE$12&lt;$J97+$F97*365),$D97*(1-(DE$12-$J97)/($F97*365))*$C97,""))),"")</f>
        <v/>
      </c>
      <c r="DF97" s="811" t="str">
        <f t="shared" si="105"/>
        <v/>
      </c>
      <c r="DG97" s="811" t="str">
        <f t="shared" si="105"/>
        <v/>
      </c>
      <c r="DH97" s="811" t="str">
        <f t="shared" si="105"/>
        <v/>
      </c>
      <c r="DI97" s="811" t="str">
        <f t="shared" si="105"/>
        <v/>
      </c>
      <c r="DJ97" s="811" t="str">
        <f t="shared" si="105"/>
        <v/>
      </c>
      <c r="DK97" s="811" t="str">
        <f t="shared" si="105"/>
        <v/>
      </c>
    </row>
    <row r="98" spans="2:115" ht="20.100000000000001" customHeight="1" x14ac:dyDescent="0.2">
      <c r="B98" s="806"/>
      <c r="C98" s="806"/>
      <c r="D98" s="806"/>
      <c r="E98" s="806"/>
      <c r="F98" s="806"/>
      <c r="G98" s="806"/>
      <c r="H98" s="806"/>
      <c r="L98" s="810" t="str">
        <f t="shared" si="90"/>
        <v/>
      </c>
      <c r="N98" s="811" t="str">
        <f t="shared" si="96"/>
        <v/>
      </c>
      <c r="O98" s="811" t="str">
        <f t="shared" si="96"/>
        <v/>
      </c>
      <c r="P98" s="811" t="str">
        <f t="shared" si="96"/>
        <v/>
      </c>
      <c r="Q98" s="811" t="str">
        <f t="shared" si="96"/>
        <v/>
      </c>
      <c r="R98" s="811" t="str">
        <f t="shared" si="96"/>
        <v/>
      </c>
      <c r="S98" s="811" t="str">
        <f t="shared" si="96"/>
        <v/>
      </c>
      <c r="T98" s="811" t="str">
        <f t="shared" si="96"/>
        <v/>
      </c>
      <c r="U98" s="811" t="str">
        <f t="shared" si="96"/>
        <v/>
      </c>
      <c r="V98" s="811" t="str">
        <f t="shared" si="96"/>
        <v/>
      </c>
      <c r="W98" s="811" t="str">
        <f t="shared" si="96"/>
        <v/>
      </c>
      <c r="X98" s="811" t="str">
        <f t="shared" si="97"/>
        <v/>
      </c>
      <c r="Y98" s="811" t="str">
        <f t="shared" si="97"/>
        <v/>
      </c>
      <c r="Z98" s="811" t="str">
        <f t="shared" si="97"/>
        <v/>
      </c>
      <c r="AA98" s="811" t="str">
        <f t="shared" si="97"/>
        <v/>
      </c>
      <c r="AB98" s="811" t="str">
        <f t="shared" si="97"/>
        <v/>
      </c>
      <c r="AC98" s="811" t="str">
        <f t="shared" si="97"/>
        <v/>
      </c>
      <c r="AD98" s="811" t="str">
        <f t="shared" si="97"/>
        <v/>
      </c>
      <c r="AE98" s="811" t="str">
        <f t="shared" si="97"/>
        <v/>
      </c>
      <c r="AF98" s="811" t="str">
        <f t="shared" si="97"/>
        <v/>
      </c>
      <c r="AG98" s="811" t="str">
        <f t="shared" si="97"/>
        <v/>
      </c>
      <c r="AH98" s="811" t="str">
        <f t="shared" si="98"/>
        <v/>
      </c>
      <c r="AI98" s="811" t="str">
        <f t="shared" si="98"/>
        <v/>
      </c>
      <c r="AJ98" s="811" t="str">
        <f t="shared" si="98"/>
        <v/>
      </c>
      <c r="AK98" s="811" t="str">
        <f t="shared" si="98"/>
        <v/>
      </c>
      <c r="AL98" s="811" t="str">
        <f t="shared" si="98"/>
        <v/>
      </c>
      <c r="AM98" s="811" t="str">
        <f t="shared" si="98"/>
        <v/>
      </c>
      <c r="AN98" s="811" t="str">
        <f t="shared" si="98"/>
        <v/>
      </c>
      <c r="AO98" s="811" t="str">
        <f t="shared" si="98"/>
        <v/>
      </c>
      <c r="AP98" s="811" t="str">
        <f t="shared" si="98"/>
        <v/>
      </c>
      <c r="AQ98" s="811" t="str">
        <f t="shared" si="98"/>
        <v/>
      </c>
      <c r="AR98" s="811" t="str">
        <f t="shared" si="99"/>
        <v/>
      </c>
      <c r="AS98" s="811" t="str">
        <f t="shared" si="99"/>
        <v/>
      </c>
      <c r="AT98" s="811" t="str">
        <f t="shared" si="99"/>
        <v/>
      </c>
      <c r="AU98" s="811" t="str">
        <f t="shared" si="99"/>
        <v/>
      </c>
      <c r="AV98" s="811" t="str">
        <f t="shared" si="99"/>
        <v/>
      </c>
      <c r="AW98" s="811" t="str">
        <f t="shared" si="99"/>
        <v/>
      </c>
      <c r="AX98" s="811" t="str">
        <f t="shared" si="99"/>
        <v/>
      </c>
      <c r="AY98" s="811" t="str">
        <f t="shared" si="99"/>
        <v/>
      </c>
      <c r="AZ98" s="811" t="str">
        <f t="shared" si="99"/>
        <v/>
      </c>
      <c r="BA98" s="811" t="str">
        <f t="shared" si="99"/>
        <v/>
      </c>
      <c r="BB98" s="811" t="str">
        <f t="shared" si="100"/>
        <v/>
      </c>
      <c r="BC98" s="811" t="str">
        <f t="shared" si="100"/>
        <v/>
      </c>
      <c r="BD98" s="811" t="str">
        <f t="shared" si="100"/>
        <v/>
      </c>
      <c r="BE98" s="811" t="str">
        <f t="shared" si="100"/>
        <v/>
      </c>
      <c r="BF98" s="811" t="str">
        <f t="shared" si="100"/>
        <v/>
      </c>
      <c r="BG98" s="811" t="str">
        <f t="shared" si="100"/>
        <v/>
      </c>
      <c r="BH98" s="811" t="str">
        <f t="shared" si="100"/>
        <v/>
      </c>
      <c r="BI98" s="811" t="str">
        <f t="shared" si="100"/>
        <v/>
      </c>
      <c r="BJ98" s="811" t="str">
        <f t="shared" si="100"/>
        <v/>
      </c>
      <c r="BK98" s="811" t="str">
        <f t="shared" si="100"/>
        <v/>
      </c>
      <c r="BL98" s="811" t="str">
        <f t="shared" si="100"/>
        <v/>
      </c>
      <c r="BM98" s="811" t="str">
        <f t="shared" si="100"/>
        <v/>
      </c>
      <c r="BN98" s="811" t="str">
        <f t="shared" si="100"/>
        <v/>
      </c>
      <c r="BO98" s="811" t="str">
        <f t="shared" si="100"/>
        <v/>
      </c>
      <c r="BP98" s="811" t="str">
        <f t="shared" si="100"/>
        <v/>
      </c>
      <c r="BQ98" s="811" t="str">
        <f t="shared" si="101"/>
        <v/>
      </c>
      <c r="BR98" s="811" t="str">
        <f t="shared" si="101"/>
        <v/>
      </c>
      <c r="BS98" s="811" t="str">
        <f t="shared" si="101"/>
        <v/>
      </c>
      <c r="BT98" s="811" t="str">
        <f t="shared" si="101"/>
        <v/>
      </c>
      <c r="BU98" s="811" t="str">
        <f t="shared" si="101"/>
        <v/>
      </c>
      <c r="BV98" s="811" t="str">
        <f t="shared" si="101"/>
        <v/>
      </c>
      <c r="BW98" s="811" t="str">
        <f t="shared" si="101"/>
        <v/>
      </c>
      <c r="BX98" s="811" t="str">
        <f t="shared" si="101"/>
        <v/>
      </c>
      <c r="BY98" s="811" t="str">
        <f t="shared" si="101"/>
        <v/>
      </c>
      <c r="BZ98" s="811" t="str">
        <f t="shared" si="101"/>
        <v/>
      </c>
      <c r="CA98" s="811" t="str">
        <f t="shared" si="102"/>
        <v/>
      </c>
      <c r="CB98" s="811" t="str">
        <f t="shared" si="102"/>
        <v/>
      </c>
      <c r="CC98" s="811" t="str">
        <f t="shared" si="102"/>
        <v/>
      </c>
      <c r="CD98" s="811" t="str">
        <f t="shared" si="102"/>
        <v/>
      </c>
      <c r="CE98" s="811" t="str">
        <f t="shared" si="102"/>
        <v/>
      </c>
      <c r="CF98" s="811" t="str">
        <f t="shared" si="102"/>
        <v/>
      </c>
      <c r="CG98" s="811" t="str">
        <f t="shared" si="102"/>
        <v/>
      </c>
      <c r="CH98" s="811" t="str">
        <f t="shared" si="102"/>
        <v/>
      </c>
      <c r="CI98" s="811" t="str">
        <f t="shared" si="102"/>
        <v/>
      </c>
      <c r="CJ98" s="811" t="str">
        <f t="shared" si="102"/>
        <v/>
      </c>
      <c r="CK98" s="811" t="str">
        <f t="shared" si="103"/>
        <v/>
      </c>
      <c r="CL98" s="811" t="str">
        <f t="shared" si="103"/>
        <v/>
      </c>
      <c r="CM98" s="811" t="str">
        <f t="shared" si="103"/>
        <v/>
      </c>
      <c r="CN98" s="811" t="str">
        <f t="shared" si="103"/>
        <v/>
      </c>
      <c r="CO98" s="811" t="str">
        <f t="shared" si="103"/>
        <v/>
      </c>
      <c r="CP98" s="811" t="str">
        <f t="shared" si="103"/>
        <v/>
      </c>
      <c r="CQ98" s="811" t="str">
        <f t="shared" si="103"/>
        <v/>
      </c>
      <c r="CR98" s="811" t="str">
        <f t="shared" si="103"/>
        <v/>
      </c>
      <c r="CS98" s="811" t="str">
        <f t="shared" si="103"/>
        <v/>
      </c>
      <c r="CT98" s="811" t="str">
        <f t="shared" si="103"/>
        <v/>
      </c>
      <c r="CU98" s="811" t="str">
        <f t="shared" si="104"/>
        <v/>
      </c>
      <c r="CV98" s="811" t="str">
        <f t="shared" si="104"/>
        <v/>
      </c>
      <c r="CW98" s="811" t="str">
        <f t="shared" si="104"/>
        <v/>
      </c>
      <c r="CX98" s="811" t="str">
        <f t="shared" si="104"/>
        <v/>
      </c>
      <c r="CY98" s="811" t="str">
        <f t="shared" si="104"/>
        <v/>
      </c>
      <c r="CZ98" s="811" t="str">
        <f t="shared" si="104"/>
        <v/>
      </c>
      <c r="DA98" s="811" t="str">
        <f t="shared" si="104"/>
        <v/>
      </c>
      <c r="DB98" s="811" t="str">
        <f t="shared" si="104"/>
        <v/>
      </c>
      <c r="DC98" s="811" t="str">
        <f t="shared" si="104"/>
        <v/>
      </c>
      <c r="DD98" s="811" t="str">
        <f t="shared" si="104"/>
        <v/>
      </c>
      <c r="DE98" s="811" t="str">
        <f t="shared" si="105"/>
        <v/>
      </c>
      <c r="DF98" s="811" t="str">
        <f t="shared" si="105"/>
        <v/>
      </c>
      <c r="DG98" s="811" t="str">
        <f t="shared" si="105"/>
        <v/>
      </c>
      <c r="DH98" s="811" t="str">
        <f t="shared" si="105"/>
        <v/>
      </c>
      <c r="DI98" s="811" t="str">
        <f t="shared" si="105"/>
        <v/>
      </c>
      <c r="DJ98" s="811" t="str">
        <f t="shared" si="105"/>
        <v/>
      </c>
      <c r="DK98" s="811" t="str">
        <f t="shared" si="105"/>
        <v/>
      </c>
    </row>
    <row r="99" spans="2:115" ht="20.100000000000001" customHeight="1" x14ac:dyDescent="0.2">
      <c r="B99" s="806"/>
      <c r="C99" s="806"/>
      <c r="D99" s="806"/>
      <c r="E99" s="806"/>
      <c r="F99" s="806"/>
      <c r="G99" s="806"/>
      <c r="H99" s="806"/>
      <c r="L99" s="810" t="str">
        <f t="shared" si="90"/>
        <v/>
      </c>
      <c r="N99" s="811" t="str">
        <f t="shared" ref="N99:W108" si="106">IF(ISNUMBER($J99),IF(N$12&lt;$J99,"",IF(N$12=$J99,$D99*$C99,IF(AND(N$12&gt;$J99,N$12&lt;$J99+$F99*365),$D99*(1-(N$12-$J99)/($F99*365))*$C99,""))),"")</f>
        <v/>
      </c>
      <c r="O99" s="811" t="str">
        <f t="shared" si="106"/>
        <v/>
      </c>
      <c r="P99" s="811" t="str">
        <f t="shared" si="106"/>
        <v/>
      </c>
      <c r="Q99" s="811" t="str">
        <f t="shared" si="106"/>
        <v/>
      </c>
      <c r="R99" s="811" t="str">
        <f t="shared" si="106"/>
        <v/>
      </c>
      <c r="S99" s="811" t="str">
        <f t="shared" si="106"/>
        <v/>
      </c>
      <c r="T99" s="811" t="str">
        <f t="shared" si="106"/>
        <v/>
      </c>
      <c r="U99" s="811" t="str">
        <f t="shared" si="106"/>
        <v/>
      </c>
      <c r="V99" s="811" t="str">
        <f t="shared" si="106"/>
        <v/>
      </c>
      <c r="W99" s="811" t="str">
        <f t="shared" si="106"/>
        <v/>
      </c>
      <c r="X99" s="811" t="str">
        <f t="shared" ref="X99:AG108" si="107">IF(ISNUMBER($J99),IF(X$12&lt;$J99,"",IF(X$12=$J99,$D99*$C99,IF(AND(X$12&gt;$J99,X$12&lt;$J99+$F99*365),$D99*(1-(X$12-$J99)/($F99*365))*$C99,""))),"")</f>
        <v/>
      </c>
      <c r="Y99" s="811" t="str">
        <f t="shared" si="107"/>
        <v/>
      </c>
      <c r="Z99" s="811" t="str">
        <f t="shared" si="107"/>
        <v/>
      </c>
      <c r="AA99" s="811" t="str">
        <f t="shared" si="107"/>
        <v/>
      </c>
      <c r="AB99" s="811" t="str">
        <f t="shared" si="107"/>
        <v/>
      </c>
      <c r="AC99" s="811" t="str">
        <f t="shared" si="107"/>
        <v/>
      </c>
      <c r="AD99" s="811" t="str">
        <f t="shared" si="107"/>
        <v/>
      </c>
      <c r="AE99" s="811" t="str">
        <f t="shared" si="107"/>
        <v/>
      </c>
      <c r="AF99" s="811" t="str">
        <f t="shared" si="107"/>
        <v/>
      </c>
      <c r="AG99" s="811" t="str">
        <f t="shared" si="107"/>
        <v/>
      </c>
      <c r="AH99" s="811" t="str">
        <f t="shared" ref="AH99:AQ108" si="108">IF(ISNUMBER($J99),IF(AH$12&lt;$J99,"",IF(AH$12=$J99,$D99*$C99,IF(AND(AH$12&gt;$J99,AH$12&lt;$J99+$F99*365),$D99*(1-(AH$12-$J99)/($F99*365))*$C99,""))),"")</f>
        <v/>
      </c>
      <c r="AI99" s="811" t="str">
        <f t="shared" si="108"/>
        <v/>
      </c>
      <c r="AJ99" s="811" t="str">
        <f t="shared" si="108"/>
        <v/>
      </c>
      <c r="AK99" s="811" t="str">
        <f t="shared" si="108"/>
        <v/>
      </c>
      <c r="AL99" s="811" t="str">
        <f t="shared" si="108"/>
        <v/>
      </c>
      <c r="AM99" s="811" t="str">
        <f t="shared" si="108"/>
        <v/>
      </c>
      <c r="AN99" s="811" t="str">
        <f t="shared" si="108"/>
        <v/>
      </c>
      <c r="AO99" s="811" t="str">
        <f t="shared" si="108"/>
        <v/>
      </c>
      <c r="AP99" s="811" t="str">
        <f t="shared" si="108"/>
        <v/>
      </c>
      <c r="AQ99" s="811" t="str">
        <f t="shared" si="108"/>
        <v/>
      </c>
      <c r="AR99" s="811" t="str">
        <f t="shared" ref="AR99:BA108" si="109">IF(ISNUMBER($J99),IF(AR$12&lt;$J99,"",IF(AR$12=$J99,$D99*$C99,IF(AND(AR$12&gt;$J99,AR$12&lt;$J99+$F99*365),$D99*(1-(AR$12-$J99)/($F99*365))*$C99,""))),"")</f>
        <v/>
      </c>
      <c r="AS99" s="811" t="str">
        <f t="shared" si="109"/>
        <v/>
      </c>
      <c r="AT99" s="811" t="str">
        <f t="shared" si="109"/>
        <v/>
      </c>
      <c r="AU99" s="811" t="str">
        <f t="shared" si="109"/>
        <v/>
      </c>
      <c r="AV99" s="811" t="str">
        <f t="shared" si="109"/>
        <v/>
      </c>
      <c r="AW99" s="811" t="str">
        <f t="shared" si="109"/>
        <v/>
      </c>
      <c r="AX99" s="811" t="str">
        <f t="shared" si="109"/>
        <v/>
      </c>
      <c r="AY99" s="811" t="str">
        <f t="shared" si="109"/>
        <v/>
      </c>
      <c r="AZ99" s="811" t="str">
        <f t="shared" si="109"/>
        <v/>
      </c>
      <c r="BA99" s="811" t="str">
        <f t="shared" si="109"/>
        <v/>
      </c>
      <c r="BB99" s="811" t="str">
        <f t="shared" ref="BB99:BP108" si="110">IF(ISNUMBER($J99),IF(BB$12&lt;$J99,"",IF(BB$12=$J99,$D99*$C99,IF(AND(BB$12&gt;$J99,BB$12&lt;$J99+$F99*365),$D99*(1-(BB$12-$J99)/($F99*365))*$C99,""))),"")</f>
        <v/>
      </c>
      <c r="BC99" s="811" t="str">
        <f t="shared" si="110"/>
        <v/>
      </c>
      <c r="BD99" s="811" t="str">
        <f t="shared" si="110"/>
        <v/>
      </c>
      <c r="BE99" s="811" t="str">
        <f t="shared" si="110"/>
        <v/>
      </c>
      <c r="BF99" s="811" t="str">
        <f t="shared" si="110"/>
        <v/>
      </c>
      <c r="BG99" s="811" t="str">
        <f t="shared" si="110"/>
        <v/>
      </c>
      <c r="BH99" s="811" t="str">
        <f t="shared" si="110"/>
        <v/>
      </c>
      <c r="BI99" s="811" t="str">
        <f t="shared" si="110"/>
        <v/>
      </c>
      <c r="BJ99" s="811" t="str">
        <f t="shared" si="110"/>
        <v/>
      </c>
      <c r="BK99" s="811" t="str">
        <f t="shared" si="110"/>
        <v/>
      </c>
      <c r="BL99" s="811" t="str">
        <f t="shared" si="110"/>
        <v/>
      </c>
      <c r="BM99" s="811" t="str">
        <f t="shared" si="110"/>
        <v/>
      </c>
      <c r="BN99" s="811" t="str">
        <f t="shared" si="110"/>
        <v/>
      </c>
      <c r="BO99" s="811" t="str">
        <f t="shared" si="110"/>
        <v/>
      </c>
      <c r="BP99" s="811" t="str">
        <f t="shared" si="110"/>
        <v/>
      </c>
      <c r="BQ99" s="811" t="str">
        <f t="shared" si="101"/>
        <v/>
      </c>
      <c r="BR99" s="811" t="str">
        <f t="shared" si="101"/>
        <v/>
      </c>
      <c r="BS99" s="811" t="str">
        <f t="shared" si="101"/>
        <v/>
      </c>
      <c r="BT99" s="811" t="str">
        <f t="shared" si="101"/>
        <v/>
      </c>
      <c r="BU99" s="811" t="str">
        <f t="shared" si="101"/>
        <v/>
      </c>
      <c r="BV99" s="811" t="str">
        <f t="shared" si="101"/>
        <v/>
      </c>
      <c r="BW99" s="811" t="str">
        <f t="shared" si="101"/>
        <v/>
      </c>
      <c r="BX99" s="811" t="str">
        <f t="shared" si="101"/>
        <v/>
      </c>
      <c r="BY99" s="811" t="str">
        <f t="shared" si="101"/>
        <v/>
      </c>
      <c r="BZ99" s="811" t="str">
        <f t="shared" si="101"/>
        <v/>
      </c>
      <c r="CA99" s="811" t="str">
        <f t="shared" si="102"/>
        <v/>
      </c>
      <c r="CB99" s="811" t="str">
        <f t="shared" si="102"/>
        <v/>
      </c>
      <c r="CC99" s="811" t="str">
        <f t="shared" si="102"/>
        <v/>
      </c>
      <c r="CD99" s="811" t="str">
        <f t="shared" si="102"/>
        <v/>
      </c>
      <c r="CE99" s="811" t="str">
        <f t="shared" si="102"/>
        <v/>
      </c>
      <c r="CF99" s="811" t="str">
        <f t="shared" si="102"/>
        <v/>
      </c>
      <c r="CG99" s="811" t="str">
        <f t="shared" si="102"/>
        <v/>
      </c>
      <c r="CH99" s="811" t="str">
        <f t="shared" si="102"/>
        <v/>
      </c>
      <c r="CI99" s="811" t="str">
        <f t="shared" si="102"/>
        <v/>
      </c>
      <c r="CJ99" s="811" t="str">
        <f t="shared" si="102"/>
        <v/>
      </c>
      <c r="CK99" s="811" t="str">
        <f t="shared" si="103"/>
        <v/>
      </c>
      <c r="CL99" s="811" t="str">
        <f t="shared" si="103"/>
        <v/>
      </c>
      <c r="CM99" s="811" t="str">
        <f t="shared" si="103"/>
        <v/>
      </c>
      <c r="CN99" s="811" t="str">
        <f t="shared" si="103"/>
        <v/>
      </c>
      <c r="CO99" s="811" t="str">
        <f t="shared" si="103"/>
        <v/>
      </c>
      <c r="CP99" s="811" t="str">
        <f t="shared" si="103"/>
        <v/>
      </c>
      <c r="CQ99" s="811" t="str">
        <f t="shared" si="103"/>
        <v/>
      </c>
      <c r="CR99" s="811" t="str">
        <f t="shared" si="103"/>
        <v/>
      </c>
      <c r="CS99" s="811" t="str">
        <f t="shared" si="103"/>
        <v/>
      </c>
      <c r="CT99" s="811" t="str">
        <f t="shared" si="103"/>
        <v/>
      </c>
      <c r="CU99" s="811" t="str">
        <f t="shared" si="104"/>
        <v/>
      </c>
      <c r="CV99" s="811" t="str">
        <f t="shared" si="104"/>
        <v/>
      </c>
      <c r="CW99" s="811" t="str">
        <f t="shared" si="104"/>
        <v/>
      </c>
      <c r="CX99" s="811" t="str">
        <f t="shared" si="104"/>
        <v/>
      </c>
      <c r="CY99" s="811" t="str">
        <f t="shared" si="104"/>
        <v/>
      </c>
      <c r="CZ99" s="811" t="str">
        <f t="shared" si="104"/>
        <v/>
      </c>
      <c r="DA99" s="811" t="str">
        <f t="shared" si="104"/>
        <v/>
      </c>
      <c r="DB99" s="811" t="str">
        <f t="shared" si="104"/>
        <v/>
      </c>
      <c r="DC99" s="811" t="str">
        <f t="shared" si="104"/>
        <v/>
      </c>
      <c r="DD99" s="811" t="str">
        <f t="shared" si="104"/>
        <v/>
      </c>
      <c r="DE99" s="811" t="str">
        <f t="shared" si="105"/>
        <v/>
      </c>
      <c r="DF99" s="811" t="str">
        <f t="shared" si="105"/>
        <v/>
      </c>
      <c r="DG99" s="811" t="str">
        <f t="shared" si="105"/>
        <v/>
      </c>
      <c r="DH99" s="811" t="str">
        <f t="shared" si="105"/>
        <v/>
      </c>
      <c r="DI99" s="811" t="str">
        <f t="shared" si="105"/>
        <v/>
      </c>
      <c r="DJ99" s="811" t="str">
        <f t="shared" si="105"/>
        <v/>
      </c>
      <c r="DK99" s="811" t="str">
        <f t="shared" si="105"/>
        <v/>
      </c>
    </row>
    <row r="100" spans="2:115" ht="20.100000000000001" customHeight="1" x14ac:dyDescent="0.2">
      <c r="B100" s="806"/>
      <c r="C100" s="806"/>
      <c r="D100" s="806"/>
      <c r="E100" s="806"/>
      <c r="F100" s="806"/>
      <c r="G100" s="806"/>
      <c r="H100" s="806"/>
      <c r="L100" s="810" t="str">
        <f t="shared" si="90"/>
        <v/>
      </c>
      <c r="N100" s="811" t="str">
        <f t="shared" si="106"/>
        <v/>
      </c>
      <c r="O100" s="811" t="str">
        <f t="shared" si="106"/>
        <v/>
      </c>
      <c r="P100" s="811" t="str">
        <f t="shared" si="106"/>
        <v/>
      </c>
      <c r="Q100" s="811" t="str">
        <f t="shared" si="106"/>
        <v/>
      </c>
      <c r="R100" s="811" t="str">
        <f t="shared" si="106"/>
        <v/>
      </c>
      <c r="S100" s="811" t="str">
        <f t="shared" si="106"/>
        <v/>
      </c>
      <c r="T100" s="811" t="str">
        <f t="shared" si="106"/>
        <v/>
      </c>
      <c r="U100" s="811" t="str">
        <f t="shared" si="106"/>
        <v/>
      </c>
      <c r="V100" s="811" t="str">
        <f t="shared" si="106"/>
        <v/>
      </c>
      <c r="W100" s="811" t="str">
        <f t="shared" si="106"/>
        <v/>
      </c>
      <c r="X100" s="811" t="str">
        <f t="shared" si="107"/>
        <v/>
      </c>
      <c r="Y100" s="811" t="str">
        <f t="shared" si="107"/>
        <v/>
      </c>
      <c r="Z100" s="811" t="str">
        <f t="shared" si="107"/>
        <v/>
      </c>
      <c r="AA100" s="811" t="str">
        <f t="shared" si="107"/>
        <v/>
      </c>
      <c r="AB100" s="811" t="str">
        <f t="shared" si="107"/>
        <v/>
      </c>
      <c r="AC100" s="811" t="str">
        <f t="shared" si="107"/>
        <v/>
      </c>
      <c r="AD100" s="811" t="str">
        <f t="shared" si="107"/>
        <v/>
      </c>
      <c r="AE100" s="811" t="str">
        <f t="shared" si="107"/>
        <v/>
      </c>
      <c r="AF100" s="811" t="str">
        <f t="shared" si="107"/>
        <v/>
      </c>
      <c r="AG100" s="811" t="str">
        <f t="shared" si="107"/>
        <v/>
      </c>
      <c r="AH100" s="811" t="str">
        <f t="shared" si="108"/>
        <v/>
      </c>
      <c r="AI100" s="811" t="str">
        <f t="shared" si="108"/>
        <v/>
      </c>
      <c r="AJ100" s="811" t="str">
        <f t="shared" si="108"/>
        <v/>
      </c>
      <c r="AK100" s="811" t="str">
        <f t="shared" si="108"/>
        <v/>
      </c>
      <c r="AL100" s="811" t="str">
        <f t="shared" si="108"/>
        <v/>
      </c>
      <c r="AM100" s="811" t="str">
        <f t="shared" si="108"/>
        <v/>
      </c>
      <c r="AN100" s="811" t="str">
        <f t="shared" si="108"/>
        <v/>
      </c>
      <c r="AO100" s="811" t="str">
        <f t="shared" si="108"/>
        <v/>
      </c>
      <c r="AP100" s="811" t="str">
        <f t="shared" si="108"/>
        <v/>
      </c>
      <c r="AQ100" s="811" t="str">
        <f t="shared" si="108"/>
        <v/>
      </c>
      <c r="AR100" s="811" t="str">
        <f t="shared" si="109"/>
        <v/>
      </c>
      <c r="AS100" s="811" t="str">
        <f t="shared" si="109"/>
        <v/>
      </c>
      <c r="AT100" s="811" t="str">
        <f t="shared" si="109"/>
        <v/>
      </c>
      <c r="AU100" s="811" t="str">
        <f t="shared" si="109"/>
        <v/>
      </c>
      <c r="AV100" s="811" t="str">
        <f t="shared" si="109"/>
        <v/>
      </c>
      <c r="AW100" s="811" t="str">
        <f t="shared" si="109"/>
        <v/>
      </c>
      <c r="AX100" s="811" t="str">
        <f t="shared" si="109"/>
        <v/>
      </c>
      <c r="AY100" s="811" t="str">
        <f t="shared" si="109"/>
        <v/>
      </c>
      <c r="AZ100" s="811" t="str">
        <f t="shared" si="109"/>
        <v/>
      </c>
      <c r="BA100" s="811" t="str">
        <f t="shared" si="109"/>
        <v/>
      </c>
      <c r="BB100" s="811" t="str">
        <f t="shared" si="110"/>
        <v/>
      </c>
      <c r="BC100" s="811" t="str">
        <f t="shared" si="110"/>
        <v/>
      </c>
      <c r="BD100" s="811" t="str">
        <f t="shared" si="110"/>
        <v/>
      </c>
      <c r="BE100" s="811" t="str">
        <f t="shared" si="110"/>
        <v/>
      </c>
      <c r="BF100" s="811" t="str">
        <f t="shared" si="110"/>
        <v/>
      </c>
      <c r="BG100" s="811" t="str">
        <f t="shared" si="110"/>
        <v/>
      </c>
      <c r="BH100" s="811" t="str">
        <f t="shared" si="110"/>
        <v/>
      </c>
      <c r="BI100" s="811" t="str">
        <f t="shared" si="110"/>
        <v/>
      </c>
      <c r="BJ100" s="811" t="str">
        <f t="shared" si="110"/>
        <v/>
      </c>
      <c r="BK100" s="811" t="str">
        <f t="shared" si="110"/>
        <v/>
      </c>
      <c r="BL100" s="811" t="str">
        <f t="shared" si="110"/>
        <v/>
      </c>
      <c r="BM100" s="811" t="str">
        <f t="shared" si="110"/>
        <v/>
      </c>
      <c r="BN100" s="811" t="str">
        <f t="shared" si="110"/>
        <v/>
      </c>
      <c r="BO100" s="811" t="str">
        <f t="shared" si="110"/>
        <v/>
      </c>
      <c r="BP100" s="811" t="str">
        <f t="shared" si="110"/>
        <v/>
      </c>
      <c r="BQ100" s="811" t="str">
        <f t="shared" si="101"/>
        <v/>
      </c>
      <c r="BR100" s="811" t="str">
        <f t="shared" si="101"/>
        <v/>
      </c>
      <c r="BS100" s="811" t="str">
        <f t="shared" si="101"/>
        <v/>
      </c>
      <c r="BT100" s="811" t="str">
        <f t="shared" si="101"/>
        <v/>
      </c>
      <c r="BU100" s="811" t="str">
        <f t="shared" si="101"/>
        <v/>
      </c>
      <c r="BV100" s="811" t="str">
        <f t="shared" si="101"/>
        <v/>
      </c>
      <c r="BW100" s="811" t="str">
        <f t="shared" si="101"/>
        <v/>
      </c>
      <c r="BX100" s="811" t="str">
        <f t="shared" si="101"/>
        <v/>
      </c>
      <c r="BY100" s="811" t="str">
        <f t="shared" si="101"/>
        <v/>
      </c>
      <c r="BZ100" s="811" t="str">
        <f t="shared" si="101"/>
        <v/>
      </c>
      <c r="CA100" s="811" t="str">
        <f t="shared" si="102"/>
        <v/>
      </c>
      <c r="CB100" s="811" t="str">
        <f t="shared" si="102"/>
        <v/>
      </c>
      <c r="CC100" s="811" t="str">
        <f t="shared" si="102"/>
        <v/>
      </c>
      <c r="CD100" s="811" t="str">
        <f t="shared" si="102"/>
        <v/>
      </c>
      <c r="CE100" s="811" t="str">
        <f t="shared" si="102"/>
        <v/>
      </c>
      <c r="CF100" s="811" t="str">
        <f t="shared" si="102"/>
        <v/>
      </c>
      <c r="CG100" s="811" t="str">
        <f t="shared" si="102"/>
        <v/>
      </c>
      <c r="CH100" s="811" t="str">
        <f t="shared" si="102"/>
        <v/>
      </c>
      <c r="CI100" s="811" t="str">
        <f t="shared" si="102"/>
        <v/>
      </c>
      <c r="CJ100" s="811" t="str">
        <f t="shared" si="102"/>
        <v/>
      </c>
      <c r="CK100" s="811" t="str">
        <f t="shared" si="103"/>
        <v/>
      </c>
      <c r="CL100" s="811" t="str">
        <f t="shared" si="103"/>
        <v/>
      </c>
      <c r="CM100" s="811" t="str">
        <f t="shared" si="103"/>
        <v/>
      </c>
      <c r="CN100" s="811" t="str">
        <f t="shared" si="103"/>
        <v/>
      </c>
      <c r="CO100" s="811" t="str">
        <f t="shared" si="103"/>
        <v/>
      </c>
      <c r="CP100" s="811" t="str">
        <f t="shared" si="103"/>
        <v/>
      </c>
      <c r="CQ100" s="811" t="str">
        <f t="shared" si="103"/>
        <v/>
      </c>
      <c r="CR100" s="811" t="str">
        <f t="shared" si="103"/>
        <v/>
      </c>
      <c r="CS100" s="811" t="str">
        <f t="shared" si="103"/>
        <v/>
      </c>
      <c r="CT100" s="811" t="str">
        <f t="shared" si="103"/>
        <v/>
      </c>
      <c r="CU100" s="811" t="str">
        <f t="shared" si="104"/>
        <v/>
      </c>
      <c r="CV100" s="811" t="str">
        <f t="shared" si="104"/>
        <v/>
      </c>
      <c r="CW100" s="811" t="str">
        <f t="shared" si="104"/>
        <v/>
      </c>
      <c r="CX100" s="811" t="str">
        <f t="shared" si="104"/>
        <v/>
      </c>
      <c r="CY100" s="811" t="str">
        <f t="shared" si="104"/>
        <v/>
      </c>
      <c r="CZ100" s="811" t="str">
        <f t="shared" si="104"/>
        <v/>
      </c>
      <c r="DA100" s="811" t="str">
        <f t="shared" si="104"/>
        <v/>
      </c>
      <c r="DB100" s="811" t="str">
        <f t="shared" si="104"/>
        <v/>
      </c>
      <c r="DC100" s="811" t="str">
        <f t="shared" si="104"/>
        <v/>
      </c>
      <c r="DD100" s="811" t="str">
        <f t="shared" si="104"/>
        <v/>
      </c>
      <c r="DE100" s="811" t="str">
        <f t="shared" si="105"/>
        <v/>
      </c>
      <c r="DF100" s="811" t="str">
        <f t="shared" si="105"/>
        <v/>
      </c>
      <c r="DG100" s="811" t="str">
        <f t="shared" si="105"/>
        <v/>
      </c>
      <c r="DH100" s="811" t="str">
        <f t="shared" si="105"/>
        <v/>
      </c>
      <c r="DI100" s="811" t="str">
        <f t="shared" si="105"/>
        <v/>
      </c>
      <c r="DJ100" s="811" t="str">
        <f t="shared" si="105"/>
        <v/>
      </c>
      <c r="DK100" s="811" t="str">
        <f t="shared" si="105"/>
        <v/>
      </c>
    </row>
    <row r="101" spans="2:115" ht="20.100000000000001" customHeight="1" x14ac:dyDescent="0.2">
      <c r="B101" s="806"/>
      <c r="C101" s="806"/>
      <c r="D101" s="806"/>
      <c r="E101" s="806"/>
      <c r="F101" s="806"/>
      <c r="G101" s="806"/>
      <c r="H101" s="806"/>
      <c r="L101" s="810" t="str">
        <f t="shared" si="90"/>
        <v/>
      </c>
      <c r="N101" s="811" t="str">
        <f t="shared" si="106"/>
        <v/>
      </c>
      <c r="O101" s="811" t="str">
        <f t="shared" si="106"/>
        <v/>
      </c>
      <c r="P101" s="811" t="str">
        <f t="shared" si="106"/>
        <v/>
      </c>
      <c r="Q101" s="811" t="str">
        <f t="shared" si="106"/>
        <v/>
      </c>
      <c r="R101" s="811" t="str">
        <f t="shared" si="106"/>
        <v/>
      </c>
      <c r="S101" s="811" t="str">
        <f t="shared" si="106"/>
        <v/>
      </c>
      <c r="T101" s="811" t="str">
        <f t="shared" si="106"/>
        <v/>
      </c>
      <c r="U101" s="811" t="str">
        <f t="shared" si="106"/>
        <v/>
      </c>
      <c r="V101" s="811" t="str">
        <f t="shared" si="106"/>
        <v/>
      </c>
      <c r="W101" s="811" t="str">
        <f t="shared" si="106"/>
        <v/>
      </c>
      <c r="X101" s="811" t="str">
        <f t="shared" si="107"/>
        <v/>
      </c>
      <c r="Y101" s="811" t="str">
        <f t="shared" si="107"/>
        <v/>
      </c>
      <c r="Z101" s="811" t="str">
        <f t="shared" si="107"/>
        <v/>
      </c>
      <c r="AA101" s="811" t="str">
        <f t="shared" si="107"/>
        <v/>
      </c>
      <c r="AB101" s="811" t="str">
        <f t="shared" si="107"/>
        <v/>
      </c>
      <c r="AC101" s="811" t="str">
        <f t="shared" si="107"/>
        <v/>
      </c>
      <c r="AD101" s="811" t="str">
        <f t="shared" si="107"/>
        <v/>
      </c>
      <c r="AE101" s="811" t="str">
        <f t="shared" si="107"/>
        <v/>
      </c>
      <c r="AF101" s="811" t="str">
        <f t="shared" si="107"/>
        <v/>
      </c>
      <c r="AG101" s="811" t="str">
        <f t="shared" si="107"/>
        <v/>
      </c>
      <c r="AH101" s="811" t="str">
        <f t="shared" si="108"/>
        <v/>
      </c>
      <c r="AI101" s="811" t="str">
        <f t="shared" si="108"/>
        <v/>
      </c>
      <c r="AJ101" s="811" t="str">
        <f t="shared" si="108"/>
        <v/>
      </c>
      <c r="AK101" s="811" t="str">
        <f t="shared" si="108"/>
        <v/>
      </c>
      <c r="AL101" s="811" t="str">
        <f t="shared" si="108"/>
        <v/>
      </c>
      <c r="AM101" s="811" t="str">
        <f t="shared" si="108"/>
        <v/>
      </c>
      <c r="AN101" s="811" t="str">
        <f t="shared" si="108"/>
        <v/>
      </c>
      <c r="AO101" s="811" t="str">
        <f t="shared" si="108"/>
        <v/>
      </c>
      <c r="AP101" s="811" t="str">
        <f t="shared" si="108"/>
        <v/>
      </c>
      <c r="AQ101" s="811" t="str">
        <f t="shared" si="108"/>
        <v/>
      </c>
      <c r="AR101" s="811" t="str">
        <f t="shared" si="109"/>
        <v/>
      </c>
      <c r="AS101" s="811" t="str">
        <f t="shared" si="109"/>
        <v/>
      </c>
      <c r="AT101" s="811" t="str">
        <f t="shared" si="109"/>
        <v/>
      </c>
      <c r="AU101" s="811" t="str">
        <f t="shared" si="109"/>
        <v/>
      </c>
      <c r="AV101" s="811" t="str">
        <f t="shared" si="109"/>
        <v/>
      </c>
      <c r="AW101" s="811" t="str">
        <f t="shared" si="109"/>
        <v/>
      </c>
      <c r="AX101" s="811" t="str">
        <f t="shared" si="109"/>
        <v/>
      </c>
      <c r="AY101" s="811" t="str">
        <f t="shared" si="109"/>
        <v/>
      </c>
      <c r="AZ101" s="811" t="str">
        <f t="shared" si="109"/>
        <v/>
      </c>
      <c r="BA101" s="811" t="str">
        <f t="shared" si="109"/>
        <v/>
      </c>
      <c r="BB101" s="811" t="str">
        <f t="shared" si="110"/>
        <v/>
      </c>
      <c r="BC101" s="811" t="str">
        <f t="shared" si="110"/>
        <v/>
      </c>
      <c r="BD101" s="811" t="str">
        <f t="shared" si="110"/>
        <v/>
      </c>
      <c r="BE101" s="811" t="str">
        <f t="shared" si="110"/>
        <v/>
      </c>
      <c r="BF101" s="811" t="str">
        <f t="shared" si="110"/>
        <v/>
      </c>
      <c r="BG101" s="811" t="str">
        <f t="shared" si="110"/>
        <v/>
      </c>
      <c r="BH101" s="811" t="str">
        <f t="shared" si="110"/>
        <v/>
      </c>
      <c r="BI101" s="811" t="str">
        <f t="shared" si="110"/>
        <v/>
      </c>
      <c r="BJ101" s="811" t="str">
        <f t="shared" si="110"/>
        <v/>
      </c>
      <c r="BK101" s="811" t="str">
        <f t="shared" si="110"/>
        <v/>
      </c>
      <c r="BL101" s="811" t="str">
        <f t="shared" si="110"/>
        <v/>
      </c>
      <c r="BM101" s="811" t="str">
        <f t="shared" si="110"/>
        <v/>
      </c>
      <c r="BN101" s="811" t="str">
        <f t="shared" si="110"/>
        <v/>
      </c>
      <c r="BO101" s="811" t="str">
        <f t="shared" si="110"/>
        <v/>
      </c>
      <c r="BP101" s="811" t="str">
        <f t="shared" si="110"/>
        <v/>
      </c>
      <c r="BQ101" s="811" t="str">
        <f t="shared" si="101"/>
        <v/>
      </c>
      <c r="BR101" s="811" t="str">
        <f t="shared" si="101"/>
        <v/>
      </c>
      <c r="BS101" s="811" t="str">
        <f t="shared" si="101"/>
        <v/>
      </c>
      <c r="BT101" s="811" t="str">
        <f t="shared" si="101"/>
        <v/>
      </c>
      <c r="BU101" s="811" t="str">
        <f t="shared" si="101"/>
        <v/>
      </c>
      <c r="BV101" s="811" t="str">
        <f t="shared" si="101"/>
        <v/>
      </c>
      <c r="BW101" s="811" t="str">
        <f t="shared" si="101"/>
        <v/>
      </c>
      <c r="BX101" s="811" t="str">
        <f t="shared" si="101"/>
        <v/>
      </c>
      <c r="BY101" s="811" t="str">
        <f t="shared" si="101"/>
        <v/>
      </c>
      <c r="BZ101" s="811" t="str">
        <f t="shared" si="101"/>
        <v/>
      </c>
      <c r="CA101" s="811" t="str">
        <f t="shared" si="102"/>
        <v/>
      </c>
      <c r="CB101" s="811" t="str">
        <f t="shared" si="102"/>
        <v/>
      </c>
      <c r="CC101" s="811" t="str">
        <f t="shared" si="102"/>
        <v/>
      </c>
      <c r="CD101" s="811" t="str">
        <f t="shared" si="102"/>
        <v/>
      </c>
      <c r="CE101" s="811" t="str">
        <f t="shared" si="102"/>
        <v/>
      </c>
      <c r="CF101" s="811" t="str">
        <f t="shared" si="102"/>
        <v/>
      </c>
      <c r="CG101" s="811" t="str">
        <f t="shared" si="102"/>
        <v/>
      </c>
      <c r="CH101" s="811" t="str">
        <f t="shared" si="102"/>
        <v/>
      </c>
      <c r="CI101" s="811" t="str">
        <f t="shared" si="102"/>
        <v/>
      </c>
      <c r="CJ101" s="811" t="str">
        <f t="shared" si="102"/>
        <v/>
      </c>
      <c r="CK101" s="811" t="str">
        <f t="shared" si="103"/>
        <v/>
      </c>
      <c r="CL101" s="811" t="str">
        <f t="shared" si="103"/>
        <v/>
      </c>
      <c r="CM101" s="811" t="str">
        <f t="shared" si="103"/>
        <v/>
      </c>
      <c r="CN101" s="811" t="str">
        <f t="shared" si="103"/>
        <v/>
      </c>
      <c r="CO101" s="811" t="str">
        <f t="shared" si="103"/>
        <v/>
      </c>
      <c r="CP101" s="811" t="str">
        <f t="shared" si="103"/>
        <v/>
      </c>
      <c r="CQ101" s="811" t="str">
        <f t="shared" si="103"/>
        <v/>
      </c>
      <c r="CR101" s="811" t="str">
        <f t="shared" si="103"/>
        <v/>
      </c>
      <c r="CS101" s="811" t="str">
        <f t="shared" si="103"/>
        <v/>
      </c>
      <c r="CT101" s="811" t="str">
        <f t="shared" si="103"/>
        <v/>
      </c>
      <c r="CU101" s="811" t="str">
        <f t="shared" si="104"/>
        <v/>
      </c>
      <c r="CV101" s="811" t="str">
        <f t="shared" si="104"/>
        <v/>
      </c>
      <c r="CW101" s="811" t="str">
        <f t="shared" si="104"/>
        <v/>
      </c>
      <c r="CX101" s="811" t="str">
        <f t="shared" si="104"/>
        <v/>
      </c>
      <c r="CY101" s="811" t="str">
        <f t="shared" si="104"/>
        <v/>
      </c>
      <c r="CZ101" s="811" t="str">
        <f t="shared" si="104"/>
        <v/>
      </c>
      <c r="DA101" s="811" t="str">
        <f t="shared" si="104"/>
        <v/>
      </c>
      <c r="DB101" s="811" t="str">
        <f t="shared" si="104"/>
        <v/>
      </c>
      <c r="DC101" s="811" t="str">
        <f t="shared" si="104"/>
        <v/>
      </c>
      <c r="DD101" s="811" t="str">
        <f t="shared" si="104"/>
        <v/>
      </c>
      <c r="DE101" s="811" t="str">
        <f t="shared" si="105"/>
        <v/>
      </c>
      <c r="DF101" s="811" t="str">
        <f t="shared" si="105"/>
        <v/>
      </c>
      <c r="DG101" s="811" t="str">
        <f t="shared" si="105"/>
        <v/>
      </c>
      <c r="DH101" s="811" t="str">
        <f t="shared" si="105"/>
        <v/>
      </c>
      <c r="DI101" s="811" t="str">
        <f t="shared" si="105"/>
        <v/>
      </c>
      <c r="DJ101" s="811" t="str">
        <f t="shared" si="105"/>
        <v/>
      </c>
      <c r="DK101" s="811" t="str">
        <f t="shared" si="105"/>
        <v/>
      </c>
    </row>
    <row r="102" spans="2:115" ht="20.100000000000001" customHeight="1" x14ac:dyDescent="0.2">
      <c r="B102" s="806"/>
      <c r="C102" s="806"/>
      <c r="D102" s="806"/>
      <c r="E102" s="806"/>
      <c r="F102" s="806"/>
      <c r="G102" s="806"/>
      <c r="H102" s="806"/>
      <c r="L102" s="810" t="str">
        <f t="shared" si="90"/>
        <v/>
      </c>
      <c r="N102" s="811" t="str">
        <f t="shared" si="106"/>
        <v/>
      </c>
      <c r="O102" s="811" t="str">
        <f t="shared" si="106"/>
        <v/>
      </c>
      <c r="P102" s="811" t="str">
        <f t="shared" si="106"/>
        <v/>
      </c>
      <c r="Q102" s="811" t="str">
        <f t="shared" si="106"/>
        <v/>
      </c>
      <c r="R102" s="811" t="str">
        <f t="shared" si="106"/>
        <v/>
      </c>
      <c r="S102" s="811" t="str">
        <f t="shared" si="106"/>
        <v/>
      </c>
      <c r="T102" s="811" t="str">
        <f t="shared" si="106"/>
        <v/>
      </c>
      <c r="U102" s="811" t="str">
        <f t="shared" si="106"/>
        <v/>
      </c>
      <c r="V102" s="811" t="str">
        <f t="shared" si="106"/>
        <v/>
      </c>
      <c r="W102" s="811" t="str">
        <f t="shared" si="106"/>
        <v/>
      </c>
      <c r="X102" s="811" t="str">
        <f t="shared" si="107"/>
        <v/>
      </c>
      <c r="Y102" s="811" t="str">
        <f t="shared" si="107"/>
        <v/>
      </c>
      <c r="Z102" s="811" t="str">
        <f t="shared" si="107"/>
        <v/>
      </c>
      <c r="AA102" s="811" t="str">
        <f t="shared" si="107"/>
        <v/>
      </c>
      <c r="AB102" s="811" t="str">
        <f t="shared" si="107"/>
        <v/>
      </c>
      <c r="AC102" s="811" t="str">
        <f t="shared" si="107"/>
        <v/>
      </c>
      <c r="AD102" s="811" t="str">
        <f t="shared" si="107"/>
        <v/>
      </c>
      <c r="AE102" s="811" t="str">
        <f t="shared" si="107"/>
        <v/>
      </c>
      <c r="AF102" s="811" t="str">
        <f t="shared" si="107"/>
        <v/>
      </c>
      <c r="AG102" s="811" t="str">
        <f t="shared" si="107"/>
        <v/>
      </c>
      <c r="AH102" s="811" t="str">
        <f t="shared" si="108"/>
        <v/>
      </c>
      <c r="AI102" s="811" t="str">
        <f t="shared" si="108"/>
        <v/>
      </c>
      <c r="AJ102" s="811" t="str">
        <f t="shared" si="108"/>
        <v/>
      </c>
      <c r="AK102" s="811" t="str">
        <f t="shared" si="108"/>
        <v/>
      </c>
      <c r="AL102" s="811" t="str">
        <f t="shared" si="108"/>
        <v/>
      </c>
      <c r="AM102" s="811" t="str">
        <f t="shared" si="108"/>
        <v/>
      </c>
      <c r="AN102" s="811" t="str">
        <f t="shared" si="108"/>
        <v/>
      </c>
      <c r="AO102" s="811" t="str">
        <f t="shared" si="108"/>
        <v/>
      </c>
      <c r="AP102" s="811" t="str">
        <f t="shared" si="108"/>
        <v/>
      </c>
      <c r="AQ102" s="811" t="str">
        <f t="shared" si="108"/>
        <v/>
      </c>
      <c r="AR102" s="811" t="str">
        <f t="shared" si="109"/>
        <v/>
      </c>
      <c r="AS102" s="811" t="str">
        <f t="shared" si="109"/>
        <v/>
      </c>
      <c r="AT102" s="811" t="str">
        <f t="shared" si="109"/>
        <v/>
      </c>
      <c r="AU102" s="811" t="str">
        <f t="shared" si="109"/>
        <v/>
      </c>
      <c r="AV102" s="811" t="str">
        <f t="shared" si="109"/>
        <v/>
      </c>
      <c r="AW102" s="811" t="str">
        <f t="shared" si="109"/>
        <v/>
      </c>
      <c r="AX102" s="811" t="str">
        <f t="shared" si="109"/>
        <v/>
      </c>
      <c r="AY102" s="811" t="str">
        <f t="shared" si="109"/>
        <v/>
      </c>
      <c r="AZ102" s="811" t="str">
        <f t="shared" si="109"/>
        <v/>
      </c>
      <c r="BA102" s="811" t="str">
        <f t="shared" si="109"/>
        <v/>
      </c>
      <c r="BB102" s="811" t="str">
        <f t="shared" si="110"/>
        <v/>
      </c>
      <c r="BC102" s="811" t="str">
        <f t="shared" si="110"/>
        <v/>
      </c>
      <c r="BD102" s="811" t="str">
        <f t="shared" si="110"/>
        <v/>
      </c>
      <c r="BE102" s="811" t="str">
        <f t="shared" si="110"/>
        <v/>
      </c>
      <c r="BF102" s="811" t="str">
        <f t="shared" si="110"/>
        <v/>
      </c>
      <c r="BG102" s="811" t="str">
        <f t="shared" si="110"/>
        <v/>
      </c>
      <c r="BH102" s="811" t="str">
        <f t="shared" si="110"/>
        <v/>
      </c>
      <c r="BI102" s="811" t="str">
        <f t="shared" si="110"/>
        <v/>
      </c>
      <c r="BJ102" s="811" t="str">
        <f t="shared" si="110"/>
        <v/>
      </c>
      <c r="BK102" s="811" t="str">
        <f t="shared" si="110"/>
        <v/>
      </c>
      <c r="BL102" s="811" t="str">
        <f t="shared" si="110"/>
        <v/>
      </c>
      <c r="BM102" s="811" t="str">
        <f t="shared" si="110"/>
        <v/>
      </c>
      <c r="BN102" s="811" t="str">
        <f t="shared" si="110"/>
        <v/>
      </c>
      <c r="BO102" s="811" t="str">
        <f t="shared" si="110"/>
        <v/>
      </c>
      <c r="BP102" s="811" t="str">
        <f t="shared" si="110"/>
        <v/>
      </c>
      <c r="BQ102" s="811" t="str">
        <f t="shared" si="101"/>
        <v/>
      </c>
      <c r="BR102" s="811" t="str">
        <f t="shared" si="101"/>
        <v/>
      </c>
      <c r="BS102" s="811" t="str">
        <f t="shared" si="101"/>
        <v/>
      </c>
      <c r="BT102" s="811" t="str">
        <f t="shared" si="101"/>
        <v/>
      </c>
      <c r="BU102" s="811" t="str">
        <f t="shared" si="101"/>
        <v/>
      </c>
      <c r="BV102" s="811" t="str">
        <f t="shared" si="101"/>
        <v/>
      </c>
      <c r="BW102" s="811" t="str">
        <f t="shared" si="101"/>
        <v/>
      </c>
      <c r="BX102" s="811" t="str">
        <f t="shared" si="101"/>
        <v/>
      </c>
      <c r="BY102" s="811" t="str">
        <f t="shared" si="101"/>
        <v/>
      </c>
      <c r="BZ102" s="811" t="str">
        <f t="shared" si="101"/>
        <v/>
      </c>
      <c r="CA102" s="811" t="str">
        <f t="shared" si="102"/>
        <v/>
      </c>
      <c r="CB102" s="811" t="str">
        <f t="shared" si="102"/>
        <v/>
      </c>
      <c r="CC102" s="811" t="str">
        <f t="shared" si="102"/>
        <v/>
      </c>
      <c r="CD102" s="811" t="str">
        <f t="shared" si="102"/>
        <v/>
      </c>
      <c r="CE102" s="811" t="str">
        <f t="shared" si="102"/>
        <v/>
      </c>
      <c r="CF102" s="811" t="str">
        <f t="shared" si="102"/>
        <v/>
      </c>
      <c r="CG102" s="811" t="str">
        <f t="shared" si="102"/>
        <v/>
      </c>
      <c r="CH102" s="811" t="str">
        <f t="shared" si="102"/>
        <v/>
      </c>
      <c r="CI102" s="811" t="str">
        <f t="shared" si="102"/>
        <v/>
      </c>
      <c r="CJ102" s="811" t="str">
        <f t="shared" si="102"/>
        <v/>
      </c>
      <c r="CK102" s="811" t="str">
        <f t="shared" si="103"/>
        <v/>
      </c>
      <c r="CL102" s="811" t="str">
        <f t="shared" si="103"/>
        <v/>
      </c>
      <c r="CM102" s="811" t="str">
        <f t="shared" si="103"/>
        <v/>
      </c>
      <c r="CN102" s="811" t="str">
        <f t="shared" si="103"/>
        <v/>
      </c>
      <c r="CO102" s="811" t="str">
        <f t="shared" si="103"/>
        <v/>
      </c>
      <c r="CP102" s="811" t="str">
        <f t="shared" si="103"/>
        <v/>
      </c>
      <c r="CQ102" s="811" t="str">
        <f t="shared" si="103"/>
        <v/>
      </c>
      <c r="CR102" s="811" t="str">
        <f t="shared" si="103"/>
        <v/>
      </c>
      <c r="CS102" s="811" t="str">
        <f t="shared" si="103"/>
        <v/>
      </c>
      <c r="CT102" s="811" t="str">
        <f t="shared" si="103"/>
        <v/>
      </c>
      <c r="CU102" s="811" t="str">
        <f t="shared" si="104"/>
        <v/>
      </c>
      <c r="CV102" s="811" t="str">
        <f t="shared" si="104"/>
        <v/>
      </c>
      <c r="CW102" s="811" t="str">
        <f t="shared" si="104"/>
        <v/>
      </c>
      <c r="CX102" s="811" t="str">
        <f t="shared" si="104"/>
        <v/>
      </c>
      <c r="CY102" s="811" t="str">
        <f t="shared" si="104"/>
        <v/>
      </c>
      <c r="CZ102" s="811" t="str">
        <f t="shared" si="104"/>
        <v/>
      </c>
      <c r="DA102" s="811" t="str">
        <f t="shared" si="104"/>
        <v/>
      </c>
      <c r="DB102" s="811" t="str">
        <f t="shared" si="104"/>
        <v/>
      </c>
      <c r="DC102" s="811" t="str">
        <f t="shared" si="104"/>
        <v/>
      </c>
      <c r="DD102" s="811" t="str">
        <f t="shared" si="104"/>
        <v/>
      </c>
      <c r="DE102" s="811" t="str">
        <f t="shared" si="105"/>
        <v/>
      </c>
      <c r="DF102" s="811" t="str">
        <f t="shared" si="105"/>
        <v/>
      </c>
      <c r="DG102" s="811" t="str">
        <f t="shared" si="105"/>
        <v/>
      </c>
      <c r="DH102" s="811" t="str">
        <f t="shared" si="105"/>
        <v/>
      </c>
      <c r="DI102" s="811" t="str">
        <f t="shared" si="105"/>
        <v/>
      </c>
      <c r="DJ102" s="811" t="str">
        <f t="shared" si="105"/>
        <v/>
      </c>
      <c r="DK102" s="811" t="str">
        <f t="shared" si="105"/>
        <v/>
      </c>
    </row>
    <row r="103" spans="2:115" ht="20.100000000000001" customHeight="1" x14ac:dyDescent="0.2">
      <c r="B103" s="806"/>
      <c r="C103" s="806"/>
      <c r="D103" s="806"/>
      <c r="E103" s="806"/>
      <c r="F103" s="806"/>
      <c r="G103" s="806"/>
      <c r="H103" s="806"/>
      <c r="L103" s="810" t="str">
        <f t="shared" si="90"/>
        <v/>
      </c>
      <c r="N103" s="811" t="str">
        <f t="shared" si="106"/>
        <v/>
      </c>
      <c r="O103" s="811" t="str">
        <f t="shared" si="106"/>
        <v/>
      </c>
      <c r="P103" s="811" t="str">
        <f t="shared" si="106"/>
        <v/>
      </c>
      <c r="Q103" s="811" t="str">
        <f t="shared" si="106"/>
        <v/>
      </c>
      <c r="R103" s="811" t="str">
        <f t="shared" si="106"/>
        <v/>
      </c>
      <c r="S103" s="811" t="str">
        <f t="shared" si="106"/>
        <v/>
      </c>
      <c r="T103" s="811" t="str">
        <f t="shared" si="106"/>
        <v/>
      </c>
      <c r="U103" s="811" t="str">
        <f t="shared" si="106"/>
        <v/>
      </c>
      <c r="V103" s="811" t="str">
        <f t="shared" si="106"/>
        <v/>
      </c>
      <c r="W103" s="811" t="str">
        <f t="shared" si="106"/>
        <v/>
      </c>
      <c r="X103" s="811" t="str">
        <f t="shared" si="107"/>
        <v/>
      </c>
      <c r="Y103" s="811" t="str">
        <f t="shared" si="107"/>
        <v/>
      </c>
      <c r="Z103" s="811" t="str">
        <f t="shared" si="107"/>
        <v/>
      </c>
      <c r="AA103" s="811" t="str">
        <f t="shared" si="107"/>
        <v/>
      </c>
      <c r="AB103" s="811" t="str">
        <f t="shared" si="107"/>
        <v/>
      </c>
      <c r="AC103" s="811" t="str">
        <f t="shared" si="107"/>
        <v/>
      </c>
      <c r="AD103" s="811" t="str">
        <f t="shared" si="107"/>
        <v/>
      </c>
      <c r="AE103" s="811" t="str">
        <f t="shared" si="107"/>
        <v/>
      </c>
      <c r="AF103" s="811" t="str">
        <f t="shared" si="107"/>
        <v/>
      </c>
      <c r="AG103" s="811" t="str">
        <f t="shared" si="107"/>
        <v/>
      </c>
      <c r="AH103" s="811" t="str">
        <f t="shared" si="108"/>
        <v/>
      </c>
      <c r="AI103" s="811" t="str">
        <f t="shared" si="108"/>
        <v/>
      </c>
      <c r="AJ103" s="811" t="str">
        <f t="shared" si="108"/>
        <v/>
      </c>
      <c r="AK103" s="811" t="str">
        <f t="shared" si="108"/>
        <v/>
      </c>
      <c r="AL103" s="811" t="str">
        <f t="shared" si="108"/>
        <v/>
      </c>
      <c r="AM103" s="811" t="str">
        <f t="shared" si="108"/>
        <v/>
      </c>
      <c r="AN103" s="811" t="str">
        <f t="shared" si="108"/>
        <v/>
      </c>
      <c r="AO103" s="811" t="str">
        <f t="shared" si="108"/>
        <v/>
      </c>
      <c r="AP103" s="811" t="str">
        <f t="shared" si="108"/>
        <v/>
      </c>
      <c r="AQ103" s="811" t="str">
        <f t="shared" si="108"/>
        <v/>
      </c>
      <c r="AR103" s="811" t="str">
        <f t="shared" si="109"/>
        <v/>
      </c>
      <c r="AS103" s="811" t="str">
        <f t="shared" si="109"/>
        <v/>
      </c>
      <c r="AT103" s="811" t="str">
        <f t="shared" si="109"/>
        <v/>
      </c>
      <c r="AU103" s="811" t="str">
        <f t="shared" si="109"/>
        <v/>
      </c>
      <c r="AV103" s="811" t="str">
        <f t="shared" si="109"/>
        <v/>
      </c>
      <c r="AW103" s="811" t="str">
        <f t="shared" si="109"/>
        <v/>
      </c>
      <c r="AX103" s="811" t="str">
        <f t="shared" si="109"/>
        <v/>
      </c>
      <c r="AY103" s="811" t="str">
        <f t="shared" si="109"/>
        <v/>
      </c>
      <c r="AZ103" s="811" t="str">
        <f t="shared" si="109"/>
        <v/>
      </c>
      <c r="BA103" s="811" t="str">
        <f t="shared" si="109"/>
        <v/>
      </c>
      <c r="BB103" s="811" t="str">
        <f t="shared" si="110"/>
        <v/>
      </c>
      <c r="BC103" s="811" t="str">
        <f t="shared" si="110"/>
        <v/>
      </c>
      <c r="BD103" s="811" t="str">
        <f t="shared" si="110"/>
        <v/>
      </c>
      <c r="BE103" s="811" t="str">
        <f t="shared" si="110"/>
        <v/>
      </c>
      <c r="BF103" s="811" t="str">
        <f t="shared" si="110"/>
        <v/>
      </c>
      <c r="BG103" s="811" t="str">
        <f t="shared" si="110"/>
        <v/>
      </c>
      <c r="BH103" s="811" t="str">
        <f t="shared" si="110"/>
        <v/>
      </c>
      <c r="BI103" s="811" t="str">
        <f t="shared" si="110"/>
        <v/>
      </c>
      <c r="BJ103" s="811" t="str">
        <f t="shared" si="110"/>
        <v/>
      </c>
      <c r="BK103" s="811" t="str">
        <f t="shared" si="110"/>
        <v/>
      </c>
      <c r="BL103" s="811" t="str">
        <f t="shared" si="110"/>
        <v/>
      </c>
      <c r="BM103" s="811" t="str">
        <f t="shared" si="110"/>
        <v/>
      </c>
      <c r="BN103" s="811" t="str">
        <f t="shared" si="110"/>
        <v/>
      </c>
      <c r="BO103" s="811" t="str">
        <f t="shared" si="110"/>
        <v/>
      </c>
      <c r="BP103" s="811" t="str">
        <f t="shared" si="110"/>
        <v/>
      </c>
      <c r="BQ103" s="811" t="str">
        <f t="shared" si="101"/>
        <v/>
      </c>
      <c r="BR103" s="811" t="str">
        <f t="shared" si="101"/>
        <v/>
      </c>
      <c r="BS103" s="811" t="str">
        <f t="shared" si="101"/>
        <v/>
      </c>
      <c r="BT103" s="811" t="str">
        <f t="shared" si="101"/>
        <v/>
      </c>
      <c r="BU103" s="811" t="str">
        <f t="shared" si="101"/>
        <v/>
      </c>
      <c r="BV103" s="811" t="str">
        <f t="shared" si="101"/>
        <v/>
      </c>
      <c r="BW103" s="811" t="str">
        <f t="shared" si="101"/>
        <v/>
      </c>
      <c r="BX103" s="811" t="str">
        <f t="shared" si="101"/>
        <v/>
      </c>
      <c r="BY103" s="811" t="str">
        <f t="shared" si="101"/>
        <v/>
      </c>
      <c r="BZ103" s="811" t="str">
        <f t="shared" si="101"/>
        <v/>
      </c>
      <c r="CA103" s="811" t="str">
        <f t="shared" si="102"/>
        <v/>
      </c>
      <c r="CB103" s="811" t="str">
        <f t="shared" si="102"/>
        <v/>
      </c>
      <c r="CC103" s="811" t="str">
        <f t="shared" si="102"/>
        <v/>
      </c>
      <c r="CD103" s="811" t="str">
        <f t="shared" si="102"/>
        <v/>
      </c>
      <c r="CE103" s="811" t="str">
        <f t="shared" si="102"/>
        <v/>
      </c>
      <c r="CF103" s="811" t="str">
        <f t="shared" si="102"/>
        <v/>
      </c>
      <c r="CG103" s="811" t="str">
        <f t="shared" si="102"/>
        <v/>
      </c>
      <c r="CH103" s="811" t="str">
        <f t="shared" si="102"/>
        <v/>
      </c>
      <c r="CI103" s="811" t="str">
        <f t="shared" si="102"/>
        <v/>
      </c>
      <c r="CJ103" s="811" t="str">
        <f t="shared" si="102"/>
        <v/>
      </c>
      <c r="CK103" s="811" t="str">
        <f t="shared" si="103"/>
        <v/>
      </c>
      <c r="CL103" s="811" t="str">
        <f t="shared" si="103"/>
        <v/>
      </c>
      <c r="CM103" s="811" t="str">
        <f t="shared" si="103"/>
        <v/>
      </c>
      <c r="CN103" s="811" t="str">
        <f t="shared" si="103"/>
        <v/>
      </c>
      <c r="CO103" s="811" t="str">
        <f t="shared" si="103"/>
        <v/>
      </c>
      <c r="CP103" s="811" t="str">
        <f t="shared" si="103"/>
        <v/>
      </c>
      <c r="CQ103" s="811" t="str">
        <f t="shared" si="103"/>
        <v/>
      </c>
      <c r="CR103" s="811" t="str">
        <f t="shared" si="103"/>
        <v/>
      </c>
      <c r="CS103" s="811" t="str">
        <f t="shared" si="103"/>
        <v/>
      </c>
      <c r="CT103" s="811" t="str">
        <f t="shared" si="103"/>
        <v/>
      </c>
      <c r="CU103" s="811" t="str">
        <f t="shared" si="104"/>
        <v/>
      </c>
      <c r="CV103" s="811" t="str">
        <f t="shared" si="104"/>
        <v/>
      </c>
      <c r="CW103" s="811" t="str">
        <f t="shared" si="104"/>
        <v/>
      </c>
      <c r="CX103" s="811" t="str">
        <f t="shared" si="104"/>
        <v/>
      </c>
      <c r="CY103" s="811" t="str">
        <f t="shared" si="104"/>
        <v/>
      </c>
      <c r="CZ103" s="811" t="str">
        <f t="shared" si="104"/>
        <v/>
      </c>
      <c r="DA103" s="811" t="str">
        <f t="shared" si="104"/>
        <v/>
      </c>
      <c r="DB103" s="811" t="str">
        <f t="shared" si="104"/>
        <v/>
      </c>
      <c r="DC103" s="811" t="str">
        <f t="shared" si="104"/>
        <v/>
      </c>
      <c r="DD103" s="811" t="str">
        <f t="shared" si="104"/>
        <v/>
      </c>
      <c r="DE103" s="811" t="str">
        <f t="shared" si="105"/>
        <v/>
      </c>
      <c r="DF103" s="811" t="str">
        <f t="shared" si="105"/>
        <v/>
      </c>
      <c r="DG103" s="811" t="str">
        <f t="shared" si="105"/>
        <v/>
      </c>
      <c r="DH103" s="811" t="str">
        <f t="shared" si="105"/>
        <v/>
      </c>
      <c r="DI103" s="811" t="str">
        <f t="shared" si="105"/>
        <v/>
      </c>
      <c r="DJ103" s="811" t="str">
        <f t="shared" si="105"/>
        <v/>
      </c>
      <c r="DK103" s="811" t="str">
        <f t="shared" si="105"/>
        <v/>
      </c>
    </row>
    <row r="104" spans="2:115" ht="20.100000000000001" customHeight="1" x14ac:dyDescent="0.2">
      <c r="B104" s="806"/>
      <c r="C104" s="806"/>
      <c r="D104" s="806"/>
      <c r="E104" s="806"/>
      <c r="F104" s="806"/>
      <c r="G104" s="806"/>
      <c r="H104" s="806"/>
      <c r="L104" s="810" t="str">
        <f t="shared" si="90"/>
        <v/>
      </c>
      <c r="N104" s="811" t="str">
        <f t="shared" si="106"/>
        <v/>
      </c>
      <c r="O104" s="811" t="str">
        <f t="shared" si="106"/>
        <v/>
      </c>
      <c r="P104" s="811" t="str">
        <f t="shared" si="106"/>
        <v/>
      </c>
      <c r="Q104" s="811" t="str">
        <f t="shared" si="106"/>
        <v/>
      </c>
      <c r="R104" s="811" t="str">
        <f t="shared" si="106"/>
        <v/>
      </c>
      <c r="S104" s="811" t="str">
        <f t="shared" si="106"/>
        <v/>
      </c>
      <c r="T104" s="811" t="str">
        <f t="shared" si="106"/>
        <v/>
      </c>
      <c r="U104" s="811" t="str">
        <f t="shared" si="106"/>
        <v/>
      </c>
      <c r="V104" s="811" t="str">
        <f t="shared" si="106"/>
        <v/>
      </c>
      <c r="W104" s="811" t="str">
        <f t="shared" si="106"/>
        <v/>
      </c>
      <c r="X104" s="811" t="str">
        <f t="shared" si="107"/>
        <v/>
      </c>
      <c r="Y104" s="811" t="str">
        <f t="shared" si="107"/>
        <v/>
      </c>
      <c r="Z104" s="811" t="str">
        <f t="shared" si="107"/>
        <v/>
      </c>
      <c r="AA104" s="811" t="str">
        <f t="shared" si="107"/>
        <v/>
      </c>
      <c r="AB104" s="811" t="str">
        <f t="shared" si="107"/>
        <v/>
      </c>
      <c r="AC104" s="811" t="str">
        <f t="shared" si="107"/>
        <v/>
      </c>
      <c r="AD104" s="811" t="str">
        <f t="shared" si="107"/>
        <v/>
      </c>
      <c r="AE104" s="811" t="str">
        <f t="shared" si="107"/>
        <v/>
      </c>
      <c r="AF104" s="811" t="str">
        <f t="shared" si="107"/>
        <v/>
      </c>
      <c r="AG104" s="811" t="str">
        <f t="shared" si="107"/>
        <v/>
      </c>
      <c r="AH104" s="811" t="str">
        <f t="shared" si="108"/>
        <v/>
      </c>
      <c r="AI104" s="811" t="str">
        <f t="shared" si="108"/>
        <v/>
      </c>
      <c r="AJ104" s="811" t="str">
        <f t="shared" si="108"/>
        <v/>
      </c>
      <c r="AK104" s="811" t="str">
        <f t="shared" si="108"/>
        <v/>
      </c>
      <c r="AL104" s="811" t="str">
        <f t="shared" si="108"/>
        <v/>
      </c>
      <c r="AM104" s="811" t="str">
        <f t="shared" si="108"/>
        <v/>
      </c>
      <c r="AN104" s="811" t="str">
        <f t="shared" si="108"/>
        <v/>
      </c>
      <c r="AO104" s="811" t="str">
        <f t="shared" si="108"/>
        <v/>
      </c>
      <c r="AP104" s="811" t="str">
        <f t="shared" si="108"/>
        <v/>
      </c>
      <c r="AQ104" s="811" t="str">
        <f t="shared" si="108"/>
        <v/>
      </c>
      <c r="AR104" s="811" t="str">
        <f t="shared" si="109"/>
        <v/>
      </c>
      <c r="AS104" s="811" t="str">
        <f t="shared" si="109"/>
        <v/>
      </c>
      <c r="AT104" s="811" t="str">
        <f t="shared" si="109"/>
        <v/>
      </c>
      <c r="AU104" s="811" t="str">
        <f t="shared" si="109"/>
        <v/>
      </c>
      <c r="AV104" s="811" t="str">
        <f t="shared" si="109"/>
        <v/>
      </c>
      <c r="AW104" s="811" t="str">
        <f t="shared" si="109"/>
        <v/>
      </c>
      <c r="AX104" s="811" t="str">
        <f t="shared" si="109"/>
        <v/>
      </c>
      <c r="AY104" s="811" t="str">
        <f t="shared" si="109"/>
        <v/>
      </c>
      <c r="AZ104" s="811" t="str">
        <f t="shared" si="109"/>
        <v/>
      </c>
      <c r="BA104" s="811" t="str">
        <f t="shared" si="109"/>
        <v/>
      </c>
      <c r="BB104" s="811" t="str">
        <f t="shared" si="110"/>
        <v/>
      </c>
      <c r="BC104" s="811" t="str">
        <f t="shared" si="110"/>
        <v/>
      </c>
      <c r="BD104" s="811" t="str">
        <f t="shared" si="110"/>
        <v/>
      </c>
      <c r="BE104" s="811" t="str">
        <f t="shared" si="110"/>
        <v/>
      </c>
      <c r="BF104" s="811" t="str">
        <f t="shared" si="110"/>
        <v/>
      </c>
      <c r="BG104" s="811" t="str">
        <f t="shared" si="110"/>
        <v/>
      </c>
      <c r="BH104" s="811" t="str">
        <f t="shared" si="110"/>
        <v/>
      </c>
      <c r="BI104" s="811" t="str">
        <f t="shared" si="110"/>
        <v/>
      </c>
      <c r="BJ104" s="811" t="str">
        <f t="shared" si="110"/>
        <v/>
      </c>
      <c r="BK104" s="811" t="str">
        <f t="shared" si="110"/>
        <v/>
      </c>
      <c r="BL104" s="811" t="str">
        <f t="shared" si="110"/>
        <v/>
      </c>
      <c r="BM104" s="811" t="str">
        <f t="shared" si="110"/>
        <v/>
      </c>
      <c r="BN104" s="811" t="str">
        <f t="shared" si="110"/>
        <v/>
      </c>
      <c r="BO104" s="811" t="str">
        <f t="shared" si="110"/>
        <v/>
      </c>
      <c r="BP104" s="811" t="str">
        <f t="shared" si="110"/>
        <v/>
      </c>
      <c r="BQ104" s="811" t="str">
        <f t="shared" si="101"/>
        <v/>
      </c>
      <c r="BR104" s="811" t="str">
        <f t="shared" si="101"/>
        <v/>
      </c>
      <c r="BS104" s="811" t="str">
        <f t="shared" si="101"/>
        <v/>
      </c>
      <c r="BT104" s="811" t="str">
        <f t="shared" si="101"/>
        <v/>
      </c>
      <c r="BU104" s="811" t="str">
        <f t="shared" si="101"/>
        <v/>
      </c>
      <c r="BV104" s="811" t="str">
        <f t="shared" si="101"/>
        <v/>
      </c>
      <c r="BW104" s="811" t="str">
        <f t="shared" si="101"/>
        <v/>
      </c>
      <c r="BX104" s="811" t="str">
        <f t="shared" si="101"/>
        <v/>
      </c>
      <c r="BY104" s="811" t="str">
        <f t="shared" si="101"/>
        <v/>
      </c>
      <c r="BZ104" s="811" t="str">
        <f t="shared" si="101"/>
        <v/>
      </c>
      <c r="CA104" s="811" t="str">
        <f t="shared" si="102"/>
        <v/>
      </c>
      <c r="CB104" s="811" t="str">
        <f t="shared" si="102"/>
        <v/>
      </c>
      <c r="CC104" s="811" t="str">
        <f t="shared" si="102"/>
        <v/>
      </c>
      <c r="CD104" s="811" t="str">
        <f t="shared" si="102"/>
        <v/>
      </c>
      <c r="CE104" s="811" t="str">
        <f t="shared" si="102"/>
        <v/>
      </c>
      <c r="CF104" s="811" t="str">
        <f t="shared" si="102"/>
        <v/>
      </c>
      <c r="CG104" s="811" t="str">
        <f t="shared" si="102"/>
        <v/>
      </c>
      <c r="CH104" s="811" t="str">
        <f t="shared" si="102"/>
        <v/>
      </c>
      <c r="CI104" s="811" t="str">
        <f t="shared" si="102"/>
        <v/>
      </c>
      <c r="CJ104" s="811" t="str">
        <f t="shared" si="102"/>
        <v/>
      </c>
      <c r="CK104" s="811" t="str">
        <f t="shared" si="103"/>
        <v/>
      </c>
      <c r="CL104" s="811" t="str">
        <f t="shared" si="103"/>
        <v/>
      </c>
      <c r="CM104" s="811" t="str">
        <f t="shared" si="103"/>
        <v/>
      </c>
      <c r="CN104" s="811" t="str">
        <f t="shared" si="103"/>
        <v/>
      </c>
      <c r="CO104" s="811" t="str">
        <f t="shared" si="103"/>
        <v/>
      </c>
      <c r="CP104" s="811" t="str">
        <f t="shared" si="103"/>
        <v/>
      </c>
      <c r="CQ104" s="811" t="str">
        <f t="shared" si="103"/>
        <v/>
      </c>
      <c r="CR104" s="811" t="str">
        <f t="shared" si="103"/>
        <v/>
      </c>
      <c r="CS104" s="811" t="str">
        <f t="shared" si="103"/>
        <v/>
      </c>
      <c r="CT104" s="811" t="str">
        <f t="shared" si="103"/>
        <v/>
      </c>
      <c r="CU104" s="811" t="str">
        <f t="shared" si="104"/>
        <v/>
      </c>
      <c r="CV104" s="811" t="str">
        <f t="shared" si="104"/>
        <v/>
      </c>
      <c r="CW104" s="811" t="str">
        <f t="shared" si="104"/>
        <v/>
      </c>
      <c r="CX104" s="811" t="str">
        <f t="shared" si="104"/>
        <v/>
      </c>
      <c r="CY104" s="811" t="str">
        <f t="shared" si="104"/>
        <v/>
      </c>
      <c r="CZ104" s="811" t="str">
        <f t="shared" si="104"/>
        <v/>
      </c>
      <c r="DA104" s="811" t="str">
        <f t="shared" si="104"/>
        <v/>
      </c>
      <c r="DB104" s="811" t="str">
        <f t="shared" si="104"/>
        <v/>
      </c>
      <c r="DC104" s="811" t="str">
        <f t="shared" si="104"/>
        <v/>
      </c>
      <c r="DD104" s="811" t="str">
        <f t="shared" si="104"/>
        <v/>
      </c>
      <c r="DE104" s="811" t="str">
        <f t="shared" si="105"/>
        <v/>
      </c>
      <c r="DF104" s="811" t="str">
        <f t="shared" si="105"/>
        <v/>
      </c>
      <c r="DG104" s="811" t="str">
        <f t="shared" si="105"/>
        <v/>
      </c>
      <c r="DH104" s="811" t="str">
        <f t="shared" si="105"/>
        <v/>
      </c>
      <c r="DI104" s="811" t="str">
        <f t="shared" si="105"/>
        <v/>
      </c>
      <c r="DJ104" s="811" t="str">
        <f t="shared" si="105"/>
        <v/>
      </c>
      <c r="DK104" s="811" t="str">
        <f t="shared" si="105"/>
        <v/>
      </c>
    </row>
    <row r="105" spans="2:115" ht="20.100000000000001" customHeight="1" x14ac:dyDescent="0.2">
      <c r="B105" s="806"/>
      <c r="C105" s="806"/>
      <c r="D105" s="806"/>
      <c r="E105" s="806"/>
      <c r="F105" s="806"/>
      <c r="G105" s="806"/>
      <c r="H105" s="806"/>
      <c r="L105" s="810" t="str">
        <f t="shared" si="90"/>
        <v/>
      </c>
      <c r="N105" s="811" t="str">
        <f t="shared" si="106"/>
        <v/>
      </c>
      <c r="O105" s="811" t="str">
        <f t="shared" si="106"/>
        <v/>
      </c>
      <c r="P105" s="811" t="str">
        <f t="shared" si="106"/>
        <v/>
      </c>
      <c r="Q105" s="811" t="str">
        <f t="shared" si="106"/>
        <v/>
      </c>
      <c r="R105" s="811" t="str">
        <f t="shared" si="106"/>
        <v/>
      </c>
      <c r="S105" s="811" t="str">
        <f t="shared" si="106"/>
        <v/>
      </c>
      <c r="T105" s="811" t="str">
        <f t="shared" si="106"/>
        <v/>
      </c>
      <c r="U105" s="811" t="str">
        <f t="shared" si="106"/>
        <v/>
      </c>
      <c r="V105" s="811" t="str">
        <f t="shared" si="106"/>
        <v/>
      </c>
      <c r="W105" s="811" t="str">
        <f t="shared" si="106"/>
        <v/>
      </c>
      <c r="X105" s="811" t="str">
        <f t="shared" si="107"/>
        <v/>
      </c>
      <c r="Y105" s="811" t="str">
        <f t="shared" si="107"/>
        <v/>
      </c>
      <c r="Z105" s="811" t="str">
        <f t="shared" si="107"/>
        <v/>
      </c>
      <c r="AA105" s="811" t="str">
        <f t="shared" si="107"/>
        <v/>
      </c>
      <c r="AB105" s="811" t="str">
        <f t="shared" si="107"/>
        <v/>
      </c>
      <c r="AC105" s="811" t="str">
        <f t="shared" si="107"/>
        <v/>
      </c>
      <c r="AD105" s="811" t="str">
        <f t="shared" si="107"/>
        <v/>
      </c>
      <c r="AE105" s="811" t="str">
        <f t="shared" si="107"/>
        <v/>
      </c>
      <c r="AF105" s="811" t="str">
        <f t="shared" si="107"/>
        <v/>
      </c>
      <c r="AG105" s="811" t="str">
        <f t="shared" si="107"/>
        <v/>
      </c>
      <c r="AH105" s="811" t="str">
        <f t="shared" si="108"/>
        <v/>
      </c>
      <c r="AI105" s="811" t="str">
        <f t="shared" si="108"/>
        <v/>
      </c>
      <c r="AJ105" s="811" t="str">
        <f t="shared" si="108"/>
        <v/>
      </c>
      <c r="AK105" s="811" t="str">
        <f t="shared" si="108"/>
        <v/>
      </c>
      <c r="AL105" s="811" t="str">
        <f t="shared" si="108"/>
        <v/>
      </c>
      <c r="AM105" s="811" t="str">
        <f t="shared" si="108"/>
        <v/>
      </c>
      <c r="AN105" s="811" t="str">
        <f t="shared" si="108"/>
        <v/>
      </c>
      <c r="AO105" s="811" t="str">
        <f t="shared" si="108"/>
        <v/>
      </c>
      <c r="AP105" s="811" t="str">
        <f t="shared" si="108"/>
        <v/>
      </c>
      <c r="AQ105" s="811" t="str">
        <f t="shared" si="108"/>
        <v/>
      </c>
      <c r="AR105" s="811" t="str">
        <f t="shared" si="109"/>
        <v/>
      </c>
      <c r="AS105" s="811" t="str">
        <f t="shared" si="109"/>
        <v/>
      </c>
      <c r="AT105" s="811" t="str">
        <f t="shared" si="109"/>
        <v/>
      </c>
      <c r="AU105" s="811" t="str">
        <f t="shared" si="109"/>
        <v/>
      </c>
      <c r="AV105" s="811" t="str">
        <f t="shared" si="109"/>
        <v/>
      </c>
      <c r="AW105" s="811" t="str">
        <f t="shared" si="109"/>
        <v/>
      </c>
      <c r="AX105" s="811" t="str">
        <f t="shared" si="109"/>
        <v/>
      </c>
      <c r="AY105" s="811" t="str">
        <f t="shared" si="109"/>
        <v/>
      </c>
      <c r="AZ105" s="811" t="str">
        <f t="shared" si="109"/>
        <v/>
      </c>
      <c r="BA105" s="811" t="str">
        <f t="shared" si="109"/>
        <v/>
      </c>
      <c r="BB105" s="811" t="str">
        <f t="shared" si="110"/>
        <v/>
      </c>
      <c r="BC105" s="811" t="str">
        <f t="shared" si="110"/>
        <v/>
      </c>
      <c r="BD105" s="811" t="str">
        <f t="shared" si="110"/>
        <v/>
      </c>
      <c r="BE105" s="811" t="str">
        <f t="shared" si="110"/>
        <v/>
      </c>
      <c r="BF105" s="811" t="str">
        <f t="shared" si="110"/>
        <v/>
      </c>
      <c r="BG105" s="811" t="str">
        <f t="shared" si="110"/>
        <v/>
      </c>
      <c r="BH105" s="811" t="str">
        <f t="shared" si="110"/>
        <v/>
      </c>
      <c r="BI105" s="811" t="str">
        <f t="shared" si="110"/>
        <v/>
      </c>
      <c r="BJ105" s="811" t="str">
        <f t="shared" si="110"/>
        <v/>
      </c>
      <c r="BK105" s="811" t="str">
        <f t="shared" si="110"/>
        <v/>
      </c>
      <c r="BL105" s="811" t="str">
        <f t="shared" si="110"/>
        <v/>
      </c>
      <c r="BM105" s="811" t="str">
        <f t="shared" si="110"/>
        <v/>
      </c>
      <c r="BN105" s="811" t="str">
        <f t="shared" si="110"/>
        <v/>
      </c>
      <c r="BO105" s="811" t="str">
        <f t="shared" si="110"/>
        <v/>
      </c>
      <c r="BP105" s="811" t="str">
        <f t="shared" si="110"/>
        <v/>
      </c>
      <c r="BQ105" s="811" t="str">
        <f t="shared" si="101"/>
        <v/>
      </c>
      <c r="BR105" s="811" t="str">
        <f t="shared" si="101"/>
        <v/>
      </c>
      <c r="BS105" s="811" t="str">
        <f t="shared" si="101"/>
        <v/>
      </c>
      <c r="BT105" s="811" t="str">
        <f t="shared" si="101"/>
        <v/>
      </c>
      <c r="BU105" s="811" t="str">
        <f t="shared" si="101"/>
        <v/>
      </c>
      <c r="BV105" s="811" t="str">
        <f t="shared" si="101"/>
        <v/>
      </c>
      <c r="BW105" s="811" t="str">
        <f t="shared" si="101"/>
        <v/>
      </c>
      <c r="BX105" s="811" t="str">
        <f t="shared" si="101"/>
        <v/>
      </c>
      <c r="BY105" s="811" t="str">
        <f t="shared" si="101"/>
        <v/>
      </c>
      <c r="BZ105" s="811" t="str">
        <f t="shared" si="101"/>
        <v/>
      </c>
      <c r="CA105" s="811" t="str">
        <f t="shared" si="102"/>
        <v/>
      </c>
      <c r="CB105" s="811" t="str">
        <f t="shared" si="102"/>
        <v/>
      </c>
      <c r="CC105" s="811" t="str">
        <f t="shared" si="102"/>
        <v/>
      </c>
      <c r="CD105" s="811" t="str">
        <f t="shared" si="102"/>
        <v/>
      </c>
      <c r="CE105" s="811" t="str">
        <f t="shared" si="102"/>
        <v/>
      </c>
      <c r="CF105" s="811" t="str">
        <f t="shared" si="102"/>
        <v/>
      </c>
      <c r="CG105" s="811" t="str">
        <f t="shared" si="102"/>
        <v/>
      </c>
      <c r="CH105" s="811" t="str">
        <f t="shared" si="102"/>
        <v/>
      </c>
      <c r="CI105" s="811" t="str">
        <f t="shared" si="102"/>
        <v/>
      </c>
      <c r="CJ105" s="811" t="str">
        <f t="shared" si="102"/>
        <v/>
      </c>
      <c r="CK105" s="811" t="str">
        <f t="shared" si="103"/>
        <v/>
      </c>
      <c r="CL105" s="811" t="str">
        <f t="shared" si="103"/>
        <v/>
      </c>
      <c r="CM105" s="811" t="str">
        <f t="shared" si="103"/>
        <v/>
      </c>
      <c r="CN105" s="811" t="str">
        <f t="shared" si="103"/>
        <v/>
      </c>
      <c r="CO105" s="811" t="str">
        <f t="shared" si="103"/>
        <v/>
      </c>
      <c r="CP105" s="811" t="str">
        <f t="shared" si="103"/>
        <v/>
      </c>
      <c r="CQ105" s="811" t="str">
        <f t="shared" si="103"/>
        <v/>
      </c>
      <c r="CR105" s="811" t="str">
        <f t="shared" si="103"/>
        <v/>
      </c>
      <c r="CS105" s="811" t="str">
        <f t="shared" si="103"/>
        <v/>
      </c>
      <c r="CT105" s="811" t="str">
        <f t="shared" si="103"/>
        <v/>
      </c>
      <c r="CU105" s="811" t="str">
        <f t="shared" si="104"/>
        <v/>
      </c>
      <c r="CV105" s="811" t="str">
        <f t="shared" si="104"/>
        <v/>
      </c>
      <c r="CW105" s="811" t="str">
        <f t="shared" si="104"/>
        <v/>
      </c>
      <c r="CX105" s="811" t="str">
        <f t="shared" si="104"/>
        <v/>
      </c>
      <c r="CY105" s="811" t="str">
        <f t="shared" si="104"/>
        <v/>
      </c>
      <c r="CZ105" s="811" t="str">
        <f t="shared" si="104"/>
        <v/>
      </c>
      <c r="DA105" s="811" t="str">
        <f t="shared" si="104"/>
        <v/>
      </c>
      <c r="DB105" s="811" t="str">
        <f t="shared" si="104"/>
        <v/>
      </c>
      <c r="DC105" s="811" t="str">
        <f t="shared" si="104"/>
        <v/>
      </c>
      <c r="DD105" s="811" t="str">
        <f t="shared" si="104"/>
        <v/>
      </c>
      <c r="DE105" s="811" t="str">
        <f t="shared" si="105"/>
        <v/>
      </c>
      <c r="DF105" s="811" t="str">
        <f t="shared" si="105"/>
        <v/>
      </c>
      <c r="DG105" s="811" t="str">
        <f t="shared" si="105"/>
        <v/>
      </c>
      <c r="DH105" s="811" t="str">
        <f t="shared" si="105"/>
        <v/>
      </c>
      <c r="DI105" s="811" t="str">
        <f t="shared" si="105"/>
        <v/>
      </c>
      <c r="DJ105" s="811" t="str">
        <f t="shared" si="105"/>
        <v/>
      </c>
      <c r="DK105" s="811" t="str">
        <f t="shared" si="105"/>
        <v/>
      </c>
    </row>
    <row r="106" spans="2:115" ht="20.100000000000001" customHeight="1" x14ac:dyDescent="0.2">
      <c r="B106" s="806"/>
      <c r="C106" s="806"/>
      <c r="D106" s="806"/>
      <c r="E106" s="806"/>
      <c r="F106" s="806"/>
      <c r="G106" s="806"/>
      <c r="H106" s="806"/>
      <c r="L106" s="810" t="str">
        <f t="shared" si="90"/>
        <v/>
      </c>
      <c r="N106" s="811" t="str">
        <f t="shared" si="106"/>
        <v/>
      </c>
      <c r="O106" s="811" t="str">
        <f t="shared" si="106"/>
        <v/>
      </c>
      <c r="P106" s="811" t="str">
        <f t="shared" si="106"/>
        <v/>
      </c>
      <c r="Q106" s="811" t="str">
        <f t="shared" si="106"/>
        <v/>
      </c>
      <c r="R106" s="811" t="str">
        <f t="shared" si="106"/>
        <v/>
      </c>
      <c r="S106" s="811" t="str">
        <f t="shared" si="106"/>
        <v/>
      </c>
      <c r="T106" s="811" t="str">
        <f t="shared" si="106"/>
        <v/>
      </c>
      <c r="U106" s="811" t="str">
        <f t="shared" si="106"/>
        <v/>
      </c>
      <c r="V106" s="811" t="str">
        <f t="shared" si="106"/>
        <v/>
      </c>
      <c r="W106" s="811" t="str">
        <f t="shared" si="106"/>
        <v/>
      </c>
      <c r="X106" s="811" t="str">
        <f t="shared" si="107"/>
        <v/>
      </c>
      <c r="Y106" s="811" t="str">
        <f t="shared" si="107"/>
        <v/>
      </c>
      <c r="Z106" s="811" t="str">
        <f t="shared" si="107"/>
        <v/>
      </c>
      <c r="AA106" s="811" t="str">
        <f t="shared" si="107"/>
        <v/>
      </c>
      <c r="AB106" s="811" t="str">
        <f t="shared" si="107"/>
        <v/>
      </c>
      <c r="AC106" s="811" t="str">
        <f t="shared" si="107"/>
        <v/>
      </c>
      <c r="AD106" s="811" t="str">
        <f t="shared" si="107"/>
        <v/>
      </c>
      <c r="AE106" s="811" t="str">
        <f t="shared" si="107"/>
        <v/>
      </c>
      <c r="AF106" s="811" t="str">
        <f t="shared" si="107"/>
        <v/>
      </c>
      <c r="AG106" s="811" t="str">
        <f t="shared" si="107"/>
        <v/>
      </c>
      <c r="AH106" s="811" t="str">
        <f t="shared" si="108"/>
        <v/>
      </c>
      <c r="AI106" s="811" t="str">
        <f t="shared" si="108"/>
        <v/>
      </c>
      <c r="AJ106" s="811" t="str">
        <f t="shared" si="108"/>
        <v/>
      </c>
      <c r="AK106" s="811" t="str">
        <f t="shared" si="108"/>
        <v/>
      </c>
      <c r="AL106" s="811" t="str">
        <f t="shared" si="108"/>
        <v/>
      </c>
      <c r="AM106" s="811" t="str">
        <f t="shared" si="108"/>
        <v/>
      </c>
      <c r="AN106" s="811" t="str">
        <f t="shared" si="108"/>
        <v/>
      </c>
      <c r="AO106" s="811" t="str">
        <f t="shared" si="108"/>
        <v/>
      </c>
      <c r="AP106" s="811" t="str">
        <f t="shared" si="108"/>
        <v/>
      </c>
      <c r="AQ106" s="811" t="str">
        <f t="shared" si="108"/>
        <v/>
      </c>
      <c r="AR106" s="811" t="str">
        <f t="shared" si="109"/>
        <v/>
      </c>
      <c r="AS106" s="811" t="str">
        <f t="shared" si="109"/>
        <v/>
      </c>
      <c r="AT106" s="811" t="str">
        <f t="shared" si="109"/>
        <v/>
      </c>
      <c r="AU106" s="811" t="str">
        <f t="shared" si="109"/>
        <v/>
      </c>
      <c r="AV106" s="811" t="str">
        <f t="shared" si="109"/>
        <v/>
      </c>
      <c r="AW106" s="811" t="str">
        <f t="shared" si="109"/>
        <v/>
      </c>
      <c r="AX106" s="811" t="str">
        <f t="shared" si="109"/>
        <v/>
      </c>
      <c r="AY106" s="811" t="str">
        <f t="shared" si="109"/>
        <v/>
      </c>
      <c r="AZ106" s="811" t="str">
        <f t="shared" si="109"/>
        <v/>
      </c>
      <c r="BA106" s="811" t="str">
        <f t="shared" si="109"/>
        <v/>
      </c>
      <c r="BB106" s="811" t="str">
        <f t="shared" si="110"/>
        <v/>
      </c>
      <c r="BC106" s="811" t="str">
        <f t="shared" si="110"/>
        <v/>
      </c>
      <c r="BD106" s="811" t="str">
        <f t="shared" si="110"/>
        <v/>
      </c>
      <c r="BE106" s="811" t="str">
        <f t="shared" si="110"/>
        <v/>
      </c>
      <c r="BF106" s="811" t="str">
        <f t="shared" si="110"/>
        <v/>
      </c>
      <c r="BG106" s="811" t="str">
        <f t="shared" si="110"/>
        <v/>
      </c>
      <c r="BH106" s="811" t="str">
        <f t="shared" si="110"/>
        <v/>
      </c>
      <c r="BI106" s="811" t="str">
        <f t="shared" si="110"/>
        <v/>
      </c>
      <c r="BJ106" s="811" t="str">
        <f t="shared" si="110"/>
        <v/>
      </c>
      <c r="BK106" s="811" t="str">
        <f t="shared" si="110"/>
        <v/>
      </c>
      <c r="BL106" s="811" t="str">
        <f t="shared" si="110"/>
        <v/>
      </c>
      <c r="BM106" s="811" t="str">
        <f t="shared" si="110"/>
        <v/>
      </c>
      <c r="BN106" s="811" t="str">
        <f t="shared" si="110"/>
        <v/>
      </c>
      <c r="BO106" s="811" t="str">
        <f t="shared" si="110"/>
        <v/>
      </c>
      <c r="BP106" s="811" t="str">
        <f t="shared" si="110"/>
        <v/>
      </c>
      <c r="BQ106" s="811" t="str">
        <f t="shared" si="101"/>
        <v/>
      </c>
      <c r="BR106" s="811" t="str">
        <f t="shared" si="101"/>
        <v/>
      </c>
      <c r="BS106" s="811" t="str">
        <f t="shared" si="101"/>
        <v/>
      </c>
      <c r="BT106" s="811" t="str">
        <f t="shared" si="101"/>
        <v/>
      </c>
      <c r="BU106" s="811" t="str">
        <f t="shared" si="101"/>
        <v/>
      </c>
      <c r="BV106" s="811" t="str">
        <f t="shared" si="101"/>
        <v/>
      </c>
      <c r="BW106" s="811" t="str">
        <f t="shared" si="101"/>
        <v/>
      </c>
      <c r="BX106" s="811" t="str">
        <f t="shared" si="101"/>
        <v/>
      </c>
      <c r="BY106" s="811" t="str">
        <f t="shared" si="101"/>
        <v/>
      </c>
      <c r="BZ106" s="811" t="str">
        <f t="shared" si="101"/>
        <v/>
      </c>
      <c r="CA106" s="811" t="str">
        <f t="shared" si="102"/>
        <v/>
      </c>
      <c r="CB106" s="811" t="str">
        <f t="shared" si="102"/>
        <v/>
      </c>
      <c r="CC106" s="811" t="str">
        <f t="shared" si="102"/>
        <v/>
      </c>
      <c r="CD106" s="811" t="str">
        <f t="shared" si="102"/>
        <v/>
      </c>
      <c r="CE106" s="811" t="str">
        <f t="shared" si="102"/>
        <v/>
      </c>
      <c r="CF106" s="811" t="str">
        <f t="shared" si="102"/>
        <v/>
      </c>
      <c r="CG106" s="811" t="str">
        <f t="shared" si="102"/>
        <v/>
      </c>
      <c r="CH106" s="811" t="str">
        <f t="shared" si="102"/>
        <v/>
      </c>
      <c r="CI106" s="811" t="str">
        <f t="shared" si="102"/>
        <v/>
      </c>
      <c r="CJ106" s="811" t="str">
        <f t="shared" si="102"/>
        <v/>
      </c>
      <c r="CK106" s="811" t="str">
        <f t="shared" si="103"/>
        <v/>
      </c>
      <c r="CL106" s="811" t="str">
        <f t="shared" si="103"/>
        <v/>
      </c>
      <c r="CM106" s="811" t="str">
        <f t="shared" si="103"/>
        <v/>
      </c>
      <c r="CN106" s="811" t="str">
        <f t="shared" si="103"/>
        <v/>
      </c>
      <c r="CO106" s="811" t="str">
        <f t="shared" si="103"/>
        <v/>
      </c>
      <c r="CP106" s="811" t="str">
        <f t="shared" si="103"/>
        <v/>
      </c>
      <c r="CQ106" s="811" t="str">
        <f t="shared" si="103"/>
        <v/>
      </c>
      <c r="CR106" s="811" t="str">
        <f t="shared" si="103"/>
        <v/>
      </c>
      <c r="CS106" s="811" t="str">
        <f t="shared" si="103"/>
        <v/>
      </c>
      <c r="CT106" s="811" t="str">
        <f t="shared" si="103"/>
        <v/>
      </c>
      <c r="CU106" s="811" t="str">
        <f t="shared" si="104"/>
        <v/>
      </c>
      <c r="CV106" s="811" t="str">
        <f t="shared" si="104"/>
        <v/>
      </c>
      <c r="CW106" s="811" t="str">
        <f t="shared" si="104"/>
        <v/>
      </c>
      <c r="CX106" s="811" t="str">
        <f t="shared" si="104"/>
        <v/>
      </c>
      <c r="CY106" s="811" t="str">
        <f t="shared" si="104"/>
        <v/>
      </c>
      <c r="CZ106" s="811" t="str">
        <f t="shared" si="104"/>
        <v/>
      </c>
      <c r="DA106" s="811" t="str">
        <f t="shared" si="104"/>
        <v/>
      </c>
      <c r="DB106" s="811" t="str">
        <f t="shared" si="104"/>
        <v/>
      </c>
      <c r="DC106" s="811" t="str">
        <f t="shared" si="104"/>
        <v/>
      </c>
      <c r="DD106" s="811" t="str">
        <f t="shared" si="104"/>
        <v/>
      </c>
      <c r="DE106" s="811" t="str">
        <f t="shared" si="105"/>
        <v/>
      </c>
      <c r="DF106" s="811" t="str">
        <f t="shared" si="105"/>
        <v/>
      </c>
      <c r="DG106" s="811" t="str">
        <f t="shared" si="105"/>
        <v/>
      </c>
      <c r="DH106" s="811" t="str">
        <f t="shared" si="105"/>
        <v/>
      </c>
      <c r="DI106" s="811" t="str">
        <f t="shared" si="105"/>
        <v/>
      </c>
      <c r="DJ106" s="811" t="str">
        <f t="shared" si="105"/>
        <v/>
      </c>
      <c r="DK106" s="811" t="str">
        <f t="shared" si="105"/>
        <v/>
      </c>
    </row>
    <row r="107" spans="2:115" ht="20.100000000000001" customHeight="1" x14ac:dyDescent="0.2">
      <c r="B107" s="806"/>
      <c r="C107" s="806"/>
      <c r="D107" s="806"/>
      <c r="E107" s="806"/>
      <c r="F107" s="806"/>
      <c r="G107" s="806"/>
      <c r="H107" s="806"/>
      <c r="L107" s="810" t="str">
        <f t="shared" si="90"/>
        <v/>
      </c>
      <c r="N107" s="811" t="str">
        <f t="shared" si="106"/>
        <v/>
      </c>
      <c r="O107" s="811" t="str">
        <f t="shared" si="106"/>
        <v/>
      </c>
      <c r="P107" s="811" t="str">
        <f t="shared" si="106"/>
        <v/>
      </c>
      <c r="Q107" s="811" t="str">
        <f t="shared" si="106"/>
        <v/>
      </c>
      <c r="R107" s="811" t="str">
        <f t="shared" si="106"/>
        <v/>
      </c>
      <c r="S107" s="811" t="str">
        <f t="shared" si="106"/>
        <v/>
      </c>
      <c r="T107" s="811" t="str">
        <f t="shared" si="106"/>
        <v/>
      </c>
      <c r="U107" s="811" t="str">
        <f t="shared" si="106"/>
        <v/>
      </c>
      <c r="V107" s="811" t="str">
        <f t="shared" si="106"/>
        <v/>
      </c>
      <c r="W107" s="811" t="str">
        <f t="shared" si="106"/>
        <v/>
      </c>
      <c r="X107" s="811" t="str">
        <f t="shared" si="107"/>
        <v/>
      </c>
      <c r="Y107" s="811" t="str">
        <f t="shared" si="107"/>
        <v/>
      </c>
      <c r="Z107" s="811" t="str">
        <f t="shared" si="107"/>
        <v/>
      </c>
      <c r="AA107" s="811" t="str">
        <f t="shared" si="107"/>
        <v/>
      </c>
      <c r="AB107" s="811" t="str">
        <f t="shared" si="107"/>
        <v/>
      </c>
      <c r="AC107" s="811" t="str">
        <f t="shared" si="107"/>
        <v/>
      </c>
      <c r="AD107" s="811" t="str">
        <f t="shared" si="107"/>
        <v/>
      </c>
      <c r="AE107" s="811" t="str">
        <f t="shared" si="107"/>
        <v/>
      </c>
      <c r="AF107" s="811" t="str">
        <f t="shared" si="107"/>
        <v/>
      </c>
      <c r="AG107" s="811" t="str">
        <f t="shared" si="107"/>
        <v/>
      </c>
      <c r="AH107" s="811" t="str">
        <f t="shared" si="108"/>
        <v/>
      </c>
      <c r="AI107" s="811" t="str">
        <f t="shared" si="108"/>
        <v/>
      </c>
      <c r="AJ107" s="811" t="str">
        <f t="shared" si="108"/>
        <v/>
      </c>
      <c r="AK107" s="811" t="str">
        <f t="shared" si="108"/>
        <v/>
      </c>
      <c r="AL107" s="811" t="str">
        <f t="shared" si="108"/>
        <v/>
      </c>
      <c r="AM107" s="811" t="str">
        <f t="shared" si="108"/>
        <v/>
      </c>
      <c r="AN107" s="811" t="str">
        <f t="shared" si="108"/>
        <v/>
      </c>
      <c r="AO107" s="811" t="str">
        <f t="shared" si="108"/>
        <v/>
      </c>
      <c r="AP107" s="811" t="str">
        <f t="shared" si="108"/>
        <v/>
      </c>
      <c r="AQ107" s="811" t="str">
        <f t="shared" si="108"/>
        <v/>
      </c>
      <c r="AR107" s="811" t="str">
        <f t="shared" si="109"/>
        <v/>
      </c>
      <c r="AS107" s="811" t="str">
        <f t="shared" si="109"/>
        <v/>
      </c>
      <c r="AT107" s="811" t="str">
        <f t="shared" si="109"/>
        <v/>
      </c>
      <c r="AU107" s="811" t="str">
        <f t="shared" si="109"/>
        <v/>
      </c>
      <c r="AV107" s="811" t="str">
        <f t="shared" si="109"/>
        <v/>
      </c>
      <c r="AW107" s="811" t="str">
        <f t="shared" si="109"/>
        <v/>
      </c>
      <c r="AX107" s="811" t="str">
        <f t="shared" si="109"/>
        <v/>
      </c>
      <c r="AY107" s="811" t="str">
        <f t="shared" si="109"/>
        <v/>
      </c>
      <c r="AZ107" s="811" t="str">
        <f t="shared" si="109"/>
        <v/>
      </c>
      <c r="BA107" s="811" t="str">
        <f t="shared" si="109"/>
        <v/>
      </c>
      <c r="BB107" s="811" t="str">
        <f t="shared" si="110"/>
        <v/>
      </c>
      <c r="BC107" s="811" t="str">
        <f t="shared" si="110"/>
        <v/>
      </c>
      <c r="BD107" s="811" t="str">
        <f t="shared" si="110"/>
        <v/>
      </c>
      <c r="BE107" s="811" t="str">
        <f t="shared" si="110"/>
        <v/>
      </c>
      <c r="BF107" s="811" t="str">
        <f t="shared" si="110"/>
        <v/>
      </c>
      <c r="BG107" s="811" t="str">
        <f t="shared" si="110"/>
        <v/>
      </c>
      <c r="BH107" s="811" t="str">
        <f t="shared" si="110"/>
        <v/>
      </c>
      <c r="BI107" s="811" t="str">
        <f t="shared" si="110"/>
        <v/>
      </c>
      <c r="BJ107" s="811" t="str">
        <f t="shared" si="110"/>
        <v/>
      </c>
      <c r="BK107" s="811" t="str">
        <f t="shared" si="110"/>
        <v/>
      </c>
      <c r="BL107" s="811" t="str">
        <f t="shared" si="110"/>
        <v/>
      </c>
      <c r="BM107" s="811" t="str">
        <f t="shared" si="110"/>
        <v/>
      </c>
      <c r="BN107" s="811" t="str">
        <f t="shared" si="110"/>
        <v/>
      </c>
      <c r="BO107" s="811" t="str">
        <f t="shared" si="110"/>
        <v/>
      </c>
      <c r="BP107" s="811" t="str">
        <f t="shared" si="110"/>
        <v/>
      </c>
      <c r="BQ107" s="811" t="str">
        <f t="shared" ref="BQ107:BZ113" si="111">IF(ISNUMBER($J107),IF(BQ$12&lt;$J107,"",IF(BQ$12=$J107,$D107*$C107,IF(AND(BQ$12&gt;$J107,BQ$12&lt;$J107+$F107*365),$D107*(1-(BQ$12-$J107)/($F107*365))*$C107,""))),"")</f>
        <v/>
      </c>
      <c r="BR107" s="811" t="str">
        <f t="shared" si="111"/>
        <v/>
      </c>
      <c r="BS107" s="811" t="str">
        <f t="shared" si="111"/>
        <v/>
      </c>
      <c r="BT107" s="811" t="str">
        <f t="shared" si="111"/>
        <v/>
      </c>
      <c r="BU107" s="811" t="str">
        <f t="shared" si="111"/>
        <v/>
      </c>
      <c r="BV107" s="811" t="str">
        <f t="shared" si="111"/>
        <v/>
      </c>
      <c r="BW107" s="811" t="str">
        <f t="shared" si="111"/>
        <v/>
      </c>
      <c r="BX107" s="811" t="str">
        <f t="shared" si="111"/>
        <v/>
      </c>
      <c r="BY107" s="811" t="str">
        <f t="shared" si="111"/>
        <v/>
      </c>
      <c r="BZ107" s="811" t="str">
        <f t="shared" si="111"/>
        <v/>
      </c>
      <c r="CA107" s="811" t="str">
        <f t="shared" ref="CA107:CJ113" si="112">IF(ISNUMBER($J107),IF(CA$12&lt;$J107,"",IF(CA$12=$J107,$D107*$C107,IF(AND(CA$12&gt;$J107,CA$12&lt;$J107+$F107*365),$D107*(1-(CA$12-$J107)/($F107*365))*$C107,""))),"")</f>
        <v/>
      </c>
      <c r="CB107" s="811" t="str">
        <f t="shared" si="112"/>
        <v/>
      </c>
      <c r="CC107" s="811" t="str">
        <f t="shared" si="112"/>
        <v/>
      </c>
      <c r="CD107" s="811" t="str">
        <f t="shared" si="112"/>
        <v/>
      </c>
      <c r="CE107" s="811" t="str">
        <f t="shared" si="112"/>
        <v/>
      </c>
      <c r="CF107" s="811" t="str">
        <f t="shared" si="112"/>
        <v/>
      </c>
      <c r="CG107" s="811" t="str">
        <f t="shared" si="112"/>
        <v/>
      </c>
      <c r="CH107" s="811" t="str">
        <f t="shared" si="112"/>
        <v/>
      </c>
      <c r="CI107" s="811" t="str">
        <f t="shared" si="112"/>
        <v/>
      </c>
      <c r="CJ107" s="811" t="str">
        <f t="shared" si="112"/>
        <v/>
      </c>
      <c r="CK107" s="811" t="str">
        <f t="shared" ref="CK107:CT113" si="113">IF(ISNUMBER($J107),IF(CK$12&lt;$J107,"",IF(CK$12=$J107,$D107*$C107,IF(AND(CK$12&gt;$J107,CK$12&lt;$J107+$F107*365),$D107*(1-(CK$12-$J107)/($F107*365))*$C107,""))),"")</f>
        <v/>
      </c>
      <c r="CL107" s="811" t="str">
        <f t="shared" si="113"/>
        <v/>
      </c>
      <c r="CM107" s="811" t="str">
        <f t="shared" si="113"/>
        <v/>
      </c>
      <c r="CN107" s="811" t="str">
        <f t="shared" si="113"/>
        <v/>
      </c>
      <c r="CO107" s="811" t="str">
        <f t="shared" si="113"/>
        <v/>
      </c>
      <c r="CP107" s="811" t="str">
        <f t="shared" si="113"/>
        <v/>
      </c>
      <c r="CQ107" s="811" t="str">
        <f t="shared" si="113"/>
        <v/>
      </c>
      <c r="CR107" s="811" t="str">
        <f t="shared" si="113"/>
        <v/>
      </c>
      <c r="CS107" s="811" t="str">
        <f t="shared" si="113"/>
        <v/>
      </c>
      <c r="CT107" s="811" t="str">
        <f t="shared" si="113"/>
        <v/>
      </c>
      <c r="CU107" s="811" t="str">
        <f t="shared" ref="CU107:DD113" si="114">IF(ISNUMBER($J107),IF(CU$12&lt;$J107,"",IF(CU$12=$J107,$D107*$C107,IF(AND(CU$12&gt;$J107,CU$12&lt;$J107+$F107*365),$D107*(1-(CU$12-$J107)/($F107*365))*$C107,""))),"")</f>
        <v/>
      </c>
      <c r="CV107" s="811" t="str">
        <f t="shared" si="114"/>
        <v/>
      </c>
      <c r="CW107" s="811" t="str">
        <f t="shared" si="114"/>
        <v/>
      </c>
      <c r="CX107" s="811" t="str">
        <f t="shared" si="114"/>
        <v/>
      </c>
      <c r="CY107" s="811" t="str">
        <f t="shared" si="114"/>
        <v/>
      </c>
      <c r="CZ107" s="811" t="str">
        <f t="shared" si="114"/>
        <v/>
      </c>
      <c r="DA107" s="811" t="str">
        <f t="shared" si="114"/>
        <v/>
      </c>
      <c r="DB107" s="811" t="str">
        <f t="shared" si="114"/>
        <v/>
      </c>
      <c r="DC107" s="811" t="str">
        <f t="shared" si="114"/>
        <v/>
      </c>
      <c r="DD107" s="811" t="str">
        <f t="shared" si="114"/>
        <v/>
      </c>
      <c r="DE107" s="811" t="str">
        <f t="shared" ref="DE107:DK113" si="115">IF(ISNUMBER($J107),IF(DE$12&lt;$J107,"",IF(DE$12=$J107,$D107*$C107,IF(AND(DE$12&gt;$J107,DE$12&lt;$J107+$F107*365),$D107*(1-(DE$12-$J107)/($F107*365))*$C107,""))),"")</f>
        <v/>
      </c>
      <c r="DF107" s="811" t="str">
        <f t="shared" si="115"/>
        <v/>
      </c>
      <c r="DG107" s="811" t="str">
        <f t="shared" si="115"/>
        <v/>
      </c>
      <c r="DH107" s="811" t="str">
        <f t="shared" si="115"/>
        <v/>
      </c>
      <c r="DI107" s="811" t="str">
        <f t="shared" si="115"/>
        <v/>
      </c>
      <c r="DJ107" s="811" t="str">
        <f t="shared" si="115"/>
        <v/>
      </c>
      <c r="DK107" s="811" t="str">
        <f t="shared" si="115"/>
        <v/>
      </c>
    </row>
    <row r="108" spans="2:115" ht="20.100000000000001" customHeight="1" x14ac:dyDescent="0.2">
      <c r="B108" s="806"/>
      <c r="C108" s="806"/>
      <c r="D108" s="806"/>
      <c r="E108" s="806"/>
      <c r="F108" s="806"/>
      <c r="G108" s="806"/>
      <c r="H108" s="806"/>
      <c r="L108" s="810" t="str">
        <f t="shared" si="90"/>
        <v/>
      </c>
      <c r="N108" s="811" t="str">
        <f t="shared" si="106"/>
        <v/>
      </c>
      <c r="O108" s="811" t="str">
        <f t="shared" si="106"/>
        <v/>
      </c>
      <c r="P108" s="811" t="str">
        <f t="shared" si="106"/>
        <v/>
      </c>
      <c r="Q108" s="811" t="str">
        <f t="shared" si="106"/>
        <v/>
      </c>
      <c r="R108" s="811" t="str">
        <f t="shared" si="106"/>
        <v/>
      </c>
      <c r="S108" s="811" t="str">
        <f t="shared" si="106"/>
        <v/>
      </c>
      <c r="T108" s="811" t="str">
        <f t="shared" si="106"/>
        <v/>
      </c>
      <c r="U108" s="811" t="str">
        <f t="shared" si="106"/>
        <v/>
      </c>
      <c r="V108" s="811" t="str">
        <f t="shared" si="106"/>
        <v/>
      </c>
      <c r="W108" s="811" t="str">
        <f t="shared" si="106"/>
        <v/>
      </c>
      <c r="X108" s="811" t="str">
        <f t="shared" si="107"/>
        <v/>
      </c>
      <c r="Y108" s="811" t="str">
        <f t="shared" si="107"/>
        <v/>
      </c>
      <c r="Z108" s="811" t="str">
        <f t="shared" si="107"/>
        <v/>
      </c>
      <c r="AA108" s="811" t="str">
        <f t="shared" si="107"/>
        <v/>
      </c>
      <c r="AB108" s="811" t="str">
        <f t="shared" si="107"/>
        <v/>
      </c>
      <c r="AC108" s="811" t="str">
        <f t="shared" si="107"/>
        <v/>
      </c>
      <c r="AD108" s="811" t="str">
        <f t="shared" si="107"/>
        <v/>
      </c>
      <c r="AE108" s="811" t="str">
        <f t="shared" si="107"/>
        <v/>
      </c>
      <c r="AF108" s="811" t="str">
        <f t="shared" si="107"/>
        <v/>
      </c>
      <c r="AG108" s="811" t="str">
        <f t="shared" si="107"/>
        <v/>
      </c>
      <c r="AH108" s="811" t="str">
        <f t="shared" si="108"/>
        <v/>
      </c>
      <c r="AI108" s="811" t="str">
        <f t="shared" si="108"/>
        <v/>
      </c>
      <c r="AJ108" s="811" t="str">
        <f t="shared" si="108"/>
        <v/>
      </c>
      <c r="AK108" s="811" t="str">
        <f t="shared" si="108"/>
        <v/>
      </c>
      <c r="AL108" s="811" t="str">
        <f t="shared" si="108"/>
        <v/>
      </c>
      <c r="AM108" s="811" t="str">
        <f t="shared" si="108"/>
        <v/>
      </c>
      <c r="AN108" s="811" t="str">
        <f t="shared" si="108"/>
        <v/>
      </c>
      <c r="AO108" s="811" t="str">
        <f t="shared" si="108"/>
        <v/>
      </c>
      <c r="AP108" s="811" t="str">
        <f t="shared" si="108"/>
        <v/>
      </c>
      <c r="AQ108" s="811" t="str">
        <f t="shared" si="108"/>
        <v/>
      </c>
      <c r="AR108" s="811" t="str">
        <f t="shared" si="109"/>
        <v/>
      </c>
      <c r="AS108" s="811" t="str">
        <f t="shared" si="109"/>
        <v/>
      </c>
      <c r="AT108" s="811" t="str">
        <f t="shared" si="109"/>
        <v/>
      </c>
      <c r="AU108" s="811" t="str">
        <f t="shared" si="109"/>
        <v/>
      </c>
      <c r="AV108" s="811" t="str">
        <f t="shared" si="109"/>
        <v/>
      </c>
      <c r="AW108" s="811" t="str">
        <f t="shared" si="109"/>
        <v/>
      </c>
      <c r="AX108" s="811" t="str">
        <f t="shared" si="109"/>
        <v/>
      </c>
      <c r="AY108" s="811" t="str">
        <f t="shared" si="109"/>
        <v/>
      </c>
      <c r="AZ108" s="811" t="str">
        <f t="shared" si="109"/>
        <v/>
      </c>
      <c r="BA108" s="811" t="str">
        <f t="shared" si="109"/>
        <v/>
      </c>
      <c r="BB108" s="811" t="str">
        <f t="shared" si="110"/>
        <v/>
      </c>
      <c r="BC108" s="811" t="str">
        <f t="shared" si="110"/>
        <v/>
      </c>
      <c r="BD108" s="811" t="str">
        <f t="shared" si="110"/>
        <v/>
      </c>
      <c r="BE108" s="811" t="str">
        <f t="shared" si="110"/>
        <v/>
      </c>
      <c r="BF108" s="811" t="str">
        <f t="shared" si="110"/>
        <v/>
      </c>
      <c r="BG108" s="811" t="str">
        <f t="shared" si="110"/>
        <v/>
      </c>
      <c r="BH108" s="811" t="str">
        <f t="shared" si="110"/>
        <v/>
      </c>
      <c r="BI108" s="811" t="str">
        <f t="shared" si="110"/>
        <v/>
      </c>
      <c r="BJ108" s="811" t="str">
        <f t="shared" si="110"/>
        <v/>
      </c>
      <c r="BK108" s="811" t="str">
        <f t="shared" si="110"/>
        <v/>
      </c>
      <c r="BL108" s="811" t="str">
        <f t="shared" si="110"/>
        <v/>
      </c>
      <c r="BM108" s="811" t="str">
        <f t="shared" si="110"/>
        <v/>
      </c>
      <c r="BN108" s="811" t="str">
        <f t="shared" si="110"/>
        <v/>
      </c>
      <c r="BO108" s="811" t="str">
        <f t="shared" si="110"/>
        <v/>
      </c>
      <c r="BP108" s="811" t="str">
        <f t="shared" si="110"/>
        <v/>
      </c>
      <c r="BQ108" s="811" t="str">
        <f t="shared" si="111"/>
        <v/>
      </c>
      <c r="BR108" s="811" t="str">
        <f t="shared" si="111"/>
        <v/>
      </c>
      <c r="BS108" s="811" t="str">
        <f t="shared" si="111"/>
        <v/>
      </c>
      <c r="BT108" s="811" t="str">
        <f t="shared" si="111"/>
        <v/>
      </c>
      <c r="BU108" s="811" t="str">
        <f t="shared" si="111"/>
        <v/>
      </c>
      <c r="BV108" s="811" t="str">
        <f t="shared" si="111"/>
        <v/>
      </c>
      <c r="BW108" s="811" t="str">
        <f t="shared" si="111"/>
        <v/>
      </c>
      <c r="BX108" s="811" t="str">
        <f t="shared" si="111"/>
        <v/>
      </c>
      <c r="BY108" s="811" t="str">
        <f t="shared" si="111"/>
        <v/>
      </c>
      <c r="BZ108" s="811" t="str">
        <f t="shared" si="111"/>
        <v/>
      </c>
      <c r="CA108" s="811" t="str">
        <f t="shared" si="112"/>
        <v/>
      </c>
      <c r="CB108" s="811" t="str">
        <f t="shared" si="112"/>
        <v/>
      </c>
      <c r="CC108" s="811" t="str">
        <f t="shared" si="112"/>
        <v/>
      </c>
      <c r="CD108" s="811" t="str">
        <f t="shared" si="112"/>
        <v/>
      </c>
      <c r="CE108" s="811" t="str">
        <f t="shared" si="112"/>
        <v/>
      </c>
      <c r="CF108" s="811" t="str">
        <f t="shared" si="112"/>
        <v/>
      </c>
      <c r="CG108" s="811" t="str">
        <f t="shared" si="112"/>
        <v/>
      </c>
      <c r="CH108" s="811" t="str">
        <f t="shared" si="112"/>
        <v/>
      </c>
      <c r="CI108" s="811" t="str">
        <f t="shared" si="112"/>
        <v/>
      </c>
      <c r="CJ108" s="811" t="str">
        <f t="shared" si="112"/>
        <v/>
      </c>
      <c r="CK108" s="811" t="str">
        <f t="shared" si="113"/>
        <v/>
      </c>
      <c r="CL108" s="811" t="str">
        <f t="shared" si="113"/>
        <v/>
      </c>
      <c r="CM108" s="811" t="str">
        <f t="shared" si="113"/>
        <v/>
      </c>
      <c r="CN108" s="811" t="str">
        <f t="shared" si="113"/>
        <v/>
      </c>
      <c r="CO108" s="811" t="str">
        <f t="shared" si="113"/>
        <v/>
      </c>
      <c r="CP108" s="811" t="str">
        <f t="shared" si="113"/>
        <v/>
      </c>
      <c r="CQ108" s="811" t="str">
        <f t="shared" si="113"/>
        <v/>
      </c>
      <c r="CR108" s="811" t="str">
        <f t="shared" si="113"/>
        <v/>
      </c>
      <c r="CS108" s="811" t="str">
        <f t="shared" si="113"/>
        <v/>
      </c>
      <c r="CT108" s="811" t="str">
        <f t="shared" si="113"/>
        <v/>
      </c>
      <c r="CU108" s="811" t="str">
        <f t="shared" si="114"/>
        <v/>
      </c>
      <c r="CV108" s="811" t="str">
        <f t="shared" si="114"/>
        <v/>
      </c>
      <c r="CW108" s="811" t="str">
        <f t="shared" si="114"/>
        <v/>
      </c>
      <c r="CX108" s="811" t="str">
        <f t="shared" si="114"/>
        <v/>
      </c>
      <c r="CY108" s="811" t="str">
        <f t="shared" si="114"/>
        <v/>
      </c>
      <c r="CZ108" s="811" t="str">
        <f t="shared" si="114"/>
        <v/>
      </c>
      <c r="DA108" s="811" t="str">
        <f t="shared" si="114"/>
        <v/>
      </c>
      <c r="DB108" s="811" t="str">
        <f t="shared" si="114"/>
        <v/>
      </c>
      <c r="DC108" s="811" t="str">
        <f t="shared" si="114"/>
        <v/>
      </c>
      <c r="DD108" s="811" t="str">
        <f t="shared" si="114"/>
        <v/>
      </c>
      <c r="DE108" s="811" t="str">
        <f t="shared" si="115"/>
        <v/>
      </c>
      <c r="DF108" s="811" t="str">
        <f t="shared" si="115"/>
        <v/>
      </c>
      <c r="DG108" s="811" t="str">
        <f t="shared" si="115"/>
        <v/>
      </c>
      <c r="DH108" s="811" t="str">
        <f t="shared" si="115"/>
        <v/>
      </c>
      <c r="DI108" s="811" t="str">
        <f t="shared" si="115"/>
        <v/>
      </c>
      <c r="DJ108" s="811" t="str">
        <f t="shared" si="115"/>
        <v/>
      </c>
      <c r="DK108" s="811" t="str">
        <f t="shared" si="115"/>
        <v/>
      </c>
    </row>
    <row r="109" spans="2:115" ht="20.100000000000001" customHeight="1" x14ac:dyDescent="0.2">
      <c r="B109" s="806"/>
      <c r="C109" s="806"/>
      <c r="D109" s="806"/>
      <c r="E109" s="806"/>
      <c r="F109" s="806"/>
      <c r="G109" s="806"/>
      <c r="H109" s="806"/>
      <c r="L109" s="810" t="str">
        <f t="shared" si="90"/>
        <v/>
      </c>
      <c r="N109" s="811" t="str">
        <f t="shared" ref="N109:W119" si="116">IF(ISNUMBER($J109),IF(N$12&lt;$J109,"",IF(N$12=$J109,$D109*$C109,IF(AND(N$12&gt;$J109,N$12&lt;$J109+$F109*365),$D109*(1-(N$12-$J109)/($F109*365))*$C109,""))),"")</f>
        <v/>
      </c>
      <c r="O109" s="811" t="str">
        <f t="shared" si="116"/>
        <v/>
      </c>
      <c r="P109" s="811" t="str">
        <f t="shared" si="116"/>
        <v/>
      </c>
      <c r="Q109" s="811" t="str">
        <f t="shared" si="116"/>
        <v/>
      </c>
      <c r="R109" s="811" t="str">
        <f t="shared" si="116"/>
        <v/>
      </c>
      <c r="S109" s="811" t="str">
        <f t="shared" si="116"/>
        <v/>
      </c>
      <c r="T109" s="811" t="str">
        <f t="shared" si="116"/>
        <v/>
      </c>
      <c r="U109" s="811" t="str">
        <f t="shared" si="116"/>
        <v/>
      </c>
      <c r="V109" s="811" t="str">
        <f t="shared" si="116"/>
        <v/>
      </c>
      <c r="W109" s="811" t="str">
        <f t="shared" si="116"/>
        <v/>
      </c>
      <c r="X109" s="811" t="str">
        <f t="shared" ref="X109:AG119" si="117">IF(ISNUMBER($J109),IF(X$12&lt;$J109,"",IF(X$12=$J109,$D109*$C109,IF(AND(X$12&gt;$J109,X$12&lt;$J109+$F109*365),$D109*(1-(X$12-$J109)/($F109*365))*$C109,""))),"")</f>
        <v/>
      </c>
      <c r="Y109" s="811" t="str">
        <f t="shared" si="117"/>
        <v/>
      </c>
      <c r="Z109" s="811" t="str">
        <f t="shared" si="117"/>
        <v/>
      </c>
      <c r="AA109" s="811" t="str">
        <f t="shared" si="117"/>
        <v/>
      </c>
      <c r="AB109" s="811" t="str">
        <f t="shared" si="117"/>
        <v/>
      </c>
      <c r="AC109" s="811" t="str">
        <f t="shared" si="117"/>
        <v/>
      </c>
      <c r="AD109" s="811" t="str">
        <f t="shared" si="117"/>
        <v/>
      </c>
      <c r="AE109" s="811" t="str">
        <f t="shared" si="117"/>
        <v/>
      </c>
      <c r="AF109" s="811" t="str">
        <f t="shared" si="117"/>
        <v/>
      </c>
      <c r="AG109" s="811" t="str">
        <f t="shared" si="117"/>
        <v/>
      </c>
      <c r="AH109" s="811" t="str">
        <f t="shared" ref="AH109:AQ119" si="118">IF(ISNUMBER($J109),IF(AH$12&lt;$J109,"",IF(AH$12=$J109,$D109*$C109,IF(AND(AH$12&gt;$J109,AH$12&lt;$J109+$F109*365),$D109*(1-(AH$12-$J109)/($F109*365))*$C109,""))),"")</f>
        <v/>
      </c>
      <c r="AI109" s="811" t="str">
        <f t="shared" si="118"/>
        <v/>
      </c>
      <c r="AJ109" s="811" t="str">
        <f t="shared" si="118"/>
        <v/>
      </c>
      <c r="AK109" s="811" t="str">
        <f t="shared" si="118"/>
        <v/>
      </c>
      <c r="AL109" s="811" t="str">
        <f t="shared" si="118"/>
        <v/>
      </c>
      <c r="AM109" s="811" t="str">
        <f t="shared" si="118"/>
        <v/>
      </c>
      <c r="AN109" s="811" t="str">
        <f t="shared" si="118"/>
        <v/>
      </c>
      <c r="AO109" s="811" t="str">
        <f t="shared" si="118"/>
        <v/>
      </c>
      <c r="AP109" s="811" t="str">
        <f t="shared" si="118"/>
        <v/>
      </c>
      <c r="AQ109" s="811" t="str">
        <f t="shared" si="118"/>
        <v/>
      </c>
      <c r="AR109" s="811" t="str">
        <f t="shared" ref="AR109:BA119" si="119">IF(ISNUMBER($J109),IF(AR$12&lt;$J109,"",IF(AR$12=$J109,$D109*$C109,IF(AND(AR$12&gt;$J109,AR$12&lt;$J109+$F109*365),$D109*(1-(AR$12-$J109)/($F109*365))*$C109,""))),"")</f>
        <v/>
      </c>
      <c r="AS109" s="811" t="str">
        <f t="shared" si="119"/>
        <v/>
      </c>
      <c r="AT109" s="811" t="str">
        <f t="shared" si="119"/>
        <v/>
      </c>
      <c r="AU109" s="811" t="str">
        <f t="shared" si="119"/>
        <v/>
      </c>
      <c r="AV109" s="811" t="str">
        <f t="shared" si="119"/>
        <v/>
      </c>
      <c r="AW109" s="811" t="str">
        <f t="shared" si="119"/>
        <v/>
      </c>
      <c r="AX109" s="811" t="str">
        <f t="shared" si="119"/>
        <v/>
      </c>
      <c r="AY109" s="811" t="str">
        <f t="shared" si="119"/>
        <v/>
      </c>
      <c r="AZ109" s="811" t="str">
        <f t="shared" si="119"/>
        <v/>
      </c>
      <c r="BA109" s="811" t="str">
        <f t="shared" si="119"/>
        <v/>
      </c>
      <c r="BB109" s="811" t="str">
        <f t="shared" ref="BB109:BP119" si="120">IF(ISNUMBER($J109),IF(BB$12&lt;$J109,"",IF(BB$12=$J109,$D109*$C109,IF(AND(BB$12&gt;$J109,BB$12&lt;$J109+$F109*365),$D109*(1-(BB$12-$J109)/($F109*365))*$C109,""))),"")</f>
        <v/>
      </c>
      <c r="BC109" s="811" t="str">
        <f t="shared" si="120"/>
        <v/>
      </c>
      <c r="BD109" s="811" t="str">
        <f t="shared" si="120"/>
        <v/>
      </c>
      <c r="BE109" s="811" t="str">
        <f t="shared" si="120"/>
        <v/>
      </c>
      <c r="BF109" s="811" t="str">
        <f t="shared" si="120"/>
        <v/>
      </c>
      <c r="BG109" s="811" t="str">
        <f t="shared" si="120"/>
        <v/>
      </c>
      <c r="BH109" s="811" t="str">
        <f t="shared" si="120"/>
        <v/>
      </c>
      <c r="BI109" s="811" t="str">
        <f t="shared" si="120"/>
        <v/>
      </c>
      <c r="BJ109" s="811" t="str">
        <f t="shared" si="120"/>
        <v/>
      </c>
      <c r="BK109" s="811" t="str">
        <f t="shared" si="120"/>
        <v/>
      </c>
      <c r="BL109" s="811" t="str">
        <f t="shared" si="120"/>
        <v/>
      </c>
      <c r="BM109" s="811" t="str">
        <f t="shared" si="120"/>
        <v/>
      </c>
      <c r="BN109" s="811" t="str">
        <f t="shared" si="120"/>
        <v/>
      </c>
      <c r="BO109" s="811" t="str">
        <f t="shared" si="120"/>
        <v/>
      </c>
      <c r="BP109" s="811" t="str">
        <f t="shared" si="120"/>
        <v/>
      </c>
      <c r="BQ109" s="811" t="str">
        <f t="shared" si="111"/>
        <v/>
      </c>
      <c r="BR109" s="811" t="str">
        <f t="shared" si="111"/>
        <v/>
      </c>
      <c r="BS109" s="811" t="str">
        <f t="shared" si="111"/>
        <v/>
      </c>
      <c r="BT109" s="811" t="str">
        <f t="shared" si="111"/>
        <v/>
      </c>
      <c r="BU109" s="811" t="str">
        <f t="shared" si="111"/>
        <v/>
      </c>
      <c r="BV109" s="811" t="str">
        <f t="shared" si="111"/>
        <v/>
      </c>
      <c r="BW109" s="811" t="str">
        <f t="shared" si="111"/>
        <v/>
      </c>
      <c r="BX109" s="811" t="str">
        <f t="shared" si="111"/>
        <v/>
      </c>
      <c r="BY109" s="811" t="str">
        <f t="shared" si="111"/>
        <v/>
      </c>
      <c r="BZ109" s="811" t="str">
        <f t="shared" si="111"/>
        <v/>
      </c>
      <c r="CA109" s="811" t="str">
        <f t="shared" si="112"/>
        <v/>
      </c>
      <c r="CB109" s="811" t="str">
        <f t="shared" si="112"/>
        <v/>
      </c>
      <c r="CC109" s="811" t="str">
        <f t="shared" si="112"/>
        <v/>
      </c>
      <c r="CD109" s="811" t="str">
        <f t="shared" si="112"/>
        <v/>
      </c>
      <c r="CE109" s="811" t="str">
        <f t="shared" si="112"/>
        <v/>
      </c>
      <c r="CF109" s="811" t="str">
        <f t="shared" si="112"/>
        <v/>
      </c>
      <c r="CG109" s="811" t="str">
        <f t="shared" si="112"/>
        <v/>
      </c>
      <c r="CH109" s="811" t="str">
        <f t="shared" si="112"/>
        <v/>
      </c>
      <c r="CI109" s="811" t="str">
        <f t="shared" si="112"/>
        <v/>
      </c>
      <c r="CJ109" s="811" t="str">
        <f t="shared" si="112"/>
        <v/>
      </c>
      <c r="CK109" s="811" t="str">
        <f t="shared" si="113"/>
        <v/>
      </c>
      <c r="CL109" s="811" t="str">
        <f t="shared" si="113"/>
        <v/>
      </c>
      <c r="CM109" s="811" t="str">
        <f t="shared" si="113"/>
        <v/>
      </c>
      <c r="CN109" s="811" t="str">
        <f t="shared" si="113"/>
        <v/>
      </c>
      <c r="CO109" s="811" t="str">
        <f t="shared" si="113"/>
        <v/>
      </c>
      <c r="CP109" s="811" t="str">
        <f t="shared" si="113"/>
        <v/>
      </c>
      <c r="CQ109" s="811" t="str">
        <f t="shared" si="113"/>
        <v/>
      </c>
      <c r="CR109" s="811" t="str">
        <f t="shared" si="113"/>
        <v/>
      </c>
      <c r="CS109" s="811" t="str">
        <f t="shared" si="113"/>
        <v/>
      </c>
      <c r="CT109" s="811" t="str">
        <f t="shared" si="113"/>
        <v/>
      </c>
      <c r="CU109" s="811" t="str">
        <f t="shared" si="114"/>
        <v/>
      </c>
      <c r="CV109" s="811" t="str">
        <f t="shared" si="114"/>
        <v/>
      </c>
      <c r="CW109" s="811" t="str">
        <f t="shared" si="114"/>
        <v/>
      </c>
      <c r="CX109" s="811" t="str">
        <f t="shared" si="114"/>
        <v/>
      </c>
      <c r="CY109" s="811" t="str">
        <f t="shared" si="114"/>
        <v/>
      </c>
      <c r="CZ109" s="811" t="str">
        <f t="shared" si="114"/>
        <v/>
      </c>
      <c r="DA109" s="811" t="str">
        <f t="shared" si="114"/>
        <v/>
      </c>
      <c r="DB109" s="811" t="str">
        <f t="shared" si="114"/>
        <v/>
      </c>
      <c r="DC109" s="811" t="str">
        <f t="shared" si="114"/>
        <v/>
      </c>
      <c r="DD109" s="811" t="str">
        <f t="shared" si="114"/>
        <v/>
      </c>
      <c r="DE109" s="811" t="str">
        <f t="shared" si="115"/>
        <v/>
      </c>
      <c r="DF109" s="811" t="str">
        <f t="shared" si="115"/>
        <v/>
      </c>
      <c r="DG109" s="811" t="str">
        <f t="shared" si="115"/>
        <v/>
      </c>
      <c r="DH109" s="811" t="str">
        <f t="shared" si="115"/>
        <v/>
      </c>
      <c r="DI109" s="811" t="str">
        <f t="shared" si="115"/>
        <v/>
      </c>
      <c r="DJ109" s="811" t="str">
        <f t="shared" si="115"/>
        <v/>
      </c>
      <c r="DK109" s="811" t="str">
        <f t="shared" si="115"/>
        <v/>
      </c>
    </row>
    <row r="110" spans="2:115" ht="20.100000000000001" customHeight="1" x14ac:dyDescent="0.2">
      <c r="B110" s="806"/>
      <c r="C110" s="806"/>
      <c r="D110" s="806"/>
      <c r="E110" s="806"/>
      <c r="F110" s="806"/>
      <c r="G110" s="806"/>
      <c r="H110" s="806"/>
      <c r="L110" s="810" t="str">
        <f t="shared" si="90"/>
        <v/>
      </c>
      <c r="N110" s="811" t="str">
        <f t="shared" si="116"/>
        <v/>
      </c>
      <c r="O110" s="811" t="str">
        <f t="shared" si="116"/>
        <v/>
      </c>
      <c r="P110" s="811" t="str">
        <f t="shared" si="116"/>
        <v/>
      </c>
      <c r="Q110" s="811" t="str">
        <f t="shared" si="116"/>
        <v/>
      </c>
      <c r="R110" s="811" t="str">
        <f t="shared" si="116"/>
        <v/>
      </c>
      <c r="S110" s="811" t="str">
        <f t="shared" si="116"/>
        <v/>
      </c>
      <c r="T110" s="811" t="str">
        <f t="shared" si="116"/>
        <v/>
      </c>
      <c r="U110" s="811" t="str">
        <f t="shared" si="116"/>
        <v/>
      </c>
      <c r="V110" s="811" t="str">
        <f t="shared" si="116"/>
        <v/>
      </c>
      <c r="W110" s="811" t="str">
        <f t="shared" si="116"/>
        <v/>
      </c>
      <c r="X110" s="811" t="str">
        <f t="shared" si="117"/>
        <v/>
      </c>
      <c r="Y110" s="811" t="str">
        <f t="shared" si="117"/>
        <v/>
      </c>
      <c r="Z110" s="811" t="str">
        <f t="shared" si="117"/>
        <v/>
      </c>
      <c r="AA110" s="811" t="str">
        <f t="shared" si="117"/>
        <v/>
      </c>
      <c r="AB110" s="811" t="str">
        <f t="shared" si="117"/>
        <v/>
      </c>
      <c r="AC110" s="811" t="str">
        <f t="shared" si="117"/>
        <v/>
      </c>
      <c r="AD110" s="811" t="str">
        <f t="shared" si="117"/>
        <v/>
      </c>
      <c r="AE110" s="811" t="str">
        <f t="shared" si="117"/>
        <v/>
      </c>
      <c r="AF110" s="811" t="str">
        <f t="shared" si="117"/>
        <v/>
      </c>
      <c r="AG110" s="811" t="str">
        <f t="shared" si="117"/>
        <v/>
      </c>
      <c r="AH110" s="811" t="str">
        <f t="shared" si="118"/>
        <v/>
      </c>
      <c r="AI110" s="811" t="str">
        <f t="shared" si="118"/>
        <v/>
      </c>
      <c r="AJ110" s="811" t="str">
        <f t="shared" si="118"/>
        <v/>
      </c>
      <c r="AK110" s="811" t="str">
        <f t="shared" si="118"/>
        <v/>
      </c>
      <c r="AL110" s="811" t="str">
        <f t="shared" si="118"/>
        <v/>
      </c>
      <c r="AM110" s="811" t="str">
        <f t="shared" si="118"/>
        <v/>
      </c>
      <c r="AN110" s="811" t="str">
        <f t="shared" si="118"/>
        <v/>
      </c>
      <c r="AO110" s="811" t="str">
        <f t="shared" si="118"/>
        <v/>
      </c>
      <c r="AP110" s="811" t="str">
        <f t="shared" si="118"/>
        <v/>
      </c>
      <c r="AQ110" s="811" t="str">
        <f t="shared" si="118"/>
        <v/>
      </c>
      <c r="AR110" s="811" t="str">
        <f t="shared" si="119"/>
        <v/>
      </c>
      <c r="AS110" s="811" t="str">
        <f t="shared" si="119"/>
        <v/>
      </c>
      <c r="AT110" s="811" t="str">
        <f t="shared" si="119"/>
        <v/>
      </c>
      <c r="AU110" s="811" t="str">
        <f t="shared" si="119"/>
        <v/>
      </c>
      <c r="AV110" s="811" t="str">
        <f t="shared" si="119"/>
        <v/>
      </c>
      <c r="AW110" s="811" t="str">
        <f t="shared" si="119"/>
        <v/>
      </c>
      <c r="AX110" s="811" t="str">
        <f t="shared" si="119"/>
        <v/>
      </c>
      <c r="AY110" s="811" t="str">
        <f t="shared" si="119"/>
        <v/>
      </c>
      <c r="AZ110" s="811" t="str">
        <f t="shared" si="119"/>
        <v/>
      </c>
      <c r="BA110" s="811" t="str">
        <f t="shared" si="119"/>
        <v/>
      </c>
      <c r="BB110" s="811" t="str">
        <f t="shared" si="120"/>
        <v/>
      </c>
      <c r="BC110" s="811" t="str">
        <f t="shared" si="120"/>
        <v/>
      </c>
      <c r="BD110" s="811" t="str">
        <f t="shared" si="120"/>
        <v/>
      </c>
      <c r="BE110" s="811" t="str">
        <f t="shared" si="120"/>
        <v/>
      </c>
      <c r="BF110" s="811" t="str">
        <f t="shared" si="120"/>
        <v/>
      </c>
      <c r="BG110" s="811" t="str">
        <f t="shared" si="120"/>
        <v/>
      </c>
      <c r="BH110" s="811" t="str">
        <f t="shared" si="120"/>
        <v/>
      </c>
      <c r="BI110" s="811" t="str">
        <f t="shared" si="120"/>
        <v/>
      </c>
      <c r="BJ110" s="811" t="str">
        <f t="shared" si="120"/>
        <v/>
      </c>
      <c r="BK110" s="811" t="str">
        <f t="shared" si="120"/>
        <v/>
      </c>
      <c r="BL110" s="811" t="str">
        <f t="shared" si="120"/>
        <v/>
      </c>
      <c r="BM110" s="811" t="str">
        <f t="shared" si="120"/>
        <v/>
      </c>
      <c r="BN110" s="811" t="str">
        <f t="shared" si="120"/>
        <v/>
      </c>
      <c r="BO110" s="811" t="str">
        <f t="shared" si="120"/>
        <v/>
      </c>
      <c r="BP110" s="811" t="str">
        <f t="shared" si="120"/>
        <v/>
      </c>
      <c r="BQ110" s="811" t="str">
        <f t="shared" si="111"/>
        <v/>
      </c>
      <c r="BR110" s="811" t="str">
        <f t="shared" si="111"/>
        <v/>
      </c>
      <c r="BS110" s="811" t="str">
        <f t="shared" si="111"/>
        <v/>
      </c>
      <c r="BT110" s="811" t="str">
        <f t="shared" si="111"/>
        <v/>
      </c>
      <c r="BU110" s="811" t="str">
        <f t="shared" si="111"/>
        <v/>
      </c>
      <c r="BV110" s="811" t="str">
        <f t="shared" si="111"/>
        <v/>
      </c>
      <c r="BW110" s="811" t="str">
        <f t="shared" si="111"/>
        <v/>
      </c>
      <c r="BX110" s="811" t="str">
        <f t="shared" si="111"/>
        <v/>
      </c>
      <c r="BY110" s="811" t="str">
        <f t="shared" si="111"/>
        <v/>
      </c>
      <c r="BZ110" s="811" t="str">
        <f t="shared" si="111"/>
        <v/>
      </c>
      <c r="CA110" s="811" t="str">
        <f t="shared" si="112"/>
        <v/>
      </c>
      <c r="CB110" s="811" t="str">
        <f t="shared" si="112"/>
        <v/>
      </c>
      <c r="CC110" s="811" t="str">
        <f t="shared" si="112"/>
        <v/>
      </c>
      <c r="CD110" s="811" t="str">
        <f t="shared" si="112"/>
        <v/>
      </c>
      <c r="CE110" s="811" t="str">
        <f t="shared" si="112"/>
        <v/>
      </c>
      <c r="CF110" s="811" t="str">
        <f t="shared" si="112"/>
        <v/>
      </c>
      <c r="CG110" s="811" t="str">
        <f t="shared" si="112"/>
        <v/>
      </c>
      <c r="CH110" s="811" t="str">
        <f t="shared" si="112"/>
        <v/>
      </c>
      <c r="CI110" s="811" t="str">
        <f t="shared" si="112"/>
        <v/>
      </c>
      <c r="CJ110" s="811" t="str">
        <f t="shared" si="112"/>
        <v/>
      </c>
      <c r="CK110" s="811" t="str">
        <f t="shared" si="113"/>
        <v/>
      </c>
      <c r="CL110" s="811" t="str">
        <f t="shared" si="113"/>
        <v/>
      </c>
      <c r="CM110" s="811" t="str">
        <f t="shared" si="113"/>
        <v/>
      </c>
      <c r="CN110" s="811" t="str">
        <f t="shared" si="113"/>
        <v/>
      </c>
      <c r="CO110" s="811" t="str">
        <f t="shared" si="113"/>
        <v/>
      </c>
      <c r="CP110" s="811" t="str">
        <f t="shared" si="113"/>
        <v/>
      </c>
      <c r="CQ110" s="811" t="str">
        <f t="shared" si="113"/>
        <v/>
      </c>
      <c r="CR110" s="811" t="str">
        <f t="shared" si="113"/>
        <v/>
      </c>
      <c r="CS110" s="811" t="str">
        <f t="shared" si="113"/>
        <v/>
      </c>
      <c r="CT110" s="811" t="str">
        <f t="shared" si="113"/>
        <v/>
      </c>
      <c r="CU110" s="811" t="str">
        <f t="shared" si="114"/>
        <v/>
      </c>
      <c r="CV110" s="811" t="str">
        <f t="shared" si="114"/>
        <v/>
      </c>
      <c r="CW110" s="811" t="str">
        <f t="shared" si="114"/>
        <v/>
      </c>
      <c r="CX110" s="811" t="str">
        <f t="shared" si="114"/>
        <v/>
      </c>
      <c r="CY110" s="811" t="str">
        <f t="shared" si="114"/>
        <v/>
      </c>
      <c r="CZ110" s="811" t="str">
        <f t="shared" si="114"/>
        <v/>
      </c>
      <c r="DA110" s="811" t="str">
        <f t="shared" si="114"/>
        <v/>
      </c>
      <c r="DB110" s="811" t="str">
        <f t="shared" si="114"/>
        <v/>
      </c>
      <c r="DC110" s="811" t="str">
        <f t="shared" si="114"/>
        <v/>
      </c>
      <c r="DD110" s="811" t="str">
        <f t="shared" si="114"/>
        <v/>
      </c>
      <c r="DE110" s="811" t="str">
        <f t="shared" si="115"/>
        <v/>
      </c>
      <c r="DF110" s="811" t="str">
        <f t="shared" si="115"/>
        <v/>
      </c>
      <c r="DG110" s="811" t="str">
        <f t="shared" si="115"/>
        <v/>
      </c>
      <c r="DH110" s="811" t="str">
        <f t="shared" si="115"/>
        <v/>
      </c>
      <c r="DI110" s="811" t="str">
        <f t="shared" si="115"/>
        <v/>
      </c>
      <c r="DJ110" s="811" t="str">
        <f t="shared" si="115"/>
        <v/>
      </c>
      <c r="DK110" s="811" t="str">
        <f t="shared" si="115"/>
        <v/>
      </c>
    </row>
    <row r="111" spans="2:115" ht="20.100000000000001" customHeight="1" x14ac:dyDescent="0.2">
      <c r="B111" s="806"/>
      <c r="C111" s="806"/>
      <c r="D111" s="806"/>
      <c r="E111" s="806"/>
      <c r="F111" s="806"/>
      <c r="G111" s="806"/>
      <c r="H111" s="806"/>
      <c r="L111" s="810" t="str">
        <f t="shared" si="90"/>
        <v/>
      </c>
      <c r="N111" s="811" t="str">
        <f t="shared" si="116"/>
        <v/>
      </c>
      <c r="O111" s="811" t="str">
        <f t="shared" si="116"/>
        <v/>
      </c>
      <c r="P111" s="811" t="str">
        <f t="shared" si="116"/>
        <v/>
      </c>
      <c r="Q111" s="811" t="str">
        <f t="shared" si="116"/>
        <v/>
      </c>
      <c r="R111" s="811" t="str">
        <f t="shared" si="116"/>
        <v/>
      </c>
      <c r="S111" s="811" t="str">
        <f t="shared" si="116"/>
        <v/>
      </c>
      <c r="T111" s="811" t="str">
        <f t="shared" si="116"/>
        <v/>
      </c>
      <c r="U111" s="811" t="str">
        <f t="shared" si="116"/>
        <v/>
      </c>
      <c r="V111" s="811" t="str">
        <f t="shared" si="116"/>
        <v/>
      </c>
      <c r="W111" s="811" t="str">
        <f t="shared" si="116"/>
        <v/>
      </c>
      <c r="X111" s="811" t="str">
        <f t="shared" si="117"/>
        <v/>
      </c>
      <c r="Y111" s="811" t="str">
        <f t="shared" si="117"/>
        <v/>
      </c>
      <c r="Z111" s="811" t="str">
        <f t="shared" si="117"/>
        <v/>
      </c>
      <c r="AA111" s="811" t="str">
        <f t="shared" si="117"/>
        <v/>
      </c>
      <c r="AB111" s="811" t="str">
        <f t="shared" si="117"/>
        <v/>
      </c>
      <c r="AC111" s="811" t="str">
        <f t="shared" si="117"/>
        <v/>
      </c>
      <c r="AD111" s="811" t="str">
        <f t="shared" si="117"/>
        <v/>
      </c>
      <c r="AE111" s="811" t="str">
        <f t="shared" si="117"/>
        <v/>
      </c>
      <c r="AF111" s="811" t="str">
        <f t="shared" si="117"/>
        <v/>
      </c>
      <c r="AG111" s="811" t="str">
        <f t="shared" si="117"/>
        <v/>
      </c>
      <c r="AH111" s="811" t="str">
        <f t="shared" si="118"/>
        <v/>
      </c>
      <c r="AI111" s="811" t="str">
        <f t="shared" si="118"/>
        <v/>
      </c>
      <c r="AJ111" s="811" t="str">
        <f t="shared" si="118"/>
        <v/>
      </c>
      <c r="AK111" s="811" t="str">
        <f t="shared" si="118"/>
        <v/>
      </c>
      <c r="AL111" s="811" t="str">
        <f t="shared" si="118"/>
        <v/>
      </c>
      <c r="AM111" s="811" t="str">
        <f t="shared" si="118"/>
        <v/>
      </c>
      <c r="AN111" s="811" t="str">
        <f t="shared" si="118"/>
        <v/>
      </c>
      <c r="AO111" s="811" t="str">
        <f t="shared" si="118"/>
        <v/>
      </c>
      <c r="AP111" s="811" t="str">
        <f t="shared" si="118"/>
        <v/>
      </c>
      <c r="AQ111" s="811" t="str">
        <f t="shared" si="118"/>
        <v/>
      </c>
      <c r="AR111" s="811" t="str">
        <f t="shared" si="119"/>
        <v/>
      </c>
      <c r="AS111" s="811" t="str">
        <f t="shared" si="119"/>
        <v/>
      </c>
      <c r="AT111" s="811" t="str">
        <f t="shared" si="119"/>
        <v/>
      </c>
      <c r="AU111" s="811" t="str">
        <f t="shared" si="119"/>
        <v/>
      </c>
      <c r="AV111" s="811" t="str">
        <f t="shared" si="119"/>
        <v/>
      </c>
      <c r="AW111" s="811" t="str">
        <f t="shared" si="119"/>
        <v/>
      </c>
      <c r="AX111" s="811" t="str">
        <f t="shared" si="119"/>
        <v/>
      </c>
      <c r="AY111" s="811" t="str">
        <f t="shared" si="119"/>
        <v/>
      </c>
      <c r="AZ111" s="811" t="str">
        <f t="shared" si="119"/>
        <v/>
      </c>
      <c r="BA111" s="811" t="str">
        <f t="shared" si="119"/>
        <v/>
      </c>
      <c r="BB111" s="811" t="str">
        <f t="shared" si="120"/>
        <v/>
      </c>
      <c r="BC111" s="811" t="str">
        <f t="shared" si="120"/>
        <v/>
      </c>
      <c r="BD111" s="811" t="str">
        <f t="shared" si="120"/>
        <v/>
      </c>
      <c r="BE111" s="811" t="str">
        <f t="shared" si="120"/>
        <v/>
      </c>
      <c r="BF111" s="811" t="str">
        <f t="shared" si="120"/>
        <v/>
      </c>
      <c r="BG111" s="811" t="str">
        <f t="shared" si="120"/>
        <v/>
      </c>
      <c r="BH111" s="811" t="str">
        <f t="shared" si="120"/>
        <v/>
      </c>
      <c r="BI111" s="811" t="str">
        <f t="shared" si="120"/>
        <v/>
      </c>
      <c r="BJ111" s="811" t="str">
        <f t="shared" si="120"/>
        <v/>
      </c>
      <c r="BK111" s="811" t="str">
        <f t="shared" si="120"/>
        <v/>
      </c>
      <c r="BL111" s="811" t="str">
        <f t="shared" si="120"/>
        <v/>
      </c>
      <c r="BM111" s="811" t="str">
        <f t="shared" si="120"/>
        <v/>
      </c>
      <c r="BN111" s="811" t="str">
        <f t="shared" si="120"/>
        <v/>
      </c>
      <c r="BO111" s="811" t="str">
        <f t="shared" si="120"/>
        <v/>
      </c>
      <c r="BP111" s="811" t="str">
        <f t="shared" si="120"/>
        <v/>
      </c>
      <c r="BQ111" s="811" t="str">
        <f t="shared" si="111"/>
        <v/>
      </c>
      <c r="BR111" s="811" t="str">
        <f t="shared" si="111"/>
        <v/>
      </c>
      <c r="BS111" s="811" t="str">
        <f t="shared" si="111"/>
        <v/>
      </c>
      <c r="BT111" s="811" t="str">
        <f t="shared" si="111"/>
        <v/>
      </c>
      <c r="BU111" s="811" t="str">
        <f t="shared" si="111"/>
        <v/>
      </c>
      <c r="BV111" s="811" t="str">
        <f t="shared" si="111"/>
        <v/>
      </c>
      <c r="BW111" s="811" t="str">
        <f t="shared" si="111"/>
        <v/>
      </c>
      <c r="BX111" s="811" t="str">
        <f t="shared" si="111"/>
        <v/>
      </c>
      <c r="BY111" s="811" t="str">
        <f t="shared" si="111"/>
        <v/>
      </c>
      <c r="BZ111" s="811" t="str">
        <f t="shared" si="111"/>
        <v/>
      </c>
      <c r="CA111" s="811" t="str">
        <f t="shared" si="112"/>
        <v/>
      </c>
      <c r="CB111" s="811" t="str">
        <f t="shared" si="112"/>
        <v/>
      </c>
      <c r="CC111" s="811" t="str">
        <f t="shared" si="112"/>
        <v/>
      </c>
      <c r="CD111" s="811" t="str">
        <f t="shared" si="112"/>
        <v/>
      </c>
      <c r="CE111" s="811" t="str">
        <f t="shared" si="112"/>
        <v/>
      </c>
      <c r="CF111" s="811" t="str">
        <f t="shared" si="112"/>
        <v/>
      </c>
      <c r="CG111" s="811" t="str">
        <f t="shared" si="112"/>
        <v/>
      </c>
      <c r="CH111" s="811" t="str">
        <f t="shared" si="112"/>
        <v/>
      </c>
      <c r="CI111" s="811" t="str">
        <f t="shared" si="112"/>
        <v/>
      </c>
      <c r="CJ111" s="811" t="str">
        <f t="shared" si="112"/>
        <v/>
      </c>
      <c r="CK111" s="811" t="str">
        <f t="shared" si="113"/>
        <v/>
      </c>
      <c r="CL111" s="811" t="str">
        <f t="shared" si="113"/>
        <v/>
      </c>
      <c r="CM111" s="811" t="str">
        <f t="shared" si="113"/>
        <v/>
      </c>
      <c r="CN111" s="811" t="str">
        <f t="shared" si="113"/>
        <v/>
      </c>
      <c r="CO111" s="811" t="str">
        <f t="shared" si="113"/>
        <v/>
      </c>
      <c r="CP111" s="811" t="str">
        <f t="shared" si="113"/>
        <v/>
      </c>
      <c r="CQ111" s="811" t="str">
        <f t="shared" si="113"/>
        <v/>
      </c>
      <c r="CR111" s="811" t="str">
        <f t="shared" si="113"/>
        <v/>
      </c>
      <c r="CS111" s="811" t="str">
        <f t="shared" si="113"/>
        <v/>
      </c>
      <c r="CT111" s="811" t="str">
        <f t="shared" si="113"/>
        <v/>
      </c>
      <c r="CU111" s="811" t="str">
        <f t="shared" si="114"/>
        <v/>
      </c>
      <c r="CV111" s="811" t="str">
        <f t="shared" si="114"/>
        <v/>
      </c>
      <c r="CW111" s="811" t="str">
        <f t="shared" si="114"/>
        <v/>
      </c>
      <c r="CX111" s="811" t="str">
        <f t="shared" si="114"/>
        <v/>
      </c>
      <c r="CY111" s="811" t="str">
        <f t="shared" si="114"/>
        <v/>
      </c>
      <c r="CZ111" s="811" t="str">
        <f t="shared" si="114"/>
        <v/>
      </c>
      <c r="DA111" s="811" t="str">
        <f t="shared" si="114"/>
        <v/>
      </c>
      <c r="DB111" s="811" t="str">
        <f t="shared" si="114"/>
        <v/>
      </c>
      <c r="DC111" s="811" t="str">
        <f t="shared" si="114"/>
        <v/>
      </c>
      <c r="DD111" s="811" t="str">
        <f t="shared" si="114"/>
        <v/>
      </c>
      <c r="DE111" s="811" t="str">
        <f t="shared" si="115"/>
        <v/>
      </c>
      <c r="DF111" s="811" t="str">
        <f t="shared" si="115"/>
        <v/>
      </c>
      <c r="DG111" s="811" t="str">
        <f t="shared" si="115"/>
        <v/>
      </c>
      <c r="DH111" s="811" t="str">
        <f t="shared" si="115"/>
        <v/>
      </c>
      <c r="DI111" s="811" t="str">
        <f t="shared" si="115"/>
        <v/>
      </c>
      <c r="DJ111" s="811" t="str">
        <f t="shared" si="115"/>
        <v/>
      </c>
      <c r="DK111" s="811" t="str">
        <f t="shared" si="115"/>
        <v/>
      </c>
    </row>
    <row r="112" spans="2:115" ht="20.100000000000001" customHeight="1" x14ac:dyDescent="0.2">
      <c r="B112" s="806"/>
      <c r="C112" s="806"/>
      <c r="D112" s="806"/>
      <c r="E112" s="806"/>
      <c r="F112" s="806"/>
      <c r="G112" s="806"/>
      <c r="H112" s="806"/>
      <c r="L112" s="810" t="str">
        <f t="shared" si="90"/>
        <v/>
      </c>
      <c r="N112" s="811" t="str">
        <f t="shared" si="116"/>
        <v/>
      </c>
      <c r="O112" s="811" t="str">
        <f t="shared" si="116"/>
        <v/>
      </c>
      <c r="P112" s="811" t="str">
        <f t="shared" si="116"/>
        <v/>
      </c>
      <c r="Q112" s="811" t="str">
        <f t="shared" si="116"/>
        <v/>
      </c>
      <c r="R112" s="811" t="str">
        <f t="shared" si="116"/>
        <v/>
      </c>
      <c r="S112" s="811" t="str">
        <f t="shared" si="116"/>
        <v/>
      </c>
      <c r="T112" s="811" t="str">
        <f t="shared" si="116"/>
        <v/>
      </c>
      <c r="U112" s="811" t="str">
        <f t="shared" si="116"/>
        <v/>
      </c>
      <c r="V112" s="811" t="str">
        <f t="shared" si="116"/>
        <v/>
      </c>
      <c r="W112" s="811" t="str">
        <f t="shared" si="116"/>
        <v/>
      </c>
      <c r="X112" s="811" t="str">
        <f t="shared" si="117"/>
        <v/>
      </c>
      <c r="Y112" s="811" t="str">
        <f t="shared" si="117"/>
        <v/>
      </c>
      <c r="Z112" s="811" t="str">
        <f t="shared" si="117"/>
        <v/>
      </c>
      <c r="AA112" s="811" t="str">
        <f t="shared" si="117"/>
        <v/>
      </c>
      <c r="AB112" s="811" t="str">
        <f t="shared" si="117"/>
        <v/>
      </c>
      <c r="AC112" s="811" t="str">
        <f t="shared" si="117"/>
        <v/>
      </c>
      <c r="AD112" s="811" t="str">
        <f t="shared" si="117"/>
        <v/>
      </c>
      <c r="AE112" s="811" t="str">
        <f t="shared" si="117"/>
        <v/>
      </c>
      <c r="AF112" s="811" t="str">
        <f t="shared" si="117"/>
        <v/>
      </c>
      <c r="AG112" s="811" t="str">
        <f t="shared" si="117"/>
        <v/>
      </c>
      <c r="AH112" s="811" t="str">
        <f t="shared" si="118"/>
        <v/>
      </c>
      <c r="AI112" s="811" t="str">
        <f t="shared" si="118"/>
        <v/>
      </c>
      <c r="AJ112" s="811" t="str">
        <f t="shared" si="118"/>
        <v/>
      </c>
      <c r="AK112" s="811" t="str">
        <f t="shared" si="118"/>
        <v/>
      </c>
      <c r="AL112" s="811" t="str">
        <f t="shared" si="118"/>
        <v/>
      </c>
      <c r="AM112" s="811" t="str">
        <f t="shared" si="118"/>
        <v/>
      </c>
      <c r="AN112" s="811" t="str">
        <f t="shared" si="118"/>
        <v/>
      </c>
      <c r="AO112" s="811" t="str">
        <f t="shared" si="118"/>
        <v/>
      </c>
      <c r="AP112" s="811" t="str">
        <f t="shared" si="118"/>
        <v/>
      </c>
      <c r="AQ112" s="811" t="str">
        <f t="shared" si="118"/>
        <v/>
      </c>
      <c r="AR112" s="811" t="str">
        <f t="shared" si="119"/>
        <v/>
      </c>
      <c r="AS112" s="811" t="str">
        <f t="shared" si="119"/>
        <v/>
      </c>
      <c r="AT112" s="811" t="str">
        <f t="shared" si="119"/>
        <v/>
      </c>
      <c r="AU112" s="811" t="str">
        <f t="shared" si="119"/>
        <v/>
      </c>
      <c r="AV112" s="811" t="str">
        <f t="shared" si="119"/>
        <v/>
      </c>
      <c r="AW112" s="811" t="str">
        <f t="shared" si="119"/>
        <v/>
      </c>
      <c r="AX112" s="811" t="str">
        <f t="shared" si="119"/>
        <v/>
      </c>
      <c r="AY112" s="811" t="str">
        <f t="shared" si="119"/>
        <v/>
      </c>
      <c r="AZ112" s="811" t="str">
        <f t="shared" si="119"/>
        <v/>
      </c>
      <c r="BA112" s="811" t="str">
        <f t="shared" si="119"/>
        <v/>
      </c>
      <c r="BB112" s="811" t="str">
        <f t="shared" si="120"/>
        <v/>
      </c>
      <c r="BC112" s="811" t="str">
        <f t="shared" si="120"/>
        <v/>
      </c>
      <c r="BD112" s="811" t="str">
        <f t="shared" si="120"/>
        <v/>
      </c>
      <c r="BE112" s="811" t="str">
        <f t="shared" si="120"/>
        <v/>
      </c>
      <c r="BF112" s="811" t="str">
        <f t="shared" si="120"/>
        <v/>
      </c>
      <c r="BG112" s="811" t="str">
        <f t="shared" si="120"/>
        <v/>
      </c>
      <c r="BH112" s="811" t="str">
        <f t="shared" si="120"/>
        <v/>
      </c>
      <c r="BI112" s="811" t="str">
        <f t="shared" si="120"/>
        <v/>
      </c>
      <c r="BJ112" s="811" t="str">
        <f t="shared" si="120"/>
        <v/>
      </c>
      <c r="BK112" s="811" t="str">
        <f t="shared" si="120"/>
        <v/>
      </c>
      <c r="BL112" s="811" t="str">
        <f t="shared" si="120"/>
        <v/>
      </c>
      <c r="BM112" s="811" t="str">
        <f t="shared" si="120"/>
        <v/>
      </c>
      <c r="BN112" s="811" t="str">
        <f t="shared" si="120"/>
        <v/>
      </c>
      <c r="BO112" s="811" t="str">
        <f t="shared" si="120"/>
        <v/>
      </c>
      <c r="BP112" s="811" t="str">
        <f t="shared" si="120"/>
        <v/>
      </c>
      <c r="BQ112" s="811" t="str">
        <f t="shared" si="111"/>
        <v/>
      </c>
      <c r="BR112" s="811" t="str">
        <f t="shared" si="111"/>
        <v/>
      </c>
      <c r="BS112" s="811" t="str">
        <f t="shared" si="111"/>
        <v/>
      </c>
      <c r="BT112" s="811" t="str">
        <f t="shared" si="111"/>
        <v/>
      </c>
      <c r="BU112" s="811" t="str">
        <f t="shared" si="111"/>
        <v/>
      </c>
      <c r="BV112" s="811" t="str">
        <f t="shared" si="111"/>
        <v/>
      </c>
      <c r="BW112" s="811" t="str">
        <f t="shared" si="111"/>
        <v/>
      </c>
      <c r="BX112" s="811" t="str">
        <f t="shared" si="111"/>
        <v/>
      </c>
      <c r="BY112" s="811" t="str">
        <f t="shared" si="111"/>
        <v/>
      </c>
      <c r="BZ112" s="811" t="str">
        <f t="shared" si="111"/>
        <v/>
      </c>
      <c r="CA112" s="811" t="str">
        <f t="shared" si="112"/>
        <v/>
      </c>
      <c r="CB112" s="811" t="str">
        <f t="shared" si="112"/>
        <v/>
      </c>
      <c r="CC112" s="811" t="str">
        <f t="shared" si="112"/>
        <v/>
      </c>
      <c r="CD112" s="811" t="str">
        <f t="shared" si="112"/>
        <v/>
      </c>
      <c r="CE112" s="811" t="str">
        <f t="shared" si="112"/>
        <v/>
      </c>
      <c r="CF112" s="811" t="str">
        <f t="shared" si="112"/>
        <v/>
      </c>
      <c r="CG112" s="811" t="str">
        <f t="shared" si="112"/>
        <v/>
      </c>
      <c r="CH112" s="811" t="str">
        <f t="shared" si="112"/>
        <v/>
      </c>
      <c r="CI112" s="811" t="str">
        <f t="shared" si="112"/>
        <v/>
      </c>
      <c r="CJ112" s="811" t="str">
        <f t="shared" si="112"/>
        <v/>
      </c>
      <c r="CK112" s="811" t="str">
        <f t="shared" si="113"/>
        <v/>
      </c>
      <c r="CL112" s="811" t="str">
        <f t="shared" si="113"/>
        <v/>
      </c>
      <c r="CM112" s="811" t="str">
        <f t="shared" si="113"/>
        <v/>
      </c>
      <c r="CN112" s="811" t="str">
        <f t="shared" si="113"/>
        <v/>
      </c>
      <c r="CO112" s="811" t="str">
        <f t="shared" si="113"/>
        <v/>
      </c>
      <c r="CP112" s="811" t="str">
        <f t="shared" si="113"/>
        <v/>
      </c>
      <c r="CQ112" s="811" t="str">
        <f t="shared" si="113"/>
        <v/>
      </c>
      <c r="CR112" s="811" t="str">
        <f t="shared" si="113"/>
        <v/>
      </c>
      <c r="CS112" s="811" t="str">
        <f t="shared" si="113"/>
        <v/>
      </c>
      <c r="CT112" s="811" t="str">
        <f t="shared" si="113"/>
        <v/>
      </c>
      <c r="CU112" s="811" t="str">
        <f t="shared" si="114"/>
        <v/>
      </c>
      <c r="CV112" s="811" t="str">
        <f t="shared" si="114"/>
        <v/>
      </c>
      <c r="CW112" s="811" t="str">
        <f t="shared" si="114"/>
        <v/>
      </c>
      <c r="CX112" s="811" t="str">
        <f t="shared" si="114"/>
        <v/>
      </c>
      <c r="CY112" s="811" t="str">
        <f t="shared" si="114"/>
        <v/>
      </c>
      <c r="CZ112" s="811" t="str">
        <f t="shared" si="114"/>
        <v/>
      </c>
      <c r="DA112" s="811" t="str">
        <f t="shared" si="114"/>
        <v/>
      </c>
      <c r="DB112" s="811" t="str">
        <f t="shared" si="114"/>
        <v/>
      </c>
      <c r="DC112" s="811" t="str">
        <f t="shared" si="114"/>
        <v/>
      </c>
      <c r="DD112" s="811" t="str">
        <f t="shared" si="114"/>
        <v/>
      </c>
      <c r="DE112" s="811" t="str">
        <f t="shared" si="115"/>
        <v/>
      </c>
      <c r="DF112" s="811" t="str">
        <f t="shared" si="115"/>
        <v/>
      </c>
      <c r="DG112" s="811" t="str">
        <f t="shared" si="115"/>
        <v/>
      </c>
      <c r="DH112" s="811" t="str">
        <f t="shared" si="115"/>
        <v/>
      </c>
      <c r="DI112" s="811" t="str">
        <f t="shared" si="115"/>
        <v/>
      </c>
      <c r="DJ112" s="811" t="str">
        <f t="shared" si="115"/>
        <v/>
      </c>
      <c r="DK112" s="811" t="str">
        <f t="shared" si="115"/>
        <v/>
      </c>
    </row>
    <row r="113" spans="2:115" ht="20.100000000000001" customHeight="1" x14ac:dyDescent="0.2">
      <c r="B113" s="806"/>
      <c r="C113" s="806"/>
      <c r="D113" s="806"/>
      <c r="E113" s="806"/>
      <c r="F113" s="806"/>
      <c r="G113" s="806"/>
      <c r="H113" s="806"/>
      <c r="L113" s="810" t="str">
        <f t="shared" si="90"/>
        <v/>
      </c>
      <c r="N113" s="811" t="str">
        <f t="shared" si="116"/>
        <v/>
      </c>
      <c r="O113" s="811" t="str">
        <f t="shared" si="116"/>
        <v/>
      </c>
      <c r="P113" s="811" t="str">
        <f t="shared" si="116"/>
        <v/>
      </c>
      <c r="Q113" s="811" t="str">
        <f t="shared" si="116"/>
        <v/>
      </c>
      <c r="R113" s="811" t="str">
        <f t="shared" si="116"/>
        <v/>
      </c>
      <c r="S113" s="811" t="str">
        <f t="shared" si="116"/>
        <v/>
      </c>
      <c r="T113" s="811" t="str">
        <f t="shared" si="116"/>
        <v/>
      </c>
      <c r="U113" s="811" t="str">
        <f t="shared" si="116"/>
        <v/>
      </c>
      <c r="V113" s="811" t="str">
        <f t="shared" si="116"/>
        <v/>
      </c>
      <c r="W113" s="811" t="str">
        <f t="shared" si="116"/>
        <v/>
      </c>
      <c r="X113" s="811" t="str">
        <f t="shared" si="117"/>
        <v/>
      </c>
      <c r="Y113" s="811" t="str">
        <f t="shared" si="117"/>
        <v/>
      </c>
      <c r="Z113" s="811" t="str">
        <f t="shared" si="117"/>
        <v/>
      </c>
      <c r="AA113" s="811" t="str">
        <f t="shared" si="117"/>
        <v/>
      </c>
      <c r="AB113" s="811" t="str">
        <f t="shared" si="117"/>
        <v/>
      </c>
      <c r="AC113" s="811" t="str">
        <f t="shared" si="117"/>
        <v/>
      </c>
      <c r="AD113" s="811" t="str">
        <f t="shared" si="117"/>
        <v/>
      </c>
      <c r="AE113" s="811" t="str">
        <f t="shared" si="117"/>
        <v/>
      </c>
      <c r="AF113" s="811" t="str">
        <f t="shared" si="117"/>
        <v/>
      </c>
      <c r="AG113" s="811" t="str">
        <f t="shared" si="117"/>
        <v/>
      </c>
      <c r="AH113" s="811" t="str">
        <f t="shared" si="118"/>
        <v/>
      </c>
      <c r="AI113" s="811" t="str">
        <f t="shared" si="118"/>
        <v/>
      </c>
      <c r="AJ113" s="811" t="str">
        <f t="shared" si="118"/>
        <v/>
      </c>
      <c r="AK113" s="811" t="str">
        <f t="shared" si="118"/>
        <v/>
      </c>
      <c r="AL113" s="811" t="str">
        <f t="shared" si="118"/>
        <v/>
      </c>
      <c r="AM113" s="811" t="str">
        <f t="shared" si="118"/>
        <v/>
      </c>
      <c r="AN113" s="811" t="str">
        <f t="shared" si="118"/>
        <v/>
      </c>
      <c r="AO113" s="811" t="str">
        <f t="shared" si="118"/>
        <v/>
      </c>
      <c r="AP113" s="811" t="str">
        <f t="shared" si="118"/>
        <v/>
      </c>
      <c r="AQ113" s="811" t="str">
        <f t="shared" si="118"/>
        <v/>
      </c>
      <c r="AR113" s="811" t="str">
        <f t="shared" si="119"/>
        <v/>
      </c>
      <c r="AS113" s="811" t="str">
        <f t="shared" si="119"/>
        <v/>
      </c>
      <c r="AT113" s="811" t="str">
        <f t="shared" si="119"/>
        <v/>
      </c>
      <c r="AU113" s="811" t="str">
        <f t="shared" si="119"/>
        <v/>
      </c>
      <c r="AV113" s="811" t="str">
        <f t="shared" si="119"/>
        <v/>
      </c>
      <c r="AW113" s="811" t="str">
        <f t="shared" si="119"/>
        <v/>
      </c>
      <c r="AX113" s="811" t="str">
        <f t="shared" si="119"/>
        <v/>
      </c>
      <c r="AY113" s="811" t="str">
        <f t="shared" si="119"/>
        <v/>
      </c>
      <c r="AZ113" s="811" t="str">
        <f t="shared" si="119"/>
        <v/>
      </c>
      <c r="BA113" s="811" t="str">
        <f t="shared" si="119"/>
        <v/>
      </c>
      <c r="BB113" s="811" t="str">
        <f t="shared" si="120"/>
        <v/>
      </c>
      <c r="BC113" s="811" t="str">
        <f t="shared" si="120"/>
        <v/>
      </c>
      <c r="BD113" s="811" t="str">
        <f t="shared" si="120"/>
        <v/>
      </c>
      <c r="BE113" s="811" t="str">
        <f t="shared" si="120"/>
        <v/>
      </c>
      <c r="BF113" s="811" t="str">
        <f t="shared" si="120"/>
        <v/>
      </c>
      <c r="BG113" s="811" t="str">
        <f t="shared" si="120"/>
        <v/>
      </c>
      <c r="BH113" s="811" t="str">
        <f t="shared" si="120"/>
        <v/>
      </c>
      <c r="BI113" s="811" t="str">
        <f t="shared" si="120"/>
        <v/>
      </c>
      <c r="BJ113" s="811" t="str">
        <f t="shared" si="120"/>
        <v/>
      </c>
      <c r="BK113" s="811" t="str">
        <f t="shared" si="120"/>
        <v/>
      </c>
      <c r="BL113" s="811" t="str">
        <f t="shared" si="120"/>
        <v/>
      </c>
      <c r="BM113" s="811" t="str">
        <f t="shared" si="120"/>
        <v/>
      </c>
      <c r="BN113" s="811" t="str">
        <f t="shared" si="120"/>
        <v/>
      </c>
      <c r="BO113" s="811" t="str">
        <f t="shared" si="120"/>
        <v/>
      </c>
      <c r="BP113" s="811" t="str">
        <f t="shared" si="120"/>
        <v/>
      </c>
      <c r="BQ113" s="811" t="str">
        <f t="shared" si="111"/>
        <v/>
      </c>
      <c r="BR113" s="811" t="str">
        <f t="shared" si="111"/>
        <v/>
      </c>
      <c r="BS113" s="811" t="str">
        <f t="shared" si="111"/>
        <v/>
      </c>
      <c r="BT113" s="811" t="str">
        <f t="shared" si="111"/>
        <v/>
      </c>
      <c r="BU113" s="811" t="str">
        <f t="shared" si="111"/>
        <v/>
      </c>
      <c r="BV113" s="811" t="str">
        <f t="shared" si="111"/>
        <v/>
      </c>
      <c r="BW113" s="811" t="str">
        <f t="shared" si="111"/>
        <v/>
      </c>
      <c r="BX113" s="811" t="str">
        <f t="shared" si="111"/>
        <v/>
      </c>
      <c r="BY113" s="811" t="str">
        <f t="shared" si="111"/>
        <v/>
      </c>
      <c r="BZ113" s="811" t="str">
        <f t="shared" si="111"/>
        <v/>
      </c>
      <c r="CA113" s="811" t="str">
        <f t="shared" si="112"/>
        <v/>
      </c>
      <c r="CB113" s="811" t="str">
        <f t="shared" si="112"/>
        <v/>
      </c>
      <c r="CC113" s="811" t="str">
        <f t="shared" si="112"/>
        <v/>
      </c>
      <c r="CD113" s="811" t="str">
        <f t="shared" si="112"/>
        <v/>
      </c>
      <c r="CE113" s="811" t="str">
        <f t="shared" si="112"/>
        <v/>
      </c>
      <c r="CF113" s="811" t="str">
        <f t="shared" si="112"/>
        <v/>
      </c>
      <c r="CG113" s="811" t="str">
        <f t="shared" si="112"/>
        <v/>
      </c>
      <c r="CH113" s="811" t="str">
        <f t="shared" si="112"/>
        <v/>
      </c>
      <c r="CI113" s="811" t="str">
        <f t="shared" si="112"/>
        <v/>
      </c>
      <c r="CJ113" s="811" t="str">
        <f t="shared" si="112"/>
        <v/>
      </c>
      <c r="CK113" s="811" t="str">
        <f t="shared" si="113"/>
        <v/>
      </c>
      <c r="CL113" s="811" t="str">
        <f t="shared" si="113"/>
        <v/>
      </c>
      <c r="CM113" s="811" t="str">
        <f t="shared" si="113"/>
        <v/>
      </c>
      <c r="CN113" s="811" t="str">
        <f t="shared" si="113"/>
        <v/>
      </c>
      <c r="CO113" s="811" t="str">
        <f t="shared" si="113"/>
        <v/>
      </c>
      <c r="CP113" s="811" t="str">
        <f t="shared" si="113"/>
        <v/>
      </c>
      <c r="CQ113" s="811" t="str">
        <f t="shared" si="113"/>
        <v/>
      </c>
      <c r="CR113" s="811" t="str">
        <f t="shared" si="113"/>
        <v/>
      </c>
      <c r="CS113" s="811" t="str">
        <f t="shared" si="113"/>
        <v/>
      </c>
      <c r="CT113" s="811" t="str">
        <f t="shared" si="113"/>
        <v/>
      </c>
      <c r="CU113" s="811" t="str">
        <f t="shared" si="114"/>
        <v/>
      </c>
      <c r="CV113" s="811" t="str">
        <f t="shared" si="114"/>
        <v/>
      </c>
      <c r="CW113" s="811" t="str">
        <f t="shared" si="114"/>
        <v/>
      </c>
      <c r="CX113" s="811" t="str">
        <f t="shared" si="114"/>
        <v/>
      </c>
      <c r="CY113" s="811" t="str">
        <f t="shared" si="114"/>
        <v/>
      </c>
      <c r="CZ113" s="811" t="str">
        <f t="shared" si="114"/>
        <v/>
      </c>
      <c r="DA113" s="811" t="str">
        <f t="shared" si="114"/>
        <v/>
      </c>
      <c r="DB113" s="811" t="str">
        <f t="shared" si="114"/>
        <v/>
      </c>
      <c r="DC113" s="811" t="str">
        <f t="shared" si="114"/>
        <v/>
      </c>
      <c r="DD113" s="811" t="str">
        <f t="shared" si="114"/>
        <v/>
      </c>
      <c r="DE113" s="811" t="str">
        <f t="shared" si="115"/>
        <v/>
      </c>
      <c r="DF113" s="811" t="str">
        <f t="shared" si="115"/>
        <v/>
      </c>
      <c r="DG113" s="811" t="str">
        <f t="shared" si="115"/>
        <v/>
      </c>
      <c r="DH113" s="811" t="str">
        <f t="shared" si="115"/>
        <v/>
      </c>
      <c r="DI113" s="811" t="str">
        <f t="shared" si="115"/>
        <v/>
      </c>
      <c r="DJ113" s="811" t="str">
        <f t="shared" si="115"/>
        <v/>
      </c>
      <c r="DK113" s="811" t="str">
        <f t="shared" si="115"/>
        <v/>
      </c>
    </row>
    <row r="114" spans="2:115" ht="20.100000000000001" customHeight="1" x14ac:dyDescent="0.2">
      <c r="B114" s="806"/>
      <c r="C114" s="806"/>
      <c r="D114" s="806"/>
      <c r="E114" s="806"/>
      <c r="F114" s="806"/>
      <c r="G114" s="806"/>
      <c r="H114" s="806"/>
      <c r="L114" s="810" t="str">
        <f t="shared" si="90"/>
        <v/>
      </c>
      <c r="N114" s="811" t="str">
        <f t="shared" si="116"/>
        <v/>
      </c>
      <c r="O114" s="811" t="str">
        <f t="shared" si="116"/>
        <v/>
      </c>
      <c r="P114" s="811" t="str">
        <f t="shared" si="116"/>
        <v/>
      </c>
      <c r="Q114" s="811" t="str">
        <f t="shared" si="116"/>
        <v/>
      </c>
      <c r="R114" s="811" t="str">
        <f t="shared" si="116"/>
        <v/>
      </c>
      <c r="S114" s="811" t="str">
        <f t="shared" si="116"/>
        <v/>
      </c>
      <c r="T114" s="811" t="str">
        <f t="shared" si="116"/>
        <v/>
      </c>
      <c r="U114" s="811" t="str">
        <f t="shared" si="116"/>
        <v/>
      </c>
      <c r="V114" s="811" t="str">
        <f t="shared" si="116"/>
        <v/>
      </c>
      <c r="W114" s="811" t="str">
        <f t="shared" si="116"/>
        <v/>
      </c>
      <c r="X114" s="811" t="str">
        <f t="shared" si="117"/>
        <v/>
      </c>
      <c r="Y114" s="811" t="str">
        <f t="shared" si="117"/>
        <v/>
      </c>
      <c r="Z114" s="811" t="str">
        <f t="shared" si="117"/>
        <v/>
      </c>
      <c r="AA114" s="811" t="str">
        <f t="shared" si="117"/>
        <v/>
      </c>
      <c r="AB114" s="811" t="str">
        <f t="shared" si="117"/>
        <v/>
      </c>
      <c r="AC114" s="811" t="str">
        <f t="shared" si="117"/>
        <v/>
      </c>
      <c r="AD114" s="811" t="str">
        <f t="shared" si="117"/>
        <v/>
      </c>
      <c r="AE114" s="811" t="str">
        <f t="shared" si="117"/>
        <v/>
      </c>
      <c r="AF114" s="811" t="str">
        <f t="shared" si="117"/>
        <v/>
      </c>
      <c r="AG114" s="811" t="str">
        <f t="shared" si="117"/>
        <v/>
      </c>
      <c r="AH114" s="811" t="str">
        <f t="shared" si="118"/>
        <v/>
      </c>
      <c r="AI114" s="811" t="str">
        <f t="shared" si="118"/>
        <v/>
      </c>
      <c r="AJ114" s="811" t="str">
        <f t="shared" si="118"/>
        <v/>
      </c>
      <c r="AK114" s="811" t="str">
        <f t="shared" si="118"/>
        <v/>
      </c>
      <c r="AL114" s="811" t="str">
        <f t="shared" si="118"/>
        <v/>
      </c>
      <c r="AM114" s="811" t="str">
        <f t="shared" si="118"/>
        <v/>
      </c>
      <c r="AN114" s="811" t="str">
        <f t="shared" si="118"/>
        <v/>
      </c>
      <c r="AO114" s="811" t="str">
        <f t="shared" si="118"/>
        <v/>
      </c>
      <c r="AP114" s="811" t="str">
        <f t="shared" si="118"/>
        <v/>
      </c>
      <c r="AQ114" s="811" t="str">
        <f t="shared" si="118"/>
        <v/>
      </c>
      <c r="AR114" s="811" t="str">
        <f t="shared" si="119"/>
        <v/>
      </c>
      <c r="AS114" s="811" t="str">
        <f t="shared" si="119"/>
        <v/>
      </c>
      <c r="AT114" s="811" t="str">
        <f t="shared" si="119"/>
        <v/>
      </c>
      <c r="AU114" s="811" t="str">
        <f t="shared" si="119"/>
        <v/>
      </c>
      <c r="AV114" s="811" t="str">
        <f t="shared" si="119"/>
        <v/>
      </c>
      <c r="AW114" s="811" t="str">
        <f t="shared" si="119"/>
        <v/>
      </c>
      <c r="AX114" s="811" t="str">
        <f t="shared" si="119"/>
        <v/>
      </c>
      <c r="AY114" s="811" t="str">
        <f t="shared" si="119"/>
        <v/>
      </c>
      <c r="AZ114" s="811" t="str">
        <f t="shared" si="119"/>
        <v/>
      </c>
      <c r="BA114" s="811" t="str">
        <f t="shared" si="119"/>
        <v/>
      </c>
      <c r="BB114" s="811" t="str">
        <f t="shared" si="120"/>
        <v/>
      </c>
      <c r="BC114" s="811" t="str">
        <f t="shared" si="120"/>
        <v/>
      </c>
      <c r="BD114" s="811" t="str">
        <f t="shared" si="120"/>
        <v/>
      </c>
      <c r="BE114" s="811" t="str">
        <f t="shared" si="120"/>
        <v/>
      </c>
      <c r="BF114" s="811" t="str">
        <f t="shared" si="120"/>
        <v/>
      </c>
      <c r="BG114" s="811" t="str">
        <f t="shared" si="120"/>
        <v/>
      </c>
      <c r="BH114" s="811" t="str">
        <f t="shared" si="120"/>
        <v/>
      </c>
      <c r="BI114" s="811" t="str">
        <f t="shared" si="120"/>
        <v/>
      </c>
      <c r="BJ114" s="811" t="str">
        <f t="shared" si="120"/>
        <v/>
      </c>
      <c r="BK114" s="811" t="str">
        <f t="shared" si="120"/>
        <v/>
      </c>
      <c r="BL114" s="811" t="str">
        <f t="shared" si="120"/>
        <v/>
      </c>
      <c r="BM114" s="811" t="str">
        <f t="shared" si="120"/>
        <v/>
      </c>
      <c r="BN114" s="811" t="str">
        <f t="shared" si="120"/>
        <v/>
      </c>
      <c r="BO114" s="811" t="str">
        <f t="shared" si="120"/>
        <v/>
      </c>
      <c r="BP114" s="811" t="str">
        <f t="shared" si="120"/>
        <v/>
      </c>
      <c r="BQ114" s="811" t="str">
        <f t="shared" ref="BQ114:BZ119" si="121">IF(ISNUMBER($J114),IF(BQ$12&lt;$J114,"",IF(BQ$12=$J114,$D114*$C114,IF(AND(BQ$12&gt;$J114,BQ$12&lt;$J114+$F114*365),$D114*(1-(BQ$12-$J114)/($F114*365))*$C114,""))),"")</f>
        <v/>
      </c>
      <c r="BR114" s="811" t="str">
        <f t="shared" si="121"/>
        <v/>
      </c>
      <c r="BS114" s="811" t="str">
        <f t="shared" si="121"/>
        <v/>
      </c>
      <c r="BT114" s="811" t="str">
        <f t="shared" si="121"/>
        <v/>
      </c>
      <c r="BU114" s="811" t="str">
        <f t="shared" si="121"/>
        <v/>
      </c>
      <c r="BV114" s="811" t="str">
        <f t="shared" si="121"/>
        <v/>
      </c>
      <c r="BW114" s="811" t="str">
        <f t="shared" si="121"/>
        <v/>
      </c>
      <c r="BX114" s="811" t="str">
        <f t="shared" si="121"/>
        <v/>
      </c>
      <c r="BY114" s="811" t="str">
        <f t="shared" si="121"/>
        <v/>
      </c>
      <c r="BZ114" s="811" t="str">
        <f t="shared" si="121"/>
        <v/>
      </c>
      <c r="CA114" s="811" t="str">
        <f t="shared" ref="CA114:CJ119" si="122">IF(ISNUMBER($J114),IF(CA$12&lt;$J114,"",IF(CA$12=$J114,$D114*$C114,IF(AND(CA$12&gt;$J114,CA$12&lt;$J114+$F114*365),$D114*(1-(CA$12-$J114)/($F114*365))*$C114,""))),"")</f>
        <v/>
      </c>
      <c r="CB114" s="811" t="str">
        <f t="shared" si="122"/>
        <v/>
      </c>
      <c r="CC114" s="811" t="str">
        <f t="shared" si="122"/>
        <v/>
      </c>
      <c r="CD114" s="811" t="str">
        <f t="shared" si="122"/>
        <v/>
      </c>
      <c r="CE114" s="811" t="str">
        <f t="shared" si="122"/>
        <v/>
      </c>
      <c r="CF114" s="811" t="str">
        <f t="shared" si="122"/>
        <v/>
      </c>
      <c r="CG114" s="811" t="str">
        <f t="shared" si="122"/>
        <v/>
      </c>
      <c r="CH114" s="811" t="str">
        <f t="shared" si="122"/>
        <v/>
      </c>
      <c r="CI114" s="811" t="str">
        <f t="shared" si="122"/>
        <v/>
      </c>
      <c r="CJ114" s="811" t="str">
        <f t="shared" si="122"/>
        <v/>
      </c>
      <c r="CK114" s="811" t="str">
        <f t="shared" ref="CK114:CU119" si="123">IF(ISNUMBER($J114),IF(CK$12&lt;$J114,"",IF(CK$12=$J114,$D114*$C114,IF(AND(CK$12&gt;$J114,CK$12&lt;$J114+$F114*365),$D114*(1-(CK$12-$J114)/($F114*365))*$C114,""))),"")</f>
        <v/>
      </c>
      <c r="CL114" s="811" t="str">
        <f t="shared" si="123"/>
        <v/>
      </c>
      <c r="CM114" s="811" t="str">
        <f t="shared" si="123"/>
        <v/>
      </c>
      <c r="CN114" s="811" t="str">
        <f t="shared" si="123"/>
        <v/>
      </c>
      <c r="CO114" s="811" t="str">
        <f t="shared" si="123"/>
        <v/>
      </c>
      <c r="CP114" s="811" t="str">
        <f t="shared" si="123"/>
        <v/>
      </c>
      <c r="CQ114" s="811" t="str">
        <f t="shared" si="123"/>
        <v/>
      </c>
      <c r="CR114" s="811" t="str">
        <f t="shared" si="123"/>
        <v/>
      </c>
      <c r="CS114" s="811" t="str">
        <f t="shared" si="123"/>
        <v/>
      </c>
      <c r="CT114" s="811" t="str">
        <f t="shared" si="123"/>
        <v/>
      </c>
      <c r="CU114" s="811" t="str">
        <f t="shared" si="123"/>
        <v/>
      </c>
    </row>
    <row r="115" spans="2:115" ht="20.100000000000001" customHeight="1" x14ac:dyDescent="0.2">
      <c r="B115" s="806"/>
      <c r="C115" s="806"/>
      <c r="D115" s="806"/>
      <c r="E115" s="806"/>
      <c r="F115" s="806"/>
      <c r="G115" s="806"/>
      <c r="H115" s="806"/>
      <c r="L115" s="810" t="str">
        <f t="shared" si="90"/>
        <v/>
      </c>
      <c r="N115" s="811" t="str">
        <f t="shared" si="116"/>
        <v/>
      </c>
      <c r="O115" s="811" t="str">
        <f t="shared" si="116"/>
        <v/>
      </c>
      <c r="P115" s="811" t="str">
        <f t="shared" si="116"/>
        <v/>
      </c>
      <c r="Q115" s="811" t="str">
        <f t="shared" si="116"/>
        <v/>
      </c>
      <c r="R115" s="811" t="str">
        <f t="shared" si="116"/>
        <v/>
      </c>
      <c r="S115" s="811" t="str">
        <f t="shared" si="116"/>
        <v/>
      </c>
      <c r="T115" s="811" t="str">
        <f t="shared" si="116"/>
        <v/>
      </c>
      <c r="U115" s="811" t="str">
        <f t="shared" si="116"/>
        <v/>
      </c>
      <c r="V115" s="811" t="str">
        <f t="shared" si="116"/>
        <v/>
      </c>
      <c r="W115" s="811" t="str">
        <f t="shared" si="116"/>
        <v/>
      </c>
      <c r="X115" s="811" t="str">
        <f t="shared" si="117"/>
        <v/>
      </c>
      <c r="Y115" s="811" t="str">
        <f t="shared" si="117"/>
        <v/>
      </c>
      <c r="Z115" s="811" t="str">
        <f t="shared" si="117"/>
        <v/>
      </c>
      <c r="AA115" s="811" t="str">
        <f t="shared" si="117"/>
        <v/>
      </c>
      <c r="AB115" s="811" t="str">
        <f t="shared" si="117"/>
        <v/>
      </c>
      <c r="AC115" s="811" t="str">
        <f t="shared" si="117"/>
        <v/>
      </c>
      <c r="AD115" s="811" t="str">
        <f t="shared" si="117"/>
        <v/>
      </c>
      <c r="AE115" s="811" t="str">
        <f t="shared" si="117"/>
        <v/>
      </c>
      <c r="AF115" s="811" t="str">
        <f t="shared" si="117"/>
        <v/>
      </c>
      <c r="AG115" s="811" t="str">
        <f t="shared" si="117"/>
        <v/>
      </c>
      <c r="AH115" s="811" t="str">
        <f t="shared" si="118"/>
        <v/>
      </c>
      <c r="AI115" s="811" t="str">
        <f t="shared" si="118"/>
        <v/>
      </c>
      <c r="AJ115" s="811" t="str">
        <f t="shared" si="118"/>
        <v/>
      </c>
      <c r="AK115" s="811" t="str">
        <f t="shared" si="118"/>
        <v/>
      </c>
      <c r="AL115" s="811" t="str">
        <f t="shared" si="118"/>
        <v/>
      </c>
      <c r="AM115" s="811" t="str">
        <f t="shared" si="118"/>
        <v/>
      </c>
      <c r="AN115" s="811" t="str">
        <f t="shared" si="118"/>
        <v/>
      </c>
      <c r="AO115" s="811" t="str">
        <f t="shared" si="118"/>
        <v/>
      </c>
      <c r="AP115" s="811" t="str">
        <f t="shared" si="118"/>
        <v/>
      </c>
      <c r="AQ115" s="811" t="str">
        <f t="shared" si="118"/>
        <v/>
      </c>
      <c r="AR115" s="811" t="str">
        <f t="shared" si="119"/>
        <v/>
      </c>
      <c r="AS115" s="811" t="str">
        <f t="shared" si="119"/>
        <v/>
      </c>
      <c r="AT115" s="811" t="str">
        <f t="shared" si="119"/>
        <v/>
      </c>
      <c r="AU115" s="811" t="str">
        <f t="shared" si="119"/>
        <v/>
      </c>
      <c r="AV115" s="811" t="str">
        <f t="shared" si="119"/>
        <v/>
      </c>
      <c r="AW115" s="811" t="str">
        <f t="shared" si="119"/>
        <v/>
      </c>
      <c r="AX115" s="811" t="str">
        <f t="shared" si="119"/>
        <v/>
      </c>
      <c r="AY115" s="811" t="str">
        <f t="shared" si="119"/>
        <v/>
      </c>
      <c r="AZ115" s="811" t="str">
        <f t="shared" si="119"/>
        <v/>
      </c>
      <c r="BA115" s="811" t="str">
        <f t="shared" si="119"/>
        <v/>
      </c>
      <c r="BB115" s="811" t="str">
        <f t="shared" si="120"/>
        <v/>
      </c>
      <c r="BC115" s="811" t="str">
        <f t="shared" si="120"/>
        <v/>
      </c>
      <c r="BD115" s="811" t="str">
        <f t="shared" si="120"/>
        <v/>
      </c>
      <c r="BE115" s="811" t="str">
        <f t="shared" si="120"/>
        <v/>
      </c>
      <c r="BF115" s="811" t="str">
        <f t="shared" si="120"/>
        <v/>
      </c>
      <c r="BG115" s="811" t="str">
        <f t="shared" si="120"/>
        <v/>
      </c>
      <c r="BH115" s="811" t="str">
        <f t="shared" si="120"/>
        <v/>
      </c>
      <c r="BI115" s="811" t="str">
        <f t="shared" si="120"/>
        <v/>
      </c>
      <c r="BJ115" s="811" t="str">
        <f t="shared" si="120"/>
        <v/>
      </c>
      <c r="BK115" s="811" t="str">
        <f t="shared" si="120"/>
        <v/>
      </c>
      <c r="BL115" s="811" t="str">
        <f t="shared" si="120"/>
        <v/>
      </c>
      <c r="BM115" s="811" t="str">
        <f t="shared" si="120"/>
        <v/>
      </c>
      <c r="BN115" s="811" t="str">
        <f t="shared" si="120"/>
        <v/>
      </c>
      <c r="BO115" s="811" t="str">
        <f t="shared" si="120"/>
        <v/>
      </c>
      <c r="BP115" s="811" t="str">
        <f t="shared" si="120"/>
        <v/>
      </c>
      <c r="BQ115" s="811" t="str">
        <f t="shared" si="121"/>
        <v/>
      </c>
      <c r="BR115" s="811" t="str">
        <f t="shared" si="121"/>
        <v/>
      </c>
      <c r="BS115" s="811" t="str">
        <f t="shared" si="121"/>
        <v/>
      </c>
      <c r="BT115" s="811" t="str">
        <f t="shared" si="121"/>
        <v/>
      </c>
      <c r="BU115" s="811" t="str">
        <f t="shared" si="121"/>
        <v/>
      </c>
      <c r="BV115" s="811" t="str">
        <f t="shared" si="121"/>
        <v/>
      </c>
      <c r="BW115" s="811" t="str">
        <f t="shared" si="121"/>
        <v/>
      </c>
      <c r="BX115" s="811" t="str">
        <f t="shared" si="121"/>
        <v/>
      </c>
      <c r="BY115" s="811" t="str">
        <f t="shared" si="121"/>
        <v/>
      </c>
      <c r="BZ115" s="811" t="str">
        <f t="shared" si="121"/>
        <v/>
      </c>
      <c r="CA115" s="811" t="str">
        <f t="shared" si="122"/>
        <v/>
      </c>
      <c r="CB115" s="811" t="str">
        <f t="shared" si="122"/>
        <v/>
      </c>
      <c r="CC115" s="811" t="str">
        <f t="shared" si="122"/>
        <v/>
      </c>
      <c r="CD115" s="811" t="str">
        <f t="shared" si="122"/>
        <v/>
      </c>
      <c r="CE115" s="811" t="str">
        <f t="shared" si="122"/>
        <v/>
      </c>
      <c r="CF115" s="811" t="str">
        <f t="shared" si="122"/>
        <v/>
      </c>
      <c r="CG115" s="811" t="str">
        <f t="shared" si="122"/>
        <v/>
      </c>
      <c r="CH115" s="811" t="str">
        <f t="shared" si="122"/>
        <v/>
      </c>
      <c r="CI115" s="811" t="str">
        <f t="shared" si="122"/>
        <v/>
      </c>
      <c r="CJ115" s="811" t="str">
        <f t="shared" si="122"/>
        <v/>
      </c>
      <c r="CK115" s="811" t="str">
        <f t="shared" si="123"/>
        <v/>
      </c>
      <c r="CL115" s="811" t="str">
        <f t="shared" si="123"/>
        <v/>
      </c>
      <c r="CM115" s="811" t="str">
        <f t="shared" si="123"/>
        <v/>
      </c>
      <c r="CN115" s="811" t="str">
        <f t="shared" si="123"/>
        <v/>
      </c>
      <c r="CO115" s="811" t="str">
        <f t="shared" si="123"/>
        <v/>
      </c>
      <c r="CP115" s="811" t="str">
        <f t="shared" si="123"/>
        <v/>
      </c>
      <c r="CQ115" s="811" t="str">
        <f t="shared" si="123"/>
        <v/>
      </c>
      <c r="CR115" s="811" t="str">
        <f t="shared" si="123"/>
        <v/>
      </c>
      <c r="CS115" s="811" t="str">
        <f t="shared" si="123"/>
        <v/>
      </c>
      <c r="CT115" s="811" t="str">
        <f t="shared" si="123"/>
        <v/>
      </c>
      <c r="CU115" s="811" t="str">
        <f t="shared" si="123"/>
        <v/>
      </c>
    </row>
    <row r="116" spans="2:115" ht="20.100000000000001" customHeight="1" x14ac:dyDescent="0.2">
      <c r="B116" s="806"/>
      <c r="C116" s="806"/>
      <c r="D116" s="806"/>
      <c r="E116" s="806"/>
      <c r="F116" s="806"/>
      <c r="G116" s="806"/>
      <c r="H116" s="806"/>
      <c r="L116" s="810" t="str">
        <f t="shared" si="90"/>
        <v/>
      </c>
      <c r="N116" s="811" t="str">
        <f t="shared" si="116"/>
        <v/>
      </c>
      <c r="O116" s="811" t="str">
        <f t="shared" si="116"/>
        <v/>
      </c>
      <c r="P116" s="811" t="str">
        <f t="shared" si="116"/>
        <v/>
      </c>
      <c r="Q116" s="811" t="str">
        <f t="shared" si="116"/>
        <v/>
      </c>
      <c r="R116" s="811" t="str">
        <f t="shared" si="116"/>
        <v/>
      </c>
      <c r="S116" s="811" t="str">
        <f t="shared" si="116"/>
        <v/>
      </c>
      <c r="T116" s="811" t="str">
        <f t="shared" si="116"/>
        <v/>
      </c>
      <c r="U116" s="811" t="str">
        <f t="shared" si="116"/>
        <v/>
      </c>
      <c r="V116" s="811" t="str">
        <f t="shared" si="116"/>
        <v/>
      </c>
      <c r="W116" s="811" t="str">
        <f t="shared" si="116"/>
        <v/>
      </c>
      <c r="X116" s="811" t="str">
        <f t="shared" si="117"/>
        <v/>
      </c>
      <c r="Y116" s="811" t="str">
        <f t="shared" si="117"/>
        <v/>
      </c>
      <c r="Z116" s="811" t="str">
        <f t="shared" si="117"/>
        <v/>
      </c>
      <c r="AA116" s="811" t="str">
        <f t="shared" si="117"/>
        <v/>
      </c>
      <c r="AB116" s="811" t="str">
        <f t="shared" si="117"/>
        <v/>
      </c>
      <c r="AC116" s="811" t="str">
        <f t="shared" si="117"/>
        <v/>
      </c>
      <c r="AD116" s="811" t="str">
        <f t="shared" si="117"/>
        <v/>
      </c>
      <c r="AE116" s="811" t="str">
        <f t="shared" si="117"/>
        <v/>
      </c>
      <c r="AF116" s="811" t="str">
        <f t="shared" si="117"/>
        <v/>
      </c>
      <c r="AG116" s="811" t="str">
        <f t="shared" si="117"/>
        <v/>
      </c>
      <c r="AH116" s="811" t="str">
        <f t="shared" si="118"/>
        <v/>
      </c>
      <c r="AI116" s="811" t="str">
        <f t="shared" si="118"/>
        <v/>
      </c>
      <c r="AJ116" s="811" t="str">
        <f t="shared" si="118"/>
        <v/>
      </c>
      <c r="AK116" s="811" t="str">
        <f t="shared" si="118"/>
        <v/>
      </c>
      <c r="AL116" s="811" t="str">
        <f t="shared" si="118"/>
        <v/>
      </c>
      <c r="AM116" s="811" t="str">
        <f t="shared" si="118"/>
        <v/>
      </c>
      <c r="AN116" s="811" t="str">
        <f t="shared" si="118"/>
        <v/>
      </c>
      <c r="AO116" s="811" t="str">
        <f t="shared" si="118"/>
        <v/>
      </c>
      <c r="AP116" s="811" t="str">
        <f t="shared" si="118"/>
        <v/>
      </c>
      <c r="AQ116" s="811" t="str">
        <f t="shared" si="118"/>
        <v/>
      </c>
      <c r="AR116" s="811" t="str">
        <f t="shared" si="119"/>
        <v/>
      </c>
      <c r="AS116" s="811" t="str">
        <f t="shared" si="119"/>
        <v/>
      </c>
      <c r="AT116" s="811" t="str">
        <f t="shared" si="119"/>
        <v/>
      </c>
      <c r="AU116" s="811" t="str">
        <f t="shared" si="119"/>
        <v/>
      </c>
      <c r="AV116" s="811" t="str">
        <f t="shared" si="119"/>
        <v/>
      </c>
      <c r="AW116" s="811" t="str">
        <f t="shared" si="119"/>
        <v/>
      </c>
      <c r="AX116" s="811" t="str">
        <f t="shared" si="119"/>
        <v/>
      </c>
      <c r="AY116" s="811" t="str">
        <f t="shared" si="119"/>
        <v/>
      </c>
      <c r="AZ116" s="811" t="str">
        <f t="shared" si="119"/>
        <v/>
      </c>
      <c r="BA116" s="811" t="str">
        <f t="shared" si="119"/>
        <v/>
      </c>
      <c r="BB116" s="811" t="str">
        <f t="shared" si="120"/>
        <v/>
      </c>
      <c r="BC116" s="811" t="str">
        <f t="shared" si="120"/>
        <v/>
      </c>
      <c r="BD116" s="811" t="str">
        <f t="shared" si="120"/>
        <v/>
      </c>
      <c r="BE116" s="811" t="str">
        <f t="shared" si="120"/>
        <v/>
      </c>
      <c r="BF116" s="811" t="str">
        <f t="shared" si="120"/>
        <v/>
      </c>
      <c r="BG116" s="811" t="str">
        <f t="shared" si="120"/>
        <v/>
      </c>
      <c r="BH116" s="811" t="str">
        <f t="shared" si="120"/>
        <v/>
      </c>
      <c r="BI116" s="811" t="str">
        <f t="shared" si="120"/>
        <v/>
      </c>
      <c r="BJ116" s="811" t="str">
        <f t="shared" si="120"/>
        <v/>
      </c>
      <c r="BK116" s="811" t="str">
        <f t="shared" si="120"/>
        <v/>
      </c>
      <c r="BL116" s="811" t="str">
        <f t="shared" si="120"/>
        <v/>
      </c>
      <c r="BM116" s="811" t="str">
        <f t="shared" si="120"/>
        <v/>
      </c>
      <c r="BN116" s="811" t="str">
        <f t="shared" si="120"/>
        <v/>
      </c>
      <c r="BO116" s="811" t="str">
        <f t="shared" si="120"/>
        <v/>
      </c>
      <c r="BP116" s="811" t="str">
        <f t="shared" si="120"/>
        <v/>
      </c>
      <c r="BQ116" s="811" t="str">
        <f t="shared" si="121"/>
        <v/>
      </c>
      <c r="BR116" s="811" t="str">
        <f t="shared" si="121"/>
        <v/>
      </c>
      <c r="BS116" s="811" t="str">
        <f t="shared" si="121"/>
        <v/>
      </c>
      <c r="BT116" s="811" t="str">
        <f t="shared" si="121"/>
        <v/>
      </c>
      <c r="BU116" s="811" t="str">
        <f t="shared" si="121"/>
        <v/>
      </c>
      <c r="BV116" s="811" t="str">
        <f t="shared" si="121"/>
        <v/>
      </c>
      <c r="BW116" s="811" t="str">
        <f t="shared" si="121"/>
        <v/>
      </c>
      <c r="BX116" s="811" t="str">
        <f t="shared" si="121"/>
        <v/>
      </c>
      <c r="BY116" s="811" t="str">
        <f t="shared" si="121"/>
        <v/>
      </c>
      <c r="BZ116" s="811" t="str">
        <f t="shared" si="121"/>
        <v/>
      </c>
      <c r="CA116" s="811" t="str">
        <f t="shared" si="122"/>
        <v/>
      </c>
      <c r="CB116" s="811" t="str">
        <f t="shared" si="122"/>
        <v/>
      </c>
      <c r="CC116" s="811" t="str">
        <f t="shared" si="122"/>
        <v/>
      </c>
      <c r="CD116" s="811" t="str">
        <f t="shared" si="122"/>
        <v/>
      </c>
      <c r="CE116" s="811" t="str">
        <f t="shared" si="122"/>
        <v/>
      </c>
      <c r="CF116" s="811" t="str">
        <f t="shared" si="122"/>
        <v/>
      </c>
      <c r="CG116" s="811" t="str">
        <f t="shared" si="122"/>
        <v/>
      </c>
      <c r="CH116" s="811" t="str">
        <f t="shared" si="122"/>
        <v/>
      </c>
      <c r="CI116" s="811" t="str">
        <f t="shared" si="122"/>
        <v/>
      </c>
      <c r="CJ116" s="811" t="str">
        <f t="shared" si="122"/>
        <v/>
      </c>
      <c r="CK116" s="811" t="str">
        <f t="shared" si="123"/>
        <v/>
      </c>
      <c r="CL116" s="811" t="str">
        <f t="shared" si="123"/>
        <v/>
      </c>
      <c r="CM116" s="811" t="str">
        <f t="shared" si="123"/>
        <v/>
      </c>
      <c r="CN116" s="811" t="str">
        <f t="shared" si="123"/>
        <v/>
      </c>
      <c r="CO116" s="811" t="str">
        <f t="shared" si="123"/>
        <v/>
      </c>
      <c r="CP116" s="811" t="str">
        <f t="shared" si="123"/>
        <v/>
      </c>
      <c r="CQ116" s="811" t="str">
        <f t="shared" si="123"/>
        <v/>
      </c>
      <c r="CR116" s="811" t="str">
        <f t="shared" si="123"/>
        <v/>
      </c>
      <c r="CS116" s="811" t="str">
        <f t="shared" si="123"/>
        <v/>
      </c>
      <c r="CT116" s="811" t="str">
        <f t="shared" si="123"/>
        <v/>
      </c>
      <c r="CU116" s="811" t="str">
        <f t="shared" si="123"/>
        <v/>
      </c>
    </row>
    <row r="117" spans="2:115" ht="20.100000000000001" customHeight="1" x14ac:dyDescent="0.2">
      <c r="B117" s="806"/>
      <c r="C117" s="806"/>
      <c r="D117" s="806"/>
      <c r="E117" s="806"/>
      <c r="F117" s="806"/>
      <c r="G117" s="806"/>
      <c r="H117" s="806"/>
      <c r="L117" s="810" t="str">
        <f t="shared" si="90"/>
        <v/>
      </c>
      <c r="N117" s="811" t="str">
        <f t="shared" si="116"/>
        <v/>
      </c>
      <c r="O117" s="811" t="str">
        <f t="shared" si="116"/>
        <v/>
      </c>
      <c r="P117" s="811" t="str">
        <f t="shared" si="116"/>
        <v/>
      </c>
      <c r="Q117" s="811" t="str">
        <f t="shared" si="116"/>
        <v/>
      </c>
      <c r="R117" s="811" t="str">
        <f t="shared" si="116"/>
        <v/>
      </c>
      <c r="S117" s="811" t="str">
        <f t="shared" si="116"/>
        <v/>
      </c>
      <c r="T117" s="811" t="str">
        <f t="shared" si="116"/>
        <v/>
      </c>
      <c r="U117" s="811" t="str">
        <f t="shared" si="116"/>
        <v/>
      </c>
      <c r="V117" s="811" t="str">
        <f t="shared" si="116"/>
        <v/>
      </c>
      <c r="W117" s="811" t="str">
        <f t="shared" si="116"/>
        <v/>
      </c>
      <c r="X117" s="811" t="str">
        <f t="shared" si="117"/>
        <v/>
      </c>
      <c r="Y117" s="811" t="str">
        <f t="shared" si="117"/>
        <v/>
      </c>
      <c r="Z117" s="811" t="str">
        <f t="shared" si="117"/>
        <v/>
      </c>
      <c r="AA117" s="811" t="str">
        <f t="shared" si="117"/>
        <v/>
      </c>
      <c r="AB117" s="811" t="str">
        <f t="shared" si="117"/>
        <v/>
      </c>
      <c r="AC117" s="811" t="str">
        <f t="shared" si="117"/>
        <v/>
      </c>
      <c r="AD117" s="811" t="str">
        <f t="shared" si="117"/>
        <v/>
      </c>
      <c r="AE117" s="811" t="str">
        <f t="shared" si="117"/>
        <v/>
      </c>
      <c r="AF117" s="811" t="str">
        <f t="shared" si="117"/>
        <v/>
      </c>
      <c r="AG117" s="811" t="str">
        <f t="shared" si="117"/>
        <v/>
      </c>
      <c r="AH117" s="811" t="str">
        <f t="shared" si="118"/>
        <v/>
      </c>
      <c r="AI117" s="811" t="str">
        <f t="shared" si="118"/>
        <v/>
      </c>
      <c r="AJ117" s="811" t="str">
        <f t="shared" si="118"/>
        <v/>
      </c>
      <c r="AK117" s="811" t="str">
        <f t="shared" si="118"/>
        <v/>
      </c>
      <c r="AL117" s="811" t="str">
        <f t="shared" si="118"/>
        <v/>
      </c>
      <c r="AM117" s="811" t="str">
        <f t="shared" si="118"/>
        <v/>
      </c>
      <c r="AN117" s="811" t="str">
        <f t="shared" si="118"/>
        <v/>
      </c>
      <c r="AO117" s="811" t="str">
        <f t="shared" si="118"/>
        <v/>
      </c>
      <c r="AP117" s="811" t="str">
        <f t="shared" si="118"/>
        <v/>
      </c>
      <c r="AQ117" s="811" t="str">
        <f t="shared" si="118"/>
        <v/>
      </c>
      <c r="AR117" s="811" t="str">
        <f t="shared" si="119"/>
        <v/>
      </c>
      <c r="AS117" s="811" t="str">
        <f t="shared" si="119"/>
        <v/>
      </c>
      <c r="AT117" s="811" t="str">
        <f t="shared" si="119"/>
        <v/>
      </c>
      <c r="AU117" s="811" t="str">
        <f t="shared" si="119"/>
        <v/>
      </c>
      <c r="AV117" s="811" t="str">
        <f t="shared" si="119"/>
        <v/>
      </c>
      <c r="AW117" s="811" t="str">
        <f t="shared" si="119"/>
        <v/>
      </c>
      <c r="AX117" s="811" t="str">
        <f t="shared" si="119"/>
        <v/>
      </c>
      <c r="AY117" s="811" t="str">
        <f t="shared" si="119"/>
        <v/>
      </c>
      <c r="AZ117" s="811" t="str">
        <f t="shared" si="119"/>
        <v/>
      </c>
      <c r="BA117" s="811" t="str">
        <f t="shared" si="119"/>
        <v/>
      </c>
      <c r="BB117" s="811" t="str">
        <f t="shared" si="120"/>
        <v/>
      </c>
      <c r="BC117" s="811" t="str">
        <f t="shared" si="120"/>
        <v/>
      </c>
      <c r="BD117" s="811" t="str">
        <f t="shared" si="120"/>
        <v/>
      </c>
      <c r="BE117" s="811" t="str">
        <f t="shared" si="120"/>
        <v/>
      </c>
      <c r="BF117" s="811" t="str">
        <f t="shared" si="120"/>
        <v/>
      </c>
      <c r="BG117" s="811" t="str">
        <f t="shared" si="120"/>
        <v/>
      </c>
      <c r="BH117" s="811" t="str">
        <f t="shared" si="120"/>
        <v/>
      </c>
      <c r="BI117" s="811" t="str">
        <f t="shared" si="120"/>
        <v/>
      </c>
      <c r="BJ117" s="811" t="str">
        <f t="shared" si="120"/>
        <v/>
      </c>
      <c r="BK117" s="811" t="str">
        <f t="shared" si="120"/>
        <v/>
      </c>
      <c r="BL117" s="811" t="str">
        <f t="shared" si="120"/>
        <v/>
      </c>
      <c r="BM117" s="811" t="str">
        <f t="shared" si="120"/>
        <v/>
      </c>
      <c r="BN117" s="811" t="str">
        <f t="shared" si="120"/>
        <v/>
      </c>
      <c r="BO117" s="811" t="str">
        <f t="shared" si="120"/>
        <v/>
      </c>
      <c r="BP117" s="811" t="str">
        <f t="shared" si="120"/>
        <v/>
      </c>
      <c r="BQ117" s="811" t="str">
        <f t="shared" si="121"/>
        <v/>
      </c>
      <c r="BR117" s="811" t="str">
        <f t="shared" si="121"/>
        <v/>
      </c>
      <c r="BS117" s="811" t="str">
        <f t="shared" si="121"/>
        <v/>
      </c>
      <c r="BT117" s="811" t="str">
        <f t="shared" si="121"/>
        <v/>
      </c>
      <c r="BU117" s="811" t="str">
        <f t="shared" si="121"/>
        <v/>
      </c>
      <c r="BV117" s="811" t="str">
        <f t="shared" si="121"/>
        <v/>
      </c>
      <c r="BW117" s="811" t="str">
        <f t="shared" si="121"/>
        <v/>
      </c>
      <c r="BX117" s="811" t="str">
        <f t="shared" si="121"/>
        <v/>
      </c>
      <c r="BY117" s="811" t="str">
        <f t="shared" si="121"/>
        <v/>
      </c>
      <c r="BZ117" s="811" t="str">
        <f t="shared" si="121"/>
        <v/>
      </c>
      <c r="CA117" s="811" t="str">
        <f t="shared" si="122"/>
        <v/>
      </c>
      <c r="CB117" s="811" t="str">
        <f t="shared" si="122"/>
        <v/>
      </c>
      <c r="CC117" s="811" t="str">
        <f t="shared" si="122"/>
        <v/>
      </c>
      <c r="CD117" s="811" t="str">
        <f t="shared" si="122"/>
        <v/>
      </c>
      <c r="CE117" s="811" t="str">
        <f t="shared" si="122"/>
        <v/>
      </c>
      <c r="CF117" s="811" t="str">
        <f t="shared" si="122"/>
        <v/>
      </c>
      <c r="CG117" s="811" t="str">
        <f t="shared" si="122"/>
        <v/>
      </c>
      <c r="CH117" s="811" t="str">
        <f t="shared" si="122"/>
        <v/>
      </c>
      <c r="CI117" s="811" t="str">
        <f t="shared" si="122"/>
        <v/>
      </c>
      <c r="CJ117" s="811" t="str">
        <f t="shared" si="122"/>
        <v/>
      </c>
      <c r="CK117" s="811" t="str">
        <f t="shared" si="123"/>
        <v/>
      </c>
      <c r="CL117" s="811" t="str">
        <f t="shared" si="123"/>
        <v/>
      </c>
      <c r="CM117" s="811" t="str">
        <f t="shared" si="123"/>
        <v/>
      </c>
      <c r="CN117" s="811" t="str">
        <f t="shared" si="123"/>
        <v/>
      </c>
      <c r="CO117" s="811" t="str">
        <f t="shared" si="123"/>
        <v/>
      </c>
      <c r="CP117" s="811" t="str">
        <f t="shared" si="123"/>
        <v/>
      </c>
      <c r="CQ117" s="811" t="str">
        <f t="shared" si="123"/>
        <v/>
      </c>
      <c r="CR117" s="811" t="str">
        <f t="shared" si="123"/>
        <v/>
      </c>
      <c r="CS117" s="811" t="str">
        <f t="shared" si="123"/>
        <v/>
      </c>
      <c r="CT117" s="811" t="str">
        <f t="shared" si="123"/>
        <v/>
      </c>
      <c r="CU117" s="811" t="str">
        <f t="shared" si="123"/>
        <v/>
      </c>
    </row>
    <row r="118" spans="2:115" ht="20.100000000000001" customHeight="1" x14ac:dyDescent="0.2">
      <c r="B118" s="806"/>
      <c r="C118" s="806"/>
      <c r="D118" s="806"/>
      <c r="E118" s="806"/>
      <c r="F118" s="806"/>
      <c r="G118" s="806"/>
      <c r="H118" s="806"/>
      <c r="L118" s="810" t="str">
        <f t="shared" si="90"/>
        <v/>
      </c>
      <c r="N118" s="811" t="str">
        <f t="shared" si="116"/>
        <v/>
      </c>
      <c r="O118" s="811" t="str">
        <f t="shared" si="116"/>
        <v/>
      </c>
      <c r="P118" s="811" t="str">
        <f t="shared" si="116"/>
        <v/>
      </c>
      <c r="Q118" s="811" t="str">
        <f t="shared" si="116"/>
        <v/>
      </c>
      <c r="R118" s="811" t="str">
        <f t="shared" si="116"/>
        <v/>
      </c>
      <c r="S118" s="811" t="str">
        <f t="shared" si="116"/>
        <v/>
      </c>
      <c r="T118" s="811" t="str">
        <f t="shared" si="116"/>
        <v/>
      </c>
      <c r="U118" s="811" t="str">
        <f t="shared" si="116"/>
        <v/>
      </c>
      <c r="V118" s="811" t="str">
        <f t="shared" si="116"/>
        <v/>
      </c>
      <c r="W118" s="811" t="str">
        <f t="shared" si="116"/>
        <v/>
      </c>
      <c r="X118" s="811" t="str">
        <f t="shared" si="117"/>
        <v/>
      </c>
      <c r="Y118" s="811" t="str">
        <f t="shared" si="117"/>
        <v/>
      </c>
      <c r="Z118" s="811" t="str">
        <f t="shared" si="117"/>
        <v/>
      </c>
      <c r="AA118" s="811" t="str">
        <f t="shared" si="117"/>
        <v/>
      </c>
      <c r="AB118" s="811" t="str">
        <f t="shared" si="117"/>
        <v/>
      </c>
      <c r="AC118" s="811" t="str">
        <f t="shared" si="117"/>
        <v/>
      </c>
      <c r="AD118" s="811" t="str">
        <f t="shared" si="117"/>
        <v/>
      </c>
      <c r="AE118" s="811" t="str">
        <f t="shared" si="117"/>
        <v/>
      </c>
      <c r="AF118" s="811" t="str">
        <f t="shared" si="117"/>
        <v/>
      </c>
      <c r="AG118" s="811" t="str">
        <f t="shared" si="117"/>
        <v/>
      </c>
      <c r="AH118" s="811" t="str">
        <f t="shared" si="118"/>
        <v/>
      </c>
      <c r="AI118" s="811" t="str">
        <f t="shared" si="118"/>
        <v/>
      </c>
      <c r="AJ118" s="811" t="str">
        <f t="shared" si="118"/>
        <v/>
      </c>
      <c r="AK118" s="811" t="str">
        <f t="shared" si="118"/>
        <v/>
      </c>
      <c r="AL118" s="811" t="str">
        <f t="shared" si="118"/>
        <v/>
      </c>
      <c r="AM118" s="811" t="str">
        <f t="shared" si="118"/>
        <v/>
      </c>
      <c r="AN118" s="811" t="str">
        <f t="shared" si="118"/>
        <v/>
      </c>
      <c r="AO118" s="811" t="str">
        <f t="shared" si="118"/>
        <v/>
      </c>
      <c r="AP118" s="811" t="str">
        <f t="shared" si="118"/>
        <v/>
      </c>
      <c r="AQ118" s="811" t="str">
        <f t="shared" si="118"/>
        <v/>
      </c>
      <c r="AR118" s="811" t="str">
        <f t="shared" si="119"/>
        <v/>
      </c>
      <c r="AS118" s="811" t="str">
        <f t="shared" si="119"/>
        <v/>
      </c>
      <c r="AT118" s="811" t="str">
        <f t="shared" si="119"/>
        <v/>
      </c>
      <c r="AU118" s="811" t="str">
        <f t="shared" si="119"/>
        <v/>
      </c>
      <c r="AV118" s="811" t="str">
        <f t="shared" si="119"/>
        <v/>
      </c>
      <c r="AW118" s="811" t="str">
        <f t="shared" si="119"/>
        <v/>
      </c>
      <c r="AX118" s="811" t="str">
        <f t="shared" si="119"/>
        <v/>
      </c>
      <c r="AY118" s="811" t="str">
        <f t="shared" si="119"/>
        <v/>
      </c>
      <c r="AZ118" s="811" t="str">
        <f t="shared" si="119"/>
        <v/>
      </c>
      <c r="BA118" s="811" t="str">
        <f t="shared" si="119"/>
        <v/>
      </c>
      <c r="BB118" s="811" t="str">
        <f t="shared" si="120"/>
        <v/>
      </c>
      <c r="BC118" s="811" t="str">
        <f t="shared" si="120"/>
        <v/>
      </c>
      <c r="BD118" s="811" t="str">
        <f t="shared" si="120"/>
        <v/>
      </c>
      <c r="BE118" s="811" t="str">
        <f t="shared" si="120"/>
        <v/>
      </c>
      <c r="BF118" s="811" t="str">
        <f t="shared" si="120"/>
        <v/>
      </c>
      <c r="BG118" s="811" t="str">
        <f t="shared" si="120"/>
        <v/>
      </c>
      <c r="BH118" s="811" t="str">
        <f t="shared" si="120"/>
        <v/>
      </c>
      <c r="BI118" s="811" t="str">
        <f t="shared" si="120"/>
        <v/>
      </c>
      <c r="BJ118" s="811" t="str">
        <f t="shared" si="120"/>
        <v/>
      </c>
      <c r="BK118" s="811" t="str">
        <f t="shared" si="120"/>
        <v/>
      </c>
      <c r="BL118" s="811" t="str">
        <f t="shared" si="120"/>
        <v/>
      </c>
      <c r="BM118" s="811" t="str">
        <f t="shared" si="120"/>
        <v/>
      </c>
      <c r="BN118" s="811" t="str">
        <f t="shared" si="120"/>
        <v/>
      </c>
      <c r="BO118" s="811" t="str">
        <f t="shared" si="120"/>
        <v/>
      </c>
      <c r="BP118" s="811" t="str">
        <f t="shared" si="120"/>
        <v/>
      </c>
      <c r="BQ118" s="811" t="str">
        <f t="shared" si="121"/>
        <v/>
      </c>
      <c r="BR118" s="811" t="str">
        <f t="shared" si="121"/>
        <v/>
      </c>
      <c r="BS118" s="811" t="str">
        <f t="shared" si="121"/>
        <v/>
      </c>
      <c r="BT118" s="811" t="str">
        <f t="shared" si="121"/>
        <v/>
      </c>
      <c r="BU118" s="811" t="str">
        <f t="shared" si="121"/>
        <v/>
      </c>
      <c r="BV118" s="811" t="str">
        <f t="shared" si="121"/>
        <v/>
      </c>
      <c r="BW118" s="811" t="str">
        <f t="shared" si="121"/>
        <v/>
      </c>
      <c r="BX118" s="811" t="str">
        <f t="shared" si="121"/>
        <v/>
      </c>
      <c r="BY118" s="811" t="str">
        <f t="shared" si="121"/>
        <v/>
      </c>
      <c r="BZ118" s="811" t="str">
        <f t="shared" si="121"/>
        <v/>
      </c>
      <c r="CA118" s="811" t="str">
        <f t="shared" si="122"/>
        <v/>
      </c>
      <c r="CB118" s="811" t="str">
        <f t="shared" si="122"/>
        <v/>
      </c>
      <c r="CC118" s="811" t="str">
        <f t="shared" si="122"/>
        <v/>
      </c>
      <c r="CD118" s="811" t="str">
        <f t="shared" si="122"/>
        <v/>
      </c>
      <c r="CE118" s="811" t="str">
        <f t="shared" si="122"/>
        <v/>
      </c>
      <c r="CF118" s="811" t="str">
        <f t="shared" si="122"/>
        <v/>
      </c>
      <c r="CG118" s="811" t="str">
        <f t="shared" si="122"/>
        <v/>
      </c>
      <c r="CH118" s="811" t="str">
        <f t="shared" si="122"/>
        <v/>
      </c>
      <c r="CI118" s="811" t="str">
        <f t="shared" si="122"/>
        <v/>
      </c>
      <c r="CJ118" s="811" t="str">
        <f t="shared" si="122"/>
        <v/>
      </c>
      <c r="CK118" s="811" t="str">
        <f t="shared" si="123"/>
        <v/>
      </c>
      <c r="CL118" s="811" t="str">
        <f t="shared" si="123"/>
        <v/>
      </c>
      <c r="CM118" s="811" t="str">
        <f t="shared" si="123"/>
        <v/>
      </c>
      <c r="CN118" s="811" t="str">
        <f t="shared" si="123"/>
        <v/>
      </c>
      <c r="CO118" s="811" t="str">
        <f t="shared" si="123"/>
        <v/>
      </c>
      <c r="CP118" s="811" t="str">
        <f t="shared" si="123"/>
        <v/>
      </c>
      <c r="CQ118" s="811" t="str">
        <f t="shared" si="123"/>
        <v/>
      </c>
      <c r="CR118" s="811" t="str">
        <f t="shared" si="123"/>
        <v/>
      </c>
      <c r="CS118" s="811" t="str">
        <f t="shared" si="123"/>
        <v/>
      </c>
      <c r="CT118" s="811" t="str">
        <f t="shared" si="123"/>
        <v/>
      </c>
      <c r="CU118" s="811" t="str">
        <f t="shared" si="123"/>
        <v/>
      </c>
    </row>
    <row r="119" spans="2:115" ht="20.100000000000001" customHeight="1" x14ac:dyDescent="0.2">
      <c r="B119" s="806"/>
      <c r="C119" s="806"/>
      <c r="D119" s="806"/>
      <c r="E119" s="806"/>
      <c r="F119" s="806"/>
      <c r="G119" s="806"/>
      <c r="H119" s="806"/>
      <c r="L119" s="810" t="str">
        <f t="shared" si="90"/>
        <v/>
      </c>
      <c r="N119" s="811" t="str">
        <f t="shared" si="116"/>
        <v/>
      </c>
      <c r="O119" s="811" t="str">
        <f t="shared" si="116"/>
        <v/>
      </c>
      <c r="P119" s="811" t="str">
        <f t="shared" si="116"/>
        <v/>
      </c>
      <c r="Q119" s="811" t="str">
        <f t="shared" si="116"/>
        <v/>
      </c>
      <c r="R119" s="811" t="str">
        <f t="shared" si="116"/>
        <v/>
      </c>
      <c r="S119" s="811" t="str">
        <f t="shared" si="116"/>
        <v/>
      </c>
      <c r="T119" s="811" t="str">
        <f t="shared" si="116"/>
        <v/>
      </c>
      <c r="U119" s="811" t="str">
        <f t="shared" si="116"/>
        <v/>
      </c>
      <c r="V119" s="811" t="str">
        <f t="shared" si="116"/>
        <v/>
      </c>
      <c r="W119" s="811" t="str">
        <f t="shared" si="116"/>
        <v/>
      </c>
      <c r="X119" s="811" t="str">
        <f t="shared" si="117"/>
        <v/>
      </c>
      <c r="Y119" s="811" t="str">
        <f t="shared" si="117"/>
        <v/>
      </c>
      <c r="Z119" s="811" t="str">
        <f t="shared" si="117"/>
        <v/>
      </c>
      <c r="AA119" s="811" t="str">
        <f t="shared" si="117"/>
        <v/>
      </c>
      <c r="AB119" s="811" t="str">
        <f t="shared" si="117"/>
        <v/>
      </c>
      <c r="AC119" s="811" t="str">
        <f t="shared" si="117"/>
        <v/>
      </c>
      <c r="AD119" s="811" t="str">
        <f t="shared" si="117"/>
        <v/>
      </c>
      <c r="AE119" s="811" t="str">
        <f t="shared" si="117"/>
        <v/>
      </c>
      <c r="AF119" s="811" t="str">
        <f t="shared" si="117"/>
        <v/>
      </c>
      <c r="AG119" s="811" t="str">
        <f t="shared" si="117"/>
        <v/>
      </c>
      <c r="AH119" s="811" t="str">
        <f t="shared" si="118"/>
        <v/>
      </c>
      <c r="AI119" s="811" t="str">
        <f t="shared" si="118"/>
        <v/>
      </c>
      <c r="AJ119" s="811" t="str">
        <f t="shared" si="118"/>
        <v/>
      </c>
      <c r="AK119" s="811" t="str">
        <f t="shared" si="118"/>
        <v/>
      </c>
      <c r="AL119" s="811" t="str">
        <f t="shared" si="118"/>
        <v/>
      </c>
      <c r="AM119" s="811" t="str">
        <f t="shared" si="118"/>
        <v/>
      </c>
      <c r="AN119" s="811" t="str">
        <f t="shared" si="118"/>
        <v/>
      </c>
      <c r="AO119" s="811" t="str">
        <f t="shared" si="118"/>
        <v/>
      </c>
      <c r="AP119" s="811" t="str">
        <f t="shared" si="118"/>
        <v/>
      </c>
      <c r="AQ119" s="811" t="str">
        <f t="shared" si="118"/>
        <v/>
      </c>
      <c r="AR119" s="811" t="str">
        <f t="shared" si="119"/>
        <v/>
      </c>
      <c r="AS119" s="811" t="str">
        <f t="shared" si="119"/>
        <v/>
      </c>
      <c r="AT119" s="811" t="str">
        <f t="shared" si="119"/>
        <v/>
      </c>
      <c r="AU119" s="811" t="str">
        <f t="shared" si="119"/>
        <v/>
      </c>
      <c r="AV119" s="811" t="str">
        <f t="shared" si="119"/>
        <v/>
      </c>
      <c r="AW119" s="811" t="str">
        <f t="shared" si="119"/>
        <v/>
      </c>
      <c r="AX119" s="811" t="str">
        <f t="shared" si="119"/>
        <v/>
      </c>
      <c r="AY119" s="811" t="str">
        <f t="shared" si="119"/>
        <v/>
      </c>
      <c r="AZ119" s="811" t="str">
        <f t="shared" si="119"/>
        <v/>
      </c>
      <c r="BA119" s="811" t="str">
        <f t="shared" si="119"/>
        <v/>
      </c>
      <c r="BB119" s="811" t="str">
        <f t="shared" si="120"/>
        <v/>
      </c>
      <c r="BC119" s="811" t="str">
        <f t="shared" si="120"/>
        <v/>
      </c>
      <c r="BD119" s="811" t="str">
        <f t="shared" si="120"/>
        <v/>
      </c>
      <c r="BE119" s="811" t="str">
        <f t="shared" si="120"/>
        <v/>
      </c>
      <c r="BF119" s="811" t="str">
        <f t="shared" si="120"/>
        <v/>
      </c>
      <c r="BG119" s="811" t="str">
        <f t="shared" si="120"/>
        <v/>
      </c>
      <c r="BH119" s="811" t="str">
        <f t="shared" si="120"/>
        <v/>
      </c>
      <c r="BI119" s="811" t="str">
        <f t="shared" si="120"/>
        <v/>
      </c>
      <c r="BJ119" s="811" t="str">
        <f t="shared" si="120"/>
        <v/>
      </c>
      <c r="BK119" s="811" t="str">
        <f t="shared" si="120"/>
        <v/>
      </c>
      <c r="BL119" s="811" t="str">
        <f t="shared" si="120"/>
        <v/>
      </c>
      <c r="BM119" s="811" t="str">
        <f t="shared" si="120"/>
        <v/>
      </c>
      <c r="BN119" s="811" t="str">
        <f t="shared" si="120"/>
        <v/>
      </c>
      <c r="BO119" s="811" t="str">
        <f t="shared" si="120"/>
        <v/>
      </c>
      <c r="BP119" s="811" t="str">
        <f t="shared" si="120"/>
        <v/>
      </c>
      <c r="BQ119" s="811" t="str">
        <f t="shared" si="121"/>
        <v/>
      </c>
      <c r="BR119" s="811" t="str">
        <f t="shared" si="121"/>
        <v/>
      </c>
      <c r="BS119" s="811" t="str">
        <f t="shared" si="121"/>
        <v/>
      </c>
      <c r="BT119" s="811" t="str">
        <f t="shared" si="121"/>
        <v/>
      </c>
      <c r="BU119" s="811" t="str">
        <f t="shared" si="121"/>
        <v/>
      </c>
      <c r="BV119" s="811" t="str">
        <f t="shared" si="121"/>
        <v/>
      </c>
      <c r="BW119" s="811" t="str">
        <f t="shared" si="121"/>
        <v/>
      </c>
      <c r="BX119" s="811" t="str">
        <f t="shared" si="121"/>
        <v/>
      </c>
      <c r="BY119" s="811" t="str">
        <f t="shared" si="121"/>
        <v/>
      </c>
      <c r="BZ119" s="811" t="str">
        <f t="shared" si="121"/>
        <v/>
      </c>
      <c r="CA119" s="811" t="str">
        <f t="shared" si="122"/>
        <v/>
      </c>
      <c r="CB119" s="811" t="str">
        <f t="shared" si="122"/>
        <v/>
      </c>
      <c r="CC119" s="811" t="str">
        <f t="shared" si="122"/>
        <v/>
      </c>
      <c r="CD119" s="811" t="str">
        <f t="shared" si="122"/>
        <v/>
      </c>
      <c r="CE119" s="811" t="str">
        <f t="shared" si="122"/>
        <v/>
      </c>
      <c r="CF119" s="811" t="str">
        <f t="shared" si="122"/>
        <v/>
      </c>
      <c r="CG119" s="811" t="str">
        <f t="shared" si="122"/>
        <v/>
      </c>
      <c r="CH119" s="811" t="str">
        <f t="shared" si="122"/>
        <v/>
      </c>
      <c r="CI119" s="811" t="str">
        <f t="shared" si="122"/>
        <v/>
      </c>
      <c r="CJ119" s="811" t="str">
        <f t="shared" si="122"/>
        <v/>
      </c>
      <c r="CK119" s="811" t="str">
        <f t="shared" si="123"/>
        <v/>
      </c>
      <c r="CL119" s="811" t="str">
        <f t="shared" si="123"/>
        <v/>
      </c>
      <c r="CM119" s="811" t="str">
        <f t="shared" si="123"/>
        <v/>
      </c>
      <c r="CN119" s="811" t="str">
        <f t="shared" si="123"/>
        <v/>
      </c>
      <c r="CO119" s="811" t="str">
        <f t="shared" si="123"/>
        <v/>
      </c>
      <c r="CP119" s="811" t="str">
        <f t="shared" si="123"/>
        <v/>
      </c>
      <c r="CQ119" s="811" t="str">
        <f t="shared" si="123"/>
        <v/>
      </c>
      <c r="CR119" s="811" t="str">
        <f t="shared" si="123"/>
        <v/>
      </c>
      <c r="CS119" s="811" t="str">
        <f t="shared" si="123"/>
        <v/>
      </c>
      <c r="CT119" s="811" t="str">
        <f t="shared" si="123"/>
        <v/>
      </c>
      <c r="CU119" s="811" t="str">
        <f t="shared" si="123"/>
        <v/>
      </c>
    </row>
  </sheetData>
  <conditionalFormatting sqref="N13:DK13">
    <cfRule type="expression" dxfId="27" priority="86">
      <formula>N$12&gt;$J$10</formula>
    </cfRule>
  </conditionalFormatting>
  <conditionalFormatting sqref="N3:DK3 N6:DK9 M4:DK4 N114:CU119 N15:DK113">
    <cfRule type="expression" dxfId="26" priority="87">
      <formula>AND(M$12&gt;=$J3,M$12&lt;=$K3,$H3=2)</formula>
    </cfRule>
    <cfRule type="expression" dxfId="25" priority="88">
      <formula>AND(M$12&gt;=$J3,M$12&lt;=$K3,$H3=1)</formula>
    </cfRule>
    <cfRule type="expression" dxfId="24" priority="89">
      <formula>AND(M$12&gt;=$J3,M$12&lt;=$K3,$H3=0)</formula>
    </cfRule>
  </conditionalFormatting>
  <conditionalFormatting sqref="CQ5:DK5">
    <cfRule type="expression" dxfId="23" priority="102">
      <formula>AND(CQ$12&gt;=#REF!,CQ$12&lt;=#REF!,#REF!=2)</formula>
    </cfRule>
    <cfRule type="expression" dxfId="22" priority="103">
      <formula>AND(CQ$12&gt;=#REF!,CQ$12&lt;=#REF!,#REF!=1)</formula>
    </cfRule>
    <cfRule type="expression" dxfId="21" priority="104">
      <formula>AND(CQ$12&gt;=#REF!,CQ$12&lt;=#REF!,#REF!=0)</formula>
    </cfRule>
  </conditionalFormatting>
  <conditionalFormatting sqref="BJ5:CP5">
    <cfRule type="expression" dxfId="20" priority="105">
      <formula>AND(AY$12&gt;=#REF!,AY$12&lt;=#REF!,#REF!=2)</formula>
    </cfRule>
    <cfRule type="expression" dxfId="19" priority="106">
      <formula>AND(AY$12&gt;=#REF!,AY$12&lt;=#REF!,#REF!=1)</formula>
    </cfRule>
    <cfRule type="expression" dxfId="18" priority="107">
      <formula>AND(AY$12&gt;=#REF!,AY$12&lt;=#REF!,#REF!=0)</formula>
    </cfRule>
  </conditionalFormatting>
  <pageMargins left="0.25" right="0.25" top="0.25" bottom="0.25" header="0" footer="0"/>
  <pageSetup paperSize="9" scale="32" orientation="landscape"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P45"/>
  <sheetViews>
    <sheetView showGridLines="0" zoomScaleNormal="100" workbookViewId="0">
      <selection activeCell="AA37" sqref="AA37"/>
    </sheetView>
  </sheetViews>
  <sheetFormatPr defaultRowHeight="12" outlineLevelCol="1" x14ac:dyDescent="0.2"/>
  <cols>
    <col min="1" max="1" width="1.6640625" style="852" customWidth="1"/>
    <col min="2" max="2" width="35.83203125" style="852" bestFit="1" customWidth="1"/>
    <col min="3" max="3" width="7.33203125" style="852" bestFit="1" customWidth="1"/>
    <col min="4" max="5" width="10.83203125" style="852" hidden="1" customWidth="1" outlineLevel="1"/>
    <col min="6" max="6" width="10.83203125" style="852" customWidth="1" collapsed="1"/>
    <col min="7" max="8" width="10.83203125" style="852" hidden="1" customWidth="1" outlineLevel="1"/>
    <col min="9" max="9" width="10.83203125" style="852" customWidth="1" collapsed="1"/>
    <col min="10" max="11" width="10.83203125" style="852" hidden="1" customWidth="1" outlineLevel="1"/>
    <col min="12" max="12" width="10.83203125" style="852" customWidth="1" collapsed="1"/>
    <col min="13" max="14" width="10.83203125" style="852" hidden="1" customWidth="1" outlineLevel="1"/>
    <col min="15" max="15" width="10.83203125" style="852" customWidth="1" collapsed="1"/>
    <col min="16" max="17" width="10.83203125" style="852" hidden="1" customWidth="1" outlineLevel="1"/>
    <col min="18" max="18" width="10.83203125" style="852" customWidth="1" collapsed="1"/>
    <col min="19" max="20" width="10.83203125" style="852" hidden="1" customWidth="1" outlineLevel="1"/>
    <col min="21" max="21" width="10.83203125" style="852" bestFit="1" customWidth="1" collapsed="1"/>
    <col min="22" max="23" width="10.83203125" style="852" hidden="1" customWidth="1" outlineLevel="1"/>
    <col min="24" max="24" width="10.83203125" style="852" customWidth="1" collapsed="1"/>
    <col min="25" max="256" width="9.33203125" style="852"/>
    <col min="257" max="257" width="1.6640625" style="852" customWidth="1"/>
    <col min="258" max="258" width="35.83203125" style="852" bestFit="1" customWidth="1"/>
    <col min="259" max="259" width="7.33203125" style="852" bestFit="1" customWidth="1"/>
    <col min="260" max="261" width="0" style="852" hidden="1" customWidth="1"/>
    <col min="262" max="262" width="10.83203125" style="852" customWidth="1"/>
    <col min="263" max="264" width="0" style="852" hidden="1" customWidth="1"/>
    <col min="265" max="265" width="10.83203125" style="852" customWidth="1"/>
    <col min="266" max="267" width="0" style="852" hidden="1" customWidth="1"/>
    <col min="268" max="268" width="10.83203125" style="852" customWidth="1"/>
    <col min="269" max="270" width="0" style="852" hidden="1" customWidth="1"/>
    <col min="271" max="271" width="10.83203125" style="852" customWidth="1"/>
    <col min="272" max="273" width="0" style="852" hidden="1" customWidth="1"/>
    <col min="274" max="274" width="10.83203125" style="852" customWidth="1"/>
    <col min="275" max="276" width="0" style="852" hidden="1" customWidth="1"/>
    <col min="277" max="277" width="10.83203125" style="852" bestFit="1" customWidth="1"/>
    <col min="278" max="279" width="0" style="852" hidden="1" customWidth="1"/>
    <col min="280" max="280" width="10.83203125" style="852" customWidth="1"/>
    <col min="281" max="512" width="9.33203125" style="852"/>
    <col min="513" max="513" width="1.6640625" style="852" customWidth="1"/>
    <col min="514" max="514" width="35.83203125" style="852" bestFit="1" customWidth="1"/>
    <col min="515" max="515" width="7.33203125" style="852" bestFit="1" customWidth="1"/>
    <col min="516" max="517" width="0" style="852" hidden="1" customWidth="1"/>
    <col min="518" max="518" width="10.83203125" style="852" customWidth="1"/>
    <col min="519" max="520" width="0" style="852" hidden="1" customWidth="1"/>
    <col min="521" max="521" width="10.83203125" style="852" customWidth="1"/>
    <col min="522" max="523" width="0" style="852" hidden="1" customWidth="1"/>
    <col min="524" max="524" width="10.83203125" style="852" customWidth="1"/>
    <col min="525" max="526" width="0" style="852" hidden="1" customWidth="1"/>
    <col min="527" max="527" width="10.83203125" style="852" customWidth="1"/>
    <col min="528" max="529" width="0" style="852" hidden="1" customWidth="1"/>
    <col min="530" max="530" width="10.83203125" style="852" customWidth="1"/>
    <col min="531" max="532" width="0" style="852" hidden="1" customWidth="1"/>
    <col min="533" max="533" width="10.83203125" style="852" bestFit="1" customWidth="1"/>
    <col min="534" max="535" width="0" style="852" hidden="1" customWidth="1"/>
    <col min="536" max="536" width="10.83203125" style="852" customWidth="1"/>
    <col min="537" max="768" width="9.33203125" style="852"/>
    <col min="769" max="769" width="1.6640625" style="852" customWidth="1"/>
    <col min="770" max="770" width="35.83203125" style="852" bestFit="1" customWidth="1"/>
    <col min="771" max="771" width="7.33203125" style="852" bestFit="1" customWidth="1"/>
    <col min="772" max="773" width="0" style="852" hidden="1" customWidth="1"/>
    <col min="774" max="774" width="10.83203125" style="852" customWidth="1"/>
    <col min="775" max="776" width="0" style="852" hidden="1" customWidth="1"/>
    <col min="777" max="777" width="10.83203125" style="852" customWidth="1"/>
    <col min="778" max="779" width="0" style="852" hidden="1" customWidth="1"/>
    <col min="780" max="780" width="10.83203125" style="852" customWidth="1"/>
    <col min="781" max="782" width="0" style="852" hidden="1" customWidth="1"/>
    <col min="783" max="783" width="10.83203125" style="852" customWidth="1"/>
    <col min="784" max="785" width="0" style="852" hidden="1" customWidth="1"/>
    <col min="786" max="786" width="10.83203125" style="852" customWidth="1"/>
    <col min="787" max="788" width="0" style="852" hidden="1" customWidth="1"/>
    <col min="789" max="789" width="10.83203125" style="852" bestFit="1" customWidth="1"/>
    <col min="790" max="791" width="0" style="852" hidden="1" customWidth="1"/>
    <col min="792" max="792" width="10.83203125" style="852" customWidth="1"/>
    <col min="793" max="1024" width="9.33203125" style="852"/>
    <col min="1025" max="1025" width="1.6640625" style="852" customWidth="1"/>
    <col min="1026" max="1026" width="35.83203125" style="852" bestFit="1" customWidth="1"/>
    <col min="1027" max="1027" width="7.33203125" style="852" bestFit="1" customWidth="1"/>
    <col min="1028" max="1029" width="0" style="852" hidden="1" customWidth="1"/>
    <col min="1030" max="1030" width="10.83203125" style="852" customWidth="1"/>
    <col min="1031" max="1032" width="0" style="852" hidden="1" customWidth="1"/>
    <col min="1033" max="1033" width="10.83203125" style="852" customWidth="1"/>
    <col min="1034" max="1035" width="0" style="852" hidden="1" customWidth="1"/>
    <col min="1036" max="1036" width="10.83203125" style="852" customWidth="1"/>
    <col min="1037" max="1038" width="0" style="852" hidden="1" customWidth="1"/>
    <col min="1039" max="1039" width="10.83203125" style="852" customWidth="1"/>
    <col min="1040" max="1041" width="0" style="852" hidden="1" customWidth="1"/>
    <col min="1042" max="1042" width="10.83203125" style="852" customWidth="1"/>
    <col min="1043" max="1044" width="0" style="852" hidden="1" customWidth="1"/>
    <col min="1045" max="1045" width="10.83203125" style="852" bestFit="1" customWidth="1"/>
    <col min="1046" max="1047" width="0" style="852" hidden="1" customWidth="1"/>
    <col min="1048" max="1048" width="10.83203125" style="852" customWidth="1"/>
    <col min="1049" max="1280" width="9.33203125" style="852"/>
    <col min="1281" max="1281" width="1.6640625" style="852" customWidth="1"/>
    <col min="1282" max="1282" width="35.83203125" style="852" bestFit="1" customWidth="1"/>
    <col min="1283" max="1283" width="7.33203125" style="852" bestFit="1" customWidth="1"/>
    <col min="1284" max="1285" width="0" style="852" hidden="1" customWidth="1"/>
    <col min="1286" max="1286" width="10.83203125" style="852" customWidth="1"/>
    <col min="1287" max="1288" width="0" style="852" hidden="1" customWidth="1"/>
    <col min="1289" max="1289" width="10.83203125" style="852" customWidth="1"/>
    <col min="1290" max="1291" width="0" style="852" hidden="1" customWidth="1"/>
    <col min="1292" max="1292" width="10.83203125" style="852" customWidth="1"/>
    <col min="1293" max="1294" width="0" style="852" hidden="1" customWidth="1"/>
    <col min="1295" max="1295" width="10.83203125" style="852" customWidth="1"/>
    <col min="1296" max="1297" width="0" style="852" hidden="1" customWidth="1"/>
    <col min="1298" max="1298" width="10.83203125" style="852" customWidth="1"/>
    <col min="1299" max="1300" width="0" style="852" hidden="1" customWidth="1"/>
    <col min="1301" max="1301" width="10.83203125" style="852" bestFit="1" customWidth="1"/>
    <col min="1302" max="1303" width="0" style="852" hidden="1" customWidth="1"/>
    <col min="1304" max="1304" width="10.83203125" style="852" customWidth="1"/>
    <col min="1305" max="1536" width="9.33203125" style="852"/>
    <col min="1537" max="1537" width="1.6640625" style="852" customWidth="1"/>
    <col min="1538" max="1538" width="35.83203125" style="852" bestFit="1" customWidth="1"/>
    <col min="1539" max="1539" width="7.33203125" style="852" bestFit="1" customWidth="1"/>
    <col min="1540" max="1541" width="0" style="852" hidden="1" customWidth="1"/>
    <col min="1542" max="1542" width="10.83203125" style="852" customWidth="1"/>
    <col min="1543" max="1544" width="0" style="852" hidden="1" customWidth="1"/>
    <col min="1545" max="1545" width="10.83203125" style="852" customWidth="1"/>
    <col min="1546" max="1547" width="0" style="852" hidden="1" customWidth="1"/>
    <col min="1548" max="1548" width="10.83203125" style="852" customWidth="1"/>
    <col min="1549" max="1550" width="0" style="852" hidden="1" customWidth="1"/>
    <col min="1551" max="1551" width="10.83203125" style="852" customWidth="1"/>
    <col min="1552" max="1553" width="0" style="852" hidden="1" customWidth="1"/>
    <col min="1554" max="1554" width="10.83203125" style="852" customWidth="1"/>
    <col min="1555" max="1556" width="0" style="852" hidden="1" customWidth="1"/>
    <col min="1557" max="1557" width="10.83203125" style="852" bestFit="1" customWidth="1"/>
    <col min="1558" max="1559" width="0" style="852" hidden="1" customWidth="1"/>
    <col min="1560" max="1560" width="10.83203125" style="852" customWidth="1"/>
    <col min="1561" max="1792" width="9.33203125" style="852"/>
    <col min="1793" max="1793" width="1.6640625" style="852" customWidth="1"/>
    <col min="1794" max="1794" width="35.83203125" style="852" bestFit="1" customWidth="1"/>
    <col min="1795" max="1795" width="7.33203125" style="852" bestFit="1" customWidth="1"/>
    <col min="1796" max="1797" width="0" style="852" hidden="1" customWidth="1"/>
    <col min="1798" max="1798" width="10.83203125" style="852" customWidth="1"/>
    <col min="1799" max="1800" width="0" style="852" hidden="1" customWidth="1"/>
    <col min="1801" max="1801" width="10.83203125" style="852" customWidth="1"/>
    <col min="1802" max="1803" width="0" style="852" hidden="1" customWidth="1"/>
    <col min="1804" max="1804" width="10.83203125" style="852" customWidth="1"/>
    <col min="1805" max="1806" width="0" style="852" hidden="1" customWidth="1"/>
    <col min="1807" max="1807" width="10.83203125" style="852" customWidth="1"/>
    <col min="1808" max="1809" width="0" style="852" hidden="1" customWidth="1"/>
    <col min="1810" max="1810" width="10.83203125" style="852" customWidth="1"/>
    <col min="1811" max="1812" width="0" style="852" hidden="1" customWidth="1"/>
    <col min="1813" max="1813" width="10.83203125" style="852" bestFit="1" customWidth="1"/>
    <col min="1814" max="1815" width="0" style="852" hidden="1" customWidth="1"/>
    <col min="1816" max="1816" width="10.83203125" style="852" customWidth="1"/>
    <col min="1817" max="2048" width="9.33203125" style="852"/>
    <col min="2049" max="2049" width="1.6640625" style="852" customWidth="1"/>
    <col min="2050" max="2050" width="35.83203125" style="852" bestFit="1" customWidth="1"/>
    <col min="2051" max="2051" width="7.33203125" style="852" bestFit="1" customWidth="1"/>
    <col min="2052" max="2053" width="0" style="852" hidden="1" customWidth="1"/>
    <col min="2054" max="2054" width="10.83203125" style="852" customWidth="1"/>
    <col min="2055" max="2056" width="0" style="852" hidden="1" customWidth="1"/>
    <col min="2057" max="2057" width="10.83203125" style="852" customWidth="1"/>
    <col min="2058" max="2059" width="0" style="852" hidden="1" customWidth="1"/>
    <col min="2060" max="2060" width="10.83203125" style="852" customWidth="1"/>
    <col min="2061" max="2062" width="0" style="852" hidden="1" customWidth="1"/>
    <col min="2063" max="2063" width="10.83203125" style="852" customWidth="1"/>
    <col min="2064" max="2065" width="0" style="852" hidden="1" customWidth="1"/>
    <col min="2066" max="2066" width="10.83203125" style="852" customWidth="1"/>
    <col min="2067" max="2068" width="0" style="852" hidden="1" customWidth="1"/>
    <col min="2069" max="2069" width="10.83203125" style="852" bestFit="1" customWidth="1"/>
    <col min="2070" max="2071" width="0" style="852" hidden="1" customWidth="1"/>
    <col min="2072" max="2072" width="10.83203125" style="852" customWidth="1"/>
    <col min="2073" max="2304" width="9.33203125" style="852"/>
    <col min="2305" max="2305" width="1.6640625" style="852" customWidth="1"/>
    <col min="2306" max="2306" width="35.83203125" style="852" bestFit="1" customWidth="1"/>
    <col min="2307" max="2307" width="7.33203125" style="852" bestFit="1" customWidth="1"/>
    <col min="2308" max="2309" width="0" style="852" hidden="1" customWidth="1"/>
    <col min="2310" max="2310" width="10.83203125" style="852" customWidth="1"/>
    <col min="2311" max="2312" width="0" style="852" hidden="1" customWidth="1"/>
    <col min="2313" max="2313" width="10.83203125" style="852" customWidth="1"/>
    <col min="2314" max="2315" width="0" style="852" hidden="1" customWidth="1"/>
    <col min="2316" max="2316" width="10.83203125" style="852" customWidth="1"/>
    <col min="2317" max="2318" width="0" style="852" hidden="1" customWidth="1"/>
    <col min="2319" max="2319" width="10.83203125" style="852" customWidth="1"/>
    <col min="2320" max="2321" width="0" style="852" hidden="1" customWidth="1"/>
    <col min="2322" max="2322" width="10.83203125" style="852" customWidth="1"/>
    <col min="2323" max="2324" width="0" style="852" hidden="1" customWidth="1"/>
    <col min="2325" max="2325" width="10.83203125" style="852" bestFit="1" customWidth="1"/>
    <col min="2326" max="2327" width="0" style="852" hidden="1" customWidth="1"/>
    <col min="2328" max="2328" width="10.83203125" style="852" customWidth="1"/>
    <col min="2329" max="2560" width="9.33203125" style="852"/>
    <col min="2561" max="2561" width="1.6640625" style="852" customWidth="1"/>
    <col min="2562" max="2562" width="35.83203125" style="852" bestFit="1" customWidth="1"/>
    <col min="2563" max="2563" width="7.33203125" style="852" bestFit="1" customWidth="1"/>
    <col min="2564" max="2565" width="0" style="852" hidden="1" customWidth="1"/>
    <col min="2566" max="2566" width="10.83203125" style="852" customWidth="1"/>
    <col min="2567" max="2568" width="0" style="852" hidden="1" customWidth="1"/>
    <col min="2569" max="2569" width="10.83203125" style="852" customWidth="1"/>
    <col min="2570" max="2571" width="0" style="852" hidden="1" customWidth="1"/>
    <col min="2572" max="2572" width="10.83203125" style="852" customWidth="1"/>
    <col min="2573" max="2574" width="0" style="852" hidden="1" customWidth="1"/>
    <col min="2575" max="2575" width="10.83203125" style="852" customWidth="1"/>
    <col min="2576" max="2577" width="0" style="852" hidden="1" customWidth="1"/>
    <col min="2578" max="2578" width="10.83203125" style="852" customWidth="1"/>
    <col min="2579" max="2580" width="0" style="852" hidden="1" customWidth="1"/>
    <col min="2581" max="2581" width="10.83203125" style="852" bestFit="1" customWidth="1"/>
    <col min="2582" max="2583" width="0" style="852" hidden="1" customWidth="1"/>
    <col min="2584" max="2584" width="10.83203125" style="852" customWidth="1"/>
    <col min="2585" max="2816" width="9.33203125" style="852"/>
    <col min="2817" max="2817" width="1.6640625" style="852" customWidth="1"/>
    <col min="2818" max="2818" width="35.83203125" style="852" bestFit="1" customWidth="1"/>
    <col min="2819" max="2819" width="7.33203125" style="852" bestFit="1" customWidth="1"/>
    <col min="2820" max="2821" width="0" style="852" hidden="1" customWidth="1"/>
    <col min="2822" max="2822" width="10.83203125" style="852" customWidth="1"/>
    <col min="2823" max="2824" width="0" style="852" hidden="1" customWidth="1"/>
    <col min="2825" max="2825" width="10.83203125" style="852" customWidth="1"/>
    <col min="2826" max="2827" width="0" style="852" hidden="1" customWidth="1"/>
    <col min="2828" max="2828" width="10.83203125" style="852" customWidth="1"/>
    <col min="2829" max="2830" width="0" style="852" hidden="1" customWidth="1"/>
    <col min="2831" max="2831" width="10.83203125" style="852" customWidth="1"/>
    <col min="2832" max="2833" width="0" style="852" hidden="1" customWidth="1"/>
    <col min="2834" max="2834" width="10.83203125" style="852" customWidth="1"/>
    <col min="2835" max="2836" width="0" style="852" hidden="1" customWidth="1"/>
    <col min="2837" max="2837" width="10.83203125" style="852" bestFit="1" customWidth="1"/>
    <col min="2838" max="2839" width="0" style="852" hidden="1" customWidth="1"/>
    <col min="2840" max="2840" width="10.83203125" style="852" customWidth="1"/>
    <col min="2841" max="3072" width="9.33203125" style="852"/>
    <col min="3073" max="3073" width="1.6640625" style="852" customWidth="1"/>
    <col min="3074" max="3074" width="35.83203125" style="852" bestFit="1" customWidth="1"/>
    <col min="3075" max="3075" width="7.33203125" style="852" bestFit="1" customWidth="1"/>
    <col min="3076" max="3077" width="0" style="852" hidden="1" customWidth="1"/>
    <col min="3078" max="3078" width="10.83203125" style="852" customWidth="1"/>
    <col min="3079" max="3080" width="0" style="852" hidden="1" customWidth="1"/>
    <col min="3081" max="3081" width="10.83203125" style="852" customWidth="1"/>
    <col min="3082" max="3083" width="0" style="852" hidden="1" customWidth="1"/>
    <col min="3084" max="3084" width="10.83203125" style="852" customWidth="1"/>
    <col min="3085" max="3086" width="0" style="852" hidden="1" customWidth="1"/>
    <col min="3087" max="3087" width="10.83203125" style="852" customWidth="1"/>
    <col min="3088" max="3089" width="0" style="852" hidden="1" customWidth="1"/>
    <col min="3090" max="3090" width="10.83203125" style="852" customWidth="1"/>
    <col min="3091" max="3092" width="0" style="852" hidden="1" customWidth="1"/>
    <col min="3093" max="3093" width="10.83203125" style="852" bestFit="1" customWidth="1"/>
    <col min="3094" max="3095" width="0" style="852" hidden="1" customWidth="1"/>
    <col min="3096" max="3096" width="10.83203125" style="852" customWidth="1"/>
    <col min="3097" max="3328" width="9.33203125" style="852"/>
    <col min="3329" max="3329" width="1.6640625" style="852" customWidth="1"/>
    <col min="3330" max="3330" width="35.83203125" style="852" bestFit="1" customWidth="1"/>
    <col min="3331" max="3331" width="7.33203125" style="852" bestFit="1" customWidth="1"/>
    <col min="3332" max="3333" width="0" style="852" hidden="1" customWidth="1"/>
    <col min="3334" max="3334" width="10.83203125" style="852" customWidth="1"/>
    <col min="3335" max="3336" width="0" style="852" hidden="1" customWidth="1"/>
    <col min="3337" max="3337" width="10.83203125" style="852" customWidth="1"/>
    <col min="3338" max="3339" width="0" style="852" hidden="1" customWidth="1"/>
    <col min="3340" max="3340" width="10.83203125" style="852" customWidth="1"/>
    <col min="3341" max="3342" width="0" style="852" hidden="1" customWidth="1"/>
    <col min="3343" max="3343" width="10.83203125" style="852" customWidth="1"/>
    <col min="3344" max="3345" width="0" style="852" hidden="1" customWidth="1"/>
    <col min="3346" max="3346" width="10.83203125" style="852" customWidth="1"/>
    <col min="3347" max="3348" width="0" style="852" hidden="1" customWidth="1"/>
    <col min="3349" max="3349" width="10.83203125" style="852" bestFit="1" customWidth="1"/>
    <col min="3350" max="3351" width="0" style="852" hidden="1" customWidth="1"/>
    <col min="3352" max="3352" width="10.83203125" style="852" customWidth="1"/>
    <col min="3353" max="3584" width="9.33203125" style="852"/>
    <col min="3585" max="3585" width="1.6640625" style="852" customWidth="1"/>
    <col min="3586" max="3586" width="35.83203125" style="852" bestFit="1" customWidth="1"/>
    <col min="3587" max="3587" width="7.33203125" style="852" bestFit="1" customWidth="1"/>
    <col min="3588" max="3589" width="0" style="852" hidden="1" customWidth="1"/>
    <col min="3590" max="3590" width="10.83203125" style="852" customWidth="1"/>
    <col min="3591" max="3592" width="0" style="852" hidden="1" customWidth="1"/>
    <col min="3593" max="3593" width="10.83203125" style="852" customWidth="1"/>
    <col min="3594" max="3595" width="0" style="852" hidden="1" customWidth="1"/>
    <col min="3596" max="3596" width="10.83203125" style="852" customWidth="1"/>
    <col min="3597" max="3598" width="0" style="852" hidden="1" customWidth="1"/>
    <col min="3599" max="3599" width="10.83203125" style="852" customWidth="1"/>
    <col min="3600" max="3601" width="0" style="852" hidden="1" customWidth="1"/>
    <col min="3602" max="3602" width="10.83203125" style="852" customWidth="1"/>
    <col min="3603" max="3604" width="0" style="852" hidden="1" customWidth="1"/>
    <col min="3605" max="3605" width="10.83203125" style="852" bestFit="1" customWidth="1"/>
    <col min="3606" max="3607" width="0" style="852" hidden="1" customWidth="1"/>
    <col min="3608" max="3608" width="10.83203125" style="852" customWidth="1"/>
    <col min="3609" max="3840" width="9.33203125" style="852"/>
    <col min="3841" max="3841" width="1.6640625" style="852" customWidth="1"/>
    <col min="3842" max="3842" width="35.83203125" style="852" bestFit="1" customWidth="1"/>
    <col min="3843" max="3843" width="7.33203125" style="852" bestFit="1" customWidth="1"/>
    <col min="3844" max="3845" width="0" style="852" hidden="1" customWidth="1"/>
    <col min="3846" max="3846" width="10.83203125" style="852" customWidth="1"/>
    <col min="3847" max="3848" width="0" style="852" hidden="1" customWidth="1"/>
    <col min="3849" max="3849" width="10.83203125" style="852" customWidth="1"/>
    <col min="3850" max="3851" width="0" style="852" hidden="1" customWidth="1"/>
    <col min="3852" max="3852" width="10.83203125" style="852" customWidth="1"/>
    <col min="3853" max="3854" width="0" style="852" hidden="1" customWidth="1"/>
    <col min="3855" max="3855" width="10.83203125" style="852" customWidth="1"/>
    <col min="3856" max="3857" width="0" style="852" hidden="1" customWidth="1"/>
    <col min="3858" max="3858" width="10.83203125" style="852" customWidth="1"/>
    <col min="3859" max="3860" width="0" style="852" hidden="1" customWidth="1"/>
    <col min="3861" max="3861" width="10.83203125" style="852" bestFit="1" customWidth="1"/>
    <col min="3862" max="3863" width="0" style="852" hidden="1" customWidth="1"/>
    <col min="3864" max="3864" width="10.83203125" style="852" customWidth="1"/>
    <col min="3865" max="4096" width="9.33203125" style="852"/>
    <col min="4097" max="4097" width="1.6640625" style="852" customWidth="1"/>
    <col min="4098" max="4098" width="35.83203125" style="852" bestFit="1" customWidth="1"/>
    <col min="4099" max="4099" width="7.33203125" style="852" bestFit="1" customWidth="1"/>
    <col min="4100" max="4101" width="0" style="852" hidden="1" customWidth="1"/>
    <col min="4102" max="4102" width="10.83203125" style="852" customWidth="1"/>
    <col min="4103" max="4104" width="0" style="852" hidden="1" customWidth="1"/>
    <col min="4105" max="4105" width="10.83203125" style="852" customWidth="1"/>
    <col min="4106" max="4107" width="0" style="852" hidden="1" customWidth="1"/>
    <col min="4108" max="4108" width="10.83203125" style="852" customWidth="1"/>
    <col min="4109" max="4110" width="0" style="852" hidden="1" customWidth="1"/>
    <col min="4111" max="4111" width="10.83203125" style="852" customWidth="1"/>
    <col min="4112" max="4113" width="0" style="852" hidden="1" customWidth="1"/>
    <col min="4114" max="4114" width="10.83203125" style="852" customWidth="1"/>
    <col min="4115" max="4116" width="0" style="852" hidden="1" customWidth="1"/>
    <col min="4117" max="4117" width="10.83203125" style="852" bestFit="1" customWidth="1"/>
    <col min="4118" max="4119" width="0" style="852" hidden="1" customWidth="1"/>
    <col min="4120" max="4120" width="10.83203125" style="852" customWidth="1"/>
    <col min="4121" max="4352" width="9.33203125" style="852"/>
    <col min="4353" max="4353" width="1.6640625" style="852" customWidth="1"/>
    <col min="4354" max="4354" width="35.83203125" style="852" bestFit="1" customWidth="1"/>
    <col min="4355" max="4355" width="7.33203125" style="852" bestFit="1" customWidth="1"/>
    <col min="4356" max="4357" width="0" style="852" hidden="1" customWidth="1"/>
    <col min="4358" max="4358" width="10.83203125" style="852" customWidth="1"/>
    <col min="4359" max="4360" width="0" style="852" hidden="1" customWidth="1"/>
    <col min="4361" max="4361" width="10.83203125" style="852" customWidth="1"/>
    <col min="4362" max="4363" width="0" style="852" hidden="1" customWidth="1"/>
    <col min="4364" max="4364" width="10.83203125" style="852" customWidth="1"/>
    <col min="4365" max="4366" width="0" style="852" hidden="1" customWidth="1"/>
    <col min="4367" max="4367" width="10.83203125" style="852" customWidth="1"/>
    <col min="4368" max="4369" width="0" style="852" hidden="1" customWidth="1"/>
    <col min="4370" max="4370" width="10.83203125" style="852" customWidth="1"/>
    <col min="4371" max="4372" width="0" style="852" hidden="1" customWidth="1"/>
    <col min="4373" max="4373" width="10.83203125" style="852" bestFit="1" customWidth="1"/>
    <col min="4374" max="4375" width="0" style="852" hidden="1" customWidth="1"/>
    <col min="4376" max="4376" width="10.83203125" style="852" customWidth="1"/>
    <col min="4377" max="4608" width="9.33203125" style="852"/>
    <col min="4609" max="4609" width="1.6640625" style="852" customWidth="1"/>
    <col min="4610" max="4610" width="35.83203125" style="852" bestFit="1" customWidth="1"/>
    <col min="4611" max="4611" width="7.33203125" style="852" bestFit="1" customWidth="1"/>
    <col min="4612" max="4613" width="0" style="852" hidden="1" customWidth="1"/>
    <col min="4614" max="4614" width="10.83203125" style="852" customWidth="1"/>
    <col min="4615" max="4616" width="0" style="852" hidden="1" customWidth="1"/>
    <col min="4617" max="4617" width="10.83203125" style="852" customWidth="1"/>
    <col min="4618" max="4619" width="0" style="852" hidden="1" customWidth="1"/>
    <col min="4620" max="4620" width="10.83203125" style="852" customWidth="1"/>
    <col min="4621" max="4622" width="0" style="852" hidden="1" customWidth="1"/>
    <col min="4623" max="4623" width="10.83203125" style="852" customWidth="1"/>
    <col min="4624" max="4625" width="0" style="852" hidden="1" customWidth="1"/>
    <col min="4626" max="4626" width="10.83203125" style="852" customWidth="1"/>
    <col min="4627" max="4628" width="0" style="852" hidden="1" customWidth="1"/>
    <col min="4629" max="4629" width="10.83203125" style="852" bestFit="1" customWidth="1"/>
    <col min="4630" max="4631" width="0" style="852" hidden="1" customWidth="1"/>
    <col min="4632" max="4632" width="10.83203125" style="852" customWidth="1"/>
    <col min="4633" max="4864" width="9.33203125" style="852"/>
    <col min="4865" max="4865" width="1.6640625" style="852" customWidth="1"/>
    <col min="4866" max="4866" width="35.83203125" style="852" bestFit="1" customWidth="1"/>
    <col min="4867" max="4867" width="7.33203125" style="852" bestFit="1" customWidth="1"/>
    <col min="4868" max="4869" width="0" style="852" hidden="1" customWidth="1"/>
    <col min="4870" max="4870" width="10.83203125" style="852" customWidth="1"/>
    <col min="4871" max="4872" width="0" style="852" hidden="1" customWidth="1"/>
    <col min="4873" max="4873" width="10.83203125" style="852" customWidth="1"/>
    <col min="4874" max="4875" width="0" style="852" hidden="1" customWidth="1"/>
    <col min="4876" max="4876" width="10.83203125" style="852" customWidth="1"/>
    <col min="4877" max="4878" width="0" style="852" hidden="1" customWidth="1"/>
    <col min="4879" max="4879" width="10.83203125" style="852" customWidth="1"/>
    <col min="4880" max="4881" width="0" style="852" hidden="1" customWidth="1"/>
    <col min="4882" max="4882" width="10.83203125" style="852" customWidth="1"/>
    <col min="4883" max="4884" width="0" style="852" hidden="1" customWidth="1"/>
    <col min="4885" max="4885" width="10.83203125" style="852" bestFit="1" customWidth="1"/>
    <col min="4886" max="4887" width="0" style="852" hidden="1" customWidth="1"/>
    <col min="4888" max="4888" width="10.83203125" style="852" customWidth="1"/>
    <col min="4889" max="5120" width="9.33203125" style="852"/>
    <col min="5121" max="5121" width="1.6640625" style="852" customWidth="1"/>
    <col min="5122" max="5122" width="35.83203125" style="852" bestFit="1" customWidth="1"/>
    <col min="5123" max="5123" width="7.33203125" style="852" bestFit="1" customWidth="1"/>
    <col min="5124" max="5125" width="0" style="852" hidden="1" customWidth="1"/>
    <col min="5126" max="5126" width="10.83203125" style="852" customWidth="1"/>
    <col min="5127" max="5128" width="0" style="852" hidden="1" customWidth="1"/>
    <col min="5129" max="5129" width="10.83203125" style="852" customWidth="1"/>
    <col min="5130" max="5131" width="0" style="852" hidden="1" customWidth="1"/>
    <col min="5132" max="5132" width="10.83203125" style="852" customWidth="1"/>
    <col min="5133" max="5134" width="0" style="852" hidden="1" customWidth="1"/>
    <col min="5135" max="5135" width="10.83203125" style="852" customWidth="1"/>
    <col min="5136" max="5137" width="0" style="852" hidden="1" customWidth="1"/>
    <col min="5138" max="5138" width="10.83203125" style="852" customWidth="1"/>
    <col min="5139" max="5140" width="0" style="852" hidden="1" customWidth="1"/>
    <col min="5141" max="5141" width="10.83203125" style="852" bestFit="1" customWidth="1"/>
    <col min="5142" max="5143" width="0" style="852" hidden="1" customWidth="1"/>
    <col min="5144" max="5144" width="10.83203125" style="852" customWidth="1"/>
    <col min="5145" max="5376" width="9.33203125" style="852"/>
    <col min="5377" max="5377" width="1.6640625" style="852" customWidth="1"/>
    <col min="5378" max="5378" width="35.83203125" style="852" bestFit="1" customWidth="1"/>
    <col min="5379" max="5379" width="7.33203125" style="852" bestFit="1" customWidth="1"/>
    <col min="5380" max="5381" width="0" style="852" hidden="1" customWidth="1"/>
    <col min="5382" max="5382" width="10.83203125" style="852" customWidth="1"/>
    <col min="5383" max="5384" width="0" style="852" hidden="1" customWidth="1"/>
    <col min="5385" max="5385" width="10.83203125" style="852" customWidth="1"/>
    <col min="5386" max="5387" width="0" style="852" hidden="1" customWidth="1"/>
    <col min="5388" max="5388" width="10.83203125" style="852" customWidth="1"/>
    <col min="5389" max="5390" width="0" style="852" hidden="1" customWidth="1"/>
    <col min="5391" max="5391" width="10.83203125" style="852" customWidth="1"/>
    <col min="5392" max="5393" width="0" style="852" hidden="1" customWidth="1"/>
    <col min="5394" max="5394" width="10.83203125" style="852" customWidth="1"/>
    <col min="5395" max="5396" width="0" style="852" hidden="1" customWidth="1"/>
    <col min="5397" max="5397" width="10.83203125" style="852" bestFit="1" customWidth="1"/>
    <col min="5398" max="5399" width="0" style="852" hidden="1" customWidth="1"/>
    <col min="5400" max="5400" width="10.83203125" style="852" customWidth="1"/>
    <col min="5401" max="5632" width="9.33203125" style="852"/>
    <col min="5633" max="5633" width="1.6640625" style="852" customWidth="1"/>
    <col min="5634" max="5634" width="35.83203125" style="852" bestFit="1" customWidth="1"/>
    <col min="5635" max="5635" width="7.33203125" style="852" bestFit="1" customWidth="1"/>
    <col min="5636" max="5637" width="0" style="852" hidden="1" customWidth="1"/>
    <col min="5638" max="5638" width="10.83203125" style="852" customWidth="1"/>
    <col min="5639" max="5640" width="0" style="852" hidden="1" customWidth="1"/>
    <col min="5641" max="5641" width="10.83203125" style="852" customWidth="1"/>
    <col min="5642" max="5643" width="0" style="852" hidden="1" customWidth="1"/>
    <col min="5644" max="5644" width="10.83203125" style="852" customWidth="1"/>
    <col min="5645" max="5646" width="0" style="852" hidden="1" customWidth="1"/>
    <col min="5647" max="5647" width="10.83203125" style="852" customWidth="1"/>
    <col min="5648" max="5649" width="0" style="852" hidden="1" customWidth="1"/>
    <col min="5650" max="5650" width="10.83203125" style="852" customWidth="1"/>
    <col min="5651" max="5652" width="0" style="852" hidden="1" customWidth="1"/>
    <col min="5653" max="5653" width="10.83203125" style="852" bestFit="1" customWidth="1"/>
    <col min="5654" max="5655" width="0" style="852" hidden="1" customWidth="1"/>
    <col min="5656" max="5656" width="10.83203125" style="852" customWidth="1"/>
    <col min="5657" max="5888" width="9.33203125" style="852"/>
    <col min="5889" max="5889" width="1.6640625" style="852" customWidth="1"/>
    <col min="5890" max="5890" width="35.83203125" style="852" bestFit="1" customWidth="1"/>
    <col min="5891" max="5891" width="7.33203125" style="852" bestFit="1" customWidth="1"/>
    <col min="5892" max="5893" width="0" style="852" hidden="1" customWidth="1"/>
    <col min="5894" max="5894" width="10.83203125" style="852" customWidth="1"/>
    <col min="5895" max="5896" width="0" style="852" hidden="1" customWidth="1"/>
    <col min="5897" max="5897" width="10.83203125" style="852" customWidth="1"/>
    <col min="5898" max="5899" width="0" style="852" hidden="1" customWidth="1"/>
    <col min="5900" max="5900" width="10.83203125" style="852" customWidth="1"/>
    <col min="5901" max="5902" width="0" style="852" hidden="1" customWidth="1"/>
    <col min="5903" max="5903" width="10.83203125" style="852" customWidth="1"/>
    <col min="5904" max="5905" width="0" style="852" hidden="1" customWidth="1"/>
    <col min="5906" max="5906" width="10.83203125" style="852" customWidth="1"/>
    <col min="5907" max="5908" width="0" style="852" hidden="1" customWidth="1"/>
    <col min="5909" max="5909" width="10.83203125" style="852" bestFit="1" customWidth="1"/>
    <col min="5910" max="5911" width="0" style="852" hidden="1" customWidth="1"/>
    <col min="5912" max="5912" width="10.83203125" style="852" customWidth="1"/>
    <col min="5913" max="6144" width="9.33203125" style="852"/>
    <col min="6145" max="6145" width="1.6640625" style="852" customWidth="1"/>
    <col min="6146" max="6146" width="35.83203125" style="852" bestFit="1" customWidth="1"/>
    <col min="6147" max="6147" width="7.33203125" style="852" bestFit="1" customWidth="1"/>
    <col min="6148" max="6149" width="0" style="852" hidden="1" customWidth="1"/>
    <col min="6150" max="6150" width="10.83203125" style="852" customWidth="1"/>
    <col min="6151" max="6152" width="0" style="852" hidden="1" customWidth="1"/>
    <col min="6153" max="6153" width="10.83203125" style="852" customWidth="1"/>
    <col min="6154" max="6155" width="0" style="852" hidden="1" customWidth="1"/>
    <col min="6156" max="6156" width="10.83203125" style="852" customWidth="1"/>
    <col min="6157" max="6158" width="0" style="852" hidden="1" customWidth="1"/>
    <col min="6159" max="6159" width="10.83203125" style="852" customWidth="1"/>
    <col min="6160" max="6161" width="0" style="852" hidden="1" customWidth="1"/>
    <col min="6162" max="6162" width="10.83203125" style="852" customWidth="1"/>
    <col min="6163" max="6164" width="0" style="852" hidden="1" customWidth="1"/>
    <col min="6165" max="6165" width="10.83203125" style="852" bestFit="1" customWidth="1"/>
    <col min="6166" max="6167" width="0" style="852" hidden="1" customWidth="1"/>
    <col min="6168" max="6168" width="10.83203125" style="852" customWidth="1"/>
    <col min="6169" max="6400" width="9.33203125" style="852"/>
    <col min="6401" max="6401" width="1.6640625" style="852" customWidth="1"/>
    <col min="6402" max="6402" width="35.83203125" style="852" bestFit="1" customWidth="1"/>
    <col min="6403" max="6403" width="7.33203125" style="852" bestFit="1" customWidth="1"/>
    <col min="6404" max="6405" width="0" style="852" hidden="1" customWidth="1"/>
    <col min="6406" max="6406" width="10.83203125" style="852" customWidth="1"/>
    <col min="6407" max="6408" width="0" style="852" hidden="1" customWidth="1"/>
    <col min="6409" max="6409" width="10.83203125" style="852" customWidth="1"/>
    <col min="6410" max="6411" width="0" style="852" hidden="1" customWidth="1"/>
    <col min="6412" max="6412" width="10.83203125" style="852" customWidth="1"/>
    <col min="6413" max="6414" width="0" style="852" hidden="1" customWidth="1"/>
    <col min="6415" max="6415" width="10.83203125" style="852" customWidth="1"/>
    <col min="6416" max="6417" width="0" style="852" hidden="1" customWidth="1"/>
    <col min="6418" max="6418" width="10.83203125" style="852" customWidth="1"/>
    <col min="6419" max="6420" width="0" style="852" hidden="1" customWidth="1"/>
    <col min="6421" max="6421" width="10.83203125" style="852" bestFit="1" customWidth="1"/>
    <col min="6422" max="6423" width="0" style="852" hidden="1" customWidth="1"/>
    <col min="6424" max="6424" width="10.83203125" style="852" customWidth="1"/>
    <col min="6425" max="6656" width="9.33203125" style="852"/>
    <col min="6657" max="6657" width="1.6640625" style="852" customWidth="1"/>
    <col min="6658" max="6658" width="35.83203125" style="852" bestFit="1" customWidth="1"/>
    <col min="6659" max="6659" width="7.33203125" style="852" bestFit="1" customWidth="1"/>
    <col min="6660" max="6661" width="0" style="852" hidden="1" customWidth="1"/>
    <col min="6662" max="6662" width="10.83203125" style="852" customWidth="1"/>
    <col min="6663" max="6664" width="0" style="852" hidden="1" customWidth="1"/>
    <col min="6665" max="6665" width="10.83203125" style="852" customWidth="1"/>
    <col min="6666" max="6667" width="0" style="852" hidden="1" customWidth="1"/>
    <col min="6668" max="6668" width="10.83203125" style="852" customWidth="1"/>
    <col min="6669" max="6670" width="0" style="852" hidden="1" customWidth="1"/>
    <col min="6671" max="6671" width="10.83203125" style="852" customWidth="1"/>
    <col min="6672" max="6673" width="0" style="852" hidden="1" customWidth="1"/>
    <col min="6674" max="6674" width="10.83203125" style="852" customWidth="1"/>
    <col min="6675" max="6676" width="0" style="852" hidden="1" customWidth="1"/>
    <col min="6677" max="6677" width="10.83203125" style="852" bestFit="1" customWidth="1"/>
    <col min="6678" max="6679" width="0" style="852" hidden="1" customWidth="1"/>
    <col min="6680" max="6680" width="10.83203125" style="852" customWidth="1"/>
    <col min="6681" max="6912" width="9.33203125" style="852"/>
    <col min="6913" max="6913" width="1.6640625" style="852" customWidth="1"/>
    <col min="6914" max="6914" width="35.83203125" style="852" bestFit="1" customWidth="1"/>
    <col min="6915" max="6915" width="7.33203125" style="852" bestFit="1" customWidth="1"/>
    <col min="6916" max="6917" width="0" style="852" hidden="1" customWidth="1"/>
    <col min="6918" max="6918" width="10.83203125" style="852" customWidth="1"/>
    <col min="6919" max="6920" width="0" style="852" hidden="1" customWidth="1"/>
    <col min="6921" max="6921" width="10.83203125" style="852" customWidth="1"/>
    <col min="6922" max="6923" width="0" style="852" hidden="1" customWidth="1"/>
    <col min="6924" max="6924" width="10.83203125" style="852" customWidth="1"/>
    <col min="6925" max="6926" width="0" style="852" hidden="1" customWidth="1"/>
    <col min="6927" max="6927" width="10.83203125" style="852" customWidth="1"/>
    <col min="6928" max="6929" width="0" style="852" hidden="1" customWidth="1"/>
    <col min="6930" max="6930" width="10.83203125" style="852" customWidth="1"/>
    <col min="6931" max="6932" width="0" style="852" hidden="1" customWidth="1"/>
    <col min="6933" max="6933" width="10.83203125" style="852" bestFit="1" customWidth="1"/>
    <col min="6934" max="6935" width="0" style="852" hidden="1" customWidth="1"/>
    <col min="6936" max="6936" width="10.83203125" style="852" customWidth="1"/>
    <col min="6937" max="7168" width="9.33203125" style="852"/>
    <col min="7169" max="7169" width="1.6640625" style="852" customWidth="1"/>
    <col min="7170" max="7170" width="35.83203125" style="852" bestFit="1" customWidth="1"/>
    <col min="7171" max="7171" width="7.33203125" style="852" bestFit="1" customWidth="1"/>
    <col min="7172" max="7173" width="0" style="852" hidden="1" customWidth="1"/>
    <col min="7174" max="7174" width="10.83203125" style="852" customWidth="1"/>
    <col min="7175" max="7176" width="0" style="852" hidden="1" customWidth="1"/>
    <col min="7177" max="7177" width="10.83203125" style="852" customWidth="1"/>
    <col min="7178" max="7179" width="0" style="852" hidden="1" customWidth="1"/>
    <col min="7180" max="7180" width="10.83203125" style="852" customWidth="1"/>
    <col min="7181" max="7182" width="0" style="852" hidden="1" customWidth="1"/>
    <col min="7183" max="7183" width="10.83203125" style="852" customWidth="1"/>
    <col min="7184" max="7185" width="0" style="852" hidden="1" customWidth="1"/>
    <col min="7186" max="7186" width="10.83203125" style="852" customWidth="1"/>
    <col min="7187" max="7188" width="0" style="852" hidden="1" customWidth="1"/>
    <col min="7189" max="7189" width="10.83203125" style="852" bestFit="1" customWidth="1"/>
    <col min="7190" max="7191" width="0" style="852" hidden="1" customWidth="1"/>
    <col min="7192" max="7192" width="10.83203125" style="852" customWidth="1"/>
    <col min="7193" max="7424" width="9.33203125" style="852"/>
    <col min="7425" max="7425" width="1.6640625" style="852" customWidth="1"/>
    <col min="7426" max="7426" width="35.83203125" style="852" bestFit="1" customWidth="1"/>
    <col min="7427" max="7427" width="7.33203125" style="852" bestFit="1" customWidth="1"/>
    <col min="7428" max="7429" width="0" style="852" hidden="1" customWidth="1"/>
    <col min="7430" max="7430" width="10.83203125" style="852" customWidth="1"/>
    <col min="7431" max="7432" width="0" style="852" hidden="1" customWidth="1"/>
    <col min="7433" max="7433" width="10.83203125" style="852" customWidth="1"/>
    <col min="7434" max="7435" width="0" style="852" hidden="1" customWidth="1"/>
    <col min="7436" max="7436" width="10.83203125" style="852" customWidth="1"/>
    <col min="7437" max="7438" width="0" style="852" hidden="1" customWidth="1"/>
    <col min="7439" max="7439" width="10.83203125" style="852" customWidth="1"/>
    <col min="7440" max="7441" width="0" style="852" hidden="1" customWidth="1"/>
    <col min="7442" max="7442" width="10.83203125" style="852" customWidth="1"/>
    <col min="7443" max="7444" width="0" style="852" hidden="1" customWidth="1"/>
    <col min="7445" max="7445" width="10.83203125" style="852" bestFit="1" customWidth="1"/>
    <col min="7446" max="7447" width="0" style="852" hidden="1" customWidth="1"/>
    <col min="7448" max="7448" width="10.83203125" style="852" customWidth="1"/>
    <col min="7449" max="7680" width="9.33203125" style="852"/>
    <col min="7681" max="7681" width="1.6640625" style="852" customWidth="1"/>
    <col min="7682" max="7682" width="35.83203125" style="852" bestFit="1" customWidth="1"/>
    <col min="7683" max="7683" width="7.33203125" style="852" bestFit="1" customWidth="1"/>
    <col min="7684" max="7685" width="0" style="852" hidden="1" customWidth="1"/>
    <col min="7686" max="7686" width="10.83203125" style="852" customWidth="1"/>
    <col min="7687" max="7688" width="0" style="852" hidden="1" customWidth="1"/>
    <col min="7689" max="7689" width="10.83203125" style="852" customWidth="1"/>
    <col min="7690" max="7691" width="0" style="852" hidden="1" customWidth="1"/>
    <col min="7692" max="7692" width="10.83203125" style="852" customWidth="1"/>
    <col min="7693" max="7694" width="0" style="852" hidden="1" customWidth="1"/>
    <col min="7695" max="7695" width="10.83203125" style="852" customWidth="1"/>
    <col min="7696" max="7697" width="0" style="852" hidden="1" customWidth="1"/>
    <col min="7698" max="7698" width="10.83203125" style="852" customWidth="1"/>
    <col min="7699" max="7700" width="0" style="852" hidden="1" customWidth="1"/>
    <col min="7701" max="7701" width="10.83203125" style="852" bestFit="1" customWidth="1"/>
    <col min="7702" max="7703" width="0" style="852" hidden="1" customWidth="1"/>
    <col min="7704" max="7704" width="10.83203125" style="852" customWidth="1"/>
    <col min="7705" max="7936" width="9.33203125" style="852"/>
    <col min="7937" max="7937" width="1.6640625" style="852" customWidth="1"/>
    <col min="7938" max="7938" width="35.83203125" style="852" bestFit="1" customWidth="1"/>
    <col min="7939" max="7939" width="7.33203125" style="852" bestFit="1" customWidth="1"/>
    <col min="7940" max="7941" width="0" style="852" hidden="1" customWidth="1"/>
    <col min="7942" max="7942" width="10.83203125" style="852" customWidth="1"/>
    <col min="7943" max="7944" width="0" style="852" hidden="1" customWidth="1"/>
    <col min="7945" max="7945" width="10.83203125" style="852" customWidth="1"/>
    <col min="7946" max="7947" width="0" style="852" hidden="1" customWidth="1"/>
    <col min="7948" max="7948" width="10.83203125" style="852" customWidth="1"/>
    <col min="7949" max="7950" width="0" style="852" hidden="1" customWidth="1"/>
    <col min="7951" max="7951" width="10.83203125" style="852" customWidth="1"/>
    <col min="7952" max="7953" width="0" style="852" hidden="1" customWidth="1"/>
    <col min="7954" max="7954" width="10.83203125" style="852" customWidth="1"/>
    <col min="7955" max="7956" width="0" style="852" hidden="1" customWidth="1"/>
    <col min="7957" max="7957" width="10.83203125" style="852" bestFit="1" customWidth="1"/>
    <col min="7958" max="7959" width="0" style="852" hidden="1" customWidth="1"/>
    <col min="7960" max="7960" width="10.83203125" style="852" customWidth="1"/>
    <col min="7961" max="8192" width="9.33203125" style="852"/>
    <col min="8193" max="8193" width="1.6640625" style="852" customWidth="1"/>
    <col min="8194" max="8194" width="35.83203125" style="852" bestFit="1" customWidth="1"/>
    <col min="8195" max="8195" width="7.33203125" style="852" bestFit="1" customWidth="1"/>
    <col min="8196" max="8197" width="0" style="852" hidden="1" customWidth="1"/>
    <col min="8198" max="8198" width="10.83203125" style="852" customWidth="1"/>
    <col min="8199" max="8200" width="0" style="852" hidden="1" customWidth="1"/>
    <col min="8201" max="8201" width="10.83203125" style="852" customWidth="1"/>
    <col min="8202" max="8203" width="0" style="852" hidden="1" customWidth="1"/>
    <col min="8204" max="8204" width="10.83203125" style="852" customWidth="1"/>
    <col min="8205" max="8206" width="0" style="852" hidden="1" customWidth="1"/>
    <col min="8207" max="8207" width="10.83203125" style="852" customWidth="1"/>
    <col min="8208" max="8209" width="0" style="852" hidden="1" customWidth="1"/>
    <col min="8210" max="8210" width="10.83203125" style="852" customWidth="1"/>
    <col min="8211" max="8212" width="0" style="852" hidden="1" customWidth="1"/>
    <col min="8213" max="8213" width="10.83203125" style="852" bestFit="1" customWidth="1"/>
    <col min="8214" max="8215" width="0" style="852" hidden="1" customWidth="1"/>
    <col min="8216" max="8216" width="10.83203125" style="852" customWidth="1"/>
    <col min="8217" max="8448" width="9.33203125" style="852"/>
    <col min="8449" max="8449" width="1.6640625" style="852" customWidth="1"/>
    <col min="8450" max="8450" width="35.83203125" style="852" bestFit="1" customWidth="1"/>
    <col min="8451" max="8451" width="7.33203125" style="852" bestFit="1" customWidth="1"/>
    <col min="8452" max="8453" width="0" style="852" hidden="1" customWidth="1"/>
    <col min="8454" max="8454" width="10.83203125" style="852" customWidth="1"/>
    <col min="8455" max="8456" width="0" style="852" hidden="1" customWidth="1"/>
    <col min="8457" max="8457" width="10.83203125" style="852" customWidth="1"/>
    <col min="8458" max="8459" width="0" style="852" hidden="1" customWidth="1"/>
    <col min="8460" max="8460" width="10.83203125" style="852" customWidth="1"/>
    <col min="8461" max="8462" width="0" style="852" hidden="1" customWidth="1"/>
    <col min="8463" max="8463" width="10.83203125" style="852" customWidth="1"/>
    <col min="8464" max="8465" width="0" style="852" hidden="1" customWidth="1"/>
    <col min="8466" max="8466" width="10.83203125" style="852" customWidth="1"/>
    <col min="8467" max="8468" width="0" style="852" hidden="1" customWidth="1"/>
    <col min="8469" max="8469" width="10.83203125" style="852" bestFit="1" customWidth="1"/>
    <col min="8470" max="8471" width="0" style="852" hidden="1" customWidth="1"/>
    <col min="8472" max="8472" width="10.83203125" style="852" customWidth="1"/>
    <col min="8473" max="8704" width="9.33203125" style="852"/>
    <col min="8705" max="8705" width="1.6640625" style="852" customWidth="1"/>
    <col min="8706" max="8706" width="35.83203125" style="852" bestFit="1" customWidth="1"/>
    <col min="8707" max="8707" width="7.33203125" style="852" bestFit="1" customWidth="1"/>
    <col min="8708" max="8709" width="0" style="852" hidden="1" customWidth="1"/>
    <col min="8710" max="8710" width="10.83203125" style="852" customWidth="1"/>
    <col min="8711" max="8712" width="0" style="852" hidden="1" customWidth="1"/>
    <col min="8713" max="8713" width="10.83203125" style="852" customWidth="1"/>
    <col min="8714" max="8715" width="0" style="852" hidden="1" customWidth="1"/>
    <col min="8716" max="8716" width="10.83203125" style="852" customWidth="1"/>
    <col min="8717" max="8718" width="0" style="852" hidden="1" customWidth="1"/>
    <col min="8719" max="8719" width="10.83203125" style="852" customWidth="1"/>
    <col min="8720" max="8721" width="0" style="852" hidden="1" customWidth="1"/>
    <col min="8722" max="8722" width="10.83203125" style="852" customWidth="1"/>
    <col min="8723" max="8724" width="0" style="852" hidden="1" customWidth="1"/>
    <col min="8725" max="8725" width="10.83203125" style="852" bestFit="1" customWidth="1"/>
    <col min="8726" max="8727" width="0" style="852" hidden="1" customWidth="1"/>
    <col min="8728" max="8728" width="10.83203125" style="852" customWidth="1"/>
    <col min="8729" max="8960" width="9.33203125" style="852"/>
    <col min="8961" max="8961" width="1.6640625" style="852" customWidth="1"/>
    <col min="8962" max="8962" width="35.83203125" style="852" bestFit="1" customWidth="1"/>
    <col min="8963" max="8963" width="7.33203125" style="852" bestFit="1" customWidth="1"/>
    <col min="8964" max="8965" width="0" style="852" hidden="1" customWidth="1"/>
    <col min="8966" max="8966" width="10.83203125" style="852" customWidth="1"/>
    <col min="8967" max="8968" width="0" style="852" hidden="1" customWidth="1"/>
    <col min="8969" max="8969" width="10.83203125" style="852" customWidth="1"/>
    <col min="8970" max="8971" width="0" style="852" hidden="1" customWidth="1"/>
    <col min="8972" max="8972" width="10.83203125" style="852" customWidth="1"/>
    <col min="8973" max="8974" width="0" style="852" hidden="1" customWidth="1"/>
    <col min="8975" max="8975" width="10.83203125" style="852" customWidth="1"/>
    <col min="8976" max="8977" width="0" style="852" hidden="1" customWidth="1"/>
    <col min="8978" max="8978" width="10.83203125" style="852" customWidth="1"/>
    <col min="8979" max="8980" width="0" style="852" hidden="1" customWidth="1"/>
    <col min="8981" max="8981" width="10.83203125" style="852" bestFit="1" customWidth="1"/>
    <col min="8982" max="8983" width="0" style="852" hidden="1" customWidth="1"/>
    <col min="8984" max="8984" width="10.83203125" style="852" customWidth="1"/>
    <col min="8985" max="9216" width="9.33203125" style="852"/>
    <col min="9217" max="9217" width="1.6640625" style="852" customWidth="1"/>
    <col min="9218" max="9218" width="35.83203125" style="852" bestFit="1" customWidth="1"/>
    <col min="9219" max="9219" width="7.33203125" style="852" bestFit="1" customWidth="1"/>
    <col min="9220" max="9221" width="0" style="852" hidden="1" customWidth="1"/>
    <col min="9222" max="9222" width="10.83203125" style="852" customWidth="1"/>
    <col min="9223" max="9224" width="0" style="852" hidden="1" customWidth="1"/>
    <col min="9225" max="9225" width="10.83203125" style="852" customWidth="1"/>
    <col min="9226" max="9227" width="0" style="852" hidden="1" customWidth="1"/>
    <col min="9228" max="9228" width="10.83203125" style="852" customWidth="1"/>
    <col min="9229" max="9230" width="0" style="852" hidden="1" customWidth="1"/>
    <col min="9231" max="9231" width="10.83203125" style="852" customWidth="1"/>
    <col min="9232" max="9233" width="0" style="852" hidden="1" customWidth="1"/>
    <col min="9234" max="9234" width="10.83203125" style="852" customWidth="1"/>
    <col min="9235" max="9236" width="0" style="852" hidden="1" customWidth="1"/>
    <col min="9237" max="9237" width="10.83203125" style="852" bestFit="1" customWidth="1"/>
    <col min="9238" max="9239" width="0" style="852" hidden="1" customWidth="1"/>
    <col min="9240" max="9240" width="10.83203125" style="852" customWidth="1"/>
    <col min="9241" max="9472" width="9.33203125" style="852"/>
    <col min="9473" max="9473" width="1.6640625" style="852" customWidth="1"/>
    <col min="9474" max="9474" width="35.83203125" style="852" bestFit="1" customWidth="1"/>
    <col min="9475" max="9475" width="7.33203125" style="852" bestFit="1" customWidth="1"/>
    <col min="9476" max="9477" width="0" style="852" hidden="1" customWidth="1"/>
    <col min="9478" max="9478" width="10.83203125" style="852" customWidth="1"/>
    <col min="9479" max="9480" width="0" style="852" hidden="1" customWidth="1"/>
    <col min="9481" max="9481" width="10.83203125" style="852" customWidth="1"/>
    <col min="9482" max="9483" width="0" style="852" hidden="1" customWidth="1"/>
    <col min="9484" max="9484" width="10.83203125" style="852" customWidth="1"/>
    <col min="9485" max="9486" width="0" style="852" hidden="1" customWidth="1"/>
    <col min="9487" max="9487" width="10.83203125" style="852" customWidth="1"/>
    <col min="9488" max="9489" width="0" style="852" hidden="1" customWidth="1"/>
    <col min="9490" max="9490" width="10.83203125" style="852" customWidth="1"/>
    <col min="9491" max="9492" width="0" style="852" hidden="1" customWidth="1"/>
    <col min="9493" max="9493" width="10.83203125" style="852" bestFit="1" customWidth="1"/>
    <col min="9494" max="9495" width="0" style="852" hidden="1" customWidth="1"/>
    <col min="9496" max="9496" width="10.83203125" style="852" customWidth="1"/>
    <col min="9497" max="9728" width="9.33203125" style="852"/>
    <col min="9729" max="9729" width="1.6640625" style="852" customWidth="1"/>
    <col min="9730" max="9730" width="35.83203125" style="852" bestFit="1" customWidth="1"/>
    <col min="9731" max="9731" width="7.33203125" style="852" bestFit="1" customWidth="1"/>
    <col min="9732" max="9733" width="0" style="852" hidden="1" customWidth="1"/>
    <col min="9734" max="9734" width="10.83203125" style="852" customWidth="1"/>
    <col min="9735" max="9736" width="0" style="852" hidden="1" customWidth="1"/>
    <col min="9737" max="9737" width="10.83203125" style="852" customWidth="1"/>
    <col min="9738" max="9739" width="0" style="852" hidden="1" customWidth="1"/>
    <col min="9740" max="9740" width="10.83203125" style="852" customWidth="1"/>
    <col min="9741" max="9742" width="0" style="852" hidden="1" customWidth="1"/>
    <col min="9743" max="9743" width="10.83203125" style="852" customWidth="1"/>
    <col min="9744" max="9745" width="0" style="852" hidden="1" customWidth="1"/>
    <col min="9746" max="9746" width="10.83203125" style="852" customWidth="1"/>
    <col min="9747" max="9748" width="0" style="852" hidden="1" customWidth="1"/>
    <col min="9749" max="9749" width="10.83203125" style="852" bestFit="1" customWidth="1"/>
    <col min="9750" max="9751" width="0" style="852" hidden="1" customWidth="1"/>
    <col min="9752" max="9752" width="10.83203125" style="852" customWidth="1"/>
    <col min="9753" max="9984" width="9.33203125" style="852"/>
    <col min="9985" max="9985" width="1.6640625" style="852" customWidth="1"/>
    <col min="9986" max="9986" width="35.83203125" style="852" bestFit="1" customWidth="1"/>
    <col min="9987" max="9987" width="7.33203125" style="852" bestFit="1" customWidth="1"/>
    <col min="9988" max="9989" width="0" style="852" hidden="1" customWidth="1"/>
    <col min="9990" max="9990" width="10.83203125" style="852" customWidth="1"/>
    <col min="9991" max="9992" width="0" style="852" hidden="1" customWidth="1"/>
    <col min="9993" max="9993" width="10.83203125" style="852" customWidth="1"/>
    <col min="9994" max="9995" width="0" style="852" hidden="1" customWidth="1"/>
    <col min="9996" max="9996" width="10.83203125" style="852" customWidth="1"/>
    <col min="9997" max="9998" width="0" style="852" hidden="1" customWidth="1"/>
    <col min="9999" max="9999" width="10.83203125" style="852" customWidth="1"/>
    <col min="10000" max="10001" width="0" style="852" hidden="1" customWidth="1"/>
    <col min="10002" max="10002" width="10.83203125" style="852" customWidth="1"/>
    <col min="10003" max="10004" width="0" style="852" hidden="1" customWidth="1"/>
    <col min="10005" max="10005" width="10.83203125" style="852" bestFit="1" customWidth="1"/>
    <col min="10006" max="10007" width="0" style="852" hidden="1" customWidth="1"/>
    <col min="10008" max="10008" width="10.83203125" style="852" customWidth="1"/>
    <col min="10009" max="10240" width="9.33203125" style="852"/>
    <col min="10241" max="10241" width="1.6640625" style="852" customWidth="1"/>
    <col min="10242" max="10242" width="35.83203125" style="852" bestFit="1" customWidth="1"/>
    <col min="10243" max="10243" width="7.33203125" style="852" bestFit="1" customWidth="1"/>
    <col min="10244" max="10245" width="0" style="852" hidden="1" customWidth="1"/>
    <col min="10246" max="10246" width="10.83203125" style="852" customWidth="1"/>
    <col min="10247" max="10248" width="0" style="852" hidden="1" customWidth="1"/>
    <col min="10249" max="10249" width="10.83203125" style="852" customWidth="1"/>
    <col min="10250" max="10251" width="0" style="852" hidden="1" customWidth="1"/>
    <col min="10252" max="10252" width="10.83203125" style="852" customWidth="1"/>
    <col min="10253" max="10254" width="0" style="852" hidden="1" customWidth="1"/>
    <col min="10255" max="10255" width="10.83203125" style="852" customWidth="1"/>
    <col min="10256" max="10257" width="0" style="852" hidden="1" customWidth="1"/>
    <col min="10258" max="10258" width="10.83203125" style="852" customWidth="1"/>
    <col min="10259" max="10260" width="0" style="852" hidden="1" customWidth="1"/>
    <col min="10261" max="10261" width="10.83203125" style="852" bestFit="1" customWidth="1"/>
    <col min="10262" max="10263" width="0" style="852" hidden="1" customWidth="1"/>
    <col min="10264" max="10264" width="10.83203125" style="852" customWidth="1"/>
    <col min="10265" max="10496" width="9.33203125" style="852"/>
    <col min="10497" max="10497" width="1.6640625" style="852" customWidth="1"/>
    <col min="10498" max="10498" width="35.83203125" style="852" bestFit="1" customWidth="1"/>
    <col min="10499" max="10499" width="7.33203125" style="852" bestFit="1" customWidth="1"/>
    <col min="10500" max="10501" width="0" style="852" hidden="1" customWidth="1"/>
    <col min="10502" max="10502" width="10.83203125" style="852" customWidth="1"/>
    <col min="10503" max="10504" width="0" style="852" hidden="1" customWidth="1"/>
    <col min="10505" max="10505" width="10.83203125" style="852" customWidth="1"/>
    <col min="10506" max="10507" width="0" style="852" hidden="1" customWidth="1"/>
    <col min="10508" max="10508" width="10.83203125" style="852" customWidth="1"/>
    <col min="10509" max="10510" width="0" style="852" hidden="1" customWidth="1"/>
    <col min="10511" max="10511" width="10.83203125" style="852" customWidth="1"/>
    <col min="10512" max="10513" width="0" style="852" hidden="1" customWidth="1"/>
    <col min="10514" max="10514" width="10.83203125" style="852" customWidth="1"/>
    <col min="10515" max="10516" width="0" style="852" hidden="1" customWidth="1"/>
    <col min="10517" max="10517" width="10.83203125" style="852" bestFit="1" customWidth="1"/>
    <col min="10518" max="10519" width="0" style="852" hidden="1" customWidth="1"/>
    <col min="10520" max="10520" width="10.83203125" style="852" customWidth="1"/>
    <col min="10521" max="10752" width="9.33203125" style="852"/>
    <col min="10753" max="10753" width="1.6640625" style="852" customWidth="1"/>
    <col min="10754" max="10754" width="35.83203125" style="852" bestFit="1" customWidth="1"/>
    <col min="10755" max="10755" width="7.33203125" style="852" bestFit="1" customWidth="1"/>
    <col min="10756" max="10757" width="0" style="852" hidden="1" customWidth="1"/>
    <col min="10758" max="10758" width="10.83203125" style="852" customWidth="1"/>
    <col min="10759" max="10760" width="0" style="852" hidden="1" customWidth="1"/>
    <col min="10761" max="10761" width="10.83203125" style="852" customWidth="1"/>
    <col min="10762" max="10763" width="0" style="852" hidden="1" customWidth="1"/>
    <col min="10764" max="10764" width="10.83203125" style="852" customWidth="1"/>
    <col min="10765" max="10766" width="0" style="852" hidden="1" customWidth="1"/>
    <col min="10767" max="10767" width="10.83203125" style="852" customWidth="1"/>
    <col min="10768" max="10769" width="0" style="852" hidden="1" customWidth="1"/>
    <col min="10770" max="10770" width="10.83203125" style="852" customWidth="1"/>
    <col min="10771" max="10772" width="0" style="852" hidden="1" customWidth="1"/>
    <col min="10773" max="10773" width="10.83203125" style="852" bestFit="1" customWidth="1"/>
    <col min="10774" max="10775" width="0" style="852" hidden="1" customWidth="1"/>
    <col min="10776" max="10776" width="10.83203125" style="852" customWidth="1"/>
    <col min="10777" max="11008" width="9.33203125" style="852"/>
    <col min="11009" max="11009" width="1.6640625" style="852" customWidth="1"/>
    <col min="11010" max="11010" width="35.83203125" style="852" bestFit="1" customWidth="1"/>
    <col min="11011" max="11011" width="7.33203125" style="852" bestFit="1" customWidth="1"/>
    <col min="11012" max="11013" width="0" style="852" hidden="1" customWidth="1"/>
    <col min="11014" max="11014" width="10.83203125" style="852" customWidth="1"/>
    <col min="11015" max="11016" width="0" style="852" hidden="1" customWidth="1"/>
    <col min="11017" max="11017" width="10.83203125" style="852" customWidth="1"/>
    <col min="11018" max="11019" width="0" style="852" hidden="1" customWidth="1"/>
    <col min="11020" max="11020" width="10.83203125" style="852" customWidth="1"/>
    <col min="11021" max="11022" width="0" style="852" hidden="1" customWidth="1"/>
    <col min="11023" max="11023" width="10.83203125" style="852" customWidth="1"/>
    <col min="11024" max="11025" width="0" style="852" hidden="1" customWidth="1"/>
    <col min="11026" max="11026" width="10.83203125" style="852" customWidth="1"/>
    <col min="11027" max="11028" width="0" style="852" hidden="1" customWidth="1"/>
    <col min="11029" max="11029" width="10.83203125" style="852" bestFit="1" customWidth="1"/>
    <col min="11030" max="11031" width="0" style="852" hidden="1" customWidth="1"/>
    <col min="11032" max="11032" width="10.83203125" style="852" customWidth="1"/>
    <col min="11033" max="11264" width="9.33203125" style="852"/>
    <col min="11265" max="11265" width="1.6640625" style="852" customWidth="1"/>
    <col min="11266" max="11266" width="35.83203125" style="852" bestFit="1" customWidth="1"/>
    <col min="11267" max="11267" width="7.33203125" style="852" bestFit="1" customWidth="1"/>
    <col min="11268" max="11269" width="0" style="852" hidden="1" customWidth="1"/>
    <col min="11270" max="11270" width="10.83203125" style="852" customWidth="1"/>
    <col min="11271" max="11272" width="0" style="852" hidden="1" customWidth="1"/>
    <col min="11273" max="11273" width="10.83203125" style="852" customWidth="1"/>
    <col min="11274" max="11275" width="0" style="852" hidden="1" customWidth="1"/>
    <col min="11276" max="11276" width="10.83203125" style="852" customWidth="1"/>
    <col min="11277" max="11278" width="0" style="852" hidden="1" customWidth="1"/>
    <col min="11279" max="11279" width="10.83203125" style="852" customWidth="1"/>
    <col min="11280" max="11281" width="0" style="852" hidden="1" customWidth="1"/>
    <col min="11282" max="11282" width="10.83203125" style="852" customWidth="1"/>
    <col min="11283" max="11284" width="0" style="852" hidden="1" customWidth="1"/>
    <col min="11285" max="11285" width="10.83203125" style="852" bestFit="1" customWidth="1"/>
    <col min="11286" max="11287" width="0" style="852" hidden="1" customWidth="1"/>
    <col min="11288" max="11288" width="10.83203125" style="852" customWidth="1"/>
    <col min="11289" max="11520" width="9.33203125" style="852"/>
    <col min="11521" max="11521" width="1.6640625" style="852" customWidth="1"/>
    <col min="11522" max="11522" width="35.83203125" style="852" bestFit="1" customWidth="1"/>
    <col min="11523" max="11523" width="7.33203125" style="852" bestFit="1" customWidth="1"/>
    <col min="11524" max="11525" width="0" style="852" hidden="1" customWidth="1"/>
    <col min="11526" max="11526" width="10.83203125" style="852" customWidth="1"/>
    <col min="11527" max="11528" width="0" style="852" hidden="1" customWidth="1"/>
    <col min="11529" max="11529" width="10.83203125" style="852" customWidth="1"/>
    <col min="11530" max="11531" width="0" style="852" hidden="1" customWidth="1"/>
    <col min="11532" max="11532" width="10.83203125" style="852" customWidth="1"/>
    <col min="11533" max="11534" width="0" style="852" hidden="1" customWidth="1"/>
    <col min="11535" max="11535" width="10.83203125" style="852" customWidth="1"/>
    <col min="11536" max="11537" width="0" style="852" hidden="1" customWidth="1"/>
    <col min="11538" max="11538" width="10.83203125" style="852" customWidth="1"/>
    <col min="11539" max="11540" width="0" style="852" hidden="1" customWidth="1"/>
    <col min="11541" max="11541" width="10.83203125" style="852" bestFit="1" customWidth="1"/>
    <col min="11542" max="11543" width="0" style="852" hidden="1" customWidth="1"/>
    <col min="11544" max="11544" width="10.83203125" style="852" customWidth="1"/>
    <col min="11545" max="11776" width="9.33203125" style="852"/>
    <col min="11777" max="11777" width="1.6640625" style="852" customWidth="1"/>
    <col min="11778" max="11778" width="35.83203125" style="852" bestFit="1" customWidth="1"/>
    <col min="11779" max="11779" width="7.33203125" style="852" bestFit="1" customWidth="1"/>
    <col min="11780" max="11781" width="0" style="852" hidden="1" customWidth="1"/>
    <col min="11782" max="11782" width="10.83203125" style="852" customWidth="1"/>
    <col min="11783" max="11784" width="0" style="852" hidden="1" customWidth="1"/>
    <col min="11785" max="11785" width="10.83203125" style="852" customWidth="1"/>
    <col min="11786" max="11787" width="0" style="852" hidden="1" customWidth="1"/>
    <col min="11788" max="11788" width="10.83203125" style="852" customWidth="1"/>
    <col min="11789" max="11790" width="0" style="852" hidden="1" customWidth="1"/>
    <col min="11791" max="11791" width="10.83203125" style="852" customWidth="1"/>
    <col min="11792" max="11793" width="0" style="852" hidden="1" customWidth="1"/>
    <col min="11794" max="11794" width="10.83203125" style="852" customWidth="1"/>
    <col min="11795" max="11796" width="0" style="852" hidden="1" customWidth="1"/>
    <col min="11797" max="11797" width="10.83203125" style="852" bestFit="1" customWidth="1"/>
    <col min="11798" max="11799" width="0" style="852" hidden="1" customWidth="1"/>
    <col min="11800" max="11800" width="10.83203125" style="852" customWidth="1"/>
    <col min="11801" max="12032" width="9.33203125" style="852"/>
    <col min="12033" max="12033" width="1.6640625" style="852" customWidth="1"/>
    <col min="12034" max="12034" width="35.83203125" style="852" bestFit="1" customWidth="1"/>
    <col min="12035" max="12035" width="7.33203125" style="852" bestFit="1" customWidth="1"/>
    <col min="12036" max="12037" width="0" style="852" hidden="1" customWidth="1"/>
    <col min="12038" max="12038" width="10.83203125" style="852" customWidth="1"/>
    <col min="12039" max="12040" width="0" style="852" hidden="1" customWidth="1"/>
    <col min="12041" max="12041" width="10.83203125" style="852" customWidth="1"/>
    <col min="12042" max="12043" width="0" style="852" hidden="1" customWidth="1"/>
    <col min="12044" max="12044" width="10.83203125" style="852" customWidth="1"/>
    <col min="12045" max="12046" width="0" style="852" hidden="1" customWidth="1"/>
    <col min="12047" max="12047" width="10.83203125" style="852" customWidth="1"/>
    <col min="12048" max="12049" width="0" style="852" hidden="1" customWidth="1"/>
    <col min="12050" max="12050" width="10.83203125" style="852" customWidth="1"/>
    <col min="12051" max="12052" width="0" style="852" hidden="1" customWidth="1"/>
    <col min="12053" max="12053" width="10.83203125" style="852" bestFit="1" customWidth="1"/>
    <col min="12054" max="12055" width="0" style="852" hidden="1" customWidth="1"/>
    <col min="12056" max="12056" width="10.83203125" style="852" customWidth="1"/>
    <col min="12057" max="12288" width="9.33203125" style="852"/>
    <col min="12289" max="12289" width="1.6640625" style="852" customWidth="1"/>
    <col min="12290" max="12290" width="35.83203125" style="852" bestFit="1" customWidth="1"/>
    <col min="12291" max="12291" width="7.33203125" style="852" bestFit="1" customWidth="1"/>
    <col min="12292" max="12293" width="0" style="852" hidden="1" customWidth="1"/>
    <col min="12294" max="12294" width="10.83203125" style="852" customWidth="1"/>
    <col min="12295" max="12296" width="0" style="852" hidden="1" customWidth="1"/>
    <col min="12297" max="12297" width="10.83203125" style="852" customWidth="1"/>
    <col min="12298" max="12299" width="0" style="852" hidden="1" customWidth="1"/>
    <col min="12300" max="12300" width="10.83203125" style="852" customWidth="1"/>
    <col min="12301" max="12302" width="0" style="852" hidden="1" customWidth="1"/>
    <col min="12303" max="12303" width="10.83203125" style="852" customWidth="1"/>
    <col min="12304" max="12305" width="0" style="852" hidden="1" customWidth="1"/>
    <col min="12306" max="12306" width="10.83203125" style="852" customWidth="1"/>
    <col min="12307" max="12308" width="0" style="852" hidden="1" customWidth="1"/>
    <col min="12309" max="12309" width="10.83203125" style="852" bestFit="1" customWidth="1"/>
    <col min="12310" max="12311" width="0" style="852" hidden="1" customWidth="1"/>
    <col min="12312" max="12312" width="10.83203125" style="852" customWidth="1"/>
    <col min="12313" max="12544" width="9.33203125" style="852"/>
    <col min="12545" max="12545" width="1.6640625" style="852" customWidth="1"/>
    <col min="12546" max="12546" width="35.83203125" style="852" bestFit="1" customWidth="1"/>
    <col min="12547" max="12547" width="7.33203125" style="852" bestFit="1" customWidth="1"/>
    <col min="12548" max="12549" width="0" style="852" hidden="1" customWidth="1"/>
    <col min="12550" max="12550" width="10.83203125" style="852" customWidth="1"/>
    <col min="12551" max="12552" width="0" style="852" hidden="1" customWidth="1"/>
    <col min="12553" max="12553" width="10.83203125" style="852" customWidth="1"/>
    <col min="12554" max="12555" width="0" style="852" hidden="1" customWidth="1"/>
    <col min="12556" max="12556" width="10.83203125" style="852" customWidth="1"/>
    <col min="12557" max="12558" width="0" style="852" hidden="1" customWidth="1"/>
    <col min="12559" max="12559" width="10.83203125" style="852" customWidth="1"/>
    <col min="12560" max="12561" width="0" style="852" hidden="1" customWidth="1"/>
    <col min="12562" max="12562" width="10.83203125" style="852" customWidth="1"/>
    <col min="12563" max="12564" width="0" style="852" hidden="1" customWidth="1"/>
    <col min="12565" max="12565" width="10.83203125" style="852" bestFit="1" customWidth="1"/>
    <col min="12566" max="12567" width="0" style="852" hidden="1" customWidth="1"/>
    <col min="12568" max="12568" width="10.83203125" style="852" customWidth="1"/>
    <col min="12569" max="12800" width="9.33203125" style="852"/>
    <col min="12801" max="12801" width="1.6640625" style="852" customWidth="1"/>
    <col min="12802" max="12802" width="35.83203125" style="852" bestFit="1" customWidth="1"/>
    <col min="12803" max="12803" width="7.33203125" style="852" bestFit="1" customWidth="1"/>
    <col min="12804" max="12805" width="0" style="852" hidden="1" customWidth="1"/>
    <col min="12806" max="12806" width="10.83203125" style="852" customWidth="1"/>
    <col min="12807" max="12808" width="0" style="852" hidden="1" customWidth="1"/>
    <col min="12809" max="12809" width="10.83203125" style="852" customWidth="1"/>
    <col min="12810" max="12811" width="0" style="852" hidden="1" customWidth="1"/>
    <col min="12812" max="12812" width="10.83203125" style="852" customWidth="1"/>
    <col min="12813" max="12814" width="0" style="852" hidden="1" customWidth="1"/>
    <col min="12815" max="12815" width="10.83203125" style="852" customWidth="1"/>
    <col min="12816" max="12817" width="0" style="852" hidden="1" customWidth="1"/>
    <col min="12818" max="12818" width="10.83203125" style="852" customWidth="1"/>
    <col min="12819" max="12820" width="0" style="852" hidden="1" customWidth="1"/>
    <col min="12821" max="12821" width="10.83203125" style="852" bestFit="1" customWidth="1"/>
    <col min="12822" max="12823" width="0" style="852" hidden="1" customWidth="1"/>
    <col min="12824" max="12824" width="10.83203125" style="852" customWidth="1"/>
    <col min="12825" max="13056" width="9.33203125" style="852"/>
    <col min="13057" max="13057" width="1.6640625" style="852" customWidth="1"/>
    <col min="13058" max="13058" width="35.83203125" style="852" bestFit="1" customWidth="1"/>
    <col min="13059" max="13059" width="7.33203125" style="852" bestFit="1" customWidth="1"/>
    <col min="13060" max="13061" width="0" style="852" hidden="1" customWidth="1"/>
    <col min="13062" max="13062" width="10.83203125" style="852" customWidth="1"/>
    <col min="13063" max="13064" width="0" style="852" hidden="1" customWidth="1"/>
    <col min="13065" max="13065" width="10.83203125" style="852" customWidth="1"/>
    <col min="13066" max="13067" width="0" style="852" hidden="1" customWidth="1"/>
    <col min="13068" max="13068" width="10.83203125" style="852" customWidth="1"/>
    <col min="13069" max="13070" width="0" style="852" hidden="1" customWidth="1"/>
    <col min="13071" max="13071" width="10.83203125" style="852" customWidth="1"/>
    <col min="13072" max="13073" width="0" style="852" hidden="1" customWidth="1"/>
    <col min="13074" max="13074" width="10.83203125" style="852" customWidth="1"/>
    <col min="13075" max="13076" width="0" style="852" hidden="1" customWidth="1"/>
    <col min="13077" max="13077" width="10.83203125" style="852" bestFit="1" customWidth="1"/>
    <col min="13078" max="13079" width="0" style="852" hidden="1" customWidth="1"/>
    <col min="13080" max="13080" width="10.83203125" style="852" customWidth="1"/>
    <col min="13081" max="13312" width="9.33203125" style="852"/>
    <col min="13313" max="13313" width="1.6640625" style="852" customWidth="1"/>
    <col min="13314" max="13314" width="35.83203125" style="852" bestFit="1" customWidth="1"/>
    <col min="13315" max="13315" width="7.33203125" style="852" bestFit="1" customWidth="1"/>
    <col min="13316" max="13317" width="0" style="852" hidden="1" customWidth="1"/>
    <col min="13318" max="13318" width="10.83203125" style="852" customWidth="1"/>
    <col min="13319" max="13320" width="0" style="852" hidden="1" customWidth="1"/>
    <col min="13321" max="13321" width="10.83203125" style="852" customWidth="1"/>
    <col min="13322" max="13323" width="0" style="852" hidden="1" customWidth="1"/>
    <col min="13324" max="13324" width="10.83203125" style="852" customWidth="1"/>
    <col min="13325" max="13326" width="0" style="852" hidden="1" customWidth="1"/>
    <col min="13327" max="13327" width="10.83203125" style="852" customWidth="1"/>
    <col min="13328" max="13329" width="0" style="852" hidden="1" customWidth="1"/>
    <col min="13330" max="13330" width="10.83203125" style="852" customWidth="1"/>
    <col min="13331" max="13332" width="0" style="852" hidden="1" customWidth="1"/>
    <col min="13333" max="13333" width="10.83203125" style="852" bestFit="1" customWidth="1"/>
    <col min="13334" max="13335" width="0" style="852" hidden="1" customWidth="1"/>
    <col min="13336" max="13336" width="10.83203125" style="852" customWidth="1"/>
    <col min="13337" max="13568" width="9.33203125" style="852"/>
    <col min="13569" max="13569" width="1.6640625" style="852" customWidth="1"/>
    <col min="13570" max="13570" width="35.83203125" style="852" bestFit="1" customWidth="1"/>
    <col min="13571" max="13571" width="7.33203125" style="852" bestFit="1" customWidth="1"/>
    <col min="13572" max="13573" width="0" style="852" hidden="1" customWidth="1"/>
    <col min="13574" max="13574" width="10.83203125" style="852" customWidth="1"/>
    <col min="13575" max="13576" width="0" style="852" hidden="1" customWidth="1"/>
    <col min="13577" max="13577" width="10.83203125" style="852" customWidth="1"/>
    <col min="13578" max="13579" width="0" style="852" hidden="1" customWidth="1"/>
    <col min="13580" max="13580" width="10.83203125" style="852" customWidth="1"/>
    <col min="13581" max="13582" width="0" style="852" hidden="1" customWidth="1"/>
    <col min="13583" max="13583" width="10.83203125" style="852" customWidth="1"/>
    <col min="13584" max="13585" width="0" style="852" hidden="1" customWidth="1"/>
    <col min="13586" max="13586" width="10.83203125" style="852" customWidth="1"/>
    <col min="13587" max="13588" width="0" style="852" hidden="1" customWidth="1"/>
    <col min="13589" max="13589" width="10.83203125" style="852" bestFit="1" customWidth="1"/>
    <col min="13590" max="13591" width="0" style="852" hidden="1" customWidth="1"/>
    <col min="13592" max="13592" width="10.83203125" style="852" customWidth="1"/>
    <col min="13593" max="13824" width="9.33203125" style="852"/>
    <col min="13825" max="13825" width="1.6640625" style="852" customWidth="1"/>
    <col min="13826" max="13826" width="35.83203125" style="852" bestFit="1" customWidth="1"/>
    <col min="13827" max="13827" width="7.33203125" style="852" bestFit="1" customWidth="1"/>
    <col min="13828" max="13829" width="0" style="852" hidden="1" customWidth="1"/>
    <col min="13830" max="13830" width="10.83203125" style="852" customWidth="1"/>
    <col min="13831" max="13832" width="0" style="852" hidden="1" customWidth="1"/>
    <col min="13833" max="13833" width="10.83203125" style="852" customWidth="1"/>
    <col min="13834" max="13835" width="0" style="852" hidden="1" customWidth="1"/>
    <col min="13836" max="13836" width="10.83203125" style="852" customWidth="1"/>
    <col min="13837" max="13838" width="0" style="852" hidden="1" customWidth="1"/>
    <col min="13839" max="13839" width="10.83203125" style="852" customWidth="1"/>
    <col min="13840" max="13841" width="0" style="852" hidden="1" customWidth="1"/>
    <col min="13842" max="13842" width="10.83203125" style="852" customWidth="1"/>
    <col min="13843" max="13844" width="0" style="852" hidden="1" customWidth="1"/>
    <col min="13845" max="13845" width="10.83203125" style="852" bestFit="1" customWidth="1"/>
    <col min="13846" max="13847" width="0" style="852" hidden="1" customWidth="1"/>
    <col min="13848" max="13848" width="10.83203125" style="852" customWidth="1"/>
    <col min="13849" max="14080" width="9.33203125" style="852"/>
    <col min="14081" max="14081" width="1.6640625" style="852" customWidth="1"/>
    <col min="14082" max="14082" width="35.83203125" style="852" bestFit="1" customWidth="1"/>
    <col min="14083" max="14083" width="7.33203125" style="852" bestFit="1" customWidth="1"/>
    <col min="14084" max="14085" width="0" style="852" hidden="1" customWidth="1"/>
    <col min="14086" max="14086" width="10.83203125" style="852" customWidth="1"/>
    <col min="14087" max="14088" width="0" style="852" hidden="1" customWidth="1"/>
    <col min="14089" max="14089" width="10.83203125" style="852" customWidth="1"/>
    <col min="14090" max="14091" width="0" style="852" hidden="1" customWidth="1"/>
    <col min="14092" max="14092" width="10.83203125" style="852" customWidth="1"/>
    <col min="14093" max="14094" width="0" style="852" hidden="1" customWidth="1"/>
    <col min="14095" max="14095" width="10.83203125" style="852" customWidth="1"/>
    <col min="14096" max="14097" width="0" style="852" hidden="1" customWidth="1"/>
    <col min="14098" max="14098" width="10.83203125" style="852" customWidth="1"/>
    <col min="14099" max="14100" width="0" style="852" hidden="1" customWidth="1"/>
    <col min="14101" max="14101" width="10.83203125" style="852" bestFit="1" customWidth="1"/>
    <col min="14102" max="14103" width="0" style="852" hidden="1" customWidth="1"/>
    <col min="14104" max="14104" width="10.83203125" style="852" customWidth="1"/>
    <col min="14105" max="14336" width="9.33203125" style="852"/>
    <col min="14337" max="14337" width="1.6640625" style="852" customWidth="1"/>
    <col min="14338" max="14338" width="35.83203125" style="852" bestFit="1" customWidth="1"/>
    <col min="14339" max="14339" width="7.33203125" style="852" bestFit="1" customWidth="1"/>
    <col min="14340" max="14341" width="0" style="852" hidden="1" customWidth="1"/>
    <col min="14342" max="14342" width="10.83203125" style="852" customWidth="1"/>
    <col min="14343" max="14344" width="0" style="852" hidden="1" customWidth="1"/>
    <col min="14345" max="14345" width="10.83203125" style="852" customWidth="1"/>
    <col min="14346" max="14347" width="0" style="852" hidden="1" customWidth="1"/>
    <col min="14348" max="14348" width="10.83203125" style="852" customWidth="1"/>
    <col min="14349" max="14350" width="0" style="852" hidden="1" customWidth="1"/>
    <col min="14351" max="14351" width="10.83203125" style="852" customWidth="1"/>
    <col min="14352" max="14353" width="0" style="852" hidden="1" customWidth="1"/>
    <col min="14354" max="14354" width="10.83203125" style="852" customWidth="1"/>
    <col min="14355" max="14356" width="0" style="852" hidden="1" customWidth="1"/>
    <col min="14357" max="14357" width="10.83203125" style="852" bestFit="1" customWidth="1"/>
    <col min="14358" max="14359" width="0" style="852" hidden="1" customWidth="1"/>
    <col min="14360" max="14360" width="10.83203125" style="852" customWidth="1"/>
    <col min="14361" max="14592" width="9.33203125" style="852"/>
    <col min="14593" max="14593" width="1.6640625" style="852" customWidth="1"/>
    <col min="14594" max="14594" width="35.83203125" style="852" bestFit="1" customWidth="1"/>
    <col min="14595" max="14595" width="7.33203125" style="852" bestFit="1" customWidth="1"/>
    <col min="14596" max="14597" width="0" style="852" hidden="1" customWidth="1"/>
    <col min="14598" max="14598" width="10.83203125" style="852" customWidth="1"/>
    <col min="14599" max="14600" width="0" style="852" hidden="1" customWidth="1"/>
    <col min="14601" max="14601" width="10.83203125" style="852" customWidth="1"/>
    <col min="14602" max="14603" width="0" style="852" hidden="1" customWidth="1"/>
    <col min="14604" max="14604" width="10.83203125" style="852" customWidth="1"/>
    <col min="14605" max="14606" width="0" style="852" hidden="1" customWidth="1"/>
    <col min="14607" max="14607" width="10.83203125" style="852" customWidth="1"/>
    <col min="14608" max="14609" width="0" style="852" hidden="1" customWidth="1"/>
    <col min="14610" max="14610" width="10.83203125" style="852" customWidth="1"/>
    <col min="14611" max="14612" width="0" style="852" hidden="1" customWidth="1"/>
    <col min="14613" max="14613" width="10.83203125" style="852" bestFit="1" customWidth="1"/>
    <col min="14614" max="14615" width="0" style="852" hidden="1" customWidth="1"/>
    <col min="14616" max="14616" width="10.83203125" style="852" customWidth="1"/>
    <col min="14617" max="14848" width="9.33203125" style="852"/>
    <col min="14849" max="14849" width="1.6640625" style="852" customWidth="1"/>
    <col min="14850" max="14850" width="35.83203125" style="852" bestFit="1" customWidth="1"/>
    <col min="14851" max="14851" width="7.33203125" style="852" bestFit="1" customWidth="1"/>
    <col min="14852" max="14853" width="0" style="852" hidden="1" customWidth="1"/>
    <col min="14854" max="14854" width="10.83203125" style="852" customWidth="1"/>
    <col min="14855" max="14856" width="0" style="852" hidden="1" customWidth="1"/>
    <col min="14857" max="14857" width="10.83203125" style="852" customWidth="1"/>
    <col min="14858" max="14859" width="0" style="852" hidden="1" customWidth="1"/>
    <col min="14860" max="14860" width="10.83203125" style="852" customWidth="1"/>
    <col min="14861" max="14862" width="0" style="852" hidden="1" customWidth="1"/>
    <col min="14863" max="14863" width="10.83203125" style="852" customWidth="1"/>
    <col min="14864" max="14865" width="0" style="852" hidden="1" customWidth="1"/>
    <col min="14866" max="14866" width="10.83203125" style="852" customWidth="1"/>
    <col min="14867" max="14868" width="0" style="852" hidden="1" customWidth="1"/>
    <col min="14869" max="14869" width="10.83203125" style="852" bestFit="1" customWidth="1"/>
    <col min="14870" max="14871" width="0" style="852" hidden="1" customWidth="1"/>
    <col min="14872" max="14872" width="10.83203125" style="852" customWidth="1"/>
    <col min="14873" max="15104" width="9.33203125" style="852"/>
    <col min="15105" max="15105" width="1.6640625" style="852" customWidth="1"/>
    <col min="15106" max="15106" width="35.83203125" style="852" bestFit="1" customWidth="1"/>
    <col min="15107" max="15107" width="7.33203125" style="852" bestFit="1" customWidth="1"/>
    <col min="15108" max="15109" width="0" style="852" hidden="1" customWidth="1"/>
    <col min="15110" max="15110" width="10.83203125" style="852" customWidth="1"/>
    <col min="15111" max="15112" width="0" style="852" hidden="1" customWidth="1"/>
    <col min="15113" max="15113" width="10.83203125" style="852" customWidth="1"/>
    <col min="15114" max="15115" width="0" style="852" hidden="1" customWidth="1"/>
    <col min="15116" max="15116" width="10.83203125" style="852" customWidth="1"/>
    <col min="15117" max="15118" width="0" style="852" hidden="1" customWidth="1"/>
    <col min="15119" max="15119" width="10.83203125" style="852" customWidth="1"/>
    <col min="15120" max="15121" width="0" style="852" hidden="1" customWidth="1"/>
    <col min="15122" max="15122" width="10.83203125" style="852" customWidth="1"/>
    <col min="15123" max="15124" width="0" style="852" hidden="1" customWidth="1"/>
    <col min="15125" max="15125" width="10.83203125" style="852" bestFit="1" customWidth="1"/>
    <col min="15126" max="15127" width="0" style="852" hidden="1" customWidth="1"/>
    <col min="15128" max="15128" width="10.83203125" style="852" customWidth="1"/>
    <col min="15129" max="15360" width="9.33203125" style="852"/>
    <col min="15361" max="15361" width="1.6640625" style="852" customWidth="1"/>
    <col min="15362" max="15362" width="35.83203125" style="852" bestFit="1" customWidth="1"/>
    <col min="15363" max="15363" width="7.33203125" style="852" bestFit="1" customWidth="1"/>
    <col min="15364" max="15365" width="0" style="852" hidden="1" customWidth="1"/>
    <col min="15366" max="15366" width="10.83203125" style="852" customWidth="1"/>
    <col min="15367" max="15368" width="0" style="852" hidden="1" customWidth="1"/>
    <col min="15369" max="15369" width="10.83203125" style="852" customWidth="1"/>
    <col min="15370" max="15371" width="0" style="852" hidden="1" customWidth="1"/>
    <col min="15372" max="15372" width="10.83203125" style="852" customWidth="1"/>
    <col min="15373" max="15374" width="0" style="852" hidden="1" customWidth="1"/>
    <col min="15375" max="15375" width="10.83203125" style="852" customWidth="1"/>
    <col min="15376" max="15377" width="0" style="852" hidden="1" customWidth="1"/>
    <col min="15378" max="15378" width="10.83203125" style="852" customWidth="1"/>
    <col min="15379" max="15380" width="0" style="852" hidden="1" customWidth="1"/>
    <col min="15381" max="15381" width="10.83203125" style="852" bestFit="1" customWidth="1"/>
    <col min="15382" max="15383" width="0" style="852" hidden="1" customWidth="1"/>
    <col min="15384" max="15384" width="10.83203125" style="852" customWidth="1"/>
    <col min="15385" max="15616" width="9.33203125" style="852"/>
    <col min="15617" max="15617" width="1.6640625" style="852" customWidth="1"/>
    <col min="15618" max="15618" width="35.83203125" style="852" bestFit="1" customWidth="1"/>
    <col min="15619" max="15619" width="7.33203125" style="852" bestFit="1" customWidth="1"/>
    <col min="15620" max="15621" width="0" style="852" hidden="1" customWidth="1"/>
    <col min="15622" max="15622" width="10.83203125" style="852" customWidth="1"/>
    <col min="15623" max="15624" width="0" style="852" hidden="1" customWidth="1"/>
    <col min="15625" max="15625" width="10.83203125" style="852" customWidth="1"/>
    <col min="15626" max="15627" width="0" style="852" hidden="1" customWidth="1"/>
    <col min="15628" max="15628" width="10.83203125" style="852" customWidth="1"/>
    <col min="15629" max="15630" width="0" style="852" hidden="1" customWidth="1"/>
    <col min="15631" max="15631" width="10.83203125" style="852" customWidth="1"/>
    <col min="15632" max="15633" width="0" style="852" hidden="1" customWidth="1"/>
    <col min="15634" max="15634" width="10.83203125" style="852" customWidth="1"/>
    <col min="15635" max="15636" width="0" style="852" hidden="1" customWidth="1"/>
    <col min="15637" max="15637" width="10.83203125" style="852" bestFit="1" customWidth="1"/>
    <col min="15638" max="15639" width="0" style="852" hidden="1" customWidth="1"/>
    <col min="15640" max="15640" width="10.83203125" style="852" customWidth="1"/>
    <col min="15641" max="15872" width="9.33203125" style="852"/>
    <col min="15873" max="15873" width="1.6640625" style="852" customWidth="1"/>
    <col min="15874" max="15874" width="35.83203125" style="852" bestFit="1" customWidth="1"/>
    <col min="15875" max="15875" width="7.33203125" style="852" bestFit="1" customWidth="1"/>
    <col min="15876" max="15877" width="0" style="852" hidden="1" customWidth="1"/>
    <col min="15878" max="15878" width="10.83203125" style="852" customWidth="1"/>
    <col min="15879" max="15880" width="0" style="852" hidden="1" customWidth="1"/>
    <col min="15881" max="15881" width="10.83203125" style="852" customWidth="1"/>
    <col min="15882" max="15883" width="0" style="852" hidden="1" customWidth="1"/>
    <col min="15884" max="15884" width="10.83203125" style="852" customWidth="1"/>
    <col min="15885" max="15886" width="0" style="852" hidden="1" customWidth="1"/>
    <col min="15887" max="15887" width="10.83203125" style="852" customWidth="1"/>
    <col min="15888" max="15889" width="0" style="852" hidden="1" customWidth="1"/>
    <col min="15890" max="15890" width="10.83203125" style="852" customWidth="1"/>
    <col min="15891" max="15892" width="0" style="852" hidden="1" customWidth="1"/>
    <col min="15893" max="15893" width="10.83203125" style="852" bestFit="1" customWidth="1"/>
    <col min="15894" max="15895" width="0" style="852" hidden="1" customWidth="1"/>
    <col min="15896" max="15896" width="10.83203125" style="852" customWidth="1"/>
    <col min="15897" max="16128" width="9.33203125" style="852"/>
    <col min="16129" max="16129" width="1.6640625" style="852" customWidth="1"/>
    <col min="16130" max="16130" width="35.83203125" style="852" bestFit="1" customWidth="1"/>
    <col min="16131" max="16131" width="7.33203125" style="852" bestFit="1" customWidth="1"/>
    <col min="16132" max="16133" width="0" style="852" hidden="1" customWidth="1"/>
    <col min="16134" max="16134" width="10.83203125" style="852" customWidth="1"/>
    <col min="16135" max="16136" width="0" style="852" hidden="1" customWidth="1"/>
    <col min="16137" max="16137" width="10.83203125" style="852" customWidth="1"/>
    <col min="16138" max="16139" width="0" style="852" hidden="1" customWidth="1"/>
    <col min="16140" max="16140" width="10.83203125" style="852" customWidth="1"/>
    <col min="16141" max="16142" width="0" style="852" hidden="1" customWidth="1"/>
    <col min="16143" max="16143" width="10.83203125" style="852" customWidth="1"/>
    <col min="16144" max="16145" width="0" style="852" hidden="1" customWidth="1"/>
    <col min="16146" max="16146" width="10.83203125" style="852" customWidth="1"/>
    <col min="16147" max="16148" width="0" style="852" hidden="1" customWidth="1"/>
    <col min="16149" max="16149" width="10.83203125" style="852" bestFit="1" customWidth="1"/>
    <col min="16150" max="16151" width="0" style="852" hidden="1" customWidth="1"/>
    <col min="16152" max="16152" width="10.83203125" style="852" customWidth="1"/>
    <col min="16153" max="16384" width="9.33203125" style="852"/>
  </cols>
  <sheetData>
    <row r="1" spans="1:42" s="822" customFormat="1" ht="18" x14ac:dyDescent="0.25">
      <c r="A1" s="822" t="s">
        <v>930</v>
      </c>
    </row>
    <row r="2" spans="1:42" s="824" customFormat="1" x14ac:dyDescent="0.2">
      <c r="A2" s="823" t="s">
        <v>931</v>
      </c>
    </row>
    <row r="3" spans="1:42" s="825" customFormat="1" x14ac:dyDescent="0.2"/>
    <row r="4" spans="1:42" s="826" customFormat="1" ht="15" customHeight="1" x14ac:dyDescent="0.2">
      <c r="B4" s="827" t="s">
        <v>673</v>
      </c>
      <c r="C4" s="827" t="s">
        <v>285</v>
      </c>
      <c r="D4" s="828" t="s">
        <v>932</v>
      </c>
      <c r="E4" s="828" t="s">
        <v>933</v>
      </c>
      <c r="F4" s="828" t="s">
        <v>934</v>
      </c>
      <c r="G4" s="828" t="s">
        <v>935</v>
      </c>
      <c r="H4" s="828" t="s">
        <v>936</v>
      </c>
      <c r="I4" s="828" t="s">
        <v>427</v>
      </c>
      <c r="J4" s="828" t="s">
        <v>937</v>
      </c>
      <c r="K4" s="828" t="s">
        <v>938</v>
      </c>
      <c r="L4" s="828" t="s">
        <v>428</v>
      </c>
      <c r="M4" s="828" t="s">
        <v>939</v>
      </c>
      <c r="N4" s="828" t="s">
        <v>940</v>
      </c>
      <c r="O4" s="828" t="s">
        <v>429</v>
      </c>
      <c r="P4" s="828" t="s">
        <v>941</v>
      </c>
      <c r="Q4" s="828" t="s">
        <v>942</v>
      </c>
      <c r="R4" s="828" t="s">
        <v>430</v>
      </c>
      <c r="S4" s="828" t="s">
        <v>943</v>
      </c>
      <c r="T4" s="828" t="s">
        <v>944</v>
      </c>
      <c r="U4" s="828" t="s">
        <v>528</v>
      </c>
      <c r="V4" s="828" t="s">
        <v>945</v>
      </c>
      <c r="W4" s="828" t="s">
        <v>946</v>
      </c>
      <c r="X4" s="828" t="s">
        <v>529</v>
      </c>
      <c r="AP4" s="826" t="s">
        <v>947</v>
      </c>
    </row>
    <row r="5" spans="1:42" s="829" customFormat="1" ht="15" customHeight="1" x14ac:dyDescent="0.2">
      <c r="B5" s="829" t="s">
        <v>798</v>
      </c>
      <c r="C5" s="829" t="s">
        <v>947</v>
      </c>
      <c r="D5" s="830"/>
      <c r="E5" s="830"/>
      <c r="F5" s="831">
        <v>0</v>
      </c>
      <c r="G5" s="830">
        <v>0</v>
      </c>
      <c r="H5" s="830">
        <f t="shared" ref="H5:H10" si="0">I5-G5</f>
        <v>0</v>
      </c>
      <c r="I5" s="831">
        <v>0</v>
      </c>
      <c r="J5" s="830">
        <v>0</v>
      </c>
      <c r="K5" s="830">
        <f t="shared" ref="K5:K10" si="1">L5-J5</f>
        <v>0</v>
      </c>
      <c r="L5" s="831">
        <v>0</v>
      </c>
      <c r="M5" s="830">
        <v>0</v>
      </c>
      <c r="N5" s="830">
        <f t="shared" ref="N5:N10" si="2">O5-M5</f>
        <v>0</v>
      </c>
      <c r="O5" s="831">
        <v>0</v>
      </c>
      <c r="P5" s="830">
        <v>0</v>
      </c>
      <c r="Q5" s="830">
        <f t="shared" ref="Q5:Q10" si="3">R5-P5</f>
        <v>33.572593235039378</v>
      </c>
      <c r="R5" s="831">
        <v>33.572593235039378</v>
      </c>
      <c r="S5" s="830">
        <v>235.324576271186</v>
      </c>
      <c r="T5" s="830">
        <v>251.30207907686201</v>
      </c>
      <c r="U5" s="831">
        <v>486.62665534804802</v>
      </c>
      <c r="V5" s="830">
        <v>242.683870967742</v>
      </c>
      <c r="W5" s="830">
        <f t="shared" ref="W5:W10" si="4">X5-V5</f>
        <v>244.66078439493094</v>
      </c>
      <c r="X5" s="831">
        <v>487.34465536267294</v>
      </c>
      <c r="Z5" s="832"/>
      <c r="AO5" s="829" t="s">
        <v>797</v>
      </c>
      <c r="AP5" s="832">
        <f t="shared" ref="AP5:AP30" si="5">IF(C5=AP$4,X5,)</f>
        <v>487.34465536267294</v>
      </c>
    </row>
    <row r="6" spans="1:42" s="829" customFormat="1" ht="15" customHeight="1" x14ac:dyDescent="0.2">
      <c r="B6" s="829" t="s">
        <v>948</v>
      </c>
      <c r="C6" s="829" t="s">
        <v>947</v>
      </c>
      <c r="D6" s="830"/>
      <c r="E6" s="830"/>
      <c r="F6" s="831">
        <v>0</v>
      </c>
      <c r="G6" s="830">
        <v>0</v>
      </c>
      <c r="H6" s="830">
        <f t="shared" si="0"/>
        <v>0</v>
      </c>
      <c r="I6" s="831">
        <v>0</v>
      </c>
      <c r="J6" s="830">
        <v>17.846073298429175</v>
      </c>
      <c r="K6" s="830">
        <f t="shared" si="1"/>
        <v>56.598436736990251</v>
      </c>
      <c r="L6" s="831">
        <v>74.444510035419427</v>
      </c>
      <c r="M6" s="830">
        <v>62.253644314869312</v>
      </c>
      <c r="N6" s="830">
        <f t="shared" si="2"/>
        <v>71.022814018464487</v>
      </c>
      <c r="O6" s="831">
        <v>133.27645833333381</v>
      </c>
      <c r="P6" s="830">
        <v>84.389312977099706</v>
      </c>
      <c r="Q6" s="830">
        <f t="shared" si="3"/>
        <v>103.47434704024747</v>
      </c>
      <c r="R6" s="831">
        <v>187.86366001734717</v>
      </c>
      <c r="S6" s="830">
        <v>128.15355932203411</v>
      </c>
      <c r="T6" s="830">
        <v>118.11044746913689</v>
      </c>
      <c r="U6" s="831">
        <v>246.264006791171</v>
      </c>
      <c r="V6" s="830">
        <v>121.241935483871</v>
      </c>
      <c r="W6" s="830">
        <f t="shared" si="4"/>
        <v>119.59454266723648</v>
      </c>
      <c r="X6" s="831">
        <v>240.83647815110749</v>
      </c>
      <c r="Y6" s="862">
        <f>X6/X33</f>
        <v>0.16567391755787556</v>
      </c>
      <c r="Z6" s="832"/>
      <c r="AO6" s="829" t="s">
        <v>800</v>
      </c>
      <c r="AP6" s="832">
        <f t="shared" si="5"/>
        <v>240.83647815110749</v>
      </c>
    </row>
    <row r="7" spans="1:42" s="829" customFormat="1" ht="15" customHeight="1" x14ac:dyDescent="0.2">
      <c r="B7" s="829" t="s">
        <v>843</v>
      </c>
      <c r="C7" s="829" t="s">
        <v>585</v>
      </c>
      <c r="D7" s="830"/>
      <c r="E7" s="830"/>
      <c r="F7" s="831">
        <v>26.502272727272796</v>
      </c>
      <c r="G7" s="830">
        <v>18.685370741483069</v>
      </c>
      <c r="H7" s="830">
        <f t="shared" si="0"/>
        <v>13.045951097597442</v>
      </c>
      <c r="I7" s="831">
        <v>31.731321839080511</v>
      </c>
      <c r="J7" s="830">
        <v>20.194240837696348</v>
      </c>
      <c r="K7" s="830">
        <f t="shared" si="1"/>
        <v>20.588403790402957</v>
      </c>
      <c r="L7" s="831">
        <v>40.782644628099305</v>
      </c>
      <c r="M7" s="830">
        <v>22.335276967930131</v>
      </c>
      <c r="N7" s="830">
        <f t="shared" si="2"/>
        <v>24.703473032070075</v>
      </c>
      <c r="O7" s="831">
        <v>47.038750000000206</v>
      </c>
      <c r="P7" s="830">
        <v>28.641221374046012</v>
      </c>
      <c r="Q7" s="830">
        <f t="shared" si="3"/>
        <v>23.50344471441926</v>
      </c>
      <c r="R7" s="831">
        <v>52.144666088465272</v>
      </c>
      <c r="S7" s="830">
        <v>29.823898305085098</v>
      </c>
      <c r="T7" s="830">
        <v>31.132977756036002</v>
      </c>
      <c r="U7" s="831">
        <v>60.9568760611211</v>
      </c>
      <c r="V7" s="830">
        <v>27.279435483870945</v>
      </c>
      <c r="W7" s="830">
        <f t="shared" si="4"/>
        <v>32.929684053905703</v>
      </c>
      <c r="X7" s="831">
        <v>60.209119537776651</v>
      </c>
      <c r="Z7" s="832"/>
      <c r="AO7" s="829" t="s">
        <v>839</v>
      </c>
      <c r="AP7" s="832">
        <f t="shared" si="5"/>
        <v>0</v>
      </c>
    </row>
    <row r="8" spans="1:42" s="829" customFormat="1" ht="15" customHeight="1" x14ac:dyDescent="0.2">
      <c r="B8" s="829" t="s">
        <v>836</v>
      </c>
      <c r="C8" s="829" t="s">
        <v>574</v>
      </c>
      <c r="D8" s="830"/>
      <c r="E8" s="830"/>
      <c r="F8" s="831">
        <v>43.539448051948327</v>
      </c>
      <c r="G8" s="830">
        <v>20.553907815631213</v>
      </c>
      <c r="H8" s="830">
        <f t="shared" si="0"/>
        <v>20.696810575173778</v>
      </c>
      <c r="I8" s="831">
        <v>41.250718390804991</v>
      </c>
      <c r="J8" s="830">
        <v>22.542408376963532</v>
      </c>
      <c r="K8" s="830">
        <f t="shared" si="1"/>
        <v>20.829610513236819</v>
      </c>
      <c r="L8" s="831">
        <v>43.372018890200351</v>
      </c>
      <c r="M8" s="830">
        <v>22.335276967930465</v>
      </c>
      <c r="N8" s="830">
        <f t="shared" si="2"/>
        <v>22.56534803206954</v>
      </c>
      <c r="O8" s="831">
        <v>44.900625000000005</v>
      </c>
      <c r="P8" s="830">
        <v>25.061068702290186</v>
      </c>
      <c r="Q8" s="830">
        <f t="shared" si="3"/>
        <v>21.369113431274592</v>
      </c>
      <c r="R8" s="831">
        <v>46.430182133564777</v>
      </c>
      <c r="S8" s="830">
        <v>22.749152542372101</v>
      </c>
      <c r="T8" s="830">
        <v>18.533360191073797</v>
      </c>
      <c r="U8" s="831">
        <v>41.282512733445898</v>
      </c>
      <c r="V8" s="830">
        <v>18.944052419354993</v>
      </c>
      <c r="W8" s="830">
        <f t="shared" si="4"/>
        <v>15.676191314866802</v>
      </c>
      <c r="X8" s="831">
        <v>34.620243734221795</v>
      </c>
      <c r="Z8" s="832"/>
      <c r="AO8" s="829" t="s">
        <v>832</v>
      </c>
      <c r="AP8" s="832">
        <f t="shared" si="5"/>
        <v>0</v>
      </c>
    </row>
    <row r="9" spans="1:42" s="829" customFormat="1" ht="15" customHeight="1" x14ac:dyDescent="0.2">
      <c r="B9" s="829" t="s">
        <v>219</v>
      </c>
      <c r="C9" s="829" t="s">
        <v>579</v>
      </c>
      <c r="D9" s="830"/>
      <c r="E9" s="830"/>
      <c r="F9" s="831">
        <v>0</v>
      </c>
      <c r="G9" s="830">
        <v>0</v>
      </c>
      <c r="H9" s="830">
        <f t="shared" si="0"/>
        <v>0</v>
      </c>
      <c r="I9" s="831">
        <v>0</v>
      </c>
      <c r="J9" s="830">
        <v>0</v>
      </c>
      <c r="K9" s="830">
        <f t="shared" si="1"/>
        <v>0</v>
      </c>
      <c r="L9" s="831">
        <v>0</v>
      </c>
      <c r="M9" s="830">
        <v>0</v>
      </c>
      <c r="N9" s="830">
        <f t="shared" si="2"/>
        <v>0</v>
      </c>
      <c r="O9" s="831">
        <v>0</v>
      </c>
      <c r="P9" s="830">
        <v>0</v>
      </c>
      <c r="Q9" s="830">
        <f t="shared" si="3"/>
        <v>0</v>
      </c>
      <c r="R9" s="831">
        <v>0</v>
      </c>
      <c r="S9" s="830">
        <v>0</v>
      </c>
      <c r="T9" s="830">
        <v>0</v>
      </c>
      <c r="U9" s="831">
        <v>0</v>
      </c>
      <c r="V9" s="830">
        <v>43.192439516129078</v>
      </c>
      <c r="W9" s="830">
        <f t="shared" si="4"/>
        <v>45.616011802092054</v>
      </c>
      <c r="X9" s="831">
        <v>88.808451318221131</v>
      </c>
      <c r="Z9" s="832"/>
      <c r="AO9" s="829" t="s">
        <v>808</v>
      </c>
      <c r="AP9" s="832">
        <f t="shared" si="5"/>
        <v>0</v>
      </c>
    </row>
    <row r="10" spans="1:42" s="829" customFormat="1" ht="15" customHeight="1" x14ac:dyDescent="0.2">
      <c r="B10" s="829" t="s">
        <v>949</v>
      </c>
      <c r="C10" s="829" t="s">
        <v>947</v>
      </c>
      <c r="D10" s="830"/>
      <c r="E10" s="830"/>
      <c r="F10" s="831">
        <f>71.7-SUM(F5:F9)</f>
        <v>1.6582792207788799</v>
      </c>
      <c r="G10" s="830">
        <f>41.7-SUM(G5:G9)</f>
        <v>2.4607214428857205</v>
      </c>
      <c r="H10" s="830">
        <f t="shared" si="0"/>
        <v>4.1572383272287752</v>
      </c>
      <c r="I10" s="831">
        <f>79.6-SUM(I5:I9)</f>
        <v>6.6179597701144957</v>
      </c>
      <c r="J10" s="830">
        <f>69.8-SUM(J5:J9)</f>
        <v>9.2172774869109446</v>
      </c>
      <c r="K10" s="830">
        <f t="shared" si="1"/>
        <v>-4.1164510406300394</v>
      </c>
      <c r="L10" s="831">
        <f>163.7-SUM(L5:L9)</f>
        <v>5.1008264462809052</v>
      </c>
      <c r="M10" s="830">
        <f>108.8-SUM(M5:M9)</f>
        <v>1.8758017492700816</v>
      </c>
      <c r="N10" s="830">
        <f t="shared" si="2"/>
        <v>7.4083649173959287</v>
      </c>
      <c r="O10" s="831">
        <f>234.5-SUM(O5:O9)</f>
        <v>9.2841666666660103</v>
      </c>
      <c r="P10" s="830">
        <f>146.5-SUM(P5:P9)</f>
        <v>8.4083969465640962</v>
      </c>
      <c r="Q10" s="830">
        <f t="shared" si="3"/>
        <v>11.680501579019335</v>
      </c>
      <c r="R10" s="831">
        <f>340.1-SUM(R5:R9)</f>
        <v>20.088898525583431</v>
      </c>
      <c r="S10" s="830">
        <v>10.616271186440938</v>
      </c>
      <c r="T10" s="830">
        <v>10.091878219332061</v>
      </c>
      <c r="U10" s="831">
        <v>20.708149405773</v>
      </c>
      <c r="V10" s="830">
        <v>7.577620967741951</v>
      </c>
      <c r="W10" s="830">
        <f t="shared" si="4"/>
        <v>5.9694309282580535</v>
      </c>
      <c r="X10" s="831">
        <v>13.547051896000005</v>
      </c>
      <c r="Z10" s="832"/>
      <c r="AO10" s="829" t="s">
        <v>950</v>
      </c>
      <c r="AP10" s="832">
        <f t="shared" si="5"/>
        <v>13.547051896000005</v>
      </c>
    </row>
    <row r="11" spans="1:42" s="833" customFormat="1" ht="15" customHeight="1" x14ac:dyDescent="0.2">
      <c r="B11" s="834" t="s">
        <v>301</v>
      </c>
      <c r="C11" s="834"/>
      <c r="D11" s="835">
        <v>54.9</v>
      </c>
      <c r="E11" s="835">
        <f>F11-D11</f>
        <v>16.800000000000004</v>
      </c>
      <c r="F11" s="836">
        <f t="shared" ref="F11:X11" si="6">SUM(F5:F10)</f>
        <v>71.7</v>
      </c>
      <c r="G11" s="835">
        <f t="shared" si="6"/>
        <v>41.7</v>
      </c>
      <c r="H11" s="835">
        <f t="shared" si="6"/>
        <v>37.9</v>
      </c>
      <c r="I11" s="836">
        <f t="shared" si="6"/>
        <v>79.599999999999994</v>
      </c>
      <c r="J11" s="835">
        <f t="shared" si="6"/>
        <v>69.8</v>
      </c>
      <c r="K11" s="835">
        <f t="shared" si="6"/>
        <v>93.899999999999977</v>
      </c>
      <c r="L11" s="836">
        <f t="shared" si="6"/>
        <v>163.69999999999999</v>
      </c>
      <c r="M11" s="835">
        <f t="shared" si="6"/>
        <v>108.8</v>
      </c>
      <c r="N11" s="835">
        <f t="shared" si="6"/>
        <v>125.70000000000003</v>
      </c>
      <c r="O11" s="836">
        <f t="shared" si="6"/>
        <v>234.5</v>
      </c>
      <c r="P11" s="835">
        <f t="shared" si="6"/>
        <v>146.5</v>
      </c>
      <c r="Q11" s="835">
        <f t="shared" si="6"/>
        <v>193.60000000000002</v>
      </c>
      <c r="R11" s="836">
        <f t="shared" si="6"/>
        <v>340.1</v>
      </c>
      <c r="S11" s="835">
        <f>SUM(S5:S10)</f>
        <v>426.66745762711827</v>
      </c>
      <c r="T11" s="835">
        <f t="shared" si="6"/>
        <v>429.1707427124407</v>
      </c>
      <c r="U11" s="836">
        <f t="shared" si="6"/>
        <v>855.83820033955897</v>
      </c>
      <c r="V11" s="835">
        <f t="shared" si="6"/>
        <v>460.91935483870992</v>
      </c>
      <c r="W11" s="835">
        <f t="shared" si="6"/>
        <v>464.44664516129006</v>
      </c>
      <c r="X11" s="836">
        <f t="shared" si="6"/>
        <v>925.3660000000001</v>
      </c>
      <c r="AP11" s="832">
        <f t="shared" si="5"/>
        <v>0</v>
      </c>
    </row>
    <row r="12" spans="1:42" s="833" customFormat="1" ht="15" customHeight="1" x14ac:dyDescent="0.2">
      <c r="B12" s="837"/>
      <c r="C12" s="837"/>
      <c r="D12" s="838"/>
      <c r="E12" s="838"/>
      <c r="F12" s="839"/>
      <c r="G12" s="838"/>
      <c r="H12" s="838"/>
      <c r="I12" s="839"/>
      <c r="J12" s="838"/>
      <c r="K12" s="838"/>
      <c r="L12" s="839"/>
      <c r="M12" s="838"/>
      <c r="N12" s="838"/>
      <c r="O12" s="839"/>
      <c r="P12" s="838"/>
      <c r="Q12" s="838"/>
      <c r="R12" s="839"/>
      <c r="S12" s="838"/>
      <c r="T12" s="838"/>
      <c r="U12" s="839"/>
      <c r="V12" s="838"/>
      <c r="W12" s="838"/>
      <c r="X12" s="839"/>
      <c r="AP12" s="832">
        <f t="shared" si="5"/>
        <v>0</v>
      </c>
    </row>
    <row r="13" spans="1:42" s="829" customFormat="1" ht="15" customHeight="1" x14ac:dyDescent="0.2">
      <c r="B13" s="829" t="s">
        <v>865</v>
      </c>
      <c r="C13" s="829" t="s">
        <v>947</v>
      </c>
      <c r="D13" s="830">
        <f>D14</f>
        <v>52.9</v>
      </c>
      <c r="E13" s="830">
        <f>E14</f>
        <v>48.4</v>
      </c>
      <c r="F13" s="831">
        <v>101.3</v>
      </c>
      <c r="G13" s="830">
        <v>60.2</v>
      </c>
      <c r="H13" s="830">
        <f>I13-G13</f>
        <v>52.899999999999991</v>
      </c>
      <c r="I13" s="831">
        <v>113.1</v>
      </c>
      <c r="J13" s="830">
        <v>61.8</v>
      </c>
      <c r="K13" s="830">
        <f>L13-J13</f>
        <v>50.900000000000006</v>
      </c>
      <c r="L13" s="831">
        <v>112.7</v>
      </c>
      <c r="M13" s="830">
        <v>62.2</v>
      </c>
      <c r="N13" s="830">
        <f>O13-M13</f>
        <v>53.399999999999991</v>
      </c>
      <c r="O13" s="831">
        <v>115.6</v>
      </c>
      <c r="P13" s="830">
        <v>63.7</v>
      </c>
      <c r="Q13" s="830">
        <f>R13-P13</f>
        <v>57.099999999999994</v>
      </c>
      <c r="R13" s="831">
        <v>120.8</v>
      </c>
      <c r="S13" s="830">
        <v>63.297627118643703</v>
      </c>
      <c r="T13" s="830">
        <v>58.385055394083295</v>
      </c>
      <c r="U13" s="831">
        <v>121.682682512727</v>
      </c>
      <c r="V13" s="830">
        <v>80.830544354839105</v>
      </c>
      <c r="W13" s="830">
        <f>X13-V13</f>
        <v>68.653455645160903</v>
      </c>
      <c r="X13" s="831">
        <v>149.48400000000001</v>
      </c>
      <c r="Y13" s="862">
        <f>X13/X33</f>
        <v>0.10283159794706369</v>
      </c>
      <c r="Z13" s="832"/>
      <c r="AO13" s="829" t="s">
        <v>859</v>
      </c>
      <c r="AP13" s="832">
        <f t="shared" si="5"/>
        <v>149.48400000000001</v>
      </c>
    </row>
    <row r="14" spans="1:42" s="833" customFormat="1" ht="15" customHeight="1" x14ac:dyDescent="0.2">
      <c r="B14" s="834" t="s">
        <v>302</v>
      </c>
      <c r="C14" s="834"/>
      <c r="D14" s="835">
        <v>52.9</v>
      </c>
      <c r="E14" s="835">
        <f>F14-D14</f>
        <v>48.4</v>
      </c>
      <c r="F14" s="836">
        <f t="shared" ref="F14:X14" si="7">F13</f>
        <v>101.3</v>
      </c>
      <c r="G14" s="835">
        <f t="shared" si="7"/>
        <v>60.2</v>
      </c>
      <c r="H14" s="835">
        <f t="shared" si="7"/>
        <v>52.899999999999991</v>
      </c>
      <c r="I14" s="836">
        <f t="shared" si="7"/>
        <v>113.1</v>
      </c>
      <c r="J14" s="835">
        <f t="shared" si="7"/>
        <v>61.8</v>
      </c>
      <c r="K14" s="835">
        <f t="shared" si="7"/>
        <v>50.900000000000006</v>
      </c>
      <c r="L14" s="836">
        <f t="shared" si="7"/>
        <v>112.7</v>
      </c>
      <c r="M14" s="835">
        <f t="shared" si="7"/>
        <v>62.2</v>
      </c>
      <c r="N14" s="835">
        <f t="shared" si="7"/>
        <v>53.399999999999991</v>
      </c>
      <c r="O14" s="836">
        <f t="shared" si="7"/>
        <v>115.6</v>
      </c>
      <c r="P14" s="835">
        <f t="shared" si="7"/>
        <v>63.7</v>
      </c>
      <c r="Q14" s="835">
        <f t="shared" si="7"/>
        <v>57.099999999999994</v>
      </c>
      <c r="R14" s="836">
        <f t="shared" si="7"/>
        <v>120.8</v>
      </c>
      <c r="S14" s="835">
        <f t="shared" si="7"/>
        <v>63.297627118643703</v>
      </c>
      <c r="T14" s="835">
        <f t="shared" si="7"/>
        <v>58.385055394083295</v>
      </c>
      <c r="U14" s="836">
        <f t="shared" si="7"/>
        <v>121.682682512727</v>
      </c>
      <c r="V14" s="835">
        <f t="shared" si="7"/>
        <v>80.830544354839105</v>
      </c>
      <c r="W14" s="835">
        <f t="shared" si="7"/>
        <v>68.653455645160903</v>
      </c>
      <c r="X14" s="836">
        <f t="shared" si="7"/>
        <v>149.48400000000001</v>
      </c>
      <c r="AP14" s="832">
        <f t="shared" si="5"/>
        <v>0</v>
      </c>
    </row>
    <row r="15" spans="1:42" s="833" customFormat="1" ht="15" customHeight="1" x14ac:dyDescent="0.2">
      <c r="B15" s="837"/>
      <c r="C15" s="837"/>
      <c r="D15" s="838"/>
      <c r="E15" s="838"/>
      <c r="F15" s="839"/>
      <c r="G15" s="838"/>
      <c r="H15" s="838"/>
      <c r="I15" s="839"/>
      <c r="J15" s="838"/>
      <c r="K15" s="838"/>
      <c r="L15" s="839"/>
      <c r="M15" s="838"/>
      <c r="N15" s="838"/>
      <c r="O15" s="839"/>
      <c r="P15" s="838"/>
      <c r="Q15" s="838"/>
      <c r="R15" s="839"/>
      <c r="S15" s="838"/>
      <c r="T15" s="838"/>
      <c r="U15" s="839"/>
      <c r="V15" s="838"/>
      <c r="W15" s="838"/>
      <c r="X15" s="839"/>
      <c r="AP15" s="832">
        <f t="shared" si="5"/>
        <v>0</v>
      </c>
    </row>
    <row r="16" spans="1:42" s="829" customFormat="1" ht="15" customHeight="1" x14ac:dyDescent="0.2">
      <c r="B16" s="829" t="s">
        <v>355</v>
      </c>
      <c r="C16" s="829" t="s">
        <v>585</v>
      </c>
      <c r="D16" s="830">
        <f>D17</f>
        <v>61.1</v>
      </c>
      <c r="E16" s="830">
        <f>E17</f>
        <v>53.199999999999996</v>
      </c>
      <c r="F16" s="831">
        <v>114.3</v>
      </c>
      <c r="G16" s="830">
        <v>66.099999999999994</v>
      </c>
      <c r="H16" s="830">
        <f>I16-G16</f>
        <v>55.400000000000006</v>
      </c>
      <c r="I16" s="831">
        <v>121.5</v>
      </c>
      <c r="J16" s="830">
        <v>82.653000000000006</v>
      </c>
      <c r="K16" s="830">
        <f>L16-J16</f>
        <v>41.346999999999994</v>
      </c>
      <c r="L16" s="831">
        <v>124</v>
      </c>
      <c r="M16" s="830">
        <v>61.5</v>
      </c>
      <c r="N16" s="830">
        <f>O16-M16</f>
        <v>66.099999999999994</v>
      </c>
      <c r="O16" s="831">
        <v>127.6</v>
      </c>
      <c r="P16" s="830">
        <v>75</v>
      </c>
      <c r="Q16" s="830">
        <f>R16-P16</f>
        <v>55.199999999999989</v>
      </c>
      <c r="R16" s="831">
        <v>130.19999999999999</v>
      </c>
      <c r="S16" s="830">
        <v>68.247457627119203</v>
      </c>
      <c r="T16" s="830">
        <v>52.535224885620806</v>
      </c>
      <c r="U16" s="831">
        <v>120.78268251274001</v>
      </c>
      <c r="V16" s="830">
        <v>78.138000000000005</v>
      </c>
      <c r="W16" s="830">
        <f>X16-V16</f>
        <v>44.86999999999999</v>
      </c>
      <c r="X16" s="831">
        <v>123.008</v>
      </c>
      <c r="AO16" s="829" t="s">
        <v>758</v>
      </c>
      <c r="AP16" s="832">
        <f t="shared" si="5"/>
        <v>0</v>
      </c>
    </row>
    <row r="17" spans="2:42" s="829" customFormat="1" ht="15" customHeight="1" x14ac:dyDescent="0.2">
      <c r="B17" s="834" t="s">
        <v>351</v>
      </c>
      <c r="C17" s="834"/>
      <c r="D17" s="835">
        <v>61.1</v>
      </c>
      <c r="E17" s="835">
        <f>F17-D17</f>
        <v>53.199999999999996</v>
      </c>
      <c r="F17" s="836">
        <f t="shared" ref="F17:X17" si="8">F16</f>
        <v>114.3</v>
      </c>
      <c r="G17" s="835">
        <f t="shared" si="8"/>
        <v>66.099999999999994</v>
      </c>
      <c r="H17" s="835">
        <f t="shared" si="8"/>
        <v>55.400000000000006</v>
      </c>
      <c r="I17" s="836">
        <f t="shared" si="8"/>
        <v>121.5</v>
      </c>
      <c r="J17" s="835">
        <f t="shared" si="8"/>
        <v>82.653000000000006</v>
      </c>
      <c r="K17" s="835">
        <f t="shared" si="8"/>
        <v>41.346999999999994</v>
      </c>
      <c r="L17" s="836">
        <f t="shared" si="8"/>
        <v>124</v>
      </c>
      <c r="M17" s="835">
        <f t="shared" si="8"/>
        <v>61.5</v>
      </c>
      <c r="N17" s="835">
        <f t="shared" si="8"/>
        <v>66.099999999999994</v>
      </c>
      <c r="O17" s="836">
        <f t="shared" si="8"/>
        <v>127.6</v>
      </c>
      <c r="P17" s="835">
        <f t="shared" si="8"/>
        <v>75</v>
      </c>
      <c r="Q17" s="835">
        <f t="shared" si="8"/>
        <v>55.199999999999989</v>
      </c>
      <c r="R17" s="836">
        <f t="shared" si="8"/>
        <v>130.19999999999999</v>
      </c>
      <c r="S17" s="835">
        <f>S16</f>
        <v>68.247457627119203</v>
      </c>
      <c r="T17" s="835">
        <f t="shared" si="8"/>
        <v>52.535224885620806</v>
      </c>
      <c r="U17" s="836">
        <f t="shared" si="8"/>
        <v>120.78268251274001</v>
      </c>
      <c r="V17" s="835">
        <f t="shared" si="8"/>
        <v>78.138000000000005</v>
      </c>
      <c r="W17" s="835">
        <f t="shared" si="8"/>
        <v>44.86999999999999</v>
      </c>
      <c r="X17" s="836">
        <f t="shared" si="8"/>
        <v>123.008</v>
      </c>
      <c r="AA17" s="833"/>
      <c r="AP17" s="832">
        <f t="shared" si="5"/>
        <v>0</v>
      </c>
    </row>
    <row r="18" spans="2:42" s="829" customFormat="1" ht="15" customHeight="1" x14ac:dyDescent="0.2">
      <c r="B18" s="837"/>
      <c r="C18" s="837"/>
      <c r="D18" s="838"/>
      <c r="E18" s="838"/>
      <c r="F18" s="839"/>
      <c r="G18" s="838"/>
      <c r="H18" s="838"/>
      <c r="I18" s="839"/>
      <c r="J18" s="838"/>
      <c r="K18" s="838"/>
      <c r="L18" s="839"/>
      <c r="M18" s="838"/>
      <c r="N18" s="838"/>
      <c r="O18" s="839"/>
      <c r="P18" s="838"/>
      <c r="Q18" s="838"/>
      <c r="R18" s="839"/>
      <c r="S18" s="838"/>
      <c r="T18" s="838"/>
      <c r="U18" s="839"/>
      <c r="V18" s="838"/>
      <c r="W18" s="838"/>
      <c r="X18" s="839"/>
      <c r="AP18" s="832">
        <f t="shared" si="5"/>
        <v>0</v>
      </c>
    </row>
    <row r="19" spans="2:42" s="829" customFormat="1" ht="15" customHeight="1" x14ac:dyDescent="0.2">
      <c r="B19" s="829" t="s">
        <v>356</v>
      </c>
      <c r="C19" s="829" t="s">
        <v>947</v>
      </c>
      <c r="D19" s="830">
        <f>D20</f>
        <v>0.8</v>
      </c>
      <c r="E19" s="830">
        <f>E20</f>
        <v>0.80000000000000848</v>
      </c>
      <c r="F19" s="831">
        <f>115.9-F16</f>
        <v>1.6000000000000085</v>
      </c>
      <c r="G19" s="830">
        <f>66.8-G16</f>
        <v>0.70000000000000284</v>
      </c>
      <c r="H19" s="830">
        <f>I19-G19</f>
        <v>0.79999999999999716</v>
      </c>
      <c r="I19" s="831">
        <v>1.5</v>
      </c>
      <c r="J19" s="830">
        <f>1.164</f>
        <v>1.1639999999999999</v>
      </c>
      <c r="K19" s="830">
        <f>L19-J19</f>
        <v>0.53600000000000003</v>
      </c>
      <c r="L19" s="831">
        <v>1.7</v>
      </c>
      <c r="M19" s="830">
        <v>0.9</v>
      </c>
      <c r="N19" s="830">
        <f>O19-M19</f>
        <v>1.5000000000000058</v>
      </c>
      <c r="O19" s="831">
        <f>130-O16</f>
        <v>2.4000000000000057</v>
      </c>
      <c r="P19" s="830">
        <v>1.1000000000000001</v>
      </c>
      <c r="Q19" s="830">
        <f>R19-P19</f>
        <v>0.79999999999999982</v>
      </c>
      <c r="R19" s="831">
        <v>1.9</v>
      </c>
      <c r="S19" s="830">
        <v>1.5166101694911402</v>
      </c>
      <c r="T19" s="830">
        <v>0.75096198669885972</v>
      </c>
      <c r="U19" s="831">
        <v>2.26757215619</v>
      </c>
      <c r="V19" s="830">
        <v>1.264</v>
      </c>
      <c r="W19" s="830">
        <f>X19-V19</f>
        <v>1.0549999999999999</v>
      </c>
      <c r="X19" s="831">
        <v>2.319</v>
      </c>
      <c r="AO19" s="829" t="s">
        <v>774</v>
      </c>
      <c r="AP19" s="832">
        <f t="shared" si="5"/>
        <v>2.319</v>
      </c>
    </row>
    <row r="20" spans="2:42" s="833" customFormat="1" ht="15" customHeight="1" x14ac:dyDescent="0.2">
      <c r="B20" s="834" t="s">
        <v>350</v>
      </c>
      <c r="C20" s="834"/>
      <c r="D20" s="835">
        <v>0.8</v>
      </c>
      <c r="E20" s="835">
        <f>F20-D20</f>
        <v>0.80000000000000848</v>
      </c>
      <c r="F20" s="836">
        <f t="shared" ref="F20:X20" si="9">F19</f>
        <v>1.6000000000000085</v>
      </c>
      <c r="G20" s="835">
        <f t="shared" si="9"/>
        <v>0.70000000000000284</v>
      </c>
      <c r="H20" s="835">
        <f t="shared" si="9"/>
        <v>0.79999999999999716</v>
      </c>
      <c r="I20" s="836">
        <f t="shared" si="9"/>
        <v>1.5</v>
      </c>
      <c r="J20" s="840">
        <f t="shared" si="9"/>
        <v>1.1639999999999999</v>
      </c>
      <c r="K20" s="835">
        <f t="shared" si="9"/>
        <v>0.53600000000000003</v>
      </c>
      <c r="L20" s="836">
        <v>1.7</v>
      </c>
      <c r="M20" s="835">
        <f t="shared" si="9"/>
        <v>0.9</v>
      </c>
      <c r="N20" s="835">
        <f t="shared" si="9"/>
        <v>1.5000000000000058</v>
      </c>
      <c r="O20" s="836">
        <f t="shared" si="9"/>
        <v>2.4000000000000057</v>
      </c>
      <c r="P20" s="835">
        <f t="shared" si="9"/>
        <v>1.1000000000000001</v>
      </c>
      <c r="Q20" s="835">
        <f t="shared" si="9"/>
        <v>0.79999999999999982</v>
      </c>
      <c r="R20" s="836">
        <f t="shared" si="9"/>
        <v>1.9</v>
      </c>
      <c r="S20" s="835">
        <f t="shared" si="9"/>
        <v>1.5166101694911402</v>
      </c>
      <c r="T20" s="835">
        <f t="shared" si="9"/>
        <v>0.75096198669885972</v>
      </c>
      <c r="U20" s="836">
        <f t="shared" si="9"/>
        <v>2.26757215619</v>
      </c>
      <c r="V20" s="835">
        <f t="shared" si="9"/>
        <v>1.264</v>
      </c>
      <c r="W20" s="835">
        <f t="shared" si="9"/>
        <v>1.0549999999999999</v>
      </c>
      <c r="X20" s="836">
        <f t="shared" si="9"/>
        <v>2.319</v>
      </c>
      <c r="AP20" s="832">
        <f t="shared" si="5"/>
        <v>0</v>
      </c>
    </row>
    <row r="21" spans="2:42" s="833" customFormat="1" ht="15" customHeight="1" x14ac:dyDescent="0.2">
      <c r="B21" s="837"/>
      <c r="C21" s="837"/>
      <c r="D21" s="838"/>
      <c r="E21" s="838"/>
      <c r="F21" s="839"/>
      <c r="G21" s="838"/>
      <c r="H21" s="838"/>
      <c r="I21" s="839"/>
      <c r="J21" s="838"/>
      <c r="K21" s="838"/>
      <c r="L21" s="839"/>
      <c r="M21" s="838"/>
      <c r="N21" s="838"/>
      <c r="O21" s="839"/>
      <c r="P21" s="838"/>
      <c r="Q21" s="838"/>
      <c r="R21" s="839"/>
      <c r="S21" s="838"/>
      <c r="T21" s="838"/>
      <c r="U21" s="839"/>
      <c r="V21" s="838"/>
      <c r="W21" s="838"/>
      <c r="X21" s="839"/>
      <c r="AP21" s="832">
        <f t="shared" si="5"/>
        <v>0</v>
      </c>
    </row>
    <row r="22" spans="2:42" s="829" customFormat="1" ht="15" customHeight="1" x14ac:dyDescent="0.2">
      <c r="B22" s="829" t="s">
        <v>341</v>
      </c>
      <c r="C22" s="829" t="s">
        <v>585</v>
      </c>
      <c r="D22" s="830">
        <f>D23</f>
        <v>1.4</v>
      </c>
      <c r="E22" s="830">
        <f>E23</f>
        <v>4.1999999999999993</v>
      </c>
      <c r="F22" s="831">
        <v>5.6</v>
      </c>
      <c r="G22" s="830">
        <v>4.2</v>
      </c>
      <c r="H22" s="830">
        <f>I22-G22</f>
        <v>4.3</v>
      </c>
      <c r="I22" s="831">
        <v>8.5</v>
      </c>
      <c r="J22" s="830">
        <v>6.4640000000000004</v>
      </c>
      <c r="K22" s="830">
        <f>L22-J22</f>
        <v>5.2359999999999989</v>
      </c>
      <c r="L22" s="831">
        <v>11.7</v>
      </c>
      <c r="M22" s="830">
        <v>6.8</v>
      </c>
      <c r="N22" s="830">
        <f>O22-M22</f>
        <v>8.3999999999999986</v>
      </c>
      <c r="O22" s="831">
        <v>15.2</v>
      </c>
      <c r="P22" s="830">
        <v>9.4</v>
      </c>
      <c r="Q22" s="830">
        <f>R22-P22</f>
        <v>8.6</v>
      </c>
      <c r="R22" s="831">
        <v>18</v>
      </c>
      <c r="S22" s="830">
        <v>9.9162711864409001</v>
      </c>
      <c r="T22" s="830">
        <v>7.6243060631391</v>
      </c>
      <c r="U22" s="831">
        <v>17.54057724958</v>
      </c>
      <c r="V22" s="830">
        <v>9.990907258064011</v>
      </c>
      <c r="W22" s="830">
        <f>X22-V22</f>
        <v>8.7800927419359898</v>
      </c>
      <c r="X22" s="841">
        <v>18.771000000000001</v>
      </c>
      <c r="AO22" s="829" t="s">
        <v>951</v>
      </c>
      <c r="AP22" s="832">
        <f t="shared" si="5"/>
        <v>0</v>
      </c>
    </row>
    <row r="23" spans="2:42" s="833" customFormat="1" ht="15" customHeight="1" x14ac:dyDescent="0.2">
      <c r="B23" s="834" t="s">
        <v>352</v>
      </c>
      <c r="C23" s="834"/>
      <c r="D23" s="835">
        <v>1.4</v>
      </c>
      <c r="E23" s="835">
        <f>F23-D23</f>
        <v>4.1999999999999993</v>
      </c>
      <c r="F23" s="836">
        <f t="shared" ref="F23:X23" si="10">F22</f>
        <v>5.6</v>
      </c>
      <c r="G23" s="835">
        <f t="shared" si="10"/>
        <v>4.2</v>
      </c>
      <c r="H23" s="835">
        <f t="shared" si="10"/>
        <v>4.3</v>
      </c>
      <c r="I23" s="836">
        <f t="shared" si="10"/>
        <v>8.5</v>
      </c>
      <c r="J23" s="835">
        <f t="shared" si="10"/>
        <v>6.4640000000000004</v>
      </c>
      <c r="K23" s="835">
        <f t="shared" si="10"/>
        <v>5.2359999999999989</v>
      </c>
      <c r="L23" s="836">
        <f t="shared" si="10"/>
        <v>11.7</v>
      </c>
      <c r="M23" s="835">
        <f t="shared" si="10"/>
        <v>6.8</v>
      </c>
      <c r="N23" s="835">
        <f t="shared" si="10"/>
        <v>8.3999999999999986</v>
      </c>
      <c r="O23" s="836">
        <f t="shared" si="10"/>
        <v>15.2</v>
      </c>
      <c r="P23" s="835">
        <f t="shared" si="10"/>
        <v>9.4</v>
      </c>
      <c r="Q23" s="835">
        <f t="shared" si="10"/>
        <v>8.6</v>
      </c>
      <c r="R23" s="836">
        <f t="shared" si="10"/>
        <v>18</v>
      </c>
      <c r="S23" s="835">
        <f t="shared" si="10"/>
        <v>9.9162711864409001</v>
      </c>
      <c r="T23" s="835">
        <f t="shared" si="10"/>
        <v>7.6243060631391</v>
      </c>
      <c r="U23" s="836">
        <f t="shared" si="10"/>
        <v>17.54057724958</v>
      </c>
      <c r="V23" s="835">
        <f t="shared" si="10"/>
        <v>9.990907258064011</v>
      </c>
      <c r="W23" s="835">
        <f t="shared" si="10"/>
        <v>8.7800927419359898</v>
      </c>
      <c r="X23" s="836">
        <f t="shared" si="10"/>
        <v>18.771000000000001</v>
      </c>
      <c r="AP23" s="832">
        <f t="shared" si="5"/>
        <v>0</v>
      </c>
    </row>
    <row r="24" spans="2:42" s="833" customFormat="1" ht="15" customHeight="1" x14ac:dyDescent="0.2">
      <c r="B24" s="837"/>
      <c r="C24" s="837"/>
      <c r="D24" s="838"/>
      <c r="E24" s="838"/>
      <c r="F24" s="839"/>
      <c r="G24" s="838"/>
      <c r="H24" s="838"/>
      <c r="I24" s="839"/>
      <c r="J24" s="838"/>
      <c r="K24" s="838"/>
      <c r="L24" s="839"/>
      <c r="M24" s="838"/>
      <c r="N24" s="838"/>
      <c r="O24" s="839"/>
      <c r="P24" s="838"/>
      <c r="Q24" s="838"/>
      <c r="R24" s="839"/>
      <c r="S24" s="838"/>
      <c r="T24" s="838"/>
      <c r="U24" s="839"/>
      <c r="V24" s="838"/>
      <c r="W24" s="838"/>
      <c r="X24" s="839"/>
      <c r="AP24" s="832">
        <f t="shared" si="5"/>
        <v>0</v>
      </c>
    </row>
    <row r="25" spans="2:42" s="829" customFormat="1" ht="15" customHeight="1" x14ac:dyDescent="0.2">
      <c r="B25" s="829" t="s">
        <v>336</v>
      </c>
      <c r="C25" s="829" t="s">
        <v>585</v>
      </c>
      <c r="D25" s="830"/>
      <c r="E25" s="830"/>
      <c r="F25" s="831">
        <v>84.554870129872427</v>
      </c>
      <c r="G25" s="830">
        <v>45.312024048094692</v>
      </c>
      <c r="H25" s="830">
        <f t="shared" ref="H25:H30" si="11">I25-G25</f>
        <v>44.1703035381123</v>
      </c>
      <c r="I25" s="831">
        <v>89.482327586206992</v>
      </c>
      <c r="J25" s="830">
        <v>46.493717277484372</v>
      </c>
      <c r="K25" s="830">
        <f t="shared" ref="K25:K30" si="12">L25-J25</f>
        <v>44.13438189607394</v>
      </c>
      <c r="L25" s="831">
        <v>90.628099173558311</v>
      </c>
      <c r="M25" s="830">
        <v>48.947521865889605</v>
      </c>
      <c r="N25" s="830">
        <f t="shared" ref="N25:N30" si="13">O25-M25</f>
        <v>61.522269800773451</v>
      </c>
      <c r="O25" s="831">
        <v>110.46979166666306</v>
      </c>
      <c r="P25" s="830">
        <v>61.374045801527345</v>
      </c>
      <c r="Q25" s="830">
        <f t="shared" ref="Q25:Q30" si="14">R25-P25</f>
        <v>62.201669723190534</v>
      </c>
      <c r="R25" s="831">
        <v>123.57571552471788</v>
      </c>
      <c r="S25" s="830">
        <v>54.597966101694922</v>
      </c>
      <c r="T25" s="830">
        <v>62.181999942444961</v>
      </c>
      <c r="U25" s="831">
        <v>116.77996604413988</v>
      </c>
      <c r="V25" s="830">
        <v>57.58991935483904</v>
      </c>
      <c r="W25" s="830">
        <f t="shared" ref="W25:W30" si="15">X25-V25</f>
        <v>52.610080645160963</v>
      </c>
      <c r="X25" s="831">
        <v>110.2</v>
      </c>
      <c r="AO25" s="829" t="s">
        <v>742</v>
      </c>
      <c r="AP25" s="832">
        <f t="shared" si="5"/>
        <v>0</v>
      </c>
    </row>
    <row r="26" spans="2:42" s="829" customFormat="1" ht="15" customHeight="1" x14ac:dyDescent="0.2">
      <c r="B26" s="829" t="s">
        <v>724</v>
      </c>
      <c r="C26" s="829" t="s">
        <v>947</v>
      </c>
      <c r="D26" s="830"/>
      <c r="E26" s="830"/>
      <c r="F26" s="831">
        <v>0</v>
      </c>
      <c r="G26" s="830">
        <v>0</v>
      </c>
      <c r="H26" s="830">
        <f t="shared" si="11"/>
        <v>0</v>
      </c>
      <c r="I26" s="831">
        <v>0</v>
      </c>
      <c r="J26" s="830">
        <v>0</v>
      </c>
      <c r="K26" s="830">
        <f t="shared" si="12"/>
        <v>0</v>
      </c>
      <c r="L26" s="831">
        <v>0</v>
      </c>
      <c r="M26" s="830">
        <v>0</v>
      </c>
      <c r="N26" s="830">
        <f t="shared" si="13"/>
        <v>0</v>
      </c>
      <c r="O26" s="831">
        <v>0</v>
      </c>
      <c r="P26" s="830">
        <v>0</v>
      </c>
      <c r="Q26" s="830">
        <f t="shared" si="14"/>
        <v>0</v>
      </c>
      <c r="R26" s="831">
        <v>0</v>
      </c>
      <c r="S26" s="830">
        <v>0</v>
      </c>
      <c r="T26" s="830">
        <v>14.739219015280014</v>
      </c>
      <c r="U26" s="831">
        <v>14.739219015280014</v>
      </c>
      <c r="V26" s="830">
        <v>17.686290322580899</v>
      </c>
      <c r="W26" s="830">
        <f t="shared" si="15"/>
        <v>14.813709677419101</v>
      </c>
      <c r="X26" s="831">
        <v>32.5</v>
      </c>
      <c r="AO26" s="829" t="s">
        <v>289</v>
      </c>
      <c r="AP26" s="832">
        <f t="shared" si="5"/>
        <v>32.5</v>
      </c>
    </row>
    <row r="27" spans="2:42" s="829" customFormat="1" ht="15" customHeight="1" x14ac:dyDescent="0.2">
      <c r="B27" s="829" t="s">
        <v>732</v>
      </c>
      <c r="C27" s="829" t="s">
        <v>579</v>
      </c>
      <c r="D27" s="830"/>
      <c r="E27" s="830"/>
      <c r="F27" s="831">
        <v>0</v>
      </c>
      <c r="G27" s="830">
        <v>9.3426853707418829</v>
      </c>
      <c r="H27" s="830">
        <f t="shared" si="11"/>
        <v>9.0614812959242848</v>
      </c>
      <c r="I27" s="831">
        <v>18.404166666666168</v>
      </c>
      <c r="J27" s="830">
        <v>7.983769633509274</v>
      </c>
      <c r="K27" s="830">
        <f t="shared" si="12"/>
        <v>8.1998195046235711</v>
      </c>
      <c r="L27" s="831">
        <v>16.183589138132845</v>
      </c>
      <c r="M27" s="830">
        <v>8.5539358600573046</v>
      </c>
      <c r="N27" s="830">
        <f t="shared" si="13"/>
        <v>11.401897473276659</v>
      </c>
      <c r="O27" s="831">
        <v>19.955833333333963</v>
      </c>
      <c r="P27" s="830">
        <v>9.2061068702282949</v>
      </c>
      <c r="Q27" s="830">
        <f t="shared" si="14"/>
        <v>14.366139443732619</v>
      </c>
      <c r="R27" s="831">
        <v>23.572246313960914</v>
      </c>
      <c r="S27" s="830">
        <v>10.866271186440899</v>
      </c>
      <c r="T27" s="830">
        <v>9.5418782193291189</v>
      </c>
      <c r="U27" s="831">
        <v>20.408149405770018</v>
      </c>
      <c r="V27" s="830">
        <v>11.366431451613041</v>
      </c>
      <c r="W27" s="830">
        <f t="shared" si="15"/>
        <v>13.93356854838696</v>
      </c>
      <c r="X27" s="831">
        <v>25.3</v>
      </c>
      <c r="AO27" s="829" t="s">
        <v>730</v>
      </c>
      <c r="AP27" s="832">
        <f t="shared" si="5"/>
        <v>0</v>
      </c>
    </row>
    <row r="28" spans="2:42" s="829" customFormat="1" ht="15" customHeight="1" x14ac:dyDescent="0.2">
      <c r="B28" s="829" t="s">
        <v>699</v>
      </c>
      <c r="C28" s="829" t="s">
        <v>947</v>
      </c>
      <c r="D28" s="830"/>
      <c r="E28" s="830"/>
      <c r="F28" s="831">
        <v>0</v>
      </c>
      <c r="G28" s="830">
        <v>0</v>
      </c>
      <c r="H28" s="830">
        <f t="shared" si="11"/>
        <v>0</v>
      </c>
      <c r="I28" s="831">
        <v>0</v>
      </c>
      <c r="J28" s="830">
        <v>4.6963350785332789</v>
      </c>
      <c r="K28" s="830">
        <f t="shared" si="12"/>
        <v>12.781941190650668</v>
      </c>
      <c r="L28" s="831">
        <v>17.478276269183947</v>
      </c>
      <c r="M28" s="830">
        <v>10.454810495625784</v>
      </c>
      <c r="N28" s="830">
        <f t="shared" si="13"/>
        <v>14.489981171038261</v>
      </c>
      <c r="O28" s="831">
        <v>24.944791666664045</v>
      </c>
      <c r="P28" s="830">
        <v>15.343511450379118</v>
      </c>
      <c r="Q28" s="830">
        <f t="shared" si="14"/>
        <v>13.943218818489019</v>
      </c>
      <c r="R28" s="831">
        <v>29.286730268868137</v>
      </c>
      <c r="S28" s="830">
        <v>14.6577966101688</v>
      </c>
      <c r="T28" s="830">
        <v>12.553069264201229</v>
      </c>
      <c r="U28" s="831">
        <v>27.210865874370029</v>
      </c>
      <c r="V28" s="830">
        <v>14.397479838709048</v>
      </c>
      <c r="W28" s="830">
        <f t="shared" si="15"/>
        <v>12.432212468983534</v>
      </c>
      <c r="X28" s="831">
        <v>26.829692307692582</v>
      </c>
      <c r="AO28" s="829" t="s">
        <v>693</v>
      </c>
      <c r="AP28" s="832">
        <f t="shared" si="5"/>
        <v>26.829692307692582</v>
      </c>
    </row>
    <row r="29" spans="2:42" s="829" customFormat="1" ht="15" customHeight="1" x14ac:dyDescent="0.2">
      <c r="B29" s="829" t="s">
        <v>952</v>
      </c>
      <c r="C29" s="829" t="s">
        <v>947</v>
      </c>
      <c r="D29" s="830"/>
      <c r="E29" s="830"/>
      <c r="F29" s="831">
        <v>0</v>
      </c>
      <c r="G29" s="830">
        <v>0</v>
      </c>
      <c r="H29" s="830">
        <f t="shared" si="11"/>
        <v>0</v>
      </c>
      <c r="I29" s="831">
        <v>0</v>
      </c>
      <c r="J29" s="830">
        <v>0</v>
      </c>
      <c r="K29" s="830">
        <f t="shared" si="12"/>
        <v>0</v>
      </c>
      <c r="L29" s="831">
        <v>0</v>
      </c>
      <c r="M29" s="830">
        <v>10.454810495629028</v>
      </c>
      <c r="N29" s="830">
        <f t="shared" si="13"/>
        <v>11.639147837706501</v>
      </c>
      <c r="O29" s="831">
        <v>22.093958333335529</v>
      </c>
      <c r="P29" s="830">
        <v>15.343511450383181</v>
      </c>
      <c r="Q29" s="830">
        <f t="shared" si="14"/>
        <v>14.657529312842177</v>
      </c>
      <c r="R29" s="831">
        <v>30.001040763225358</v>
      </c>
      <c r="S29" s="830">
        <v>16.782711864406501</v>
      </c>
      <c r="T29" s="830">
        <v>15.230870478543501</v>
      </c>
      <c r="U29" s="831">
        <v>32.013582342950002</v>
      </c>
      <c r="V29" s="830">
        <v>16.6707661290319</v>
      </c>
      <c r="W29" s="830">
        <f t="shared" si="15"/>
        <v>17.729233870968098</v>
      </c>
      <c r="X29" s="831">
        <v>34.4</v>
      </c>
      <c r="AO29" s="829" t="s">
        <v>953</v>
      </c>
      <c r="AP29" s="832">
        <f t="shared" si="5"/>
        <v>34.4</v>
      </c>
    </row>
    <row r="30" spans="2:42" s="829" customFormat="1" ht="15" customHeight="1" x14ac:dyDescent="0.2">
      <c r="B30" s="829" t="s">
        <v>954</v>
      </c>
      <c r="C30" s="829" t="s">
        <v>947</v>
      </c>
      <c r="D30" s="830"/>
      <c r="E30" s="830"/>
      <c r="F30" s="831">
        <f>99.8-SUM(F25:F29)-F22</f>
        <v>9.6451298701275707</v>
      </c>
      <c r="G30" s="830">
        <f>64.5-SUM(G25:G29)-G22</f>
        <v>5.6452905811634251</v>
      </c>
      <c r="H30" s="830">
        <f t="shared" si="11"/>
        <v>3.8682151659634174</v>
      </c>
      <c r="I30" s="831">
        <f>125.9-SUM(I25:I29)-I22</f>
        <v>9.5135057471268425</v>
      </c>
      <c r="J30" s="830">
        <f>71.2-SUM(J25:J29)</f>
        <v>12.026178010473075</v>
      </c>
      <c r="K30" s="830">
        <f t="shared" si="12"/>
        <v>-0.31614259134819278</v>
      </c>
      <c r="L30" s="831">
        <f>147.7-SUM(L25:L29)-L22</f>
        <v>11.710035419124882</v>
      </c>
      <c r="M30" s="830">
        <f>92.6-SUM(M25:M29)-M22</f>
        <v>7.3889212827982762</v>
      </c>
      <c r="N30" s="830">
        <f t="shared" si="13"/>
        <v>4.0467037172051112</v>
      </c>
      <c r="O30" s="831">
        <f>204.1-SUM(O25:O29)-O22</f>
        <v>11.435625000003387</v>
      </c>
      <c r="P30" s="830">
        <f>106.2-SUM(P25:P29)</f>
        <v>4.9328244274820605</v>
      </c>
      <c r="Q30" s="830">
        <f t="shared" si="14"/>
        <v>1.2314427017456779</v>
      </c>
      <c r="R30" s="831">
        <f>230.6-SUM(R25:R29)-R22</f>
        <v>6.1642671292277385</v>
      </c>
      <c r="S30" s="830">
        <v>4.5498305084753543</v>
      </c>
      <c r="T30" s="830">
        <v>1.8866720382146553</v>
      </c>
      <c r="U30" s="831">
        <v>6.4365025466900097</v>
      </c>
      <c r="V30" s="830">
        <v>2.83104838709703</v>
      </c>
      <c r="W30" s="830">
        <f t="shared" si="15"/>
        <v>2.66895161290297</v>
      </c>
      <c r="X30" s="831">
        <v>5.5</v>
      </c>
      <c r="AD30" s="842"/>
      <c r="AO30" s="829" t="s">
        <v>955</v>
      </c>
      <c r="AP30" s="832">
        <f t="shared" si="5"/>
        <v>5.5</v>
      </c>
    </row>
    <row r="31" spans="2:42" s="833" customFormat="1" ht="15" customHeight="1" x14ac:dyDescent="0.2">
      <c r="B31" s="834" t="s">
        <v>333</v>
      </c>
      <c r="C31" s="834"/>
      <c r="D31" s="835">
        <v>47.2</v>
      </c>
      <c r="E31" s="835">
        <f>F31-D31</f>
        <v>47</v>
      </c>
      <c r="F31" s="836">
        <f t="shared" ref="F31:X31" si="16">SUM(F25:F30)</f>
        <v>94.2</v>
      </c>
      <c r="G31" s="835">
        <f t="shared" si="16"/>
        <v>60.3</v>
      </c>
      <c r="H31" s="835">
        <f t="shared" si="16"/>
        <v>57.100000000000009</v>
      </c>
      <c r="I31" s="836">
        <f t="shared" si="16"/>
        <v>117.4</v>
      </c>
      <c r="J31" s="835">
        <f t="shared" si="16"/>
        <v>71.2</v>
      </c>
      <c r="K31" s="835">
        <f t="shared" si="16"/>
        <v>64.799999999999983</v>
      </c>
      <c r="L31" s="836">
        <f t="shared" si="16"/>
        <v>136</v>
      </c>
      <c r="M31" s="835">
        <f t="shared" si="16"/>
        <v>85.8</v>
      </c>
      <c r="N31" s="835">
        <f t="shared" si="16"/>
        <v>103.09999999999998</v>
      </c>
      <c r="O31" s="836">
        <f t="shared" si="16"/>
        <v>188.9</v>
      </c>
      <c r="P31" s="840">
        <f t="shared" si="16"/>
        <v>106.2</v>
      </c>
      <c r="Q31" s="835">
        <f t="shared" si="16"/>
        <v>106.40000000000002</v>
      </c>
      <c r="R31" s="836">
        <f t="shared" si="16"/>
        <v>212.6</v>
      </c>
      <c r="S31" s="835">
        <f t="shared" si="16"/>
        <v>101.45457627118647</v>
      </c>
      <c r="T31" s="835">
        <f t="shared" si="16"/>
        <v>116.13370895801349</v>
      </c>
      <c r="U31" s="836">
        <f t="shared" si="16"/>
        <v>217.58828522919995</v>
      </c>
      <c r="V31" s="835">
        <f t="shared" si="16"/>
        <v>120.54193548387096</v>
      </c>
      <c r="W31" s="835">
        <f t="shared" si="16"/>
        <v>114.18775682382163</v>
      </c>
      <c r="X31" s="836">
        <f t="shared" si="16"/>
        <v>234.7296923076926</v>
      </c>
      <c r="AD31" s="843"/>
    </row>
    <row r="32" spans="2:42" s="833" customFormat="1" ht="15" customHeight="1" thickBot="1" x14ac:dyDescent="0.25">
      <c r="B32" s="844"/>
      <c r="C32" s="844"/>
      <c r="D32" s="845"/>
      <c r="E32" s="845"/>
      <c r="F32" s="846"/>
      <c r="G32" s="845"/>
      <c r="H32" s="845"/>
      <c r="I32" s="846"/>
      <c r="J32" s="845"/>
      <c r="K32" s="845"/>
      <c r="L32" s="846"/>
      <c r="M32" s="845"/>
      <c r="N32" s="845"/>
      <c r="O32" s="846"/>
      <c r="P32" s="845"/>
      <c r="Q32" s="845"/>
      <c r="R32" s="846"/>
      <c r="S32" s="845"/>
      <c r="T32" s="845"/>
      <c r="U32" s="846"/>
      <c r="V32" s="845"/>
      <c r="W32" s="845"/>
      <c r="X32" s="846"/>
      <c r="AD32" s="843"/>
    </row>
    <row r="33" spans="2:27" s="829" customFormat="1" ht="15" customHeight="1" thickBot="1" x14ac:dyDescent="0.25">
      <c r="B33" s="847" t="s">
        <v>956</v>
      </c>
      <c r="C33" s="847"/>
      <c r="D33" s="848">
        <f t="shared" ref="D33:X33" si="17">D11+D14+D20+D23+D31+D17</f>
        <v>218.29999999999998</v>
      </c>
      <c r="E33" s="848">
        <f t="shared" si="17"/>
        <v>170.4</v>
      </c>
      <c r="F33" s="849">
        <f t="shared" si="17"/>
        <v>388.70000000000005</v>
      </c>
      <c r="G33" s="848">
        <f t="shared" si="17"/>
        <v>233.20000000000002</v>
      </c>
      <c r="H33" s="848">
        <f t="shared" si="17"/>
        <v>208.4</v>
      </c>
      <c r="I33" s="849">
        <f t="shared" si="17"/>
        <v>441.6</v>
      </c>
      <c r="J33" s="848">
        <f t="shared" si="17"/>
        <v>293.08100000000002</v>
      </c>
      <c r="K33" s="848">
        <f t="shared" si="17"/>
        <v>256.71899999999994</v>
      </c>
      <c r="L33" s="849">
        <f t="shared" si="17"/>
        <v>549.79999999999995</v>
      </c>
      <c r="M33" s="848">
        <f t="shared" si="17"/>
        <v>326</v>
      </c>
      <c r="N33" s="848">
        <f t="shared" si="17"/>
        <v>358.20000000000005</v>
      </c>
      <c r="O33" s="849">
        <f t="shared" si="17"/>
        <v>684.2</v>
      </c>
      <c r="P33" s="848">
        <f t="shared" si="17"/>
        <v>401.9</v>
      </c>
      <c r="Q33" s="848">
        <f t="shared" si="17"/>
        <v>421.70000000000005</v>
      </c>
      <c r="R33" s="849">
        <f t="shared" si="17"/>
        <v>823.59999999999991</v>
      </c>
      <c r="S33" s="848">
        <f>S11+S14+S20+S23+S31+S17</f>
        <v>671.09999999999957</v>
      </c>
      <c r="T33" s="848">
        <f t="shared" si="17"/>
        <v>664.59999999999627</v>
      </c>
      <c r="U33" s="849">
        <f t="shared" si="17"/>
        <v>1335.6999999999957</v>
      </c>
      <c r="V33" s="848">
        <f t="shared" si="17"/>
        <v>751.684741935484</v>
      </c>
      <c r="W33" s="848">
        <f>W11+W14+W20+W23+W31+W17</f>
        <v>701.9929503722085</v>
      </c>
      <c r="X33" s="849">
        <f t="shared" si="17"/>
        <v>1453.6776923076927</v>
      </c>
      <c r="Y33" s="833"/>
      <c r="Z33" s="833"/>
    </row>
    <row r="34" spans="2:27" s="851" customFormat="1" x14ac:dyDescent="0.2">
      <c r="B34" s="850" t="s">
        <v>46</v>
      </c>
      <c r="C34" s="850"/>
      <c r="D34" s="850">
        <f>218.3-D33</f>
        <v>0</v>
      </c>
      <c r="F34" s="850">
        <f>388.6-F33</f>
        <v>-0.10000000000002274</v>
      </c>
      <c r="G34" s="850">
        <f>233.1-G33</f>
        <v>-0.10000000000002274</v>
      </c>
      <c r="H34" s="850"/>
      <c r="I34" s="850">
        <f>441.7-I33</f>
        <v>9.9999999999965894E-2</v>
      </c>
      <c r="J34" s="850">
        <f>293.1-J33</f>
        <v>1.9000000000005457E-2</v>
      </c>
      <c r="K34" s="850"/>
      <c r="L34" s="850">
        <f>549.9-L33</f>
        <v>0.10000000000002274</v>
      </c>
      <c r="M34" s="850">
        <f>326-M33</f>
        <v>0</v>
      </c>
      <c r="N34" s="850"/>
      <c r="O34" s="850">
        <f>684.2-O33</f>
        <v>0</v>
      </c>
      <c r="P34" s="850">
        <f>401.3+0.992-P33</f>
        <v>0.39200000000005275</v>
      </c>
      <c r="Q34" s="850"/>
      <c r="R34" s="850">
        <f>823.6-R33</f>
        <v>0</v>
      </c>
      <c r="S34" s="850">
        <f>671.1-S33</f>
        <v>0</v>
      </c>
      <c r="T34" s="850"/>
      <c r="U34" s="850">
        <f>1335.6-U33</f>
        <v>-9.9999999995816324E-2</v>
      </c>
      <c r="V34" s="850">
        <f>751.7-V33</f>
        <v>1.5258064516046943E-2</v>
      </c>
      <c r="W34" s="850"/>
      <c r="X34" s="850">
        <f>1453.7-X33</f>
        <v>2.2307692307322213E-2</v>
      </c>
    </row>
    <row r="35" spans="2:27" x14ac:dyDescent="0.2">
      <c r="X35" s="853"/>
    </row>
    <row r="36" spans="2:27" x14ac:dyDescent="0.2">
      <c r="B36" s="852" t="s">
        <v>366</v>
      </c>
      <c r="C36" s="852" t="s">
        <v>585</v>
      </c>
      <c r="D36" s="854"/>
      <c r="E36" s="854"/>
      <c r="F36" s="854">
        <f>SUMIFS(F$5:F$31,$C$5:$C$31,$C36)</f>
        <v>230.95714285714521</v>
      </c>
      <c r="G36" s="854">
        <f t="shared" ref="G36:X39" si="18">SUMIFS(G$5:G$31,$C$5:$C$31,$C36)</f>
        <v>134.29739478957777</v>
      </c>
      <c r="H36" s="854">
        <f t="shared" si="18"/>
        <v>116.91625463570975</v>
      </c>
      <c r="I36" s="854">
        <f t="shared" si="18"/>
        <v>251.21364942528751</v>
      </c>
      <c r="J36" s="854">
        <f t="shared" si="18"/>
        <v>155.80495811518071</v>
      </c>
      <c r="K36" s="854">
        <f t="shared" si="18"/>
        <v>111.3057856864769</v>
      </c>
      <c r="L36" s="854">
        <f t="shared" si="18"/>
        <v>267.11074380165763</v>
      </c>
      <c r="M36" s="854">
        <f t="shared" si="18"/>
        <v>139.58279883381974</v>
      </c>
      <c r="N36" s="854">
        <f t="shared" si="18"/>
        <v>160.72574283284351</v>
      </c>
      <c r="O36" s="854">
        <f t="shared" si="18"/>
        <v>300.30854166666325</v>
      </c>
      <c r="P36" s="854">
        <f t="shared" si="18"/>
        <v>174.41526717557338</v>
      </c>
      <c r="Q36" s="854">
        <f t="shared" si="18"/>
        <v>149.50511443760979</v>
      </c>
      <c r="R36" s="854">
        <f t="shared" si="18"/>
        <v>323.92038161318317</v>
      </c>
      <c r="S36" s="854">
        <f t="shared" si="18"/>
        <v>162.58559322034012</v>
      </c>
      <c r="T36" s="854">
        <f t="shared" si="18"/>
        <v>153.47450864724087</v>
      </c>
      <c r="U36" s="854">
        <f t="shared" si="18"/>
        <v>316.06010186758101</v>
      </c>
      <c r="V36" s="854">
        <f t="shared" si="18"/>
        <v>172.998262096774</v>
      </c>
      <c r="W36" s="854">
        <f t="shared" si="18"/>
        <v>139.18985744100263</v>
      </c>
      <c r="X36" s="854">
        <f t="shared" si="18"/>
        <v>312.18811953777663</v>
      </c>
      <c r="Y36" s="855"/>
    </row>
    <row r="37" spans="2:27" x14ac:dyDescent="0.2">
      <c r="B37" s="852" t="s">
        <v>957</v>
      </c>
      <c r="C37" s="852" t="s">
        <v>574</v>
      </c>
      <c r="D37" s="854"/>
      <c r="E37" s="854"/>
      <c r="F37" s="854">
        <f>SUMIFS(F$5:F$31,$C$5:$C$31,$C37)</f>
        <v>43.539448051948327</v>
      </c>
      <c r="G37" s="854">
        <f t="shared" si="18"/>
        <v>20.553907815631213</v>
      </c>
      <c r="H37" s="854">
        <f t="shared" si="18"/>
        <v>20.696810575173778</v>
      </c>
      <c r="I37" s="854">
        <f t="shared" si="18"/>
        <v>41.250718390804991</v>
      </c>
      <c r="J37" s="854">
        <f t="shared" si="18"/>
        <v>22.542408376963532</v>
      </c>
      <c r="K37" s="854">
        <f t="shared" si="18"/>
        <v>20.829610513236819</v>
      </c>
      <c r="L37" s="854">
        <f t="shared" si="18"/>
        <v>43.372018890200351</v>
      </c>
      <c r="M37" s="854">
        <f t="shared" si="18"/>
        <v>22.335276967930465</v>
      </c>
      <c r="N37" s="854">
        <f t="shared" si="18"/>
        <v>22.56534803206954</v>
      </c>
      <c r="O37" s="854">
        <f t="shared" si="18"/>
        <v>44.900625000000005</v>
      </c>
      <c r="P37" s="854">
        <f t="shared" si="18"/>
        <v>25.061068702290186</v>
      </c>
      <c r="Q37" s="854">
        <f t="shared" si="18"/>
        <v>21.369113431274592</v>
      </c>
      <c r="R37" s="854">
        <f t="shared" si="18"/>
        <v>46.430182133564777</v>
      </c>
      <c r="S37" s="854">
        <f t="shared" si="18"/>
        <v>22.749152542372101</v>
      </c>
      <c r="T37" s="854">
        <f t="shared" si="18"/>
        <v>18.533360191073797</v>
      </c>
      <c r="U37" s="854">
        <f t="shared" si="18"/>
        <v>41.282512733445898</v>
      </c>
      <c r="V37" s="854">
        <f t="shared" si="18"/>
        <v>18.944052419354993</v>
      </c>
      <c r="W37" s="854">
        <f t="shared" si="18"/>
        <v>15.676191314866802</v>
      </c>
      <c r="X37" s="854">
        <f t="shared" si="18"/>
        <v>34.620243734221795</v>
      </c>
      <c r="Y37" s="855"/>
    </row>
    <row r="38" spans="2:27" x14ac:dyDescent="0.2">
      <c r="B38" s="852" t="s">
        <v>958</v>
      </c>
      <c r="C38" s="852" t="s">
        <v>947</v>
      </c>
      <c r="D38" s="854"/>
      <c r="E38" s="854"/>
      <c r="F38" s="854">
        <f>SUMIFS(F$5:F$31,$C$5:$C$31,$C38)</f>
        <v>114.20340909090646</v>
      </c>
      <c r="G38" s="854">
        <f t="shared" si="18"/>
        <v>69.006012024049156</v>
      </c>
      <c r="H38" s="854">
        <f t="shared" si="18"/>
        <v>61.725453493192184</v>
      </c>
      <c r="I38" s="854">
        <f t="shared" si="18"/>
        <v>130.73146551724133</v>
      </c>
      <c r="J38" s="854">
        <f t="shared" si="18"/>
        <v>106.74986387434647</v>
      </c>
      <c r="K38" s="854">
        <f t="shared" si="18"/>
        <v>116.38378429566269</v>
      </c>
      <c r="L38" s="854">
        <f t="shared" si="18"/>
        <v>223.13364817000917</v>
      </c>
      <c r="M38" s="854">
        <f t="shared" si="18"/>
        <v>155.52798833819247</v>
      </c>
      <c r="N38" s="854">
        <f t="shared" si="18"/>
        <v>163.50701166181028</v>
      </c>
      <c r="O38" s="854">
        <f t="shared" si="18"/>
        <v>319.03500000000281</v>
      </c>
      <c r="P38" s="854">
        <f t="shared" si="18"/>
        <v>193.21755725190815</v>
      </c>
      <c r="Q38" s="854">
        <f t="shared" si="18"/>
        <v>236.45963268738302</v>
      </c>
      <c r="R38" s="854">
        <f t="shared" si="18"/>
        <v>429.67718993929122</v>
      </c>
      <c r="S38" s="854">
        <f t="shared" si="18"/>
        <v>474.8989830508466</v>
      </c>
      <c r="T38" s="854">
        <f t="shared" si="18"/>
        <v>483.05025294235253</v>
      </c>
      <c r="U38" s="854">
        <f t="shared" si="18"/>
        <v>957.94923599319907</v>
      </c>
      <c r="V38" s="854">
        <f t="shared" si="18"/>
        <v>505.1835564516129</v>
      </c>
      <c r="W38" s="854">
        <f t="shared" si="18"/>
        <v>487.57732126586018</v>
      </c>
      <c r="X38" s="854">
        <f t="shared" si="18"/>
        <v>992.76087771747291</v>
      </c>
      <c r="AA38" s="856"/>
    </row>
    <row r="39" spans="2:27" x14ac:dyDescent="0.2">
      <c r="B39" s="852" t="s">
        <v>959</v>
      </c>
      <c r="C39" s="852" t="s">
        <v>579</v>
      </c>
      <c r="D39" s="854"/>
      <c r="E39" s="854"/>
      <c r="F39" s="854">
        <f>SUMIFS(F$5:F$31,$C$5:$C$31,$C39)</f>
        <v>0</v>
      </c>
      <c r="G39" s="854">
        <f t="shared" si="18"/>
        <v>9.3426853707418829</v>
      </c>
      <c r="H39" s="854">
        <f t="shared" si="18"/>
        <v>9.0614812959242848</v>
      </c>
      <c r="I39" s="854">
        <f t="shared" si="18"/>
        <v>18.404166666666168</v>
      </c>
      <c r="J39" s="854">
        <f t="shared" si="18"/>
        <v>7.983769633509274</v>
      </c>
      <c r="K39" s="854">
        <f t="shared" si="18"/>
        <v>8.1998195046235711</v>
      </c>
      <c r="L39" s="854">
        <f t="shared" si="18"/>
        <v>16.183589138132845</v>
      </c>
      <c r="M39" s="854">
        <f t="shared" si="18"/>
        <v>8.5539358600573046</v>
      </c>
      <c r="N39" s="854">
        <f t="shared" si="18"/>
        <v>11.401897473276659</v>
      </c>
      <c r="O39" s="854">
        <f t="shared" si="18"/>
        <v>19.955833333333963</v>
      </c>
      <c r="P39" s="854">
        <f t="shared" si="18"/>
        <v>9.2061068702282949</v>
      </c>
      <c r="Q39" s="854">
        <f t="shared" si="18"/>
        <v>14.366139443732619</v>
      </c>
      <c r="R39" s="854">
        <f t="shared" si="18"/>
        <v>23.572246313960914</v>
      </c>
      <c r="S39" s="854">
        <f t="shared" si="18"/>
        <v>10.866271186440899</v>
      </c>
      <c r="T39" s="854">
        <f t="shared" si="18"/>
        <v>9.5418782193291189</v>
      </c>
      <c r="U39" s="854">
        <f t="shared" si="18"/>
        <v>20.408149405770018</v>
      </c>
      <c r="V39" s="854">
        <f t="shared" si="18"/>
        <v>54.558870967742116</v>
      </c>
      <c r="W39" s="854">
        <f t="shared" si="18"/>
        <v>59.549580350479012</v>
      </c>
      <c r="X39" s="854">
        <f t="shared" si="18"/>
        <v>114.10845131822113</v>
      </c>
    </row>
    <row r="40" spans="2:27" x14ac:dyDescent="0.2">
      <c r="B40" s="857" t="s">
        <v>46</v>
      </c>
      <c r="F40" s="858" t="b">
        <f>SUM(F36:F39)=F33</f>
        <v>1</v>
      </c>
      <c r="G40" s="858" t="b">
        <f t="shared" ref="G40:X40" si="19">SUM(G36:G39)=G33</f>
        <v>1</v>
      </c>
      <c r="H40" s="858" t="b">
        <f t="shared" si="19"/>
        <v>1</v>
      </c>
      <c r="I40" s="858" t="b">
        <f t="shared" si="19"/>
        <v>1</v>
      </c>
      <c r="J40" s="858" t="b">
        <f t="shared" si="19"/>
        <v>1</v>
      </c>
      <c r="K40" s="858" t="b">
        <f t="shared" si="19"/>
        <v>1</v>
      </c>
      <c r="L40" s="858" t="b">
        <f t="shared" si="19"/>
        <v>1</v>
      </c>
      <c r="M40" s="858" t="b">
        <f t="shared" si="19"/>
        <v>1</v>
      </c>
      <c r="N40" s="858" t="b">
        <f t="shared" si="19"/>
        <v>1</v>
      </c>
      <c r="O40" s="858" t="b">
        <f t="shared" si="19"/>
        <v>1</v>
      </c>
      <c r="P40" s="858" t="b">
        <f t="shared" si="19"/>
        <v>1</v>
      </c>
      <c r="Q40" s="858" t="b">
        <f t="shared" si="19"/>
        <v>1</v>
      </c>
      <c r="R40" s="858" t="b">
        <f t="shared" si="19"/>
        <v>1</v>
      </c>
      <c r="S40" s="858" t="b">
        <f t="shared" si="19"/>
        <v>1</v>
      </c>
      <c r="T40" s="858" t="b">
        <f t="shared" si="19"/>
        <v>1</v>
      </c>
      <c r="U40" s="858" t="b">
        <f t="shared" si="19"/>
        <v>1</v>
      </c>
      <c r="V40" s="858" t="b">
        <f t="shared" si="19"/>
        <v>1</v>
      </c>
      <c r="W40" s="859" t="b">
        <f>ROUND(SUM(W36:W39),1)=ROUND(W33,1)</f>
        <v>1</v>
      </c>
      <c r="X40" s="858" t="b">
        <f t="shared" si="19"/>
        <v>1</v>
      </c>
    </row>
    <row r="41" spans="2:27" x14ac:dyDescent="0.2">
      <c r="B41" s="857"/>
      <c r="C41" s="852" t="s">
        <v>960</v>
      </c>
      <c r="F41" s="860">
        <f>F36/F$33</f>
        <v>0.5941783968539881</v>
      </c>
      <c r="G41" s="860">
        <f t="shared" ref="G41:X41" si="20">G36/G$33</f>
        <v>0.57588934300848094</v>
      </c>
      <c r="H41" s="860">
        <f t="shared" si="20"/>
        <v>0.56101849633258039</v>
      </c>
      <c r="I41" s="860">
        <f t="shared" si="20"/>
        <v>0.56887148873479965</v>
      </c>
      <c r="J41" s="860">
        <f t="shared" si="20"/>
        <v>0.53161057221444141</v>
      </c>
      <c r="K41" s="860">
        <f t="shared" si="20"/>
        <v>0.43357050193587898</v>
      </c>
      <c r="L41" s="860">
        <f t="shared" si="20"/>
        <v>0.48583256420818055</v>
      </c>
      <c r="M41" s="860">
        <f t="shared" si="20"/>
        <v>0.42816809458226912</v>
      </c>
      <c r="N41" s="860">
        <f t="shared" si="20"/>
        <v>0.44870391633959655</v>
      </c>
      <c r="O41" s="860">
        <f t="shared" si="20"/>
        <v>0.43891923657799359</v>
      </c>
      <c r="P41" s="860">
        <f t="shared" si="20"/>
        <v>0.43397677824228265</v>
      </c>
      <c r="Q41" s="860">
        <f t="shared" si="20"/>
        <v>0.35452955759452165</v>
      </c>
      <c r="R41" s="860">
        <f t="shared" si="20"/>
        <v>0.39329818068623507</v>
      </c>
      <c r="S41" s="860">
        <f t="shared" si="20"/>
        <v>0.24226731220435138</v>
      </c>
      <c r="T41" s="860">
        <f t="shared" si="20"/>
        <v>0.2309276386506797</v>
      </c>
      <c r="U41" s="860">
        <f t="shared" si="20"/>
        <v>0.23662506690692672</v>
      </c>
      <c r="V41" s="860">
        <f t="shared" si="20"/>
        <v>0.23014736424119434</v>
      </c>
      <c r="W41" s="860">
        <f t="shared" si="20"/>
        <v>0.19827814135056743</v>
      </c>
      <c r="X41" s="860">
        <f t="shared" si="20"/>
        <v>0.21475745358806628</v>
      </c>
    </row>
    <row r="42" spans="2:27" x14ac:dyDescent="0.2">
      <c r="C42" s="852" t="s">
        <v>961</v>
      </c>
      <c r="F42" s="860">
        <f t="shared" ref="F42:X44" si="21">F37/F$33</f>
        <v>0.1120129870129877</v>
      </c>
      <c r="G42" s="860">
        <f t="shared" si="21"/>
        <v>8.813854123341E-2</v>
      </c>
      <c r="H42" s="860">
        <f t="shared" si="21"/>
        <v>9.9312910629432719E-2</v>
      </c>
      <c r="I42" s="860">
        <f t="shared" si="21"/>
        <v>9.3411952877728688E-2</v>
      </c>
      <c r="J42" s="860">
        <f t="shared" si="21"/>
        <v>7.6915284091986627E-2</v>
      </c>
      <c r="K42" s="860">
        <f t="shared" si="21"/>
        <v>8.1137782997116784E-2</v>
      </c>
      <c r="L42" s="860">
        <f t="shared" si="21"/>
        <v>7.8886902310295298E-2</v>
      </c>
      <c r="M42" s="860">
        <f t="shared" si="21"/>
        <v>6.8513119533529038E-2</v>
      </c>
      <c r="N42" s="860">
        <f t="shared" si="21"/>
        <v>6.2996504835481679E-2</v>
      </c>
      <c r="O42" s="860">
        <f t="shared" si="21"/>
        <v>6.5625000000000003E-2</v>
      </c>
      <c r="P42" s="860">
        <f t="shared" si="21"/>
        <v>6.2356478482931542E-2</v>
      </c>
      <c r="Q42" s="860">
        <f t="shared" si="21"/>
        <v>5.0673733533968673E-2</v>
      </c>
      <c r="R42" s="860">
        <f t="shared" si="21"/>
        <v>5.6374674761491966E-2</v>
      </c>
      <c r="S42" s="860">
        <f t="shared" si="21"/>
        <v>3.3898305084744625E-2</v>
      </c>
      <c r="T42" s="860">
        <f t="shared" si="21"/>
        <v>2.7886488400652876E-2</v>
      </c>
      <c r="U42" s="860">
        <f t="shared" si="21"/>
        <v>3.0907024581452443E-2</v>
      </c>
      <c r="V42" s="860">
        <f t="shared" si="21"/>
        <v>2.520212445789E-2</v>
      </c>
      <c r="W42" s="860">
        <f t="shared" si="21"/>
        <v>2.2330981111071017E-2</v>
      </c>
      <c r="X42" s="860">
        <f t="shared" si="21"/>
        <v>2.3815625648944676E-2</v>
      </c>
    </row>
    <row r="43" spans="2:27" x14ac:dyDescent="0.2">
      <c r="C43" s="852" t="s">
        <v>962</v>
      </c>
      <c r="F43" s="860">
        <f t="shared" si="21"/>
        <v>0.29380861613302406</v>
      </c>
      <c r="G43" s="860">
        <f t="shared" si="21"/>
        <v>0.29590914247019362</v>
      </c>
      <c r="H43" s="860">
        <f t="shared" si="21"/>
        <v>0.29618739680034634</v>
      </c>
      <c r="I43" s="860">
        <f t="shared" si="21"/>
        <v>0.29604045633433274</v>
      </c>
      <c r="J43" s="860">
        <f t="shared" si="21"/>
        <v>0.36423331391098868</v>
      </c>
      <c r="K43" s="860">
        <f t="shared" si="21"/>
        <v>0.4533508789597292</v>
      </c>
      <c r="L43" s="860">
        <f t="shared" si="21"/>
        <v>0.40584512217171553</v>
      </c>
      <c r="M43" s="860">
        <f t="shared" si="21"/>
        <v>0.47707971882881128</v>
      </c>
      <c r="N43" s="860">
        <f t="shared" si="21"/>
        <v>0.45646848593470202</v>
      </c>
      <c r="O43" s="860">
        <f t="shared" si="21"/>
        <v>0.46628909675533875</v>
      </c>
      <c r="P43" s="860">
        <f t="shared" si="21"/>
        <v>0.4807602817912619</v>
      </c>
      <c r="Q43" s="860">
        <f t="shared" si="21"/>
        <v>0.56072950601703342</v>
      </c>
      <c r="R43" s="860">
        <f t="shared" si="21"/>
        <v>0.52170615582721136</v>
      </c>
      <c r="S43" s="860">
        <f t="shared" si="21"/>
        <v>0.7076426509474697</v>
      </c>
      <c r="T43" s="860">
        <f t="shared" si="21"/>
        <v>0.7268285479120602</v>
      </c>
      <c r="U43" s="860">
        <f t="shared" si="21"/>
        <v>0.71718891666781626</v>
      </c>
      <c r="V43" s="860">
        <f t="shared" si="21"/>
        <v>0.67206839286219289</v>
      </c>
      <c r="W43" s="860">
        <f t="shared" si="21"/>
        <v>0.69456156362729637</v>
      </c>
      <c r="X43" s="860">
        <f t="shared" si="21"/>
        <v>0.68293053059201803</v>
      </c>
    </row>
    <row r="44" spans="2:27" x14ac:dyDescent="0.2">
      <c r="C44" s="852" t="s">
        <v>963</v>
      </c>
      <c r="F44" s="860">
        <f t="shared" si="21"/>
        <v>0</v>
      </c>
      <c r="G44" s="860">
        <f t="shared" si="21"/>
        <v>4.006297328791545E-2</v>
      </c>
      <c r="H44" s="860">
        <f t="shared" si="21"/>
        <v>4.3481196237640518E-2</v>
      </c>
      <c r="I44" s="860">
        <f t="shared" si="21"/>
        <v>4.1676102053138965E-2</v>
      </c>
      <c r="J44" s="860">
        <f t="shared" si="21"/>
        <v>2.7240829782583222E-2</v>
      </c>
      <c r="K44" s="860">
        <f t="shared" si="21"/>
        <v>3.1940836107275168E-2</v>
      </c>
      <c r="L44" s="860">
        <f t="shared" si="21"/>
        <v>2.9435411309808743E-2</v>
      </c>
      <c r="M44" s="860">
        <f t="shared" si="21"/>
        <v>2.6239067055390506E-2</v>
      </c>
      <c r="N44" s="860">
        <f t="shared" si="21"/>
        <v>3.1831092890219591E-2</v>
      </c>
      <c r="O44" s="860">
        <f t="shared" si="21"/>
        <v>2.9166666666667587E-2</v>
      </c>
      <c r="P44" s="860">
        <f t="shared" si="21"/>
        <v>2.2906461483523998E-2</v>
      </c>
      <c r="Q44" s="860">
        <f t="shared" si="21"/>
        <v>3.406720285447621E-2</v>
      </c>
      <c r="R44" s="860">
        <f t="shared" si="21"/>
        <v>2.8620988725061823E-2</v>
      </c>
      <c r="S44" s="860">
        <f t="shared" si="21"/>
        <v>1.6191731763434521E-2</v>
      </c>
      <c r="T44" s="860">
        <f t="shared" si="21"/>
        <v>1.435732503660724E-2</v>
      </c>
      <c r="U44" s="860">
        <f t="shared" si="21"/>
        <v>1.5278991843804809E-2</v>
      </c>
      <c r="V44" s="860">
        <f t="shared" si="21"/>
        <v>7.2582118438722851E-2</v>
      </c>
      <c r="W44" s="860">
        <f t="shared" si="21"/>
        <v>8.4829313911065379E-2</v>
      </c>
      <c r="X44" s="860">
        <f t="shared" si="21"/>
        <v>7.8496390170970834E-2</v>
      </c>
    </row>
    <row r="45" spans="2:27" x14ac:dyDescent="0.2">
      <c r="F45" s="860"/>
      <c r="G45" s="860"/>
      <c r="H45" s="860"/>
      <c r="I45" s="860"/>
      <c r="J45" s="860"/>
      <c r="K45" s="860"/>
      <c r="L45" s="860"/>
      <c r="M45" s="860"/>
      <c r="N45" s="860"/>
      <c r="O45" s="860"/>
      <c r="P45" s="860"/>
      <c r="Q45" s="860"/>
      <c r="R45" s="860"/>
      <c r="S45" s="860"/>
      <c r="T45" s="860"/>
      <c r="U45" s="860"/>
      <c r="V45" s="860"/>
      <c r="W45" s="860"/>
      <c r="X45" s="860"/>
    </row>
  </sheetData>
  <pageMargins left="0.7" right="0.7" top="0.75" bottom="0.75" header="0.3" footer="0.3"/>
  <pageSetup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3"/>
  <sheetViews>
    <sheetView workbookViewId="0">
      <selection activeCell="B42" sqref="B42"/>
    </sheetView>
  </sheetViews>
  <sheetFormatPr defaultRowHeight="12.75" x14ac:dyDescent="0.2"/>
  <cols>
    <col min="1" max="1" width="34.5" style="920" bestFit="1" customWidth="1"/>
    <col min="2" max="2" width="23.1640625" style="1034" customWidth="1"/>
    <col min="3" max="3" width="14" style="920" bestFit="1" customWidth="1"/>
    <col min="4" max="256" width="9.33203125" style="920"/>
    <col min="257" max="257" width="34.5" style="920" bestFit="1" customWidth="1"/>
    <col min="258" max="258" width="23.1640625" style="920" customWidth="1"/>
    <col min="259" max="259" width="14" style="920" bestFit="1" customWidth="1"/>
    <col min="260" max="512" width="9.33203125" style="920"/>
    <col min="513" max="513" width="34.5" style="920" bestFit="1" customWidth="1"/>
    <col min="514" max="514" width="23.1640625" style="920" customWidth="1"/>
    <col min="515" max="515" width="14" style="920" bestFit="1" customWidth="1"/>
    <col min="516" max="768" width="9.33203125" style="920"/>
    <col min="769" max="769" width="34.5" style="920" bestFit="1" customWidth="1"/>
    <col min="770" max="770" width="23.1640625" style="920" customWidth="1"/>
    <col min="771" max="771" width="14" style="920" bestFit="1" customWidth="1"/>
    <col min="772" max="1024" width="9.33203125" style="920"/>
    <col min="1025" max="1025" width="34.5" style="920" bestFit="1" customWidth="1"/>
    <col min="1026" max="1026" width="23.1640625" style="920" customWidth="1"/>
    <col min="1027" max="1027" width="14" style="920" bestFit="1" customWidth="1"/>
    <col min="1028" max="1280" width="9.33203125" style="920"/>
    <col min="1281" max="1281" width="34.5" style="920" bestFit="1" customWidth="1"/>
    <col min="1282" max="1282" width="23.1640625" style="920" customWidth="1"/>
    <col min="1283" max="1283" width="14" style="920" bestFit="1" customWidth="1"/>
    <col min="1284" max="1536" width="9.33203125" style="920"/>
    <col min="1537" max="1537" width="34.5" style="920" bestFit="1" customWidth="1"/>
    <col min="1538" max="1538" width="23.1640625" style="920" customWidth="1"/>
    <col min="1539" max="1539" width="14" style="920" bestFit="1" customWidth="1"/>
    <col min="1540" max="1792" width="9.33203125" style="920"/>
    <col min="1793" max="1793" width="34.5" style="920" bestFit="1" customWidth="1"/>
    <col min="1794" max="1794" width="23.1640625" style="920" customWidth="1"/>
    <col min="1795" max="1795" width="14" style="920" bestFit="1" customWidth="1"/>
    <col min="1796" max="2048" width="9.33203125" style="920"/>
    <col min="2049" max="2049" width="34.5" style="920" bestFit="1" customWidth="1"/>
    <col min="2050" max="2050" width="23.1640625" style="920" customWidth="1"/>
    <col min="2051" max="2051" width="14" style="920" bestFit="1" customWidth="1"/>
    <col min="2052" max="2304" width="9.33203125" style="920"/>
    <col min="2305" max="2305" width="34.5" style="920" bestFit="1" customWidth="1"/>
    <col min="2306" max="2306" width="23.1640625" style="920" customWidth="1"/>
    <col min="2307" max="2307" width="14" style="920" bestFit="1" customWidth="1"/>
    <col min="2308" max="2560" width="9.33203125" style="920"/>
    <col min="2561" max="2561" width="34.5" style="920" bestFit="1" customWidth="1"/>
    <col min="2562" max="2562" width="23.1640625" style="920" customWidth="1"/>
    <col min="2563" max="2563" width="14" style="920" bestFit="1" customWidth="1"/>
    <col min="2564" max="2816" width="9.33203125" style="920"/>
    <col min="2817" max="2817" width="34.5" style="920" bestFit="1" customWidth="1"/>
    <col min="2818" max="2818" width="23.1640625" style="920" customWidth="1"/>
    <col min="2819" max="2819" width="14" style="920" bestFit="1" customWidth="1"/>
    <col min="2820" max="3072" width="9.33203125" style="920"/>
    <col min="3073" max="3073" width="34.5" style="920" bestFit="1" customWidth="1"/>
    <col min="3074" max="3074" width="23.1640625" style="920" customWidth="1"/>
    <col min="3075" max="3075" width="14" style="920" bestFit="1" customWidth="1"/>
    <col min="3076" max="3328" width="9.33203125" style="920"/>
    <col min="3329" max="3329" width="34.5" style="920" bestFit="1" customWidth="1"/>
    <col min="3330" max="3330" width="23.1640625" style="920" customWidth="1"/>
    <col min="3331" max="3331" width="14" style="920" bestFit="1" customWidth="1"/>
    <col min="3332" max="3584" width="9.33203125" style="920"/>
    <col min="3585" max="3585" width="34.5" style="920" bestFit="1" customWidth="1"/>
    <col min="3586" max="3586" width="23.1640625" style="920" customWidth="1"/>
    <col min="3587" max="3587" width="14" style="920" bestFit="1" customWidth="1"/>
    <col min="3588" max="3840" width="9.33203125" style="920"/>
    <col min="3841" max="3841" width="34.5" style="920" bestFit="1" customWidth="1"/>
    <col min="3842" max="3842" width="23.1640625" style="920" customWidth="1"/>
    <col min="3843" max="3843" width="14" style="920" bestFit="1" customWidth="1"/>
    <col min="3844" max="4096" width="9.33203125" style="920"/>
    <col min="4097" max="4097" width="34.5" style="920" bestFit="1" customWidth="1"/>
    <col min="4098" max="4098" width="23.1640625" style="920" customWidth="1"/>
    <col min="4099" max="4099" width="14" style="920" bestFit="1" customWidth="1"/>
    <col min="4100" max="4352" width="9.33203125" style="920"/>
    <col min="4353" max="4353" width="34.5" style="920" bestFit="1" customWidth="1"/>
    <col min="4354" max="4354" width="23.1640625" style="920" customWidth="1"/>
    <col min="4355" max="4355" width="14" style="920" bestFit="1" customWidth="1"/>
    <col min="4356" max="4608" width="9.33203125" style="920"/>
    <col min="4609" max="4609" width="34.5" style="920" bestFit="1" customWidth="1"/>
    <col min="4610" max="4610" width="23.1640625" style="920" customWidth="1"/>
    <col min="4611" max="4611" width="14" style="920" bestFit="1" customWidth="1"/>
    <col min="4612" max="4864" width="9.33203125" style="920"/>
    <col min="4865" max="4865" width="34.5" style="920" bestFit="1" customWidth="1"/>
    <col min="4866" max="4866" width="23.1640625" style="920" customWidth="1"/>
    <col min="4867" max="4867" width="14" style="920" bestFit="1" customWidth="1"/>
    <col min="4868" max="5120" width="9.33203125" style="920"/>
    <col min="5121" max="5121" width="34.5" style="920" bestFit="1" customWidth="1"/>
    <col min="5122" max="5122" width="23.1640625" style="920" customWidth="1"/>
    <col min="5123" max="5123" width="14" style="920" bestFit="1" customWidth="1"/>
    <col min="5124" max="5376" width="9.33203125" style="920"/>
    <col min="5377" max="5377" width="34.5" style="920" bestFit="1" customWidth="1"/>
    <col min="5378" max="5378" width="23.1640625" style="920" customWidth="1"/>
    <col min="5379" max="5379" width="14" style="920" bestFit="1" customWidth="1"/>
    <col min="5380" max="5632" width="9.33203125" style="920"/>
    <col min="5633" max="5633" width="34.5" style="920" bestFit="1" customWidth="1"/>
    <col min="5634" max="5634" width="23.1640625" style="920" customWidth="1"/>
    <col min="5635" max="5635" width="14" style="920" bestFit="1" customWidth="1"/>
    <col min="5636" max="5888" width="9.33203125" style="920"/>
    <col min="5889" max="5889" width="34.5" style="920" bestFit="1" customWidth="1"/>
    <col min="5890" max="5890" width="23.1640625" style="920" customWidth="1"/>
    <col min="5891" max="5891" width="14" style="920" bestFit="1" customWidth="1"/>
    <col min="5892" max="6144" width="9.33203125" style="920"/>
    <col min="6145" max="6145" width="34.5" style="920" bestFit="1" customWidth="1"/>
    <col min="6146" max="6146" width="23.1640625" style="920" customWidth="1"/>
    <col min="6147" max="6147" width="14" style="920" bestFit="1" customWidth="1"/>
    <col min="6148" max="6400" width="9.33203125" style="920"/>
    <col min="6401" max="6401" width="34.5" style="920" bestFit="1" customWidth="1"/>
    <col min="6402" max="6402" width="23.1640625" style="920" customWidth="1"/>
    <col min="6403" max="6403" width="14" style="920" bestFit="1" customWidth="1"/>
    <col min="6404" max="6656" width="9.33203125" style="920"/>
    <col min="6657" max="6657" width="34.5" style="920" bestFit="1" customWidth="1"/>
    <col min="6658" max="6658" width="23.1640625" style="920" customWidth="1"/>
    <col min="6659" max="6659" width="14" style="920" bestFit="1" customWidth="1"/>
    <col min="6660" max="6912" width="9.33203125" style="920"/>
    <col min="6913" max="6913" width="34.5" style="920" bestFit="1" customWidth="1"/>
    <col min="6914" max="6914" width="23.1640625" style="920" customWidth="1"/>
    <col min="6915" max="6915" width="14" style="920" bestFit="1" customWidth="1"/>
    <col min="6916" max="7168" width="9.33203125" style="920"/>
    <col min="7169" max="7169" width="34.5" style="920" bestFit="1" customWidth="1"/>
    <col min="7170" max="7170" width="23.1640625" style="920" customWidth="1"/>
    <col min="7171" max="7171" width="14" style="920" bestFit="1" customWidth="1"/>
    <col min="7172" max="7424" width="9.33203125" style="920"/>
    <col min="7425" max="7425" width="34.5" style="920" bestFit="1" customWidth="1"/>
    <col min="7426" max="7426" width="23.1640625" style="920" customWidth="1"/>
    <col min="7427" max="7427" width="14" style="920" bestFit="1" customWidth="1"/>
    <col min="7428" max="7680" width="9.33203125" style="920"/>
    <col min="7681" max="7681" width="34.5" style="920" bestFit="1" customWidth="1"/>
    <col min="7682" max="7682" width="23.1640625" style="920" customWidth="1"/>
    <col min="7683" max="7683" width="14" style="920" bestFit="1" customWidth="1"/>
    <col min="7684" max="7936" width="9.33203125" style="920"/>
    <col min="7937" max="7937" width="34.5" style="920" bestFit="1" customWidth="1"/>
    <col min="7938" max="7938" width="23.1640625" style="920" customWidth="1"/>
    <col min="7939" max="7939" width="14" style="920" bestFit="1" customWidth="1"/>
    <col min="7940" max="8192" width="9.33203125" style="920"/>
    <col min="8193" max="8193" width="34.5" style="920" bestFit="1" customWidth="1"/>
    <col min="8194" max="8194" width="23.1640625" style="920" customWidth="1"/>
    <col min="8195" max="8195" width="14" style="920" bestFit="1" customWidth="1"/>
    <col min="8196" max="8448" width="9.33203125" style="920"/>
    <col min="8449" max="8449" width="34.5" style="920" bestFit="1" customWidth="1"/>
    <col min="8450" max="8450" width="23.1640625" style="920" customWidth="1"/>
    <col min="8451" max="8451" width="14" style="920" bestFit="1" customWidth="1"/>
    <col min="8452" max="8704" width="9.33203125" style="920"/>
    <col min="8705" max="8705" width="34.5" style="920" bestFit="1" customWidth="1"/>
    <col min="8706" max="8706" width="23.1640625" style="920" customWidth="1"/>
    <col min="8707" max="8707" width="14" style="920" bestFit="1" customWidth="1"/>
    <col min="8708" max="8960" width="9.33203125" style="920"/>
    <col min="8961" max="8961" width="34.5" style="920" bestFit="1" customWidth="1"/>
    <col min="8962" max="8962" width="23.1640625" style="920" customWidth="1"/>
    <col min="8963" max="8963" width="14" style="920" bestFit="1" customWidth="1"/>
    <col min="8964" max="9216" width="9.33203125" style="920"/>
    <col min="9217" max="9217" width="34.5" style="920" bestFit="1" customWidth="1"/>
    <col min="9218" max="9218" width="23.1640625" style="920" customWidth="1"/>
    <col min="9219" max="9219" width="14" style="920" bestFit="1" customWidth="1"/>
    <col min="9220" max="9472" width="9.33203125" style="920"/>
    <col min="9473" max="9473" width="34.5" style="920" bestFit="1" customWidth="1"/>
    <col min="9474" max="9474" width="23.1640625" style="920" customWidth="1"/>
    <col min="9475" max="9475" width="14" style="920" bestFit="1" customWidth="1"/>
    <col min="9476" max="9728" width="9.33203125" style="920"/>
    <col min="9729" max="9729" width="34.5" style="920" bestFit="1" customWidth="1"/>
    <col min="9730" max="9730" width="23.1640625" style="920" customWidth="1"/>
    <col min="9731" max="9731" width="14" style="920" bestFit="1" customWidth="1"/>
    <col min="9732" max="9984" width="9.33203125" style="920"/>
    <col min="9985" max="9985" width="34.5" style="920" bestFit="1" customWidth="1"/>
    <col min="9986" max="9986" width="23.1640625" style="920" customWidth="1"/>
    <col min="9987" max="9987" width="14" style="920" bestFit="1" customWidth="1"/>
    <col min="9988" max="10240" width="9.33203125" style="920"/>
    <col min="10241" max="10241" width="34.5" style="920" bestFit="1" customWidth="1"/>
    <col min="10242" max="10242" width="23.1640625" style="920" customWidth="1"/>
    <col min="10243" max="10243" width="14" style="920" bestFit="1" customWidth="1"/>
    <col min="10244" max="10496" width="9.33203125" style="920"/>
    <col min="10497" max="10497" width="34.5" style="920" bestFit="1" customWidth="1"/>
    <col min="10498" max="10498" width="23.1640625" style="920" customWidth="1"/>
    <col min="10499" max="10499" width="14" style="920" bestFit="1" customWidth="1"/>
    <col min="10500" max="10752" width="9.33203125" style="920"/>
    <col min="10753" max="10753" width="34.5" style="920" bestFit="1" customWidth="1"/>
    <col min="10754" max="10754" width="23.1640625" style="920" customWidth="1"/>
    <col min="10755" max="10755" width="14" style="920" bestFit="1" customWidth="1"/>
    <col min="10756" max="11008" width="9.33203125" style="920"/>
    <col min="11009" max="11009" width="34.5" style="920" bestFit="1" customWidth="1"/>
    <col min="11010" max="11010" width="23.1640625" style="920" customWidth="1"/>
    <col min="11011" max="11011" width="14" style="920" bestFit="1" customWidth="1"/>
    <col min="11012" max="11264" width="9.33203125" style="920"/>
    <col min="11265" max="11265" width="34.5" style="920" bestFit="1" customWidth="1"/>
    <col min="11266" max="11266" width="23.1640625" style="920" customWidth="1"/>
    <col min="11267" max="11267" width="14" style="920" bestFit="1" customWidth="1"/>
    <col min="11268" max="11520" width="9.33203125" style="920"/>
    <col min="11521" max="11521" width="34.5" style="920" bestFit="1" customWidth="1"/>
    <col min="11522" max="11522" width="23.1640625" style="920" customWidth="1"/>
    <col min="11523" max="11523" width="14" style="920" bestFit="1" customWidth="1"/>
    <col min="11524" max="11776" width="9.33203125" style="920"/>
    <col min="11777" max="11777" width="34.5" style="920" bestFit="1" customWidth="1"/>
    <col min="11778" max="11778" width="23.1640625" style="920" customWidth="1"/>
    <col min="11779" max="11779" width="14" style="920" bestFit="1" customWidth="1"/>
    <col min="11780" max="12032" width="9.33203125" style="920"/>
    <col min="12033" max="12033" width="34.5" style="920" bestFit="1" customWidth="1"/>
    <col min="12034" max="12034" width="23.1640625" style="920" customWidth="1"/>
    <col min="12035" max="12035" width="14" style="920" bestFit="1" customWidth="1"/>
    <col min="12036" max="12288" width="9.33203125" style="920"/>
    <col min="12289" max="12289" width="34.5" style="920" bestFit="1" customWidth="1"/>
    <col min="12290" max="12290" width="23.1640625" style="920" customWidth="1"/>
    <col min="12291" max="12291" width="14" style="920" bestFit="1" customWidth="1"/>
    <col min="12292" max="12544" width="9.33203125" style="920"/>
    <col min="12545" max="12545" width="34.5" style="920" bestFit="1" customWidth="1"/>
    <col min="12546" max="12546" width="23.1640625" style="920" customWidth="1"/>
    <col min="12547" max="12547" width="14" style="920" bestFit="1" customWidth="1"/>
    <col min="12548" max="12800" width="9.33203125" style="920"/>
    <col min="12801" max="12801" width="34.5" style="920" bestFit="1" customWidth="1"/>
    <col min="12802" max="12802" width="23.1640625" style="920" customWidth="1"/>
    <col min="12803" max="12803" width="14" style="920" bestFit="1" customWidth="1"/>
    <col min="12804" max="13056" width="9.33203125" style="920"/>
    <col min="13057" max="13057" width="34.5" style="920" bestFit="1" customWidth="1"/>
    <col min="13058" max="13058" width="23.1640625" style="920" customWidth="1"/>
    <col min="13059" max="13059" width="14" style="920" bestFit="1" customWidth="1"/>
    <col min="13060" max="13312" width="9.33203125" style="920"/>
    <col min="13313" max="13313" width="34.5" style="920" bestFit="1" customWidth="1"/>
    <col min="13314" max="13314" width="23.1640625" style="920" customWidth="1"/>
    <col min="13315" max="13315" width="14" style="920" bestFit="1" customWidth="1"/>
    <col min="13316" max="13568" width="9.33203125" style="920"/>
    <col min="13569" max="13569" width="34.5" style="920" bestFit="1" customWidth="1"/>
    <col min="13570" max="13570" width="23.1640625" style="920" customWidth="1"/>
    <col min="13571" max="13571" width="14" style="920" bestFit="1" customWidth="1"/>
    <col min="13572" max="13824" width="9.33203125" style="920"/>
    <col min="13825" max="13825" width="34.5" style="920" bestFit="1" customWidth="1"/>
    <col min="13826" max="13826" width="23.1640625" style="920" customWidth="1"/>
    <col min="13827" max="13827" width="14" style="920" bestFit="1" customWidth="1"/>
    <col min="13828" max="14080" width="9.33203125" style="920"/>
    <col min="14081" max="14081" width="34.5" style="920" bestFit="1" customWidth="1"/>
    <col min="14082" max="14082" width="23.1640625" style="920" customWidth="1"/>
    <col min="14083" max="14083" width="14" style="920" bestFit="1" customWidth="1"/>
    <col min="14084" max="14336" width="9.33203125" style="920"/>
    <col min="14337" max="14337" width="34.5" style="920" bestFit="1" customWidth="1"/>
    <col min="14338" max="14338" width="23.1640625" style="920" customWidth="1"/>
    <col min="14339" max="14339" width="14" style="920" bestFit="1" customWidth="1"/>
    <col min="14340" max="14592" width="9.33203125" style="920"/>
    <col min="14593" max="14593" width="34.5" style="920" bestFit="1" customWidth="1"/>
    <col min="14594" max="14594" width="23.1640625" style="920" customWidth="1"/>
    <col min="14595" max="14595" width="14" style="920" bestFit="1" customWidth="1"/>
    <col min="14596" max="14848" width="9.33203125" style="920"/>
    <col min="14849" max="14849" width="34.5" style="920" bestFit="1" customWidth="1"/>
    <col min="14850" max="14850" width="23.1640625" style="920" customWidth="1"/>
    <col min="14851" max="14851" width="14" style="920" bestFit="1" customWidth="1"/>
    <col min="14852" max="15104" width="9.33203125" style="920"/>
    <col min="15105" max="15105" width="34.5" style="920" bestFit="1" customWidth="1"/>
    <col min="15106" max="15106" width="23.1640625" style="920" customWidth="1"/>
    <col min="15107" max="15107" width="14" style="920" bestFit="1" customWidth="1"/>
    <col min="15108" max="15360" width="9.33203125" style="920"/>
    <col min="15361" max="15361" width="34.5" style="920" bestFit="1" customWidth="1"/>
    <col min="15362" max="15362" width="23.1640625" style="920" customWidth="1"/>
    <col min="15363" max="15363" width="14" style="920" bestFit="1" customWidth="1"/>
    <col min="15364" max="15616" width="9.33203125" style="920"/>
    <col min="15617" max="15617" width="34.5" style="920" bestFit="1" customWidth="1"/>
    <col min="15618" max="15618" width="23.1640625" style="920" customWidth="1"/>
    <col min="15619" max="15619" width="14" style="920" bestFit="1" customWidth="1"/>
    <col min="15620" max="15872" width="9.33203125" style="920"/>
    <col min="15873" max="15873" width="34.5" style="920" bestFit="1" customWidth="1"/>
    <col min="15874" max="15874" width="23.1640625" style="920" customWidth="1"/>
    <col min="15875" max="15875" width="14" style="920" bestFit="1" customWidth="1"/>
    <col min="15876" max="16128" width="9.33203125" style="920"/>
    <col min="16129" max="16129" width="34.5" style="920" bestFit="1" customWidth="1"/>
    <col min="16130" max="16130" width="23.1640625" style="920" customWidth="1"/>
    <col min="16131" max="16131" width="14" style="920" bestFit="1" customWidth="1"/>
    <col min="16132" max="16384" width="9.33203125" style="920"/>
  </cols>
  <sheetData>
    <row r="1" spans="1:2" x14ac:dyDescent="0.2">
      <c r="A1" s="920" t="s">
        <v>1329</v>
      </c>
      <c r="B1" s="1033">
        <v>6.1</v>
      </c>
    </row>
    <row r="2" spans="1:2" x14ac:dyDescent="0.2">
      <c r="A2" s="920" t="s">
        <v>1330</v>
      </c>
      <c r="B2" s="1037">
        <v>43159.677384259259</v>
      </c>
    </row>
    <row r="3" spans="1:2" x14ac:dyDescent="0.2">
      <c r="A3" s="920" t="s">
        <v>1331</v>
      </c>
      <c r="B3" s="1034" t="s">
        <v>1042</v>
      </c>
    </row>
    <row r="4" spans="1:2" x14ac:dyDescent="0.2">
      <c r="A4" s="920" t="s">
        <v>1332</v>
      </c>
      <c r="B4" s="1034" t="s">
        <v>1333</v>
      </c>
    </row>
    <row r="5" spans="1:2" x14ac:dyDescent="0.2">
      <c r="A5" s="920" t="s">
        <v>1334</v>
      </c>
      <c r="B5" s="1034" t="s">
        <v>1335</v>
      </c>
    </row>
    <row r="6" spans="1:2" x14ac:dyDescent="0.2">
      <c r="A6" s="920" t="s">
        <v>1336</v>
      </c>
    </row>
    <row r="7" spans="1:2" x14ac:dyDescent="0.2">
      <c r="A7" s="920" t="s">
        <v>1337</v>
      </c>
      <c r="B7" s="1034" t="s">
        <v>233</v>
      </c>
    </row>
    <row r="8" spans="1:2" x14ac:dyDescent="0.2">
      <c r="A8" s="920" t="s">
        <v>1338</v>
      </c>
      <c r="B8" s="1034" t="s">
        <v>561</v>
      </c>
    </row>
    <row r="9" spans="1:2" x14ac:dyDescent="0.2">
      <c r="A9" s="920" t="s">
        <v>1339</v>
      </c>
      <c r="B9" s="1034" t="s">
        <v>1376</v>
      </c>
    </row>
    <row r="10" spans="1:2" x14ac:dyDescent="0.2">
      <c r="A10" s="920" t="s">
        <v>1340</v>
      </c>
    </row>
    <row r="11" spans="1:2" x14ac:dyDescent="0.2">
      <c r="A11" s="920" t="s">
        <v>1341</v>
      </c>
    </row>
    <row r="12" spans="1:2" x14ac:dyDescent="0.2">
      <c r="A12" s="920" t="s">
        <v>1342</v>
      </c>
    </row>
    <row r="13" spans="1:2" x14ac:dyDescent="0.2">
      <c r="A13" s="920" t="s">
        <v>1343</v>
      </c>
    </row>
    <row r="14" spans="1:2" x14ac:dyDescent="0.2">
      <c r="A14" s="920" t="s">
        <v>1344</v>
      </c>
    </row>
    <row r="15" spans="1:2" x14ac:dyDescent="0.2">
      <c r="A15" s="920" t="s">
        <v>1345</v>
      </c>
    </row>
    <row r="16" spans="1:2" x14ac:dyDescent="0.2">
      <c r="A16" s="920" t="s">
        <v>1346</v>
      </c>
    </row>
    <row r="17" spans="1:4" x14ac:dyDescent="0.2">
      <c r="A17" s="920" t="s">
        <v>1347</v>
      </c>
      <c r="B17" s="1034" t="s">
        <v>1377</v>
      </c>
    </row>
    <row r="18" spans="1:4" x14ac:dyDescent="0.2">
      <c r="A18" s="920" t="s">
        <v>1348</v>
      </c>
      <c r="B18" s="1034" t="s">
        <v>1043</v>
      </c>
    </row>
    <row r="19" spans="1:4" x14ac:dyDescent="0.2">
      <c r="A19" s="920" t="s">
        <v>1349</v>
      </c>
      <c r="B19" s="1034" t="s">
        <v>284</v>
      </c>
    </row>
    <row r="20" spans="1:4" x14ac:dyDescent="0.2">
      <c r="A20" s="920" t="s">
        <v>1350</v>
      </c>
      <c r="B20" s="1035"/>
    </row>
    <row r="21" spans="1:4" x14ac:dyDescent="0.2">
      <c r="A21" s="920" t="s">
        <v>1351</v>
      </c>
      <c r="B21" s="1034" t="s">
        <v>284</v>
      </c>
    </row>
    <row r="22" spans="1:4" x14ac:dyDescent="0.2">
      <c r="A22" s="920" t="s">
        <v>1352</v>
      </c>
      <c r="B22" s="1035">
        <v>6247306</v>
      </c>
    </row>
    <row r="23" spans="1:4" x14ac:dyDescent="0.2">
      <c r="A23" s="920" t="s">
        <v>287</v>
      </c>
      <c r="B23" s="1033">
        <v>8</v>
      </c>
    </row>
    <row r="24" spans="1:4" x14ac:dyDescent="0.2">
      <c r="A24" s="920" t="s">
        <v>286</v>
      </c>
      <c r="B24" s="1034" t="s">
        <v>113</v>
      </c>
      <c r="D24" s="920" t="s">
        <v>506</v>
      </c>
    </row>
    <row r="25" spans="1:4" x14ac:dyDescent="0.2">
      <c r="A25" s="920" t="s">
        <v>1353</v>
      </c>
      <c r="B25" s="1034" t="s">
        <v>1380</v>
      </c>
    </row>
    <row r="26" spans="1:4" x14ac:dyDescent="0.2">
      <c r="A26" s="920" t="s">
        <v>1354</v>
      </c>
      <c r="B26" s="1034">
        <v>0</v>
      </c>
    </row>
    <row r="27" spans="1:4" x14ac:dyDescent="0.2">
      <c r="A27" s="920" t="s">
        <v>1355</v>
      </c>
      <c r="B27" s="1034" t="s">
        <v>1356</v>
      </c>
    </row>
    <row r="28" spans="1:4" x14ac:dyDescent="0.2">
      <c r="A28" s="920" t="s">
        <v>1357</v>
      </c>
      <c r="B28" s="1034" t="s">
        <v>1358</v>
      </c>
    </row>
    <row r="29" spans="1:4" x14ac:dyDescent="0.2">
      <c r="A29" s="920" t="s">
        <v>1359</v>
      </c>
    </row>
    <row r="30" spans="1:4" x14ac:dyDescent="0.2">
      <c r="A30" s="920" t="s">
        <v>1360</v>
      </c>
    </row>
    <row r="31" spans="1:4" x14ac:dyDescent="0.2">
      <c r="A31" s="920" t="s">
        <v>1361</v>
      </c>
    </row>
    <row r="32" spans="1:4" x14ac:dyDescent="0.2">
      <c r="A32" s="920" t="s">
        <v>1362</v>
      </c>
      <c r="B32" s="1033"/>
    </row>
    <row r="33" spans="1:2" x14ac:dyDescent="0.2">
      <c r="A33" s="920" t="s">
        <v>1363</v>
      </c>
      <c r="B33" s="1033"/>
    </row>
    <row r="34" spans="1:2" x14ac:dyDescent="0.2">
      <c r="A34" s="920" t="s">
        <v>1364</v>
      </c>
      <c r="B34" s="1033"/>
    </row>
    <row r="35" spans="1:2" x14ac:dyDescent="0.2">
      <c r="A35" s="920" t="s">
        <v>1365</v>
      </c>
      <c r="B35" s="1034">
        <v>1000000</v>
      </c>
    </row>
    <row r="36" spans="1:2" x14ac:dyDescent="0.2">
      <c r="A36" s="920" t="s">
        <v>1366</v>
      </c>
      <c r="B36" s="1034" t="s">
        <v>1378</v>
      </c>
    </row>
    <row r="37" spans="1:2" x14ac:dyDescent="0.2">
      <c r="A37" s="920" t="s">
        <v>1367</v>
      </c>
      <c r="B37" s="1034" t="s">
        <v>1368</v>
      </c>
    </row>
    <row r="38" spans="1:2" x14ac:dyDescent="0.2">
      <c r="A38" s="920" t="s">
        <v>1369</v>
      </c>
      <c r="B38" s="1034" t="s">
        <v>1370</v>
      </c>
    </row>
    <row r="39" spans="1:2" x14ac:dyDescent="0.2">
      <c r="A39" s="920" t="s">
        <v>1371</v>
      </c>
      <c r="B39" s="1034" t="s">
        <v>1379</v>
      </c>
    </row>
    <row r="40" spans="1:2" x14ac:dyDescent="0.2">
      <c r="A40" s="920" t="s">
        <v>1372</v>
      </c>
      <c r="B40" s="1034">
        <v>1900000853</v>
      </c>
    </row>
    <row r="41" spans="1:2" x14ac:dyDescent="0.2">
      <c r="A41" s="920" t="s">
        <v>1373</v>
      </c>
      <c r="B41" s="1034">
        <v>5</v>
      </c>
    </row>
    <row r="42" spans="1:2" x14ac:dyDescent="0.2">
      <c r="A42" s="1036" t="s">
        <v>1374</v>
      </c>
    </row>
    <row r="43" spans="1:2" x14ac:dyDescent="0.2">
      <c r="A43" s="920" t="s">
        <v>1375</v>
      </c>
    </row>
  </sheetData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workbookViewId="0">
      <selection activeCell="E11" sqref="E11"/>
    </sheetView>
  </sheetViews>
  <sheetFormatPr defaultRowHeight="12.75" x14ac:dyDescent="0.2"/>
  <cols>
    <col min="1" max="1" width="33.33203125" style="920" bestFit="1" customWidth="1"/>
    <col min="2" max="256" width="9.33203125" style="920"/>
    <col min="257" max="257" width="33.33203125" style="920" bestFit="1" customWidth="1"/>
    <col min="258" max="512" width="9.33203125" style="920"/>
    <col min="513" max="513" width="33.33203125" style="920" bestFit="1" customWidth="1"/>
    <col min="514" max="768" width="9.33203125" style="920"/>
    <col min="769" max="769" width="33.33203125" style="920" bestFit="1" customWidth="1"/>
    <col min="770" max="1024" width="9.33203125" style="920"/>
    <col min="1025" max="1025" width="33.33203125" style="920" bestFit="1" customWidth="1"/>
    <col min="1026" max="1280" width="9.33203125" style="920"/>
    <col min="1281" max="1281" width="33.33203125" style="920" bestFit="1" customWidth="1"/>
    <col min="1282" max="1536" width="9.33203125" style="920"/>
    <col min="1537" max="1537" width="33.33203125" style="920" bestFit="1" customWidth="1"/>
    <col min="1538" max="1792" width="9.33203125" style="920"/>
    <col min="1793" max="1793" width="33.33203125" style="920" bestFit="1" customWidth="1"/>
    <col min="1794" max="2048" width="9.33203125" style="920"/>
    <col min="2049" max="2049" width="33.33203125" style="920" bestFit="1" customWidth="1"/>
    <col min="2050" max="2304" width="9.33203125" style="920"/>
    <col min="2305" max="2305" width="33.33203125" style="920" bestFit="1" customWidth="1"/>
    <col min="2306" max="2560" width="9.33203125" style="920"/>
    <col min="2561" max="2561" width="33.33203125" style="920" bestFit="1" customWidth="1"/>
    <col min="2562" max="2816" width="9.33203125" style="920"/>
    <col min="2817" max="2817" width="33.33203125" style="920" bestFit="1" customWidth="1"/>
    <col min="2818" max="3072" width="9.33203125" style="920"/>
    <col min="3073" max="3073" width="33.33203125" style="920" bestFit="1" customWidth="1"/>
    <col min="3074" max="3328" width="9.33203125" style="920"/>
    <col min="3329" max="3329" width="33.33203125" style="920" bestFit="1" customWidth="1"/>
    <col min="3330" max="3584" width="9.33203125" style="920"/>
    <col min="3585" max="3585" width="33.33203125" style="920" bestFit="1" customWidth="1"/>
    <col min="3586" max="3840" width="9.33203125" style="920"/>
    <col min="3841" max="3841" width="33.33203125" style="920" bestFit="1" customWidth="1"/>
    <col min="3842" max="4096" width="9.33203125" style="920"/>
    <col min="4097" max="4097" width="33.33203125" style="920" bestFit="1" customWidth="1"/>
    <col min="4098" max="4352" width="9.33203125" style="920"/>
    <col min="4353" max="4353" width="33.33203125" style="920" bestFit="1" customWidth="1"/>
    <col min="4354" max="4608" width="9.33203125" style="920"/>
    <col min="4609" max="4609" width="33.33203125" style="920" bestFit="1" customWidth="1"/>
    <col min="4610" max="4864" width="9.33203125" style="920"/>
    <col min="4865" max="4865" width="33.33203125" style="920" bestFit="1" customWidth="1"/>
    <col min="4866" max="5120" width="9.33203125" style="920"/>
    <col min="5121" max="5121" width="33.33203125" style="920" bestFit="1" customWidth="1"/>
    <col min="5122" max="5376" width="9.33203125" style="920"/>
    <col min="5377" max="5377" width="33.33203125" style="920" bestFit="1" customWidth="1"/>
    <col min="5378" max="5632" width="9.33203125" style="920"/>
    <col min="5633" max="5633" width="33.33203125" style="920" bestFit="1" customWidth="1"/>
    <col min="5634" max="5888" width="9.33203125" style="920"/>
    <col min="5889" max="5889" width="33.33203125" style="920" bestFit="1" customWidth="1"/>
    <col min="5890" max="6144" width="9.33203125" style="920"/>
    <col min="6145" max="6145" width="33.33203125" style="920" bestFit="1" customWidth="1"/>
    <col min="6146" max="6400" width="9.33203125" style="920"/>
    <col min="6401" max="6401" width="33.33203125" style="920" bestFit="1" customWidth="1"/>
    <col min="6402" max="6656" width="9.33203125" style="920"/>
    <col min="6657" max="6657" width="33.33203125" style="920" bestFit="1" customWidth="1"/>
    <col min="6658" max="6912" width="9.33203125" style="920"/>
    <col min="6913" max="6913" width="33.33203125" style="920" bestFit="1" customWidth="1"/>
    <col min="6914" max="7168" width="9.33203125" style="920"/>
    <col min="7169" max="7169" width="33.33203125" style="920" bestFit="1" customWidth="1"/>
    <col min="7170" max="7424" width="9.33203125" style="920"/>
    <col min="7425" max="7425" width="33.33203125" style="920" bestFit="1" customWidth="1"/>
    <col min="7426" max="7680" width="9.33203125" style="920"/>
    <col min="7681" max="7681" width="33.33203125" style="920" bestFit="1" customWidth="1"/>
    <col min="7682" max="7936" width="9.33203125" style="920"/>
    <col min="7937" max="7937" width="33.33203125" style="920" bestFit="1" customWidth="1"/>
    <col min="7938" max="8192" width="9.33203125" style="920"/>
    <col min="8193" max="8193" width="33.33203125" style="920" bestFit="1" customWidth="1"/>
    <col min="8194" max="8448" width="9.33203125" style="920"/>
    <col min="8449" max="8449" width="33.33203125" style="920" bestFit="1" customWidth="1"/>
    <col min="8450" max="8704" width="9.33203125" style="920"/>
    <col min="8705" max="8705" width="33.33203125" style="920" bestFit="1" customWidth="1"/>
    <col min="8706" max="8960" width="9.33203125" style="920"/>
    <col min="8961" max="8961" width="33.33203125" style="920" bestFit="1" customWidth="1"/>
    <col min="8962" max="9216" width="9.33203125" style="920"/>
    <col min="9217" max="9217" width="33.33203125" style="920" bestFit="1" customWidth="1"/>
    <col min="9218" max="9472" width="9.33203125" style="920"/>
    <col min="9473" max="9473" width="33.33203125" style="920" bestFit="1" customWidth="1"/>
    <col min="9474" max="9728" width="9.33203125" style="920"/>
    <col min="9729" max="9729" width="33.33203125" style="920" bestFit="1" customWidth="1"/>
    <col min="9730" max="9984" width="9.33203125" style="920"/>
    <col min="9985" max="9985" width="33.33203125" style="920" bestFit="1" customWidth="1"/>
    <col min="9986" max="10240" width="9.33203125" style="920"/>
    <col min="10241" max="10241" width="33.33203125" style="920" bestFit="1" customWidth="1"/>
    <col min="10242" max="10496" width="9.33203125" style="920"/>
    <col min="10497" max="10497" width="33.33203125" style="920" bestFit="1" customWidth="1"/>
    <col min="10498" max="10752" width="9.33203125" style="920"/>
    <col min="10753" max="10753" width="33.33203125" style="920" bestFit="1" customWidth="1"/>
    <col min="10754" max="11008" width="9.33203125" style="920"/>
    <col min="11009" max="11009" width="33.33203125" style="920" bestFit="1" customWidth="1"/>
    <col min="11010" max="11264" width="9.33203125" style="920"/>
    <col min="11265" max="11265" width="33.33203125" style="920" bestFit="1" customWidth="1"/>
    <col min="11266" max="11520" width="9.33203125" style="920"/>
    <col min="11521" max="11521" width="33.33203125" style="920" bestFit="1" customWidth="1"/>
    <col min="11522" max="11776" width="9.33203125" style="920"/>
    <col min="11777" max="11777" width="33.33203125" style="920" bestFit="1" customWidth="1"/>
    <col min="11778" max="12032" width="9.33203125" style="920"/>
    <col min="12033" max="12033" width="33.33203125" style="920" bestFit="1" customWidth="1"/>
    <col min="12034" max="12288" width="9.33203125" style="920"/>
    <col min="12289" max="12289" width="33.33203125" style="920" bestFit="1" customWidth="1"/>
    <col min="12290" max="12544" width="9.33203125" style="920"/>
    <col min="12545" max="12545" width="33.33203125" style="920" bestFit="1" customWidth="1"/>
    <col min="12546" max="12800" width="9.33203125" style="920"/>
    <col min="12801" max="12801" width="33.33203125" style="920" bestFit="1" customWidth="1"/>
    <col min="12802" max="13056" width="9.33203125" style="920"/>
    <col min="13057" max="13057" width="33.33203125" style="920" bestFit="1" customWidth="1"/>
    <col min="13058" max="13312" width="9.33203125" style="920"/>
    <col min="13313" max="13313" width="33.33203125" style="920" bestFit="1" customWidth="1"/>
    <col min="13314" max="13568" width="9.33203125" style="920"/>
    <col min="13569" max="13569" width="33.33203125" style="920" bestFit="1" customWidth="1"/>
    <col min="13570" max="13824" width="9.33203125" style="920"/>
    <col min="13825" max="13825" width="33.33203125" style="920" bestFit="1" customWidth="1"/>
    <col min="13826" max="14080" width="9.33203125" style="920"/>
    <col min="14081" max="14081" width="33.33203125" style="920" bestFit="1" customWidth="1"/>
    <col min="14082" max="14336" width="9.33203125" style="920"/>
    <col min="14337" max="14337" width="33.33203125" style="920" bestFit="1" customWidth="1"/>
    <col min="14338" max="14592" width="9.33203125" style="920"/>
    <col min="14593" max="14593" width="33.33203125" style="920" bestFit="1" customWidth="1"/>
    <col min="14594" max="14848" width="9.33203125" style="920"/>
    <col min="14849" max="14849" width="33.33203125" style="920" bestFit="1" customWidth="1"/>
    <col min="14850" max="15104" width="9.33203125" style="920"/>
    <col min="15105" max="15105" width="33.33203125" style="920" bestFit="1" customWidth="1"/>
    <col min="15106" max="15360" width="9.33203125" style="920"/>
    <col min="15361" max="15361" width="33.33203125" style="920" bestFit="1" customWidth="1"/>
    <col min="15362" max="15616" width="9.33203125" style="920"/>
    <col min="15617" max="15617" width="33.33203125" style="920" bestFit="1" customWidth="1"/>
    <col min="15618" max="15872" width="9.33203125" style="920"/>
    <col min="15873" max="15873" width="33.33203125" style="920" bestFit="1" customWidth="1"/>
    <col min="15874" max="16128" width="9.33203125" style="920"/>
    <col min="16129" max="16129" width="33.33203125" style="920" bestFit="1" customWidth="1"/>
    <col min="16130" max="16384" width="9.33203125" style="920"/>
  </cols>
  <sheetData>
    <row r="1" spans="1:1" x14ac:dyDescent="0.2">
      <c r="A1" s="1038" t="s">
        <v>1381</v>
      </c>
    </row>
    <row r="2" spans="1:1" x14ac:dyDescent="0.2">
      <c r="A2" s="1038" t="s">
        <v>1386</v>
      </c>
    </row>
    <row r="3" spans="1:1" x14ac:dyDescent="0.2">
      <c r="A3" s="1038" t="s">
        <v>1387</v>
      </c>
    </row>
    <row r="4" spans="1:1" x14ac:dyDescent="0.2">
      <c r="A4" s="1038" t="s">
        <v>1388</v>
      </c>
    </row>
    <row r="5" spans="1:1" x14ac:dyDescent="0.2">
      <c r="A5" s="1038" t="s">
        <v>1389</v>
      </c>
    </row>
    <row r="6" spans="1:1" x14ac:dyDescent="0.2">
      <c r="A6" s="1038" t="s">
        <v>1382</v>
      </c>
    </row>
    <row r="7" spans="1:1" x14ac:dyDescent="0.2">
      <c r="A7" s="1038" t="s">
        <v>1390</v>
      </c>
    </row>
    <row r="8" spans="1:1" x14ac:dyDescent="0.2">
      <c r="A8" s="1038" t="s">
        <v>1391</v>
      </c>
    </row>
    <row r="9" spans="1:1" x14ac:dyDescent="0.2">
      <c r="A9" s="1038" t="s">
        <v>1392</v>
      </c>
    </row>
    <row r="10" spans="1:1" x14ac:dyDescent="0.2">
      <c r="A10" s="1038" t="s">
        <v>1383</v>
      </c>
    </row>
    <row r="11" spans="1:1" x14ac:dyDescent="0.2">
      <c r="A11" s="1038" t="s">
        <v>1393</v>
      </c>
    </row>
    <row r="12" spans="1:1" x14ac:dyDescent="0.2">
      <c r="A12" s="1038" t="s">
        <v>1384</v>
      </c>
    </row>
    <row r="13" spans="1:1" x14ac:dyDescent="0.2">
      <c r="A13" s="1038" t="s">
        <v>1385</v>
      </c>
    </row>
  </sheetData>
  <pageMargins left="0.75" right="0.75" top="1" bottom="1" header="0.5" footer="0.5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:Links xmlns:lk="thomsonreuters.linking.metadata"/>
</file>

<file path=customXml/item2.xml><?xml version="1.0" encoding="utf-8"?>
<lkmtd:Metadata xmlns:lkmtd="thomsonreuters.linking.metadatachange">
  <MetadataChanged>0</MetadataChanged>
</lkmtd:Metadata>
</file>

<file path=customXml/itemProps1.xml><?xml version="1.0" encoding="utf-8"?>
<ds:datastoreItem xmlns:ds="http://schemas.openxmlformats.org/officeDocument/2006/customXml" ds:itemID="{BE6C9444-98C3-47CB-AB03-0440E30EBF88}">
  <ds:schemaRefs>
    <ds:schemaRef ds:uri="thomsonreuters.linking.metadata"/>
  </ds:schemaRefs>
</ds:datastoreItem>
</file>

<file path=customXml/itemProps2.xml><?xml version="1.0" encoding="utf-8"?>
<ds:datastoreItem xmlns:ds="http://schemas.openxmlformats.org/officeDocument/2006/customXml" ds:itemID="{430D8CEB-2400-4E72-BA1B-C7A5F798F91E}">
  <ds:schemaRefs>
    <ds:schemaRef ds:uri="thomsonreuters.linking.metadatachang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81</vt:i4>
      </vt:variant>
    </vt:vector>
  </HeadingPairs>
  <TitlesOfParts>
    <vt:vector size="95" baseType="lpstr">
      <vt:lpstr>ImportantDisclosures</vt:lpstr>
      <vt:lpstr>Overview</vt:lpstr>
      <vt:lpstr>APA</vt:lpstr>
      <vt:lpstr>Qld</vt:lpstr>
      <vt:lpstr>NSW</vt:lpstr>
      <vt:lpstr>VIC&amp;SA</vt:lpstr>
      <vt:lpstr>WA&amp;NT</vt:lpstr>
      <vt:lpstr>Debt</vt:lpstr>
      <vt:lpstr>Valuation</vt:lpstr>
      <vt:lpstr>Financials</vt:lpstr>
      <vt:lpstr>Assets</vt:lpstr>
      <vt:lpstr>EBITDA by Asset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Calendar_Year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Fiscal_Year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Implied_Enterprise_Value__A_m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</vt:lpstr>
      <vt:lpstr>Linking_2</vt:lpstr>
      <vt:lpstr>Linking_3</vt:lpstr>
      <vt:lpstr>Linking_4</vt:lpstr>
      <vt:lpstr>Linking_Range_558</vt:lpstr>
      <vt:lpstr>Linking_Range_600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APA!Print_Area</vt:lpstr>
      <vt:lpstr>Financials!Print_Area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  <vt:lpstr>Val_Table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2013-08-20T04:18:47Z</dcterms:created>
  <dc:creator>Adam N Pinckard</dc:creator>
  <cp:lastModifiedBy>Horner, Martin (Research)</cp:lastModifiedBy>
  <cp:lastPrinted>2017-02-27T13:21:43Z</cp:lastPrinted>
  <dcterms:modified xsi:type="dcterms:W3CDTF">2018-02-28T11:04:33Z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IsInternalOnly" pid="2">
    <vt:lpwstr>True</vt:lpwstr>
  </property>
  <property fmtid="{D5CDD505-2E9C-101B-9397-08002B2CF9AE}" name="ERModPubTicket" pid="3">
    <vt:lpwstr>NA</vt:lpwstr>
  </property>
  <property fmtid="{D5CDD505-2E9C-101B-9397-08002B2CF9AE}" name="ERCompanyUploadState" pid="4">
    <vt:lpwstr>P</vt:lpwstr>
  </property>
  <property fmtid="{D5CDD505-2E9C-101B-9397-08002B2CF9AE}" name="ModelId" pid="5">
    <vt:lpwstr>753413</vt:lpwstr>
  </property>
  <property fmtid="{D5CDD505-2E9C-101B-9397-08002B2CF9AE}" name="ERModPubCompanyName" pid="6">
    <vt:lpwstr>APA Group</vt:lpwstr>
  </property>
  <property fmtid="{D5CDD505-2E9C-101B-9397-08002B2CF9AE}" name="MSDH34TAG" pid="7">
    <vt:lpwstr>.TEZUF76X5TAHATHESADREYAK-00-INB160+*94600-06=8b1384bc/-1c74/-11e8/-a36b/-97f10757d665,MD=20180228065050/-0500,ZZ=000Z-dd32.</vt:lpwstr>
  </property>
</Properties>
</file>